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drawings/drawing28.xml" ContentType="application/vnd.openxmlformats-officedocument.drawingml.chartshapes+xml"/>
  <Override PartName="/xl/drawings/drawing27.xml" ContentType="application/vnd.openxmlformats-officedocument.drawingml.chartshap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charts/chart1.xml" ContentType="application/vnd.openxmlformats-officedocument.drawingml.chart+xml"/>
  <Override PartName="/xl/drawings/drawing9.xml" ContentType="application/vnd.openxmlformats-officedocument.drawing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drawings/drawing18.xml" ContentType="application/vnd.openxmlformats-officedocument.drawing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drawings/drawing19.xml" ContentType="application/vnd.openxmlformats-officedocument.drawing+xml"/>
  <Override PartName="/xl/charts/chart28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9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0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31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20.xml" ContentType="application/vnd.openxmlformats-officedocument.drawing+xml"/>
  <Override PartName="/xl/charts/chart32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26.xml" ContentType="application/vnd.openxmlformats-officedocument.drawing+xml"/>
  <Override PartName="/xl/drawings/drawing21.xml" ContentType="application/vnd.openxmlformats-officedocument.drawing+xml"/>
  <Override PartName="/xl/charts/chart33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34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35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charts/chart36.xml" ContentType="application/vnd.openxmlformats-officedocument.drawingml.chart+xml"/>
  <Override PartName="/xl/charts/chart37.xml" ContentType="application/vnd.openxmlformats-officedocument.drawingml.chart+xml"/>
  <Override PartName="/xl/drawings/drawing24.xml" ContentType="application/vnd.openxmlformats-officedocument.drawing+xml"/>
  <Override PartName="/xl/charts/chart38.xml" ContentType="application/vnd.openxmlformats-officedocument.drawingml.chart+xml"/>
  <Override PartName="/xl/charts/chart39.xml" ContentType="application/vnd.openxmlformats-officedocument.drawingml.chart+xml"/>
  <Override PartName="/xl/charts/chart40.xml" ContentType="application/vnd.openxmlformats-officedocument.drawingml.chart+xml"/>
  <Override PartName="/xl/charts/chart41.xml" ContentType="application/vnd.openxmlformats-officedocument.drawingml.chart+xml"/>
  <Override PartName="/xl/charts/chart42.xml" ContentType="application/vnd.openxmlformats-officedocument.drawingml.chart+xml"/>
  <Override PartName="/xl/charts/chart43.xml" ContentType="application/vnd.openxmlformats-officedocument.drawingml.chart+xml"/>
  <Override PartName="/xl/charts/chart44.xml" ContentType="application/vnd.openxmlformats-officedocument.drawingml.chart+xml"/>
  <Override PartName="/xl/charts/chart45.xml" ContentType="application/vnd.openxmlformats-officedocument.drawingml.chart+xml"/>
  <Override PartName="/xl/charts/chart46.xml" ContentType="application/vnd.openxmlformats-officedocument.drawingml.chart+xml"/>
  <Override PartName="/xl/charts/chart47.xml" ContentType="application/vnd.openxmlformats-officedocument.drawingml.chart+xml"/>
  <Override PartName="/xl/charts/chart48.xml" ContentType="application/vnd.openxmlformats-officedocument.drawingml.chart+xml"/>
  <Override PartName="/xl/drawings/drawing25.xml" ContentType="application/vnd.openxmlformats-officedocument.drawing+xml"/>
  <Override PartName="/xl/charts/chart49.xml" ContentType="application/vnd.openxmlformats-officedocument.drawingml.chart+xml"/>
  <Override PartName="/xl/charts/chart50.xml" ContentType="application/vnd.openxmlformats-officedocument.drawingml.chart+xml"/>
  <Override PartName="/xl/drawings/drawing29.xml" ContentType="application/vnd.openxmlformats-officedocument.drawing+xml"/>
  <Override PartName="/xl/drawings/drawing30.xml" ContentType="application/vnd.openxmlformats-officedocument.drawing+xml"/>
  <Override PartName="/xl/drawings/drawing31.xml" ContentType="application/vnd.openxmlformats-officedocument.drawing+xml"/>
  <Override PartName="/xl/vbaProject.bin" ContentType="application/vnd.ms-office.vbaProject"/>
  <Override PartName="/xl/externalLinks/externalLink1.xml" ContentType="application/vnd.openxmlformats-officedocument.spreadsheetml.externalLink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customXml/itemProps1.xml" ContentType="application/vnd.openxmlformats-officedocument.customXmlProperties+xml"/>
  <Override PartName="/customXml/itemProps2.xml" ContentType="application/vnd.openxmlformats-officedocument.customXml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231" codeName="{E757BCB4-07E6-AE0B-56E0-F0EEF7A6E26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M:\IE\Projects\Nuffield via NFER AI and automation\Data\Results\Workbooks\MCAs\NE_MCA\"/>
    </mc:Choice>
  </mc:AlternateContent>
  <xr:revisionPtr revIDLastSave="0" documentId="13_ncr:1_{E415F804-8719-4E11-BD8A-60F65E7616AD}" xr6:coauthVersionLast="47" xr6:coauthVersionMax="47" xr10:uidLastSave="{00000000-0000-0000-0000-000000000000}"/>
  <bookViews>
    <workbookView xWindow="0" yWindow="0" windowWidth="10350" windowHeight="6390" tabRatio="880" firstSheet="1" activeTab="1" xr2:uid="{00000000-000D-0000-FFFF-FFFF00000000}"/>
  </bookViews>
  <sheets>
    <sheet name="Stored" sheetId="8" state="hidden" r:id="rId1"/>
    <sheet name="Warning" sheetId="100" r:id="rId2"/>
    <sheet name="Info" sheetId="50" r:id="rId3"/>
    <sheet name="Manager" sheetId="13" r:id="rId4"/>
    <sheet name="Contents" sheetId="99" r:id="rId5"/>
    <sheet name="Ind T1" sheetId="11" r:id="rId6"/>
    <sheet name="Ind T2" sheetId="12" r:id="rId7"/>
    <sheet name="Ind T4" sheetId="15" r:id="rId8"/>
    <sheet name="Ind T5" sheetId="104" r:id="rId9"/>
    <sheet name="Ind T6" sheetId="102" r:id="rId10"/>
    <sheet name="Ind F1" sheetId="19" r:id="rId11"/>
    <sheet name="Ind F2" sheetId="21" r:id="rId12"/>
    <sheet name="Ind Occ T1" sheetId="101" r:id="rId13"/>
    <sheet name="Ind Occ T2" sheetId="103" r:id="rId14"/>
    <sheet name="Occ T1" sheetId="16" r:id="rId15"/>
    <sheet name="Occ T2" sheetId="71" r:id="rId16"/>
    <sheet name="Occ T3" sheetId="18" r:id="rId17"/>
    <sheet name="Occ T4" sheetId="105" r:id="rId18"/>
    <sheet name="Occ T5" sheetId="109" r:id="rId19"/>
    <sheet name="Occ F1" sheetId="75" r:id="rId20"/>
    <sheet name="Occ F2" sheetId="76" r:id="rId21"/>
    <sheet name="Occ F3" sheetId="106" r:id="rId22"/>
    <sheet name="Occ F4" sheetId="107" r:id="rId23"/>
    <sheet name="Occ F5" sheetId="108" r:id="rId24"/>
    <sheet name="Qual T1" sheetId="44" r:id="rId25"/>
    <sheet name="Qual F1" sheetId="51" r:id="rId26"/>
    <sheet name="SummaryTable12" sheetId="62" state="veryHidden" r:id="rId27"/>
    <sheet name="ShiftShare T1" sheetId="80" r:id="rId28"/>
    <sheet name="RD T1" sheetId="49" r:id="rId29"/>
    <sheet name="RD F1" sheetId="31" r:id="rId30"/>
    <sheet name="Basic T1" sheetId="52" r:id="rId31"/>
    <sheet name="Basic T2" sheetId="78" r:id="rId32"/>
    <sheet name="Basic T3" sheetId="79" r:id="rId33"/>
    <sheet name="BasicTable5" sheetId="60" state="veryHidden" r:id="rId34"/>
    <sheet name="ShiftShare2" sheetId="83" state="veryHidden" r:id="rId35"/>
    <sheet name="SupplyBasicTable2" sheetId="93" state="veryHidden" r:id="rId36"/>
    <sheet name="name" sheetId="2" r:id="rId37"/>
    <sheet name="aggregation" sheetId="5" r:id="rId38"/>
    <sheet name="AggregationTables" sheetId="46" r:id="rId39"/>
  </sheets>
  <externalReferences>
    <externalReference r:id="rId40"/>
  </externalReferences>
  <definedNames>
    <definedName name="_Fill" localSheetId="33">#REF!</definedName>
    <definedName name="_Fill" localSheetId="13" hidden="1">#REF!</definedName>
    <definedName name="_Fill" localSheetId="34">#REF!</definedName>
    <definedName name="_Fill" localSheetId="26">#REF!</definedName>
    <definedName name="chart22" localSheetId="34">'[1]Chapter 2 - Charts'!$D$71:$N$108</definedName>
    <definedName name="chart31" localSheetId="34">'[1]Chapter 3 - Charts'!$D$27:$O$60</definedName>
    <definedName name="chart32" localSheetId="34">'[1]Chapter 3 - Charts'!$D$74:$O$106</definedName>
    <definedName name="chart33" localSheetId="34">'[1]Chapter 3 - Charts'!$D$117:$Z$153</definedName>
    <definedName name="chart34" localSheetId="34">'[1]Chapter 3 - Charts'!$D$598:$Y$629</definedName>
    <definedName name="Chart42" localSheetId="34">'[1]Chapter 4 - Charts'!$D$25:$N$62</definedName>
    <definedName name="Chart43" localSheetId="34">'[1]Chapter 4 - Charts'!$D$71:$N$108</definedName>
    <definedName name="Chart43_b" localSheetId="34">'[1]Chapter 4 - Charts'!$D$216:$N$260</definedName>
    <definedName name="Chart44" localSheetId="34">'[1]Chapter 4 - Charts'!$D$118:$N$155</definedName>
    <definedName name="Chart44_b" localSheetId="34">'[1]Chapter 4 - Charts'!$D$165:$N$209</definedName>
    <definedName name="Chart44_b_a" localSheetId="34">'[1]Chapter 4 - Charts'!$D$267:$N$311</definedName>
    <definedName name="Chart51" localSheetId="34">'[1]Chapter 5 - Charts'!$D$25:$N$62</definedName>
    <definedName name="Chart52" localSheetId="34">'[1]Chapter 5 - Charts'!$D$71:$N$108</definedName>
    <definedName name="Chart52_b" localSheetId="34">'[1]Chapter 5 - Charts'!$D$118:$N$153</definedName>
    <definedName name="Chart53" localSheetId="34">'[1]Chapter 5 - Charts'!$D$530:$N$567</definedName>
    <definedName name="Chart71" localSheetId="34">'[1]Chapter 7 - Charts'!$D$25:$N$60</definedName>
    <definedName name="Chart710" localSheetId="34">'[1]Chapter 7 - Charts'!$D$843:$N$878</definedName>
    <definedName name="Chart710_b" localSheetId="34">'[1]Chapter 7 - Charts'!$D$886:$N$921</definedName>
    <definedName name="Chart711" localSheetId="34">'[1]Chapter 7 - Charts'!$D$931:$N$966</definedName>
    <definedName name="Chart711_b" localSheetId="34">'[1]Chapter 7 - Charts'!$D$976:$N$1011</definedName>
    <definedName name="Chart712" localSheetId="34">'[1]Chapter 7 - Charts'!$D$1021:$N$1056</definedName>
    <definedName name="Chart712_b" localSheetId="34">'[1]Chapter 7 - Charts'!$D$1065:$N$1100</definedName>
    <definedName name="Chart712_c" localSheetId="34">'[1]Chapter 7 - Charts'!$D$1110:$N$1145</definedName>
    <definedName name="Chart72" localSheetId="34">'[1]Chapter 7 - Charts'!$D$67:$N$102</definedName>
    <definedName name="Chart75" localSheetId="34">'[1]Chapter 7 - Charts'!$D$454:$N$489</definedName>
    <definedName name="Chart76" localSheetId="34">'[1]Chapter 7 - Charts'!$D$366:$N$401</definedName>
    <definedName name="Chart76_b" localSheetId="34">'[1]Chapter 7 - Charts'!$D$499:$N$534</definedName>
    <definedName name="Chart77" localSheetId="34">'[1]Chapter 7 - Charts'!$D$410:$N$445</definedName>
    <definedName name="Chart77_b" localSheetId="34">'[1]Chapter 7 - Charts'!$D$543:$N$578</definedName>
    <definedName name="colourboard" localSheetId="34">[1]Contents!$I$6:$M$30</definedName>
    <definedName name="_xlnm.Print_Area" localSheetId="30">'Basic T1'!$A$1:$AN$101</definedName>
    <definedName name="_xlnm.Print_Area" localSheetId="31">'Basic T2'!$A$1:$CT$146</definedName>
    <definedName name="_xlnm.Print_Area" localSheetId="32">'Basic T3'!$A$1:$AG$35</definedName>
    <definedName name="_xlnm.Print_Area" localSheetId="33">BasicTable5!$1:$96</definedName>
    <definedName name="_xlnm.Print_Area" localSheetId="10">'Ind F1'!$A:$J</definedName>
    <definedName name="_xlnm.Print_Area" localSheetId="11">'Ind F2'!$A:$J</definedName>
    <definedName name="_xlnm.Print_Area" localSheetId="12">'Ind Occ T1'!$A$1:$L$393</definedName>
    <definedName name="_xlnm.Print_Area" localSheetId="13">'Ind Occ T2'!$A$1:$O$393</definedName>
    <definedName name="_xlnm.Print_Area" localSheetId="5">'Ind T1'!$A$1:$S$52</definedName>
    <definedName name="_xlnm.Print_Area" localSheetId="6">'Ind T2'!$A$1:$G$113</definedName>
    <definedName name="_xlnm.Print_Area" localSheetId="7">'Ind T4'!$A$1:$L$123</definedName>
    <definedName name="_xlnm.Print_Area" localSheetId="8">'Ind T5'!$A$1:$N$508</definedName>
    <definedName name="_xlnm.Print_Area" localSheetId="9">'Ind T6'!$A$1:$Y$199</definedName>
    <definedName name="_xlnm.Print_Area" localSheetId="3">Manager!$A$1:$O$18</definedName>
    <definedName name="_xlnm.Print_Area" localSheetId="19">'Occ F1'!$A$1:$K$185</definedName>
    <definedName name="_xlnm.Print_Area" localSheetId="20">'Occ F2'!$A:$J</definedName>
    <definedName name="_xlnm.Print_Area" localSheetId="21">'Occ F3'!$A$1:$S$29</definedName>
    <definedName name="_xlnm.Print_Area" localSheetId="22">'Occ F4'!$A$1:$J$38</definedName>
    <definedName name="_xlnm.Print_Area" localSheetId="23">'Occ F5'!$A$1:$J$116</definedName>
    <definedName name="_xlnm.Print_Area" localSheetId="14">'Occ T1'!$A$1:$AF$90</definedName>
    <definedName name="_xlnm.Print_Area" localSheetId="15">'Occ T2'!$A$1:$AG$180</definedName>
    <definedName name="_xlnm.Print_Area" localSheetId="16">'Occ T3'!$A$1:$L$103</definedName>
    <definedName name="_xlnm.Print_Area" localSheetId="17">'Occ T4'!$A$1:$U$37</definedName>
    <definedName name="_xlnm.Print_Area" localSheetId="18">'Occ T5'!$A$1:$AU$54</definedName>
    <definedName name="_xlnm.Print_Area" localSheetId="25">'Qual F1'!$A:$J</definedName>
    <definedName name="_xlnm.Print_Area" localSheetId="24">'Qual T1'!$A$1:$F$57</definedName>
    <definedName name="_xlnm.Print_Area" localSheetId="29">'RD F1'!$A:$N</definedName>
    <definedName name="_xlnm.Print_Area" localSheetId="28">'RD T1'!$A$1:$H$294,'RD T1'!$I$1:$O$117,'RD T1'!$P$1:$V$62,'RD T1'!$X$1:$AD$29</definedName>
    <definedName name="_xlnm.Print_Area" localSheetId="27">'ShiftShare T1'!$A$1:$R$71</definedName>
    <definedName name="_xlnm.Print_Titles" localSheetId="32">'Basic T3'!$A:$A</definedName>
    <definedName name="_xlnm.Print_Titles" localSheetId="26">SummaryTable12!$1:$6</definedName>
    <definedName name="thecontents" localSheetId="34">[1]Contents!$A$1:$N$1</definedName>
    <definedName name="Total79" localSheetId="34">'[1]Chapter 5 - Charts'!$AJ$75:$AJ$85</definedName>
    <definedName name="Total98" localSheetId="34">'[1]Chapter 5 - Charts'!$AK$75:$AK$85</definedName>
    <definedName name="wshNames">RIGHT(GET.WORKBOOK(1),LEN(GET.WORKBOOK(1))-FIND("]",GET.WORKBOOK(1)))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N51" i="76" l="1"/>
  <c r="O51" i="76"/>
  <c r="P51" i="76"/>
  <c r="Q51" i="76"/>
  <c r="R51" i="76"/>
  <c r="S51" i="76"/>
  <c r="T51" i="76"/>
  <c r="U51" i="76"/>
  <c r="V51" i="76"/>
  <c r="W51" i="76"/>
  <c r="X51" i="76"/>
  <c r="Y51" i="76"/>
  <c r="Z51" i="76"/>
  <c r="AA51" i="76"/>
  <c r="AB51" i="76"/>
  <c r="AC51" i="76"/>
  <c r="AD51" i="76"/>
  <c r="AE51" i="76"/>
  <c r="AF51" i="76"/>
  <c r="AG51" i="76"/>
  <c r="AH51" i="76"/>
  <c r="AI51" i="76"/>
  <c r="AJ51" i="76"/>
  <c r="AK51" i="76"/>
  <c r="AL51" i="76"/>
  <c r="M51" i="76"/>
  <c r="O9" i="105"/>
  <c r="O10" i="105"/>
  <c r="O11" i="105"/>
  <c r="O12" i="105"/>
  <c r="O13" i="105"/>
  <c r="O14" i="105"/>
  <c r="O15" i="105"/>
  <c r="O16" i="105"/>
  <c r="O17" i="105"/>
  <c r="O18" i="105"/>
  <c r="O19" i="105"/>
  <c r="O20" i="105"/>
  <c r="O21" i="105"/>
  <c r="O22" i="105"/>
  <c r="O23" i="105"/>
  <c r="O24" i="105"/>
  <c r="O25" i="105"/>
  <c r="O26" i="105"/>
  <c r="O27" i="105"/>
  <c r="O28" i="105"/>
  <c r="O29" i="105"/>
  <c r="O30" i="105"/>
  <c r="O31" i="105"/>
  <c r="O32" i="105"/>
  <c r="O33" i="105"/>
  <c r="O34" i="105"/>
  <c r="F91" i="12"/>
  <c r="F92" i="12"/>
  <c r="F93" i="12"/>
  <c r="F94" i="12"/>
  <c r="F95" i="12"/>
  <c r="F96" i="12"/>
  <c r="F97" i="12"/>
  <c r="F98" i="12"/>
  <c r="F99" i="12"/>
  <c r="F100" i="12"/>
  <c r="F101" i="12"/>
  <c r="F102" i="12"/>
  <c r="F103" i="12"/>
  <c r="F104" i="12"/>
  <c r="F105" i="12"/>
  <c r="F106" i="12"/>
  <c r="F107" i="12"/>
  <c r="F108" i="12"/>
  <c r="F109" i="12"/>
  <c r="F110" i="12"/>
  <c r="F111" i="12"/>
  <c r="F90" i="12"/>
  <c r="F89" i="12"/>
  <c r="F64" i="12"/>
  <c r="F65" i="12"/>
  <c r="F66" i="12"/>
  <c r="F67" i="12"/>
  <c r="F68" i="12"/>
  <c r="F69" i="12"/>
  <c r="F70" i="12"/>
  <c r="F71" i="12"/>
  <c r="F72" i="12"/>
  <c r="F73" i="12"/>
  <c r="F74" i="12"/>
  <c r="F75" i="12"/>
  <c r="F76" i="12"/>
  <c r="F77" i="12"/>
  <c r="F78" i="12"/>
  <c r="F79" i="12"/>
  <c r="F80" i="12"/>
  <c r="F81" i="12"/>
  <c r="F82" i="12"/>
  <c r="F83" i="12"/>
  <c r="F84" i="12"/>
  <c r="F63" i="12"/>
  <c r="F61" i="12"/>
  <c r="AL45" i="76"/>
  <c r="AK45" i="76"/>
  <c r="AJ45" i="76"/>
  <c r="AI45" i="76"/>
  <c r="AH45" i="76"/>
  <c r="AG45" i="76"/>
  <c r="AF45" i="76"/>
  <c r="AE45" i="76"/>
  <c r="AD45" i="76"/>
  <c r="AC45" i="76"/>
  <c r="AB45" i="76"/>
  <c r="AA45" i="76"/>
  <c r="Z45" i="76"/>
  <c r="Y45" i="76"/>
  <c r="X45" i="76"/>
  <c r="W45" i="76"/>
  <c r="V45" i="76"/>
  <c r="U45" i="76"/>
  <c r="T45" i="76"/>
  <c r="S45" i="76"/>
  <c r="R45" i="76"/>
  <c r="Q45" i="76"/>
  <c r="P45" i="76"/>
  <c r="O45" i="76"/>
  <c r="N45" i="76"/>
  <c r="M45" i="76"/>
  <c r="AL41" i="76"/>
  <c r="AK41" i="76"/>
  <c r="AJ41" i="76"/>
  <c r="AI41" i="76"/>
  <c r="AH41" i="76"/>
  <c r="AG41" i="76"/>
  <c r="AF41" i="76"/>
  <c r="AE41" i="76"/>
  <c r="AD41" i="76"/>
  <c r="AC41" i="76"/>
  <c r="AB41" i="76"/>
  <c r="AA41" i="76"/>
  <c r="Z41" i="76"/>
  <c r="Y41" i="76"/>
  <c r="X41" i="76"/>
  <c r="W41" i="76"/>
  <c r="V41" i="76"/>
  <c r="U41" i="76"/>
  <c r="T41" i="76"/>
  <c r="S41" i="76"/>
  <c r="R41" i="76"/>
  <c r="Q41" i="76"/>
  <c r="P41" i="76"/>
  <c r="O41" i="76"/>
  <c r="N41" i="76"/>
  <c r="M41" i="76"/>
  <c r="N37" i="76"/>
  <c r="O37" i="76"/>
  <c r="P37" i="76"/>
  <c r="Q37" i="76"/>
  <c r="R37" i="76"/>
  <c r="S37" i="76"/>
  <c r="T37" i="76"/>
  <c r="U37" i="76"/>
  <c r="V37" i="76"/>
  <c r="W37" i="76"/>
  <c r="X37" i="76"/>
  <c r="Y37" i="76"/>
  <c r="Z37" i="76"/>
  <c r="AA37" i="76"/>
  <c r="AB37" i="76"/>
  <c r="AC37" i="76"/>
  <c r="AD37" i="76"/>
  <c r="AE37" i="76"/>
  <c r="AF37" i="76"/>
  <c r="AG37" i="76"/>
  <c r="AH37" i="76"/>
  <c r="AI37" i="76"/>
  <c r="AJ37" i="76"/>
  <c r="AK37" i="76"/>
  <c r="AL37" i="76"/>
  <c r="M37" i="76"/>
  <c r="A1" i="52"/>
  <c r="X1" i="49"/>
  <c r="P1" i="49"/>
  <c r="I1" i="49"/>
  <c r="A1" i="49"/>
  <c r="AK1" i="80"/>
  <c r="W1" i="80"/>
  <c r="A51" i="51"/>
  <c r="Q1" i="109"/>
  <c r="A1" i="109"/>
  <c r="A1" i="105"/>
  <c r="A1" i="71"/>
  <c r="A1" i="103"/>
  <c r="A1" i="101"/>
  <c r="A1" i="102"/>
  <c r="A1" i="12"/>
  <c r="W46" i="109"/>
  <c r="AR5" i="109"/>
  <c r="AM5" i="109"/>
  <c r="AH5" i="109"/>
  <c r="AB5" i="109"/>
  <c r="W5" i="109"/>
  <c r="R5" i="109"/>
  <c r="B82" i="71"/>
  <c r="Q10" i="105"/>
  <c r="R10" i="105"/>
  <c r="Q11" i="105"/>
  <c r="R11" i="105"/>
  <c r="Q12" i="105"/>
  <c r="R12" i="105"/>
  <c r="Q13" i="105"/>
  <c r="R13" i="105"/>
  <c r="Q14" i="105"/>
  <c r="R14" i="105"/>
  <c r="Q15" i="105"/>
  <c r="R15" i="105"/>
  <c r="Q16" i="105"/>
  <c r="R16" i="105"/>
  <c r="Q17" i="105"/>
  <c r="R17" i="105"/>
  <c r="Q18" i="105"/>
  <c r="R18" i="105"/>
  <c r="Q19" i="105"/>
  <c r="R19" i="105"/>
  <c r="Q20" i="105"/>
  <c r="R20" i="105"/>
  <c r="Q21" i="105"/>
  <c r="R21" i="105"/>
  <c r="Q22" i="105"/>
  <c r="R22" i="105"/>
  <c r="Q23" i="105"/>
  <c r="R23" i="105"/>
  <c r="Q24" i="105"/>
  <c r="R24" i="105"/>
  <c r="Q25" i="105"/>
  <c r="R25" i="105"/>
  <c r="Q26" i="105"/>
  <c r="R26" i="105"/>
  <c r="Q27" i="105"/>
  <c r="R27" i="105"/>
  <c r="Q28" i="105"/>
  <c r="R28" i="105"/>
  <c r="Q29" i="105"/>
  <c r="R29" i="105"/>
  <c r="Q30" i="105"/>
  <c r="R30" i="105"/>
  <c r="Q31" i="105"/>
  <c r="R31" i="105"/>
  <c r="Q32" i="105"/>
  <c r="R32" i="105"/>
  <c r="Q33" i="105"/>
  <c r="R33" i="105"/>
  <c r="Q34" i="105"/>
  <c r="R34" i="105"/>
  <c r="R9" i="105"/>
  <c r="Q9" i="105"/>
  <c r="N9" i="105"/>
  <c r="N10" i="105"/>
  <c r="N11" i="105"/>
  <c r="N12" i="105"/>
  <c r="N13" i="105"/>
  <c r="N14" i="105"/>
  <c r="N15" i="105"/>
  <c r="N16" i="105"/>
  <c r="N17" i="105"/>
  <c r="N18" i="105"/>
  <c r="N19" i="105"/>
  <c r="N20" i="105"/>
  <c r="N21" i="105"/>
  <c r="N22" i="105"/>
  <c r="N23" i="105"/>
  <c r="N24" i="105"/>
  <c r="N25" i="105"/>
  <c r="N26" i="105"/>
  <c r="N27" i="105"/>
  <c r="N28" i="105"/>
  <c r="N29" i="105"/>
  <c r="N30" i="105"/>
  <c r="N31" i="105"/>
  <c r="N32" i="105"/>
  <c r="N33" i="105"/>
  <c r="N34" i="105"/>
  <c r="Y6" i="71"/>
  <c r="Z6" i="71"/>
  <c r="AA6" i="71"/>
  <c r="AB6" i="71"/>
  <c r="X6" i="71"/>
  <c r="W1" i="71" s="1"/>
  <c r="N6" i="71"/>
  <c r="O6" i="71"/>
  <c r="P6" i="71"/>
  <c r="Q6" i="71"/>
  <c r="M6" i="71"/>
  <c r="L1" i="71" s="1"/>
  <c r="AE33" i="71"/>
  <c r="S35" i="49"/>
  <c r="T35" i="49"/>
  <c r="U35" i="49"/>
  <c r="D267" i="49"/>
  <c r="E267" i="49"/>
  <c r="F267" i="49"/>
  <c r="D238" i="49"/>
  <c r="E238" i="49"/>
  <c r="F238" i="49"/>
  <c r="D209" i="49"/>
  <c r="E209" i="49"/>
  <c r="F209" i="49"/>
  <c r="D180" i="49"/>
  <c r="E180" i="49"/>
  <c r="F180" i="49"/>
  <c r="D151" i="49"/>
  <c r="E151" i="49"/>
  <c r="F151" i="49"/>
  <c r="D122" i="49"/>
  <c r="E122" i="49"/>
  <c r="F122" i="49"/>
  <c r="B93" i="49"/>
  <c r="B180" i="49" s="1"/>
  <c r="B267" i="49" s="1"/>
  <c r="C93" i="49"/>
  <c r="C180" i="49" s="1"/>
  <c r="C267" i="49" s="1"/>
  <c r="D93" i="49"/>
  <c r="E93" i="49"/>
  <c r="F93" i="49"/>
  <c r="B64" i="49"/>
  <c r="B151" i="49" s="1"/>
  <c r="B238" i="49" s="1"/>
  <c r="C64" i="49"/>
  <c r="C151" i="49" s="1"/>
  <c r="C238" i="49" s="1"/>
  <c r="E64" i="49"/>
  <c r="E35" i="49"/>
  <c r="B35" i="49"/>
  <c r="B122" i="49" s="1"/>
  <c r="B209" i="49" s="1"/>
  <c r="C35" i="49"/>
  <c r="C122" i="49" s="1"/>
  <c r="C209" i="49" s="1"/>
  <c r="E294" i="49"/>
  <c r="C294" i="49"/>
  <c r="B294" i="49"/>
  <c r="E265" i="49"/>
  <c r="C265" i="49"/>
  <c r="B265" i="49"/>
  <c r="E236" i="49"/>
  <c r="C236" i="49"/>
  <c r="B236" i="49"/>
  <c r="E207" i="49"/>
  <c r="C207" i="49"/>
  <c r="B207" i="49"/>
  <c r="E178" i="49"/>
  <c r="C178" i="49"/>
  <c r="B178" i="49"/>
  <c r="E149" i="49"/>
  <c r="C149" i="49"/>
  <c r="B149" i="49"/>
  <c r="E120" i="49"/>
  <c r="C120" i="49"/>
  <c r="B120" i="49"/>
  <c r="E91" i="49"/>
  <c r="C91" i="49"/>
  <c r="B91" i="49"/>
  <c r="AL33" i="21"/>
  <c r="AH33" i="21"/>
  <c r="AI33" i="21"/>
  <c r="AJ33" i="21"/>
  <c r="AK33" i="21"/>
  <c r="AH23" i="21"/>
  <c r="AI23" i="21"/>
  <c r="AJ23" i="21"/>
  <c r="AK23" i="21"/>
  <c r="AL23" i="21"/>
  <c r="AH18" i="21"/>
  <c r="AI18" i="21"/>
  <c r="AJ18" i="21"/>
  <c r="AK18" i="21"/>
  <c r="AL18" i="21"/>
  <c r="AH11" i="21"/>
  <c r="AI11" i="21"/>
  <c r="AJ11" i="21"/>
  <c r="AK11" i="21"/>
  <c r="AL11" i="21"/>
  <c r="AH5" i="21"/>
  <c r="AI5" i="21"/>
  <c r="AJ5" i="21"/>
  <c r="AK5" i="21"/>
  <c r="AL5" i="21"/>
  <c r="L163" i="75"/>
  <c r="L154" i="75"/>
  <c r="L155" i="75"/>
  <c r="L156" i="75"/>
  <c r="L157" i="75"/>
  <c r="L158" i="75"/>
  <c r="L159" i="75"/>
  <c r="L160" i="75"/>
  <c r="L161" i="75"/>
  <c r="L153" i="75"/>
  <c r="AG1" i="109" l="1"/>
  <c r="Q89" i="71"/>
  <c r="G120" i="49"/>
  <c r="G236" i="49"/>
  <c r="Z91" i="71"/>
  <c r="G149" i="49"/>
  <c r="G265" i="49"/>
  <c r="G207" i="49"/>
  <c r="G294" i="49"/>
  <c r="G91" i="49"/>
  <c r="G178" i="49"/>
  <c r="R35" i="49"/>
  <c r="Q35" i="49"/>
  <c r="AJ38" i="21"/>
  <c r="AI38" i="21"/>
  <c r="AL38" i="21"/>
  <c r="AK38" i="21"/>
  <c r="AH38" i="21"/>
  <c r="A33" i="79" l="1"/>
  <c r="B33" i="79"/>
  <c r="C33" i="79"/>
  <c r="D33" i="79"/>
  <c r="E33" i="79"/>
  <c r="F33" i="79"/>
  <c r="G33" i="79"/>
  <c r="H33" i="79"/>
  <c r="I33" i="79"/>
  <c r="J33" i="79"/>
  <c r="A144" i="78"/>
  <c r="W144" i="78" s="1"/>
  <c r="AS144" i="78" s="1"/>
  <c r="BO144" i="78" s="1"/>
  <c r="CK144" i="78" s="1"/>
  <c r="B144" i="78"/>
  <c r="C144" i="78"/>
  <c r="D144" i="78"/>
  <c r="E144" i="78"/>
  <c r="F144" i="78"/>
  <c r="M144" i="78"/>
  <c r="N144" i="78"/>
  <c r="O144" i="78"/>
  <c r="P144" i="78"/>
  <c r="Q144" i="78"/>
  <c r="X144" i="78"/>
  <c r="Y144" i="78"/>
  <c r="Z144" i="78"/>
  <c r="AA144" i="78"/>
  <c r="AB144" i="78"/>
  <c r="AI144" i="78"/>
  <c r="AJ144" i="78"/>
  <c r="AK144" i="78"/>
  <c r="AL144" i="78"/>
  <c r="AM144" i="78"/>
  <c r="AT144" i="78"/>
  <c r="AU144" i="78"/>
  <c r="AV144" i="78"/>
  <c r="AW144" i="78"/>
  <c r="AX144" i="78"/>
  <c r="BE144" i="78"/>
  <c r="BF144" i="78"/>
  <c r="BG144" i="78"/>
  <c r="BH144" i="78"/>
  <c r="BI144" i="78"/>
  <c r="BP144" i="78"/>
  <c r="BQ144" i="78"/>
  <c r="BR144" i="78"/>
  <c r="BS144" i="78"/>
  <c r="BT144" i="78"/>
  <c r="CA144" i="78"/>
  <c r="CB144" i="78"/>
  <c r="CC144" i="78"/>
  <c r="CD144" i="78"/>
  <c r="CE144" i="78"/>
  <c r="CL144" i="78"/>
  <c r="CM144" i="78"/>
  <c r="CN144" i="78"/>
  <c r="CO144" i="78"/>
  <c r="CP144" i="78"/>
  <c r="B107" i="78"/>
  <c r="C107" i="78"/>
  <c r="D107" i="78"/>
  <c r="E107" i="78"/>
  <c r="F107" i="78"/>
  <c r="CP35" i="78"/>
  <c r="CP70" i="78" s="1"/>
  <c r="CO35" i="78"/>
  <c r="CO70" i="78" s="1"/>
  <c r="CN35" i="78"/>
  <c r="CN70" i="78" s="1"/>
  <c r="CM35" i="78"/>
  <c r="CM70" i="78" s="1"/>
  <c r="CL35" i="78"/>
  <c r="CL70" i="78" s="1"/>
  <c r="CE35" i="78"/>
  <c r="CE70" i="78" s="1"/>
  <c r="CD35" i="78"/>
  <c r="CD70" i="78" s="1"/>
  <c r="CC35" i="78"/>
  <c r="CC70" i="78" s="1"/>
  <c r="CB35" i="78"/>
  <c r="CB70" i="78" s="1"/>
  <c r="CA35" i="78"/>
  <c r="CA70" i="78" s="1"/>
  <c r="BT35" i="78"/>
  <c r="BT70" i="78" s="1"/>
  <c r="BS35" i="78"/>
  <c r="BS70" i="78" s="1"/>
  <c r="BR35" i="78"/>
  <c r="BR70" i="78" s="1"/>
  <c r="BQ35" i="78"/>
  <c r="BQ70" i="78" s="1"/>
  <c r="BP35" i="78"/>
  <c r="BP70" i="78" s="1"/>
  <c r="BI35" i="78"/>
  <c r="BI70" i="78" s="1"/>
  <c r="BH35" i="78"/>
  <c r="BH70" i="78" s="1"/>
  <c r="BG35" i="78"/>
  <c r="BG70" i="78" s="1"/>
  <c r="BF35" i="78"/>
  <c r="BF70" i="78" s="1"/>
  <c r="BE35" i="78"/>
  <c r="BE70" i="78" s="1"/>
  <c r="AX35" i="78"/>
  <c r="AX70" i="78" s="1"/>
  <c r="AW35" i="78"/>
  <c r="AW70" i="78" s="1"/>
  <c r="AV35" i="78"/>
  <c r="AV70" i="78" s="1"/>
  <c r="AU35" i="78"/>
  <c r="AU70" i="78" s="1"/>
  <c r="AT35" i="78"/>
  <c r="AT70" i="78" s="1"/>
  <c r="AM35" i="78"/>
  <c r="AM70" i="78" s="1"/>
  <c r="AL35" i="78"/>
  <c r="AL70" i="78" s="1"/>
  <c r="AK35" i="78"/>
  <c r="AK70" i="78" s="1"/>
  <c r="AJ35" i="78"/>
  <c r="AJ70" i="78" s="1"/>
  <c r="AI35" i="78"/>
  <c r="AI70" i="78" s="1"/>
  <c r="AB35" i="78"/>
  <c r="AB70" i="78" s="1"/>
  <c r="AA35" i="78"/>
  <c r="AA70" i="78" s="1"/>
  <c r="Z35" i="78"/>
  <c r="Z70" i="78" s="1"/>
  <c r="Y35" i="78"/>
  <c r="Y70" i="78" s="1"/>
  <c r="X35" i="78"/>
  <c r="X70" i="78" s="1"/>
  <c r="Q35" i="78"/>
  <c r="Q70" i="78" s="1"/>
  <c r="P35" i="78"/>
  <c r="P70" i="78" s="1"/>
  <c r="O35" i="78"/>
  <c r="O70" i="78" s="1"/>
  <c r="N35" i="78"/>
  <c r="N70" i="78" s="1"/>
  <c r="M35" i="78"/>
  <c r="M70" i="78" s="1"/>
  <c r="C35" i="78"/>
  <c r="C70" i="78" s="1"/>
  <c r="D35" i="78"/>
  <c r="E35" i="78"/>
  <c r="E70" i="78" s="1"/>
  <c r="F35" i="78"/>
  <c r="F70" i="78" s="1"/>
  <c r="B35" i="78"/>
  <c r="B72" i="78" s="1"/>
  <c r="A33" i="78"/>
  <c r="W33" i="78" s="1"/>
  <c r="AS33" i="78" s="1"/>
  <c r="BO33" i="78" s="1"/>
  <c r="CK33" i="78" s="1"/>
  <c r="H33" i="78"/>
  <c r="H70" i="78" s="1"/>
  <c r="H107" i="78" s="1"/>
  <c r="I33" i="78"/>
  <c r="I70" i="78" s="1"/>
  <c r="S33" i="78"/>
  <c r="S70" i="78" s="1"/>
  <c r="S107" i="78" s="1"/>
  <c r="T33" i="78"/>
  <c r="T70" i="78" s="1"/>
  <c r="AD33" i="78"/>
  <c r="AD70" i="78" s="1"/>
  <c r="AD107" i="78" s="1"/>
  <c r="AE33" i="78"/>
  <c r="AE70" i="78" s="1"/>
  <c r="AO33" i="78"/>
  <c r="AO70" i="78" s="1"/>
  <c r="AO107" i="78" s="1"/>
  <c r="AP33" i="78"/>
  <c r="AP70" i="78" s="1"/>
  <c r="AZ33" i="78"/>
  <c r="BA33" i="78"/>
  <c r="BA70" i="78" s="1"/>
  <c r="BK33" i="78"/>
  <c r="BK70" i="78" s="1"/>
  <c r="BK107" i="78" s="1"/>
  <c r="BL33" i="78"/>
  <c r="BL70" i="78" s="1"/>
  <c r="BV33" i="78"/>
  <c r="BV70" i="78" s="1"/>
  <c r="BV107" i="78" s="1"/>
  <c r="BW33" i="78"/>
  <c r="BW70" i="78" s="1"/>
  <c r="CG33" i="78"/>
  <c r="CG70" i="78" s="1"/>
  <c r="CG107" i="78" s="1"/>
  <c r="CH33" i="78"/>
  <c r="CH70" i="78" s="1"/>
  <c r="CR33" i="78"/>
  <c r="CR70" i="78" s="1"/>
  <c r="CR107" i="78" s="1"/>
  <c r="CS33" i="78"/>
  <c r="CS70" i="78" s="1"/>
  <c r="T33" i="71"/>
  <c r="O62" i="31"/>
  <c r="T62" i="49"/>
  <c r="R62" i="49"/>
  <c r="Q62" i="49"/>
  <c r="P61" i="49"/>
  <c r="S61" i="49"/>
  <c r="U61" i="49" s="1"/>
  <c r="V61" i="49"/>
  <c r="T33" i="49"/>
  <c r="R33" i="49"/>
  <c r="Q33" i="49"/>
  <c r="P32" i="49"/>
  <c r="S32" i="49"/>
  <c r="U32" i="49" s="1"/>
  <c r="V32" i="49"/>
  <c r="M107" i="49" a="1"/>
  <c r="M108" i="49" s="1"/>
  <c r="K107" i="49" a="1"/>
  <c r="K107" i="49" s="1"/>
  <c r="J107" i="49" a="1"/>
  <c r="J107" i="49" s="1"/>
  <c r="M96" i="49" a="1"/>
  <c r="M96" i="49" s="1"/>
  <c r="K96" i="49" a="1"/>
  <c r="K96" i="49" s="1"/>
  <c r="J96" i="49" a="1"/>
  <c r="J97" i="49" s="1"/>
  <c r="M85" i="49" a="1"/>
  <c r="M85" i="49" s="1"/>
  <c r="K85" i="49" a="1"/>
  <c r="K86" i="49" s="1"/>
  <c r="J85" i="49" a="1"/>
  <c r="J86" i="49" s="1"/>
  <c r="M74" i="49" a="1"/>
  <c r="M74" i="49" s="1"/>
  <c r="K74" i="49" a="1"/>
  <c r="K74" i="49" s="1"/>
  <c r="J74" i="49" a="1"/>
  <c r="J74" i="49" s="1"/>
  <c r="M63" i="49" a="1"/>
  <c r="M63" i="49" s="1"/>
  <c r="K63" i="49" a="1"/>
  <c r="K64" i="49" s="1"/>
  <c r="J63" i="49" a="1"/>
  <c r="J63" i="49" s="1"/>
  <c r="M52" i="49" a="1"/>
  <c r="M53" i="49" s="1"/>
  <c r="K52" i="49" a="1"/>
  <c r="K52" i="49" s="1"/>
  <c r="J52" i="49" a="1"/>
  <c r="J52" i="49" s="1"/>
  <c r="M41" i="49" a="1"/>
  <c r="M41" i="49" s="1"/>
  <c r="K41" i="49" a="1"/>
  <c r="K41" i="49" s="1"/>
  <c r="J41" i="49" a="1"/>
  <c r="J41" i="49" s="1"/>
  <c r="M30" i="49" a="1"/>
  <c r="M30" i="49" s="1"/>
  <c r="K30" i="49" a="1"/>
  <c r="K30" i="49" s="1"/>
  <c r="J30" i="49" a="1"/>
  <c r="J30" i="49" s="1"/>
  <c r="M19" i="49" a="1"/>
  <c r="M20" i="49" s="1"/>
  <c r="K19" i="49" a="1"/>
  <c r="K21" i="49" s="1"/>
  <c r="J19" i="49" a="1"/>
  <c r="J19" i="49" s="1"/>
  <c r="B32" i="49"/>
  <c r="C32" i="49"/>
  <c r="E32" i="49"/>
  <c r="I33" i="71" s="1"/>
  <c r="I107" i="71" s="1"/>
  <c r="C31" i="49"/>
  <c r="E31" i="49"/>
  <c r="C62" i="49"/>
  <c r="C33" i="49" s="1"/>
  <c r="E62" i="49"/>
  <c r="B62" i="49"/>
  <c r="D61" i="49"/>
  <c r="F61" i="49" s="1"/>
  <c r="G61" i="49"/>
  <c r="G119" i="49"/>
  <c r="D90" i="49"/>
  <c r="F90" i="49" s="1"/>
  <c r="G90" i="49"/>
  <c r="D119" i="49"/>
  <c r="F119" i="49" s="1"/>
  <c r="D148" i="49"/>
  <c r="F148" i="49" s="1"/>
  <c r="G148" i="49"/>
  <c r="G177" i="49"/>
  <c r="D177" i="49"/>
  <c r="F177" i="49" s="1"/>
  <c r="D206" i="49"/>
  <c r="F206" i="49" s="1"/>
  <c r="G206" i="49"/>
  <c r="D235" i="49"/>
  <c r="F235" i="49" s="1"/>
  <c r="G235" i="49"/>
  <c r="D264" i="49"/>
  <c r="F264" i="49" s="1"/>
  <c r="G264" i="49"/>
  <c r="D293" i="49"/>
  <c r="F293" i="49" s="1"/>
  <c r="G293" i="49"/>
  <c r="A32" i="49"/>
  <c r="A119" i="49" s="1"/>
  <c r="A206" i="49" s="1"/>
  <c r="A293" i="49" s="1"/>
  <c r="E71" i="80"/>
  <c r="F69" i="80" s="1"/>
  <c r="B71" i="80"/>
  <c r="C69" i="80" s="1"/>
  <c r="A69" i="80"/>
  <c r="H69" i="80"/>
  <c r="I69" i="80"/>
  <c r="R69" i="80"/>
  <c r="I33" i="80"/>
  <c r="E35" i="80"/>
  <c r="F33" i="80" s="1"/>
  <c r="B35" i="80"/>
  <c r="C33" i="80" s="1"/>
  <c r="A33" i="80"/>
  <c r="H33" i="80"/>
  <c r="R33" i="80"/>
  <c r="M2" i="51"/>
  <c r="AE32" i="76"/>
  <c r="AF32" i="76"/>
  <c r="AG32" i="76"/>
  <c r="AH32" i="76"/>
  <c r="AI32" i="76"/>
  <c r="AJ32" i="76"/>
  <c r="AK32" i="76"/>
  <c r="AL32" i="76"/>
  <c r="AE26" i="76"/>
  <c r="AF26" i="76"/>
  <c r="AG26" i="76"/>
  <c r="AH26" i="76"/>
  <c r="AI26" i="76"/>
  <c r="AJ26" i="76"/>
  <c r="AK26" i="76"/>
  <c r="AL26" i="76"/>
  <c r="AE22" i="76"/>
  <c r="AF22" i="76"/>
  <c r="AG22" i="76"/>
  <c r="AH22" i="76"/>
  <c r="AI22" i="76"/>
  <c r="AJ22" i="76"/>
  <c r="AK22" i="76"/>
  <c r="AL22" i="76"/>
  <c r="AE15" i="76"/>
  <c r="AF15" i="76"/>
  <c r="AG15" i="76"/>
  <c r="AH15" i="76"/>
  <c r="AI15" i="76"/>
  <c r="AJ15" i="76"/>
  <c r="AK15" i="76"/>
  <c r="AL15" i="76"/>
  <c r="AE9" i="76"/>
  <c r="AF9" i="76"/>
  <c r="AG9" i="76"/>
  <c r="AH9" i="76"/>
  <c r="AI9" i="76"/>
  <c r="AJ9" i="76"/>
  <c r="AK9" i="76"/>
  <c r="AL9" i="76"/>
  <c r="M2" i="76"/>
  <c r="AE5" i="76"/>
  <c r="AF5" i="76"/>
  <c r="AG5" i="76"/>
  <c r="AH5" i="76"/>
  <c r="AI5" i="76"/>
  <c r="AJ5" i="76"/>
  <c r="AK5" i="76"/>
  <c r="AL5" i="76"/>
  <c r="L82" i="76"/>
  <c r="M32" i="76"/>
  <c r="N32" i="76"/>
  <c r="O32" i="76"/>
  <c r="P32" i="76"/>
  <c r="Q32" i="76"/>
  <c r="R32" i="76"/>
  <c r="S32" i="76"/>
  <c r="T32" i="76"/>
  <c r="U32" i="76"/>
  <c r="V32" i="76"/>
  <c r="W32" i="76"/>
  <c r="X32" i="76"/>
  <c r="Y32" i="76"/>
  <c r="Z32" i="76"/>
  <c r="AA32" i="76"/>
  <c r="AB32" i="76"/>
  <c r="AC32" i="76"/>
  <c r="AD32" i="76"/>
  <c r="L35" i="76"/>
  <c r="L107" i="75"/>
  <c r="M107" i="75"/>
  <c r="L21" i="75"/>
  <c r="K36" i="105"/>
  <c r="J36" i="105"/>
  <c r="G36" i="105"/>
  <c r="F36" i="105"/>
  <c r="O36" i="105" s="1"/>
  <c r="C36" i="105"/>
  <c r="B36" i="105"/>
  <c r="A34" i="105"/>
  <c r="D34" i="105"/>
  <c r="H34" i="105"/>
  <c r="L34" i="105"/>
  <c r="A89" i="18"/>
  <c r="AB8" i="16" a="1"/>
  <c r="AB10" i="16" s="1"/>
  <c r="AA8" i="16" a="1"/>
  <c r="AA10" i="16" s="1"/>
  <c r="Z8" i="16" a="1"/>
  <c r="Z10" i="16" s="1"/>
  <c r="Y8" i="16" a="1"/>
  <c r="Y10" i="16" s="1"/>
  <c r="X8" i="16" a="1"/>
  <c r="X10" i="16" s="1"/>
  <c r="Q8" i="16" a="1"/>
  <c r="Q11" i="16" s="1"/>
  <c r="P8" i="16" a="1"/>
  <c r="P8" i="16" s="1"/>
  <c r="O8" i="16" a="1"/>
  <c r="O10" i="16" s="1"/>
  <c r="N8" i="16" a="1"/>
  <c r="N8" i="16" s="1"/>
  <c r="M8" i="16" a="1"/>
  <c r="M10" i="16" s="1"/>
  <c r="F8" i="16" a="1"/>
  <c r="F9" i="16" s="1"/>
  <c r="E8" i="16" a="1"/>
  <c r="E10" i="16" s="1"/>
  <c r="D8" i="16" a="1"/>
  <c r="D8" i="16" s="1"/>
  <c r="C8" i="16" a="1"/>
  <c r="C10" i="16" s="1"/>
  <c r="B8" i="16" a="1"/>
  <c r="B8" i="16" s="1"/>
  <c r="B49" i="18"/>
  <c r="C49" i="18"/>
  <c r="D49" i="18"/>
  <c r="E49" i="18"/>
  <c r="F49" i="18"/>
  <c r="C48" i="18"/>
  <c r="D48" i="18"/>
  <c r="E48" i="18"/>
  <c r="F48" i="18"/>
  <c r="B48" i="18"/>
  <c r="A49" i="18"/>
  <c r="A48" i="18"/>
  <c r="B45" i="18"/>
  <c r="C45" i="18"/>
  <c r="D45" i="18"/>
  <c r="E45" i="18"/>
  <c r="F45" i="18"/>
  <c r="C44" i="18"/>
  <c r="D44" i="18"/>
  <c r="E44" i="18"/>
  <c r="F44" i="18"/>
  <c r="B44" i="18"/>
  <c r="A45" i="18"/>
  <c r="A44" i="18"/>
  <c r="C41" i="18"/>
  <c r="D41" i="18"/>
  <c r="E41" i="18"/>
  <c r="F41" i="18"/>
  <c r="B41" i="18"/>
  <c r="C40" i="18"/>
  <c r="D40" i="18"/>
  <c r="E40" i="18"/>
  <c r="F40" i="18"/>
  <c r="B40" i="18"/>
  <c r="A41" i="18"/>
  <c r="A40" i="18"/>
  <c r="B36" i="18"/>
  <c r="B37" i="18"/>
  <c r="C37" i="18"/>
  <c r="D37" i="18"/>
  <c r="E37" i="18"/>
  <c r="F37" i="18"/>
  <c r="A37" i="18"/>
  <c r="A178" i="71"/>
  <c r="B178" i="71"/>
  <c r="C178" i="71"/>
  <c r="D178" i="71"/>
  <c r="E178" i="71"/>
  <c r="F178" i="71"/>
  <c r="L178" i="71"/>
  <c r="M178" i="71"/>
  <c r="N178" i="71"/>
  <c r="O178" i="71"/>
  <c r="P178" i="71"/>
  <c r="Q178" i="71"/>
  <c r="W178" i="71"/>
  <c r="X178" i="71"/>
  <c r="Y178" i="71"/>
  <c r="Z178" i="71"/>
  <c r="AA178" i="71"/>
  <c r="AB178" i="71"/>
  <c r="X144" i="71"/>
  <c r="Y144" i="71"/>
  <c r="Z144" i="71"/>
  <c r="AA144" i="71"/>
  <c r="AB144" i="71"/>
  <c r="M144" i="71"/>
  <c r="N144" i="71"/>
  <c r="O144" i="71"/>
  <c r="P144" i="71"/>
  <c r="Q144" i="71"/>
  <c r="B144" i="71"/>
  <c r="C144" i="71"/>
  <c r="D144" i="71"/>
  <c r="E144" i="71"/>
  <c r="F144" i="71"/>
  <c r="N107" i="75" s="1"/>
  <c r="B107" i="71"/>
  <c r="C107" i="71"/>
  <c r="D107" i="71"/>
  <c r="E107" i="71"/>
  <c r="F107" i="71"/>
  <c r="M107" i="71"/>
  <c r="N107" i="71"/>
  <c r="O107" i="71"/>
  <c r="P107" i="71"/>
  <c r="Q107" i="71"/>
  <c r="X107" i="71"/>
  <c r="Y107" i="71"/>
  <c r="Z107" i="71"/>
  <c r="AA107" i="71"/>
  <c r="AB107" i="71"/>
  <c r="AB35" i="71"/>
  <c r="AB70" i="71" s="1"/>
  <c r="AA35" i="71"/>
  <c r="AA70" i="71" s="1"/>
  <c r="Z35" i="71"/>
  <c r="Z70" i="71" s="1"/>
  <c r="Y35" i="71"/>
  <c r="Y70" i="71" s="1"/>
  <c r="X35" i="71"/>
  <c r="X70" i="71" s="1"/>
  <c r="W33" i="71"/>
  <c r="W70" i="71" s="1"/>
  <c r="AD33" i="71"/>
  <c r="Q35" i="71"/>
  <c r="P35" i="71"/>
  <c r="P70" i="71" s="1"/>
  <c r="O35" i="71"/>
  <c r="O70" i="71" s="1"/>
  <c r="N35" i="71"/>
  <c r="N70" i="71" s="1"/>
  <c r="M35" i="71"/>
  <c r="M70" i="71" s="1"/>
  <c r="S33" i="71"/>
  <c r="L33" i="71"/>
  <c r="L70" i="71" s="1"/>
  <c r="F35" i="71"/>
  <c r="E35" i="71"/>
  <c r="E70" i="71" s="1"/>
  <c r="D35" i="71"/>
  <c r="C35" i="71"/>
  <c r="C70" i="71" s="1"/>
  <c r="B35" i="71"/>
  <c r="B70" i="71" s="1"/>
  <c r="H33" i="71"/>
  <c r="H70" i="71" s="1"/>
  <c r="H107" i="71" s="1"/>
  <c r="A33" i="71"/>
  <c r="A70" i="71" s="1"/>
  <c r="A11" i="5"/>
  <c r="AB29" i="49"/>
  <c r="Q36" i="105" l="1"/>
  <c r="K37" i="18"/>
  <c r="U34" i="105"/>
  <c r="N36" i="105"/>
  <c r="AI49" i="76"/>
  <c r="AI88" i="76" s="1"/>
  <c r="S33" i="49"/>
  <c r="U33" i="49" s="1"/>
  <c r="R36" i="105"/>
  <c r="T34" i="105"/>
  <c r="M153" i="75"/>
  <c r="K93" i="49"/>
  <c r="M64" i="49"/>
  <c r="H35" i="71"/>
  <c r="H72" i="71" s="1"/>
  <c r="M70" i="49"/>
  <c r="K69" i="80"/>
  <c r="L69" i="80" s="1"/>
  <c r="M109" i="75"/>
  <c r="J100" i="49"/>
  <c r="J34" i="49"/>
  <c r="G32" i="49"/>
  <c r="C35" i="80"/>
  <c r="B146" i="78"/>
  <c r="K33" i="79"/>
  <c r="AF33" i="79" s="1"/>
  <c r="AE49" i="76"/>
  <c r="AE56" i="76" s="1"/>
  <c r="AK49" i="76"/>
  <c r="AK73" i="76" s="1"/>
  <c r="AJ49" i="76"/>
  <c r="AJ56" i="76" s="1"/>
  <c r="AH49" i="76"/>
  <c r="AH79" i="76" s="1"/>
  <c r="AG49" i="76"/>
  <c r="AG73" i="76" s="1"/>
  <c r="AF49" i="76"/>
  <c r="AL49" i="76"/>
  <c r="AL52" i="76" s="1"/>
  <c r="S35" i="71"/>
  <c r="J33" i="71"/>
  <c r="H37" i="18"/>
  <c r="P62" i="31"/>
  <c r="L144" i="78"/>
  <c r="AH144" i="78" s="1"/>
  <c r="BD144" i="78" s="1"/>
  <c r="BZ144" i="78" s="1"/>
  <c r="BB33" i="78"/>
  <c r="BB70" i="78" s="1"/>
  <c r="BB107" i="78" s="1"/>
  <c r="A107" i="78"/>
  <c r="L107" i="78" s="1"/>
  <c r="AH107" i="78" s="1"/>
  <c r="BD107" i="78" s="1"/>
  <c r="BZ107" i="78" s="1"/>
  <c r="B109" i="78"/>
  <c r="CS107" i="78"/>
  <c r="CH107" i="78"/>
  <c r="BW107" i="78"/>
  <c r="BL107" i="78"/>
  <c r="BA107" i="78"/>
  <c r="AP107" i="78"/>
  <c r="AE107" i="78"/>
  <c r="T107" i="78"/>
  <c r="I107" i="78"/>
  <c r="D70" i="78"/>
  <c r="B70" i="78"/>
  <c r="A70" i="78"/>
  <c r="L70" i="78" s="1"/>
  <c r="AH70" i="78" s="1"/>
  <c r="BD70" i="78" s="1"/>
  <c r="BZ70" i="78" s="1"/>
  <c r="AZ70" i="78"/>
  <c r="AZ107" i="78" s="1"/>
  <c r="U33" i="78"/>
  <c r="U70" i="78" s="1"/>
  <c r="U107" i="78" s="1"/>
  <c r="CI33" i="78"/>
  <c r="CI70" i="78" s="1"/>
  <c r="CI107" i="78" s="1"/>
  <c r="L33" i="78"/>
  <c r="AH33" i="78" s="1"/>
  <c r="BD33" i="78" s="1"/>
  <c r="BZ33" i="78" s="1"/>
  <c r="BX33" i="78"/>
  <c r="BX70" i="78" s="1"/>
  <c r="BX107" i="78" s="1"/>
  <c r="AQ33" i="78"/>
  <c r="AQ70" i="78" s="1"/>
  <c r="AQ107" i="78" s="1"/>
  <c r="J33" i="78"/>
  <c r="J70" i="78" s="1"/>
  <c r="J107" i="78" s="1"/>
  <c r="AF33" i="78"/>
  <c r="AF70" i="78" s="1"/>
  <c r="AF107" i="78" s="1"/>
  <c r="CT33" i="78"/>
  <c r="CT70" i="78" s="1"/>
  <c r="CT107" i="78" s="1"/>
  <c r="BM33" i="78"/>
  <c r="BM70" i="78" s="1"/>
  <c r="BM107" i="78" s="1"/>
  <c r="K65" i="49"/>
  <c r="A90" i="49"/>
  <c r="A177" i="49" s="1"/>
  <c r="A264" i="49" s="1"/>
  <c r="M92" i="49"/>
  <c r="K114" i="49"/>
  <c r="K81" i="49"/>
  <c r="J104" i="49"/>
  <c r="M110" i="49"/>
  <c r="F32" i="49"/>
  <c r="A61" i="49"/>
  <c r="A148" i="49" s="1"/>
  <c r="A235" i="49" s="1"/>
  <c r="J37" i="49"/>
  <c r="K63" i="49"/>
  <c r="M68" i="49"/>
  <c r="M91" i="49"/>
  <c r="J103" i="49"/>
  <c r="M107" i="49"/>
  <c r="M27" i="49"/>
  <c r="M37" i="49"/>
  <c r="M81" i="49"/>
  <c r="K92" i="49"/>
  <c r="J96" i="49"/>
  <c r="M26" i="49"/>
  <c r="K37" i="49"/>
  <c r="K90" i="49"/>
  <c r="M103" i="49"/>
  <c r="D32" i="49"/>
  <c r="M21" i="49"/>
  <c r="K36" i="49"/>
  <c r="K85" i="49"/>
  <c r="K103" i="49"/>
  <c r="M102" i="49"/>
  <c r="K112" i="49"/>
  <c r="M115" i="49"/>
  <c r="J26" i="49"/>
  <c r="M19" i="49"/>
  <c r="K34" i="49"/>
  <c r="K71" i="49"/>
  <c r="J81" i="49"/>
  <c r="K102" i="49"/>
  <c r="K108" i="49"/>
  <c r="M114" i="49"/>
  <c r="J25" i="49"/>
  <c r="K70" i="49"/>
  <c r="K99" i="49"/>
  <c r="M111" i="49"/>
  <c r="M113" i="49"/>
  <c r="M112" i="49"/>
  <c r="M109" i="49"/>
  <c r="K113" i="49"/>
  <c r="K111" i="49"/>
  <c r="K110" i="49"/>
  <c r="K109" i="49"/>
  <c r="K115" i="49"/>
  <c r="J114" i="49"/>
  <c r="J113" i="49"/>
  <c r="J112" i="49"/>
  <c r="J111" i="49"/>
  <c r="J110" i="49"/>
  <c r="J109" i="49"/>
  <c r="J108" i="49"/>
  <c r="J115" i="49"/>
  <c r="M101" i="49"/>
  <c r="M100" i="49"/>
  <c r="M99" i="49"/>
  <c r="M98" i="49"/>
  <c r="M97" i="49"/>
  <c r="M104" i="49"/>
  <c r="K101" i="49"/>
  <c r="K100" i="49"/>
  <c r="K98" i="49"/>
  <c r="K97" i="49"/>
  <c r="K104" i="49"/>
  <c r="J102" i="49"/>
  <c r="J101" i="49"/>
  <c r="J99" i="49"/>
  <c r="J98" i="49"/>
  <c r="M90" i="49"/>
  <c r="M89" i="49"/>
  <c r="M88" i="49"/>
  <c r="M87" i="49"/>
  <c r="M86" i="49"/>
  <c r="M93" i="49"/>
  <c r="K91" i="49"/>
  <c r="K89" i="49"/>
  <c r="K88" i="49"/>
  <c r="K87" i="49"/>
  <c r="J91" i="49"/>
  <c r="J93" i="49"/>
  <c r="J85" i="49"/>
  <c r="J92" i="49"/>
  <c r="J90" i="49"/>
  <c r="J88" i="49"/>
  <c r="J87" i="49"/>
  <c r="J89" i="49"/>
  <c r="M80" i="49"/>
  <c r="M79" i="49"/>
  <c r="M78" i="49"/>
  <c r="M77" i="49"/>
  <c r="M76" i="49"/>
  <c r="M75" i="49"/>
  <c r="M82" i="49"/>
  <c r="K80" i="49"/>
  <c r="K79" i="49"/>
  <c r="K78" i="49"/>
  <c r="K77" i="49"/>
  <c r="K76" i="49"/>
  <c r="K75" i="49"/>
  <c r="K82" i="49"/>
  <c r="J80" i="49"/>
  <c r="J79" i="49"/>
  <c r="J78" i="49"/>
  <c r="J77" i="49"/>
  <c r="J76" i="49"/>
  <c r="J75" i="49"/>
  <c r="J82" i="49"/>
  <c r="M69" i="49"/>
  <c r="M67" i="49"/>
  <c r="M66" i="49"/>
  <c r="M65" i="49"/>
  <c r="M71" i="49"/>
  <c r="K69" i="49"/>
  <c r="K68" i="49"/>
  <c r="K67" i="49"/>
  <c r="K66" i="49"/>
  <c r="J69" i="49"/>
  <c r="J70" i="49"/>
  <c r="J68" i="49"/>
  <c r="J67" i="49"/>
  <c r="J66" i="49"/>
  <c r="J65" i="49"/>
  <c r="J64" i="49"/>
  <c r="J71" i="49"/>
  <c r="M58" i="49"/>
  <c r="M52" i="49"/>
  <c r="M59" i="49"/>
  <c r="M57" i="49"/>
  <c r="M56" i="49"/>
  <c r="M55" i="49"/>
  <c r="M54" i="49"/>
  <c r="M60" i="49"/>
  <c r="K58" i="49"/>
  <c r="K59" i="49"/>
  <c r="K57" i="49"/>
  <c r="K56" i="49"/>
  <c r="K54" i="49"/>
  <c r="K55" i="49"/>
  <c r="K53" i="49"/>
  <c r="K60" i="49"/>
  <c r="J58" i="49"/>
  <c r="J59" i="49"/>
  <c r="J57" i="49"/>
  <c r="J56" i="49"/>
  <c r="J55" i="49"/>
  <c r="J54" i="49"/>
  <c r="J53" i="49"/>
  <c r="J60" i="49"/>
  <c r="M47" i="49"/>
  <c r="M46" i="49"/>
  <c r="M48" i="49"/>
  <c r="M45" i="49"/>
  <c r="M44" i="49"/>
  <c r="M43" i="49"/>
  <c r="M42" i="49"/>
  <c r="M49" i="49"/>
  <c r="K47" i="49"/>
  <c r="K48" i="49"/>
  <c r="K46" i="49"/>
  <c r="K45" i="49"/>
  <c r="K44" i="49"/>
  <c r="K42" i="49"/>
  <c r="K43" i="49"/>
  <c r="K49" i="49"/>
  <c r="J48" i="49"/>
  <c r="J47" i="49"/>
  <c r="J46" i="49"/>
  <c r="J45" i="49"/>
  <c r="J44" i="49"/>
  <c r="J43" i="49"/>
  <c r="J42" i="49"/>
  <c r="J49" i="49"/>
  <c r="M36" i="49"/>
  <c r="M35" i="49"/>
  <c r="M34" i="49"/>
  <c r="M33" i="49"/>
  <c r="M32" i="49"/>
  <c r="M31" i="49"/>
  <c r="M38" i="49"/>
  <c r="K35" i="49"/>
  <c r="K33" i="49"/>
  <c r="K32" i="49"/>
  <c r="K31" i="49"/>
  <c r="K38" i="49"/>
  <c r="J36" i="49"/>
  <c r="J35" i="49"/>
  <c r="J33" i="49"/>
  <c r="J32" i="49"/>
  <c r="J31" i="49"/>
  <c r="J38" i="49"/>
  <c r="M25" i="49"/>
  <c r="M24" i="49"/>
  <c r="M23" i="49"/>
  <c r="M22" i="49"/>
  <c r="K25" i="49"/>
  <c r="K27" i="49"/>
  <c r="K26" i="49"/>
  <c r="K24" i="49"/>
  <c r="K19" i="49"/>
  <c r="K23" i="49"/>
  <c r="K22" i="49"/>
  <c r="K20" i="49"/>
  <c r="J24" i="49"/>
  <c r="J23" i="49"/>
  <c r="J22" i="49"/>
  <c r="J21" i="49"/>
  <c r="J20" i="49"/>
  <c r="J27" i="49"/>
  <c r="H35" i="80"/>
  <c r="I35" i="80"/>
  <c r="K33" i="80"/>
  <c r="N33" i="80" s="1"/>
  <c r="H40" i="18"/>
  <c r="L37" i="18"/>
  <c r="I37" i="18"/>
  <c r="J37" i="18"/>
  <c r="AB16" i="16"/>
  <c r="AB8" i="16"/>
  <c r="AB15" i="16"/>
  <c r="AB14" i="16"/>
  <c r="AB11" i="16"/>
  <c r="AB9" i="16"/>
  <c r="AB13" i="16"/>
  <c r="AB12" i="16"/>
  <c r="AA16" i="16"/>
  <c r="AA8" i="16"/>
  <c r="AA15" i="16"/>
  <c r="AA14" i="16"/>
  <c r="AA11" i="16"/>
  <c r="AA9" i="16"/>
  <c r="AA13" i="16"/>
  <c r="AA12" i="16"/>
  <c r="Z16" i="16"/>
  <c r="Z14" i="16"/>
  <c r="Z13" i="16"/>
  <c r="Z12" i="16"/>
  <c r="Z11" i="16"/>
  <c r="Z9" i="16"/>
  <c r="Z8" i="16"/>
  <c r="Z15" i="16"/>
  <c r="Y9" i="16"/>
  <c r="Y16" i="16"/>
  <c r="Y8" i="16"/>
  <c r="Y15" i="16"/>
  <c r="Y14" i="16"/>
  <c r="Y13" i="16"/>
  <c r="Y12" i="16"/>
  <c r="Y11" i="16"/>
  <c r="X9" i="16"/>
  <c r="X16" i="16"/>
  <c r="X8" i="16"/>
  <c r="X15" i="16"/>
  <c r="X14" i="16"/>
  <c r="X13" i="16"/>
  <c r="X11" i="16"/>
  <c r="X12" i="16"/>
  <c r="Q8" i="16"/>
  <c r="Q14" i="16"/>
  <c r="Q10" i="16"/>
  <c r="Q9" i="16"/>
  <c r="Q16" i="16"/>
  <c r="Q15" i="16"/>
  <c r="Q13" i="16"/>
  <c r="Q12" i="16"/>
  <c r="P14" i="16"/>
  <c r="P10" i="16"/>
  <c r="P9" i="16"/>
  <c r="P16" i="16"/>
  <c r="P15" i="16"/>
  <c r="P13" i="16"/>
  <c r="P12" i="16"/>
  <c r="P11" i="16"/>
  <c r="O14" i="16"/>
  <c r="O13" i="16"/>
  <c r="O16" i="16"/>
  <c r="O15" i="16"/>
  <c r="O12" i="16"/>
  <c r="O8" i="16"/>
  <c r="O11" i="16"/>
  <c r="O9" i="16"/>
  <c r="N14" i="16"/>
  <c r="N13" i="16"/>
  <c r="N12" i="16"/>
  <c r="N11" i="16"/>
  <c r="N15" i="16"/>
  <c r="N10" i="16"/>
  <c r="N9" i="16"/>
  <c r="N16" i="16"/>
  <c r="M9" i="16"/>
  <c r="M8" i="16"/>
  <c r="M15" i="16"/>
  <c r="M14" i="16"/>
  <c r="M16" i="16"/>
  <c r="M13" i="16"/>
  <c r="M12" i="16"/>
  <c r="M11" i="16"/>
  <c r="F14" i="16"/>
  <c r="F16" i="16"/>
  <c r="F15" i="16"/>
  <c r="F13" i="16"/>
  <c r="F8" i="16"/>
  <c r="F12" i="16"/>
  <c r="F11" i="16"/>
  <c r="F10" i="16"/>
  <c r="E9" i="16"/>
  <c r="E8" i="16"/>
  <c r="E14" i="16"/>
  <c r="E16" i="16"/>
  <c r="E15" i="16"/>
  <c r="E13" i="16"/>
  <c r="E12" i="16"/>
  <c r="E11" i="16"/>
  <c r="D14" i="16"/>
  <c r="D12" i="16"/>
  <c r="D11" i="16"/>
  <c r="D15" i="16"/>
  <c r="D13" i="16"/>
  <c r="D10" i="16"/>
  <c r="D9" i="16"/>
  <c r="D16" i="16"/>
  <c r="C16" i="16"/>
  <c r="C8" i="16"/>
  <c r="C15" i="16"/>
  <c r="C14" i="16"/>
  <c r="C11" i="16"/>
  <c r="C9" i="16"/>
  <c r="C13" i="16"/>
  <c r="C12" i="16"/>
  <c r="B14" i="16"/>
  <c r="B13" i="16"/>
  <c r="B34" i="18" s="1"/>
  <c r="H92" i="18" s="1"/>
  <c r="B12" i="16"/>
  <c r="B11" i="16"/>
  <c r="B10" i="16"/>
  <c r="B9" i="16"/>
  <c r="B15" i="16"/>
  <c r="B43" i="18" s="1"/>
  <c r="H96" i="18" s="1"/>
  <c r="B16" i="16"/>
  <c r="W144" i="71"/>
  <c r="L144" i="71"/>
  <c r="A144" i="71"/>
  <c r="W107" i="71"/>
  <c r="L107" i="71"/>
  <c r="A107" i="71"/>
  <c r="B109" i="71"/>
  <c r="S70" i="71"/>
  <c r="S107" i="71" s="1"/>
  <c r="B72" i="71"/>
  <c r="Q70" i="71"/>
  <c r="AD70" i="71"/>
  <c r="AD107" i="71" s="1"/>
  <c r="F70" i="71"/>
  <c r="D70" i="71"/>
  <c r="C72" i="71"/>
  <c r="AI58" i="76" l="1"/>
  <c r="AI73" i="76"/>
  <c r="AI79" i="76"/>
  <c r="AI64" i="76"/>
  <c r="AI69" i="76"/>
  <c r="AI62" i="76"/>
  <c r="AI80" i="76"/>
  <c r="AI85" i="76"/>
  <c r="AI74" i="76"/>
  <c r="AI81" i="76"/>
  <c r="AI67" i="76"/>
  <c r="AI57" i="76"/>
  <c r="AI96" i="76"/>
  <c r="AI94" i="76"/>
  <c r="AI90" i="76"/>
  <c r="AI56" i="76"/>
  <c r="AI77" i="76"/>
  <c r="AI76" i="76"/>
  <c r="AI84" i="76"/>
  <c r="AI54" i="76"/>
  <c r="AI71" i="76"/>
  <c r="AI66" i="76"/>
  <c r="AI92" i="76"/>
  <c r="AI86" i="76"/>
  <c r="AI82" i="76"/>
  <c r="AI75" i="76"/>
  <c r="AI70" i="76"/>
  <c r="AB33" i="79"/>
  <c r="AI65" i="76"/>
  <c r="AI60" i="76"/>
  <c r="AI93" i="76"/>
  <c r="AI89" i="76"/>
  <c r="AI63" i="76"/>
  <c r="AI53" i="76"/>
  <c r="AI52" i="76"/>
  <c r="AI59" i="76"/>
  <c r="Y33" i="79"/>
  <c r="AE33" i="79"/>
  <c r="AK69" i="76"/>
  <c r="N69" i="80"/>
  <c r="O69" i="80" s="1"/>
  <c r="AC33" i="79"/>
  <c r="AG33" i="79"/>
  <c r="AA33" i="79"/>
  <c r="X33" i="79"/>
  <c r="AD33" i="79"/>
  <c r="Z33" i="79"/>
  <c r="AL69" i="76"/>
  <c r="AL56" i="76"/>
  <c r="AH62" i="76"/>
  <c r="M154" i="75"/>
  <c r="AH56" i="76"/>
  <c r="AE69" i="76"/>
  <c r="AE62" i="76"/>
  <c r="AL79" i="76"/>
  <c r="AL73" i="76"/>
  <c r="M158" i="75"/>
  <c r="M159" i="75"/>
  <c r="M161" i="75"/>
  <c r="AF53" i="76"/>
  <c r="AF54" i="76"/>
  <c r="AF57" i="76"/>
  <c r="AF58" i="76"/>
  <c r="AF59" i="76"/>
  <c r="AF60" i="76"/>
  <c r="AF63" i="76"/>
  <c r="AF64" i="76"/>
  <c r="AF65" i="76"/>
  <c r="AF66" i="76"/>
  <c r="AF67" i="76"/>
  <c r="AF70" i="76"/>
  <c r="AF71" i="76"/>
  <c r="AF74" i="76"/>
  <c r="AF75" i="76"/>
  <c r="AF76" i="76"/>
  <c r="AF77" i="76"/>
  <c r="AF80" i="76"/>
  <c r="AF81" i="76"/>
  <c r="AF82" i="76"/>
  <c r="AF84" i="76"/>
  <c r="AF85" i="76"/>
  <c r="AF86" i="76"/>
  <c r="AF88" i="76"/>
  <c r="AF89" i="76"/>
  <c r="AF90" i="76"/>
  <c r="AF92" i="76"/>
  <c r="AF93" i="76"/>
  <c r="AF94" i="76"/>
  <c r="AF96" i="76"/>
  <c r="AJ73" i="76"/>
  <c r="AF56" i="76"/>
  <c r="AG53" i="76"/>
  <c r="AG54" i="76"/>
  <c r="AG57" i="76"/>
  <c r="AG58" i="76"/>
  <c r="AG59" i="76"/>
  <c r="AG60" i="76"/>
  <c r="AG63" i="76"/>
  <c r="AG64" i="76"/>
  <c r="AG65" i="76"/>
  <c r="AG66" i="76"/>
  <c r="AG67" i="76"/>
  <c r="AG70" i="76"/>
  <c r="AG71" i="76"/>
  <c r="AG74" i="76"/>
  <c r="AG75" i="76"/>
  <c r="AG76" i="76"/>
  <c r="AG77" i="76"/>
  <c r="AG80" i="76"/>
  <c r="AG81" i="76"/>
  <c r="AG82" i="76"/>
  <c r="AG84" i="76"/>
  <c r="AG85" i="76"/>
  <c r="AG86" i="76"/>
  <c r="AG88" i="76"/>
  <c r="AG89" i="76"/>
  <c r="AG90" i="76"/>
  <c r="AG92" i="76"/>
  <c r="AG93" i="76"/>
  <c r="AG94" i="76"/>
  <c r="AG96" i="76"/>
  <c r="AG69" i="76"/>
  <c r="AJ62" i="76"/>
  <c r="AJ69" i="76"/>
  <c r="AH53" i="76"/>
  <c r="AH54" i="76"/>
  <c r="AH57" i="76"/>
  <c r="AH58" i="76"/>
  <c r="AH59" i="76"/>
  <c r="AH60" i="76"/>
  <c r="AH63" i="76"/>
  <c r="AH64" i="76"/>
  <c r="AH65" i="76"/>
  <c r="AH66" i="76"/>
  <c r="AH67" i="76"/>
  <c r="AH70" i="76"/>
  <c r="AH71" i="76"/>
  <c r="AH74" i="76"/>
  <c r="AH75" i="76"/>
  <c r="AH76" i="76"/>
  <c r="AH77" i="76"/>
  <c r="AH80" i="76"/>
  <c r="AH81" i="76"/>
  <c r="AH82" i="76"/>
  <c r="AH84" i="76"/>
  <c r="AH85" i="76"/>
  <c r="AH86" i="76"/>
  <c r="AH88" i="76"/>
  <c r="AH89" i="76"/>
  <c r="AH90" i="76"/>
  <c r="AH92" i="76"/>
  <c r="AH93" i="76"/>
  <c r="AH94" i="76"/>
  <c r="AH96" i="76"/>
  <c r="AG62" i="76"/>
  <c r="AG52" i="76"/>
  <c r="AK79" i="76"/>
  <c r="AG56" i="76"/>
  <c r="AL62" i="76"/>
  <c r="AJ53" i="76"/>
  <c r="AJ54" i="76"/>
  <c r="AJ57" i="76"/>
  <c r="AJ58" i="76"/>
  <c r="AJ59" i="76"/>
  <c r="AJ60" i="76"/>
  <c r="AJ63" i="76"/>
  <c r="AJ64" i="76"/>
  <c r="AJ65" i="76"/>
  <c r="AJ66" i="76"/>
  <c r="AJ67" i="76"/>
  <c r="AJ70" i="76"/>
  <c r="AJ71" i="76"/>
  <c r="AJ74" i="76"/>
  <c r="AJ75" i="76"/>
  <c r="AJ76" i="76"/>
  <c r="AJ77" i="76"/>
  <c r="AJ80" i="76"/>
  <c r="AJ81" i="76"/>
  <c r="AJ82" i="76"/>
  <c r="AJ84" i="76"/>
  <c r="AJ85" i="76"/>
  <c r="AJ86" i="76"/>
  <c r="AJ88" i="76"/>
  <c r="AJ89" i="76"/>
  <c r="AJ90" i="76"/>
  <c r="AJ92" i="76"/>
  <c r="AJ93" i="76"/>
  <c r="AJ94" i="76"/>
  <c r="AJ96" i="76"/>
  <c r="AF52" i="76"/>
  <c r="AF79" i="76"/>
  <c r="AK53" i="76"/>
  <c r="AK54" i="76"/>
  <c r="AK57" i="76"/>
  <c r="AK58" i="76"/>
  <c r="AK59" i="76"/>
  <c r="AK60" i="76"/>
  <c r="AK63" i="76"/>
  <c r="AK64" i="76"/>
  <c r="AK65" i="76"/>
  <c r="AK66" i="76"/>
  <c r="AK67" i="76"/>
  <c r="AK70" i="76"/>
  <c r="AK71" i="76"/>
  <c r="AK74" i="76"/>
  <c r="AK75" i="76"/>
  <c r="AK76" i="76"/>
  <c r="AK77" i="76"/>
  <c r="AK80" i="76"/>
  <c r="AK81" i="76"/>
  <c r="AK82" i="76"/>
  <c r="AK84" i="76"/>
  <c r="AK85" i="76"/>
  <c r="AK86" i="76"/>
  <c r="AK88" i="76"/>
  <c r="AK89" i="76"/>
  <c r="AK90" i="76"/>
  <c r="AK92" i="76"/>
  <c r="AK93" i="76"/>
  <c r="AK94" i="76"/>
  <c r="AK96" i="76"/>
  <c r="AK62" i="76"/>
  <c r="AK52" i="76"/>
  <c r="AF73" i="76"/>
  <c r="AE57" i="76"/>
  <c r="AE58" i="76"/>
  <c r="AE59" i="76"/>
  <c r="AE60" i="76"/>
  <c r="AE63" i="76"/>
  <c r="AE64" i="76"/>
  <c r="AE66" i="76"/>
  <c r="AE70" i="76"/>
  <c r="AE71" i="76"/>
  <c r="AE76" i="76"/>
  <c r="AE82" i="76"/>
  <c r="AE86" i="76"/>
  <c r="AE92" i="76"/>
  <c r="AE96" i="76"/>
  <c r="AE52" i="76"/>
  <c r="AE65" i="76"/>
  <c r="AE89" i="76"/>
  <c r="AE53" i="76"/>
  <c r="AE67" i="76"/>
  <c r="AE74" i="76"/>
  <c r="AE77" i="76"/>
  <c r="AE81" i="76"/>
  <c r="AE85" i="76"/>
  <c r="AE90" i="76"/>
  <c r="AE94" i="76"/>
  <c r="AE54" i="76"/>
  <c r="AE75" i="76"/>
  <c r="AE80" i="76"/>
  <c r="AE84" i="76"/>
  <c r="AE88" i="76"/>
  <c r="AE93" i="76"/>
  <c r="AH73" i="76"/>
  <c r="AH52" i="76"/>
  <c r="AK56" i="76"/>
  <c r="AE79" i="76"/>
  <c r="AF69" i="76"/>
  <c r="AL53" i="76"/>
  <c r="AL54" i="76"/>
  <c r="AL57" i="76"/>
  <c r="AL58" i="76"/>
  <c r="AL59" i="76"/>
  <c r="AL60" i="76"/>
  <c r="AL63" i="76"/>
  <c r="AL64" i="76"/>
  <c r="AL65" i="76"/>
  <c r="AL66" i="76"/>
  <c r="AL67" i="76"/>
  <c r="AL70" i="76"/>
  <c r="AL71" i="76"/>
  <c r="AL74" i="76"/>
  <c r="AL75" i="76"/>
  <c r="AL76" i="76"/>
  <c r="AL77" i="76"/>
  <c r="AL80" i="76"/>
  <c r="AL81" i="76"/>
  <c r="AL82" i="76"/>
  <c r="AL84" i="76"/>
  <c r="AL85" i="76"/>
  <c r="AL86" i="76"/>
  <c r="AL88" i="76"/>
  <c r="AL89" i="76"/>
  <c r="AL90" i="76"/>
  <c r="AL92" i="76"/>
  <c r="AL93" i="76"/>
  <c r="AL94" i="76"/>
  <c r="AL96" i="76"/>
  <c r="AG79" i="76"/>
  <c r="AH69" i="76"/>
  <c r="AJ79" i="76"/>
  <c r="AJ52" i="76"/>
  <c r="AE73" i="76"/>
  <c r="AF62" i="76"/>
  <c r="M155" i="75"/>
  <c r="M156" i="75"/>
  <c r="H89" i="18"/>
  <c r="M160" i="75"/>
  <c r="M157" i="75"/>
  <c r="W107" i="78"/>
  <c r="AS107" i="78" s="1"/>
  <c r="BO107" i="78" s="1"/>
  <c r="CK107" i="78" s="1"/>
  <c r="W70" i="78"/>
  <c r="AS70" i="78" s="1"/>
  <c r="BO70" i="78" s="1"/>
  <c r="CK70" i="78" s="1"/>
  <c r="L33" i="80"/>
  <c r="O33" i="80"/>
  <c r="Y29" i="49"/>
  <c r="AD29" i="49" s="1"/>
  <c r="Z29" i="49"/>
  <c r="I7" i="11" a="1"/>
  <c r="I10" i="11" s="1"/>
  <c r="X29" i="49"/>
  <c r="X8" i="49"/>
  <c r="X9" i="49"/>
  <c r="X10" i="49"/>
  <c r="X11" i="49"/>
  <c r="X12" i="49"/>
  <c r="X13" i="49"/>
  <c r="X14" i="49"/>
  <c r="X15" i="49"/>
  <c r="X16" i="49"/>
  <c r="X17" i="49"/>
  <c r="X18" i="49"/>
  <c r="X19" i="49"/>
  <c r="X20" i="49"/>
  <c r="X21" i="49"/>
  <c r="X22" i="49"/>
  <c r="X23" i="49"/>
  <c r="X24" i="49"/>
  <c r="X25" i="49"/>
  <c r="X26" i="49"/>
  <c r="X27" i="49"/>
  <c r="X28" i="49"/>
  <c r="X7" i="49"/>
  <c r="AD28" i="49"/>
  <c r="AA28" i="49"/>
  <c r="AC28" i="49" s="1"/>
  <c r="AD27" i="49"/>
  <c r="AA27" i="49"/>
  <c r="AC27" i="49" s="1"/>
  <c r="AD26" i="49"/>
  <c r="AA26" i="49"/>
  <c r="AC26" i="49" s="1"/>
  <c r="AD25" i="49"/>
  <c r="AA25" i="49"/>
  <c r="AC25" i="49" s="1"/>
  <c r="AD24" i="49"/>
  <c r="AA24" i="49"/>
  <c r="AC24" i="49" s="1"/>
  <c r="AD23" i="49"/>
  <c r="AA23" i="49"/>
  <c r="AC23" i="49" s="1"/>
  <c r="AD22" i="49"/>
  <c r="AA22" i="49"/>
  <c r="AC22" i="49" s="1"/>
  <c r="AD21" i="49"/>
  <c r="AA21" i="49"/>
  <c r="AC21" i="49" s="1"/>
  <c r="AD20" i="49"/>
  <c r="AA20" i="49"/>
  <c r="AC20" i="49" s="1"/>
  <c r="AD19" i="49"/>
  <c r="AA19" i="49"/>
  <c r="AC19" i="49" s="1"/>
  <c r="AD18" i="49"/>
  <c r="AA18" i="49"/>
  <c r="AC18" i="49" s="1"/>
  <c r="AD17" i="49"/>
  <c r="AA17" i="49"/>
  <c r="AC17" i="49" s="1"/>
  <c r="AD16" i="49"/>
  <c r="AA16" i="49"/>
  <c r="AC16" i="49" s="1"/>
  <c r="AD15" i="49"/>
  <c r="AA15" i="49"/>
  <c r="AC15" i="49" s="1"/>
  <c r="AD14" i="49"/>
  <c r="AA14" i="49"/>
  <c r="AC14" i="49" s="1"/>
  <c r="AD13" i="49"/>
  <c r="AA13" i="49"/>
  <c r="AC13" i="49" s="1"/>
  <c r="AD12" i="49"/>
  <c r="AA12" i="49"/>
  <c r="AC12" i="49" s="1"/>
  <c r="AD11" i="49"/>
  <c r="AA11" i="49"/>
  <c r="AC11" i="49" s="1"/>
  <c r="AD10" i="49"/>
  <c r="AA10" i="49"/>
  <c r="AC10" i="49" s="1"/>
  <c r="AD9" i="49"/>
  <c r="AA9" i="49"/>
  <c r="AC9" i="49" s="1"/>
  <c r="AD8" i="49"/>
  <c r="AA8" i="49"/>
  <c r="AC8" i="49" s="1"/>
  <c r="AD7" i="49"/>
  <c r="AA7" i="49"/>
  <c r="AC7" i="49" s="1"/>
  <c r="AD6" i="49"/>
  <c r="AA29" i="49" l="1"/>
  <c r="AC29" i="49" s="1"/>
  <c r="I8" i="11"/>
  <c r="I9" i="11"/>
  <c r="I7" i="11"/>
  <c r="I12" i="11"/>
  <c r="I11" i="11"/>
  <c r="I14" i="11" l="1"/>
  <c r="AE9" i="71" l="1"/>
  <c r="AE10" i="71"/>
  <c r="AE11" i="71"/>
  <c r="AE12" i="71"/>
  <c r="AE13" i="71"/>
  <c r="AE14" i="71"/>
  <c r="AE15" i="71"/>
  <c r="AE16" i="71"/>
  <c r="AE17" i="71"/>
  <c r="AE18" i="71"/>
  <c r="AE19" i="71"/>
  <c r="AE20" i="71"/>
  <c r="AE21" i="71"/>
  <c r="AE22" i="71"/>
  <c r="AE23" i="71"/>
  <c r="AE24" i="71"/>
  <c r="AE25" i="71"/>
  <c r="AE26" i="71"/>
  <c r="AE27" i="71"/>
  <c r="AE28" i="71"/>
  <c r="AE29" i="71"/>
  <c r="AE30" i="71"/>
  <c r="AE31" i="71"/>
  <c r="AE32" i="71"/>
  <c r="AE8" i="71"/>
  <c r="T9" i="71"/>
  <c r="T10" i="71"/>
  <c r="T11" i="71"/>
  <c r="T12" i="71"/>
  <c r="T13" i="71"/>
  <c r="T14" i="71"/>
  <c r="T15" i="71"/>
  <c r="T16" i="71"/>
  <c r="T17" i="71"/>
  <c r="T18" i="71"/>
  <c r="T19" i="71"/>
  <c r="T20" i="71"/>
  <c r="T21" i="71"/>
  <c r="T22" i="71"/>
  <c r="T23" i="71"/>
  <c r="T24" i="71"/>
  <c r="T25" i="71"/>
  <c r="T26" i="71"/>
  <c r="T27" i="71"/>
  <c r="T28" i="71"/>
  <c r="T29" i="71"/>
  <c r="T30" i="71"/>
  <c r="T31" i="71"/>
  <c r="T32" i="71"/>
  <c r="T8" i="71"/>
  <c r="P62" i="49"/>
  <c r="P37" i="49"/>
  <c r="P38" i="49"/>
  <c r="P39" i="49"/>
  <c r="P40" i="49"/>
  <c r="P41" i="49"/>
  <c r="P42" i="49"/>
  <c r="P43" i="49"/>
  <c r="P44" i="49"/>
  <c r="P45" i="49"/>
  <c r="P46" i="49"/>
  <c r="P47" i="49"/>
  <c r="P48" i="49"/>
  <c r="P49" i="49"/>
  <c r="P50" i="49"/>
  <c r="P51" i="49"/>
  <c r="P52" i="49"/>
  <c r="P53" i="49"/>
  <c r="P54" i="49"/>
  <c r="P55" i="49"/>
  <c r="P56" i="49"/>
  <c r="P57" i="49"/>
  <c r="P58" i="49"/>
  <c r="P59" i="49"/>
  <c r="P60" i="49"/>
  <c r="P36" i="49"/>
  <c r="V60" i="49"/>
  <c r="S60" i="49"/>
  <c r="U60" i="49" s="1"/>
  <c r="V59" i="49"/>
  <c r="S59" i="49"/>
  <c r="U59" i="49" s="1"/>
  <c r="V58" i="49"/>
  <c r="S58" i="49"/>
  <c r="U58" i="49" s="1"/>
  <c r="V57" i="49"/>
  <c r="S57" i="49"/>
  <c r="U57" i="49" s="1"/>
  <c r="V56" i="49"/>
  <c r="S56" i="49"/>
  <c r="U56" i="49" s="1"/>
  <c r="V55" i="49"/>
  <c r="S55" i="49"/>
  <c r="U55" i="49" s="1"/>
  <c r="V54" i="49"/>
  <c r="S54" i="49"/>
  <c r="U54" i="49" s="1"/>
  <c r="V53" i="49"/>
  <c r="S53" i="49"/>
  <c r="U53" i="49" s="1"/>
  <c r="V52" i="49"/>
  <c r="S52" i="49"/>
  <c r="U52" i="49" s="1"/>
  <c r="V51" i="49"/>
  <c r="S51" i="49"/>
  <c r="U51" i="49" s="1"/>
  <c r="V50" i="49"/>
  <c r="S50" i="49"/>
  <c r="U50" i="49" s="1"/>
  <c r="V49" i="49"/>
  <c r="S49" i="49"/>
  <c r="U49" i="49" s="1"/>
  <c r="V48" i="49"/>
  <c r="S48" i="49"/>
  <c r="U48" i="49" s="1"/>
  <c r="V47" i="49"/>
  <c r="S47" i="49"/>
  <c r="U47" i="49" s="1"/>
  <c r="V46" i="49"/>
  <c r="S46" i="49"/>
  <c r="U46" i="49" s="1"/>
  <c r="V45" i="49"/>
  <c r="S45" i="49"/>
  <c r="U45" i="49" s="1"/>
  <c r="V44" i="49"/>
  <c r="S44" i="49"/>
  <c r="U44" i="49" s="1"/>
  <c r="V43" i="49"/>
  <c r="S43" i="49"/>
  <c r="U43" i="49" s="1"/>
  <c r="V42" i="49"/>
  <c r="S42" i="49"/>
  <c r="U42" i="49" s="1"/>
  <c r="V41" i="49"/>
  <c r="S41" i="49"/>
  <c r="U41" i="49" s="1"/>
  <c r="V40" i="49"/>
  <c r="S40" i="49"/>
  <c r="U40" i="49" s="1"/>
  <c r="V39" i="49"/>
  <c r="S39" i="49"/>
  <c r="U39" i="49" s="1"/>
  <c r="V38" i="49"/>
  <c r="S38" i="49"/>
  <c r="U38" i="49" s="1"/>
  <c r="V37" i="49"/>
  <c r="S37" i="49"/>
  <c r="U37" i="49" s="1"/>
  <c r="V36" i="49"/>
  <c r="S36" i="49"/>
  <c r="U36" i="49" s="1"/>
  <c r="D36" i="49"/>
  <c r="S8" i="49"/>
  <c r="U8" i="49" s="1"/>
  <c r="S9" i="49"/>
  <c r="U9" i="49" s="1"/>
  <c r="S10" i="49"/>
  <c r="U10" i="49" s="1"/>
  <c r="S11" i="49"/>
  <c r="U11" i="49" s="1"/>
  <c r="S12" i="49"/>
  <c r="U12" i="49" s="1"/>
  <c r="S13" i="49"/>
  <c r="U13" i="49" s="1"/>
  <c r="S14" i="49"/>
  <c r="U14" i="49" s="1"/>
  <c r="S15" i="49"/>
  <c r="U15" i="49" s="1"/>
  <c r="S16" i="49"/>
  <c r="U16" i="49" s="1"/>
  <c r="S17" i="49"/>
  <c r="U17" i="49" s="1"/>
  <c r="S18" i="49"/>
  <c r="U18" i="49" s="1"/>
  <c r="S19" i="49"/>
  <c r="U19" i="49" s="1"/>
  <c r="S20" i="49"/>
  <c r="U20" i="49" s="1"/>
  <c r="S21" i="49"/>
  <c r="U21" i="49" s="1"/>
  <c r="S22" i="49"/>
  <c r="U22" i="49" s="1"/>
  <c r="S23" i="49"/>
  <c r="U23" i="49" s="1"/>
  <c r="S24" i="49"/>
  <c r="U24" i="49" s="1"/>
  <c r="S25" i="49"/>
  <c r="U25" i="49" s="1"/>
  <c r="S26" i="49"/>
  <c r="U26" i="49" s="1"/>
  <c r="S27" i="49"/>
  <c r="U27" i="49" s="1"/>
  <c r="S28" i="49"/>
  <c r="U28" i="49" s="1"/>
  <c r="S29" i="49"/>
  <c r="U29" i="49" s="1"/>
  <c r="S30" i="49"/>
  <c r="U30" i="49" s="1"/>
  <c r="S31" i="49"/>
  <c r="U31" i="49" s="1"/>
  <c r="S7" i="49"/>
  <c r="U7" i="49" s="1"/>
  <c r="V7" i="49"/>
  <c r="P33" i="49"/>
  <c r="P8" i="49"/>
  <c r="P9" i="49"/>
  <c r="P10" i="49"/>
  <c r="P11" i="49"/>
  <c r="P12" i="49"/>
  <c r="P13" i="49"/>
  <c r="P14" i="49"/>
  <c r="P15" i="49"/>
  <c r="P16" i="49"/>
  <c r="P17" i="49"/>
  <c r="P18" i="49"/>
  <c r="P19" i="49"/>
  <c r="P20" i="49"/>
  <c r="P21" i="49"/>
  <c r="P22" i="49"/>
  <c r="P23" i="49"/>
  <c r="P24" i="49"/>
  <c r="P25" i="49"/>
  <c r="P26" i="49"/>
  <c r="P27" i="49"/>
  <c r="P28" i="49"/>
  <c r="P29" i="49"/>
  <c r="P30" i="49"/>
  <c r="P31" i="49"/>
  <c r="P7" i="49"/>
  <c r="S6" i="49"/>
  <c r="T6" i="49"/>
  <c r="U6" i="49"/>
  <c r="V6" i="49"/>
  <c r="R6" i="49"/>
  <c r="Q6" i="49"/>
  <c r="V31" i="49"/>
  <c r="V30" i="49"/>
  <c r="V29" i="49"/>
  <c r="V28" i="49"/>
  <c r="V27" i="49"/>
  <c r="V26" i="49"/>
  <c r="V25" i="49"/>
  <c r="V24" i="49"/>
  <c r="V23" i="49"/>
  <c r="V22" i="49"/>
  <c r="V21" i="49"/>
  <c r="V20" i="49"/>
  <c r="V19" i="49"/>
  <c r="V18" i="49"/>
  <c r="V17" i="49"/>
  <c r="V16" i="49"/>
  <c r="V15" i="49"/>
  <c r="V14" i="49"/>
  <c r="V13" i="49"/>
  <c r="V12" i="49"/>
  <c r="V11" i="49"/>
  <c r="V10" i="49"/>
  <c r="V9" i="49"/>
  <c r="V8" i="49"/>
  <c r="F36" i="49" l="1"/>
  <c r="T8" i="16" a="1"/>
  <c r="AE8" i="16" a="1"/>
  <c r="T70" i="71"/>
  <c r="U33" i="71"/>
  <c r="U70" i="71" s="1"/>
  <c r="U107" i="71" s="1"/>
  <c r="T107" i="71"/>
  <c r="AE107" i="71"/>
  <c r="AF33" i="71"/>
  <c r="AF70" i="71" s="1"/>
  <c r="AF107" i="71" s="1"/>
  <c r="AE70" i="71"/>
  <c r="T35" i="71"/>
  <c r="AE35" i="71"/>
  <c r="S62" i="49"/>
  <c r="U62" i="49" s="1"/>
  <c r="V33" i="49"/>
  <c r="V62" i="49"/>
  <c r="AE9" i="16" l="1"/>
  <c r="AE14" i="16"/>
  <c r="AE16" i="16"/>
  <c r="AE8" i="16"/>
  <c r="AE15" i="16"/>
  <c r="AE13" i="16"/>
  <c r="AE11" i="16"/>
  <c r="AE10" i="16"/>
  <c r="AE12" i="16"/>
  <c r="T8" i="16"/>
  <c r="T15" i="16"/>
  <c r="T14" i="16"/>
  <c r="T13" i="16"/>
  <c r="T12" i="16"/>
  <c r="T11" i="16"/>
  <c r="T10" i="16"/>
  <c r="T9" i="16"/>
  <c r="T16" i="16"/>
  <c r="A1" i="78"/>
  <c r="N33" i="21"/>
  <c r="O33" i="21"/>
  <c r="P33" i="21"/>
  <c r="Q33" i="21"/>
  <c r="R33" i="21"/>
  <c r="S33" i="21"/>
  <c r="T33" i="21"/>
  <c r="U33" i="21"/>
  <c r="V33" i="21"/>
  <c r="W33" i="21"/>
  <c r="X33" i="21"/>
  <c r="Y33" i="21"/>
  <c r="Z33" i="21"/>
  <c r="AA33" i="21"/>
  <c r="AB33" i="21"/>
  <c r="AC33" i="21"/>
  <c r="AD33" i="21"/>
  <c r="AE33" i="21"/>
  <c r="AF33" i="21"/>
  <c r="AG33" i="21"/>
  <c r="M33" i="21"/>
  <c r="N23" i="21"/>
  <c r="O23" i="21"/>
  <c r="P23" i="21"/>
  <c r="Q23" i="21"/>
  <c r="R23" i="21"/>
  <c r="S23" i="21"/>
  <c r="T23" i="21"/>
  <c r="U23" i="21"/>
  <c r="V23" i="21"/>
  <c r="W23" i="21"/>
  <c r="X23" i="21"/>
  <c r="Y23" i="21"/>
  <c r="Z23" i="21"/>
  <c r="AA23" i="21"/>
  <c r="AB23" i="21"/>
  <c r="AC23" i="21"/>
  <c r="AD23" i="21"/>
  <c r="AE23" i="21"/>
  <c r="AF23" i="21"/>
  <c r="AG23" i="21"/>
  <c r="M23" i="21"/>
  <c r="N18" i="21"/>
  <c r="O18" i="21"/>
  <c r="P18" i="21"/>
  <c r="Q18" i="21"/>
  <c r="R18" i="21"/>
  <c r="S18" i="21"/>
  <c r="T18" i="21"/>
  <c r="U18" i="21"/>
  <c r="V18" i="21"/>
  <c r="W18" i="21"/>
  <c r="X18" i="21"/>
  <c r="Y18" i="21"/>
  <c r="Z18" i="21"/>
  <c r="AA18" i="21"/>
  <c r="AB18" i="21"/>
  <c r="AC18" i="21"/>
  <c r="AD18" i="21"/>
  <c r="AE18" i="21"/>
  <c r="AF18" i="21"/>
  <c r="AG18" i="21"/>
  <c r="M18" i="21"/>
  <c r="M11" i="21"/>
  <c r="N11" i="21"/>
  <c r="O11" i="21"/>
  <c r="P11" i="21"/>
  <c r="Q11" i="21"/>
  <c r="C74" i="12" l="1"/>
  <c r="C73" i="12"/>
  <c r="B78" i="12"/>
  <c r="B77" i="12"/>
  <c r="B76" i="12"/>
  <c r="B75" i="12"/>
  <c r="B74" i="12"/>
  <c r="B72" i="12"/>
  <c r="B73" i="12"/>
  <c r="C5" i="11"/>
  <c r="D5" i="11"/>
  <c r="E5" i="11"/>
  <c r="F5" i="11"/>
  <c r="B5" i="11"/>
  <c r="B28" i="12"/>
  <c r="B32" i="12" s="1"/>
  <c r="D12" i="13"/>
  <c r="E12" i="13"/>
  <c r="F12" i="13"/>
  <c r="G12" i="13"/>
  <c r="C12" i="13"/>
  <c r="L1" i="11" l="1"/>
  <c r="A1" i="11"/>
  <c r="H3" i="11"/>
  <c r="N17" i="103"/>
  <c r="M17" i="103"/>
  <c r="L17" i="103"/>
  <c r="N16" i="103"/>
  <c r="M16" i="103"/>
  <c r="L16" i="103"/>
  <c r="N15" i="103"/>
  <c r="M15" i="103"/>
  <c r="L15" i="103"/>
  <c r="N14" i="103"/>
  <c r="M14" i="103"/>
  <c r="L14" i="103"/>
  <c r="N13" i="103"/>
  <c r="M13" i="103"/>
  <c r="L13" i="103"/>
  <c r="N12" i="103"/>
  <c r="M12" i="103"/>
  <c r="L12" i="103"/>
  <c r="N11" i="103"/>
  <c r="M11" i="103"/>
  <c r="L11" i="103"/>
  <c r="N10" i="103"/>
  <c r="M10" i="103"/>
  <c r="L10" i="103"/>
  <c r="N9" i="103"/>
  <c r="M9" i="103"/>
  <c r="L9" i="103"/>
  <c r="I17" i="103"/>
  <c r="H17" i="103"/>
  <c r="G17" i="103"/>
  <c r="I16" i="103"/>
  <c r="H16" i="103"/>
  <c r="G16" i="103"/>
  <c r="I15" i="103"/>
  <c r="H15" i="103"/>
  <c r="G15" i="103"/>
  <c r="I14" i="103"/>
  <c r="H14" i="103"/>
  <c r="G14" i="103"/>
  <c r="I13" i="103"/>
  <c r="H13" i="103"/>
  <c r="G13" i="103"/>
  <c r="I12" i="103"/>
  <c r="H12" i="103"/>
  <c r="G12" i="103"/>
  <c r="I11" i="103"/>
  <c r="H11" i="103"/>
  <c r="G11" i="103"/>
  <c r="I10" i="103"/>
  <c r="H10" i="103"/>
  <c r="G10" i="103"/>
  <c r="I9" i="103"/>
  <c r="H9" i="103"/>
  <c r="G9" i="103"/>
  <c r="C9" i="103"/>
  <c r="D9" i="103"/>
  <c r="C10" i="103"/>
  <c r="D10" i="103"/>
  <c r="C11" i="103"/>
  <c r="D11" i="103"/>
  <c r="C12" i="103"/>
  <c r="D12" i="103"/>
  <c r="C13" i="103"/>
  <c r="D13" i="103"/>
  <c r="C14" i="103"/>
  <c r="D14" i="103"/>
  <c r="C15" i="103"/>
  <c r="D15" i="103"/>
  <c r="C16" i="103"/>
  <c r="D16" i="103"/>
  <c r="C17" i="103"/>
  <c r="D17" i="103"/>
  <c r="B10" i="103"/>
  <c r="B11" i="103"/>
  <c r="B12" i="103"/>
  <c r="B13" i="103"/>
  <c r="B14" i="103"/>
  <c r="B15" i="103"/>
  <c r="B16" i="103"/>
  <c r="B17" i="103"/>
  <c r="B9" i="103"/>
  <c r="A380" i="103"/>
  <c r="A363" i="103"/>
  <c r="A346" i="103"/>
  <c r="A329" i="103"/>
  <c r="A312" i="103"/>
  <c r="A295" i="103"/>
  <c r="A278" i="103"/>
  <c r="A261" i="103"/>
  <c r="A244" i="103"/>
  <c r="A227" i="103"/>
  <c r="A210" i="103"/>
  <c r="A193" i="103"/>
  <c r="A176" i="103"/>
  <c r="A159" i="103"/>
  <c r="A142" i="103"/>
  <c r="A125" i="103"/>
  <c r="A108" i="103"/>
  <c r="A91" i="103"/>
  <c r="A74" i="103"/>
  <c r="A57" i="103"/>
  <c r="A40" i="103"/>
  <c r="A23" i="103"/>
  <c r="K9" i="101"/>
  <c r="K10" i="101"/>
  <c r="K11" i="101"/>
  <c r="K12" i="101"/>
  <c r="K13" i="101"/>
  <c r="K14" i="101"/>
  <c r="K15" i="101"/>
  <c r="K16" i="101"/>
  <c r="K17" i="101"/>
  <c r="J10" i="101"/>
  <c r="J11" i="101"/>
  <c r="J12" i="101"/>
  <c r="J13" i="101"/>
  <c r="J14" i="101"/>
  <c r="J15" i="101"/>
  <c r="J16" i="101"/>
  <c r="J17" i="101"/>
  <c r="J9" i="101"/>
  <c r="G9" i="101"/>
  <c r="G10" i="101"/>
  <c r="G11" i="101"/>
  <c r="G12" i="101"/>
  <c r="G13" i="101"/>
  <c r="G14" i="101"/>
  <c r="G15" i="101"/>
  <c r="G16" i="101"/>
  <c r="G17" i="101"/>
  <c r="F10" i="101"/>
  <c r="F11" i="101"/>
  <c r="F12" i="101"/>
  <c r="F13" i="101"/>
  <c r="F14" i="101"/>
  <c r="F15" i="101"/>
  <c r="F16" i="101"/>
  <c r="F17" i="101"/>
  <c r="F9" i="101"/>
  <c r="C9" i="101"/>
  <c r="C10" i="101"/>
  <c r="C11" i="101"/>
  <c r="C12" i="101"/>
  <c r="C13" i="101"/>
  <c r="C14" i="101"/>
  <c r="C15" i="101"/>
  <c r="C16" i="101"/>
  <c r="C17" i="101"/>
  <c r="B10" i="101"/>
  <c r="B11" i="101"/>
  <c r="B12" i="101"/>
  <c r="B13" i="101"/>
  <c r="B14" i="101"/>
  <c r="B15" i="101"/>
  <c r="B16" i="101"/>
  <c r="B17" i="101"/>
  <c r="B9" i="101"/>
  <c r="A380" i="101"/>
  <c r="A363" i="101"/>
  <c r="A346" i="101"/>
  <c r="A329" i="101"/>
  <c r="A312" i="101"/>
  <c r="A295" i="101"/>
  <c r="A278" i="101"/>
  <c r="A261" i="101"/>
  <c r="A244" i="101"/>
  <c r="A227" i="101"/>
  <c r="A210" i="101"/>
  <c r="A193" i="101"/>
  <c r="A176" i="101"/>
  <c r="A159" i="101"/>
  <c r="A142" i="101"/>
  <c r="A125" i="101"/>
  <c r="A108" i="101"/>
  <c r="A91" i="101"/>
  <c r="A74" i="101"/>
  <c r="A57" i="101"/>
  <c r="A40" i="101"/>
  <c r="A23" i="101"/>
  <c r="F7" i="11" a="1"/>
  <c r="F9" i="11" s="1"/>
  <c r="E7" i="11" a="1"/>
  <c r="E7" i="11" s="1"/>
  <c r="D7" i="11" a="1"/>
  <c r="D9" i="11" s="1"/>
  <c r="C7" i="11" a="1"/>
  <c r="C8" i="11" s="1"/>
  <c r="B7" i="11" a="1"/>
  <c r="B10" i="11" s="1"/>
  <c r="H9" i="11" l="1"/>
  <c r="H22" i="11" s="1"/>
  <c r="I22" i="11"/>
  <c r="F8" i="11"/>
  <c r="F7" i="11"/>
  <c r="F12" i="11"/>
  <c r="F11" i="11"/>
  <c r="F10" i="11"/>
  <c r="E11" i="11"/>
  <c r="E12" i="11"/>
  <c r="E10" i="11"/>
  <c r="E9" i="11"/>
  <c r="E8" i="11"/>
  <c r="D8" i="11"/>
  <c r="D7" i="11"/>
  <c r="D12" i="11"/>
  <c r="D11" i="11"/>
  <c r="D10" i="11"/>
  <c r="C11" i="11"/>
  <c r="C10" i="11"/>
  <c r="C9" i="11"/>
  <c r="C7" i="11"/>
  <c r="C12" i="11"/>
  <c r="B9" i="11"/>
  <c r="N264" i="21" s="1"/>
  <c r="B8" i="11"/>
  <c r="B7" i="11"/>
  <c r="B12" i="11"/>
  <c r="B11" i="11"/>
  <c r="D37" i="11" l="1"/>
  <c r="R7" i="11"/>
  <c r="H10" i="11"/>
  <c r="J10" i="11" s="1"/>
  <c r="J23" i="11" s="1"/>
  <c r="H7" i="11"/>
  <c r="J7" i="11" s="1"/>
  <c r="J20" i="11" s="1"/>
  <c r="H11" i="11"/>
  <c r="J11" i="11" s="1"/>
  <c r="J24" i="11" s="1"/>
  <c r="H8" i="11"/>
  <c r="H21" i="11" s="1"/>
  <c r="I20" i="11"/>
  <c r="I23" i="11"/>
  <c r="H12" i="11"/>
  <c r="I24" i="11"/>
  <c r="I25" i="11"/>
  <c r="N265" i="21"/>
  <c r="I21" i="11"/>
  <c r="N262" i="21"/>
  <c r="J9" i="11"/>
  <c r="J22" i="11" s="1"/>
  <c r="N263" i="21"/>
  <c r="N261" i="21"/>
  <c r="N266" i="21"/>
  <c r="A1" i="5"/>
  <c r="B2" i="5" a="1"/>
  <c r="C2" i="5" s="1"/>
  <c r="H20" i="11" l="1"/>
  <c r="J8" i="11"/>
  <c r="J21" i="11" s="1"/>
  <c r="H14" i="11"/>
  <c r="H23" i="11"/>
  <c r="H24" i="11"/>
  <c r="H25" i="11"/>
  <c r="N2" i="5"/>
  <c r="B2" i="5"/>
  <c r="M2" i="5"/>
  <c r="L2" i="5"/>
  <c r="W2" i="5"/>
  <c r="K2" i="5"/>
  <c r="V2" i="5"/>
  <c r="J2" i="5"/>
  <c r="U2" i="5"/>
  <c r="I2" i="5"/>
  <c r="T2" i="5"/>
  <c r="H2" i="5"/>
  <c r="S2" i="5"/>
  <c r="G2" i="5"/>
  <c r="R2" i="5"/>
  <c r="F2" i="5"/>
  <c r="Q2" i="5"/>
  <c r="E2" i="5"/>
  <c r="P2" i="5"/>
  <c r="D2" i="5"/>
  <c r="O2" i="5"/>
  <c r="M83" i="75"/>
  <c r="M84" i="75"/>
  <c r="M85" i="75"/>
  <c r="M86" i="75"/>
  <c r="M87" i="75"/>
  <c r="M88" i="75"/>
  <c r="M89" i="75"/>
  <c r="M90" i="75"/>
  <c r="M91" i="75"/>
  <c r="M92" i="75"/>
  <c r="M93" i="75"/>
  <c r="M94" i="75"/>
  <c r="M95" i="75"/>
  <c r="M96" i="75"/>
  <c r="M97" i="75"/>
  <c r="M98" i="75"/>
  <c r="M99" i="75"/>
  <c r="M100" i="75"/>
  <c r="M101" i="75"/>
  <c r="M102" i="75"/>
  <c r="M103" i="75"/>
  <c r="M104" i="75"/>
  <c r="M105" i="75"/>
  <c r="M106" i="75"/>
  <c r="M82" i="75"/>
  <c r="L109" i="75"/>
  <c r="L83" i="75"/>
  <c r="L84" i="75"/>
  <c r="L85" i="75"/>
  <c r="L86" i="75"/>
  <c r="L87" i="75"/>
  <c r="L88" i="75"/>
  <c r="L89" i="75"/>
  <c r="L90" i="75"/>
  <c r="L91" i="75"/>
  <c r="L92" i="75"/>
  <c r="L93" i="75"/>
  <c r="L94" i="75"/>
  <c r="L95" i="75"/>
  <c r="L96" i="75"/>
  <c r="L97" i="75"/>
  <c r="L98" i="75"/>
  <c r="L99" i="75"/>
  <c r="L100" i="75"/>
  <c r="L101" i="75"/>
  <c r="L102" i="75"/>
  <c r="L103" i="75"/>
  <c r="L104" i="75"/>
  <c r="L105" i="75"/>
  <c r="L106" i="75"/>
  <c r="L82" i="75"/>
  <c r="AB180" i="71" l="1"/>
  <c r="AA180" i="71"/>
  <c r="Z180" i="71"/>
  <c r="Y180" i="71"/>
  <c r="X180" i="71"/>
  <c r="AB177" i="71"/>
  <c r="AA177" i="71"/>
  <c r="Z177" i="71"/>
  <c r="Y177" i="71"/>
  <c r="X177" i="71"/>
  <c r="AB176" i="71"/>
  <c r="AA176" i="71"/>
  <c r="Z176" i="71"/>
  <c r="Y176" i="71"/>
  <c r="X176" i="71"/>
  <c r="AB175" i="71"/>
  <c r="AA175" i="71"/>
  <c r="Z175" i="71"/>
  <c r="Y175" i="71"/>
  <c r="X175" i="71"/>
  <c r="AB174" i="71"/>
  <c r="AA174" i="71"/>
  <c r="Z174" i="71"/>
  <c r="Y174" i="71"/>
  <c r="X174" i="71"/>
  <c r="AB173" i="71"/>
  <c r="AA173" i="71"/>
  <c r="Z173" i="71"/>
  <c r="Y173" i="71"/>
  <c r="X173" i="71"/>
  <c r="AB172" i="71"/>
  <c r="AA172" i="71"/>
  <c r="Z172" i="71"/>
  <c r="Y172" i="71"/>
  <c r="X172" i="71"/>
  <c r="AB171" i="71"/>
  <c r="AA171" i="71"/>
  <c r="Z171" i="71"/>
  <c r="Y171" i="71"/>
  <c r="X171" i="71"/>
  <c r="AB170" i="71"/>
  <c r="AA170" i="71"/>
  <c r="Z170" i="71"/>
  <c r="Y170" i="71"/>
  <c r="X170" i="71"/>
  <c r="AB169" i="71"/>
  <c r="AA169" i="71"/>
  <c r="Z169" i="71"/>
  <c r="Y169" i="71"/>
  <c r="X169" i="71"/>
  <c r="AB168" i="71"/>
  <c r="AA168" i="71"/>
  <c r="Z168" i="71"/>
  <c r="Y168" i="71"/>
  <c r="X168" i="71"/>
  <c r="AB167" i="71"/>
  <c r="AA167" i="71"/>
  <c r="Z167" i="71"/>
  <c r="Y167" i="71"/>
  <c r="X167" i="71"/>
  <c r="AB166" i="71"/>
  <c r="AA166" i="71"/>
  <c r="Z166" i="71"/>
  <c r="Y166" i="71"/>
  <c r="X166" i="71"/>
  <c r="AB165" i="71"/>
  <c r="AA165" i="71"/>
  <c r="Z165" i="71"/>
  <c r="Y165" i="71"/>
  <c r="X165" i="71"/>
  <c r="AB164" i="71"/>
  <c r="AA164" i="71"/>
  <c r="Z164" i="71"/>
  <c r="Y164" i="71"/>
  <c r="X164" i="71"/>
  <c r="AB163" i="71"/>
  <c r="AA163" i="71"/>
  <c r="Z163" i="71"/>
  <c r="Y163" i="71"/>
  <c r="X163" i="71"/>
  <c r="AB162" i="71"/>
  <c r="AA162" i="71"/>
  <c r="Z162" i="71"/>
  <c r="Y162" i="71"/>
  <c r="X162" i="71"/>
  <c r="AB161" i="71"/>
  <c r="AA161" i="71"/>
  <c r="Z161" i="71"/>
  <c r="Y161" i="71"/>
  <c r="X161" i="71"/>
  <c r="AB160" i="71"/>
  <c r="AA160" i="71"/>
  <c r="Z160" i="71"/>
  <c r="Y160" i="71"/>
  <c r="X160" i="71"/>
  <c r="AB159" i="71"/>
  <c r="AA159" i="71"/>
  <c r="Z159" i="71"/>
  <c r="Y159" i="71"/>
  <c r="X159" i="71"/>
  <c r="AB158" i="71"/>
  <c r="AA158" i="71"/>
  <c r="Z158" i="71"/>
  <c r="Y158" i="71"/>
  <c r="X158" i="71"/>
  <c r="AB157" i="71"/>
  <c r="AA157" i="71"/>
  <c r="Z157" i="71"/>
  <c r="Y157" i="71"/>
  <c r="X157" i="71"/>
  <c r="AB156" i="71"/>
  <c r="AA156" i="71"/>
  <c r="Z156" i="71"/>
  <c r="Y156" i="71"/>
  <c r="X156" i="71"/>
  <c r="AB155" i="71"/>
  <c r="AA155" i="71"/>
  <c r="Z155" i="71"/>
  <c r="Y155" i="71"/>
  <c r="X155" i="71"/>
  <c r="AB154" i="71"/>
  <c r="AA154" i="71"/>
  <c r="Z154" i="71"/>
  <c r="Y154" i="71"/>
  <c r="X154" i="71"/>
  <c r="AB153" i="71"/>
  <c r="AA153" i="71"/>
  <c r="Z153" i="71"/>
  <c r="Y153" i="71"/>
  <c r="X153" i="71"/>
  <c r="AE151" i="71"/>
  <c r="AD151" i="71"/>
  <c r="AB151" i="71"/>
  <c r="AA151" i="71"/>
  <c r="Z151" i="71"/>
  <c r="Y151" i="71"/>
  <c r="X151" i="71"/>
  <c r="Q180" i="71"/>
  <c r="P180" i="71"/>
  <c r="O180" i="71"/>
  <c r="N180" i="71"/>
  <c r="M180" i="71"/>
  <c r="Q177" i="71"/>
  <c r="P177" i="71"/>
  <c r="O177" i="71"/>
  <c r="N177" i="71"/>
  <c r="M177" i="71"/>
  <c r="Q176" i="71"/>
  <c r="P176" i="71"/>
  <c r="O176" i="71"/>
  <c r="N176" i="71"/>
  <c r="M176" i="71"/>
  <c r="Q175" i="71"/>
  <c r="P175" i="71"/>
  <c r="O175" i="71"/>
  <c r="N175" i="71"/>
  <c r="M175" i="71"/>
  <c r="Q174" i="71"/>
  <c r="P174" i="71"/>
  <c r="O174" i="71"/>
  <c r="N174" i="71"/>
  <c r="M174" i="71"/>
  <c r="Q173" i="71"/>
  <c r="P173" i="71"/>
  <c r="O173" i="71"/>
  <c r="N173" i="71"/>
  <c r="M173" i="71"/>
  <c r="Q172" i="71"/>
  <c r="P172" i="71"/>
  <c r="O172" i="71"/>
  <c r="N172" i="71"/>
  <c r="M172" i="71"/>
  <c r="Q171" i="71"/>
  <c r="P171" i="71"/>
  <c r="O171" i="71"/>
  <c r="N171" i="71"/>
  <c r="M171" i="71"/>
  <c r="Q170" i="71"/>
  <c r="P170" i="71"/>
  <c r="O170" i="71"/>
  <c r="N170" i="71"/>
  <c r="M170" i="71"/>
  <c r="Q169" i="71"/>
  <c r="P169" i="71"/>
  <c r="O169" i="71"/>
  <c r="N169" i="71"/>
  <c r="M169" i="71"/>
  <c r="Q168" i="71"/>
  <c r="P168" i="71"/>
  <c r="O168" i="71"/>
  <c r="N168" i="71"/>
  <c r="M168" i="71"/>
  <c r="Q167" i="71"/>
  <c r="P167" i="71"/>
  <c r="O167" i="71"/>
  <c r="N167" i="71"/>
  <c r="M167" i="71"/>
  <c r="Q166" i="71"/>
  <c r="P166" i="71"/>
  <c r="O166" i="71"/>
  <c r="N166" i="71"/>
  <c r="M166" i="71"/>
  <c r="Q165" i="71"/>
  <c r="P165" i="71"/>
  <c r="O165" i="71"/>
  <c r="N165" i="71"/>
  <c r="M165" i="71"/>
  <c r="Q164" i="71"/>
  <c r="P164" i="71"/>
  <c r="O164" i="71"/>
  <c r="N164" i="71"/>
  <c r="M164" i="71"/>
  <c r="Q163" i="71"/>
  <c r="P163" i="71"/>
  <c r="O163" i="71"/>
  <c r="N163" i="71"/>
  <c r="M163" i="71"/>
  <c r="Q162" i="71"/>
  <c r="P162" i="71"/>
  <c r="O162" i="71"/>
  <c r="N162" i="71"/>
  <c r="M162" i="71"/>
  <c r="Q161" i="71"/>
  <c r="P161" i="71"/>
  <c r="O161" i="71"/>
  <c r="N161" i="71"/>
  <c r="M161" i="71"/>
  <c r="Q160" i="71"/>
  <c r="P160" i="71"/>
  <c r="O160" i="71"/>
  <c r="N160" i="71"/>
  <c r="M160" i="71"/>
  <c r="Q159" i="71"/>
  <c r="P159" i="71"/>
  <c r="O159" i="71"/>
  <c r="N159" i="71"/>
  <c r="M159" i="71"/>
  <c r="Q158" i="71"/>
  <c r="P158" i="71"/>
  <c r="O158" i="71"/>
  <c r="N158" i="71"/>
  <c r="M158" i="71"/>
  <c r="Q157" i="71"/>
  <c r="P157" i="71"/>
  <c r="O157" i="71"/>
  <c r="N157" i="71"/>
  <c r="M157" i="71"/>
  <c r="Q156" i="71"/>
  <c r="P156" i="71"/>
  <c r="O156" i="71"/>
  <c r="N156" i="71"/>
  <c r="M156" i="71"/>
  <c r="Q155" i="71"/>
  <c r="P155" i="71"/>
  <c r="O155" i="71"/>
  <c r="N155" i="71"/>
  <c r="M155" i="71"/>
  <c r="Q154" i="71"/>
  <c r="P154" i="71"/>
  <c r="O154" i="71"/>
  <c r="N154" i="71"/>
  <c r="M154" i="71"/>
  <c r="Q153" i="71"/>
  <c r="P153" i="71"/>
  <c r="O153" i="71"/>
  <c r="N153" i="71"/>
  <c r="M153" i="71"/>
  <c r="T151" i="71"/>
  <c r="S151" i="71"/>
  <c r="Q151" i="71"/>
  <c r="P151" i="71"/>
  <c r="O151" i="71"/>
  <c r="N151" i="71"/>
  <c r="M151" i="71"/>
  <c r="B154" i="71"/>
  <c r="C154" i="71"/>
  <c r="D154" i="71"/>
  <c r="E154" i="71"/>
  <c r="F154" i="71"/>
  <c r="B155" i="71"/>
  <c r="C155" i="71"/>
  <c r="D155" i="71"/>
  <c r="E155" i="71"/>
  <c r="F155" i="71"/>
  <c r="B156" i="71"/>
  <c r="C156" i="71"/>
  <c r="D156" i="71"/>
  <c r="E156" i="71"/>
  <c r="F156" i="71"/>
  <c r="B157" i="71"/>
  <c r="C157" i="71"/>
  <c r="D157" i="71"/>
  <c r="E157" i="71"/>
  <c r="F157" i="71"/>
  <c r="B158" i="71"/>
  <c r="C158" i="71"/>
  <c r="D158" i="71"/>
  <c r="E158" i="71"/>
  <c r="F158" i="71"/>
  <c r="B159" i="71"/>
  <c r="C159" i="71"/>
  <c r="D159" i="71"/>
  <c r="E159" i="71"/>
  <c r="F159" i="71"/>
  <c r="B160" i="71"/>
  <c r="C160" i="71"/>
  <c r="D160" i="71"/>
  <c r="E160" i="71"/>
  <c r="F160" i="71"/>
  <c r="B161" i="71"/>
  <c r="C161" i="71"/>
  <c r="D161" i="71"/>
  <c r="E161" i="71"/>
  <c r="F161" i="71"/>
  <c r="B162" i="71"/>
  <c r="C162" i="71"/>
  <c r="D162" i="71"/>
  <c r="E162" i="71"/>
  <c r="F162" i="71"/>
  <c r="B163" i="71"/>
  <c r="C163" i="71"/>
  <c r="D163" i="71"/>
  <c r="E163" i="71"/>
  <c r="F163" i="71"/>
  <c r="B164" i="71"/>
  <c r="C164" i="71"/>
  <c r="D164" i="71"/>
  <c r="E164" i="71"/>
  <c r="F164" i="71"/>
  <c r="B165" i="71"/>
  <c r="C165" i="71"/>
  <c r="D165" i="71"/>
  <c r="E165" i="71"/>
  <c r="F165" i="71"/>
  <c r="B166" i="71"/>
  <c r="C166" i="71"/>
  <c r="D166" i="71"/>
  <c r="E166" i="71"/>
  <c r="F166" i="71"/>
  <c r="B167" i="71"/>
  <c r="C167" i="71"/>
  <c r="D167" i="71"/>
  <c r="E167" i="71"/>
  <c r="F167" i="71"/>
  <c r="B168" i="71"/>
  <c r="C168" i="71"/>
  <c r="D168" i="71"/>
  <c r="E168" i="71"/>
  <c r="F168" i="71"/>
  <c r="B169" i="71"/>
  <c r="C169" i="71"/>
  <c r="D169" i="71"/>
  <c r="E169" i="71"/>
  <c r="F169" i="71"/>
  <c r="B170" i="71"/>
  <c r="C170" i="71"/>
  <c r="D170" i="71"/>
  <c r="E170" i="71"/>
  <c r="F170" i="71"/>
  <c r="B171" i="71"/>
  <c r="C171" i="71"/>
  <c r="D171" i="71"/>
  <c r="E171" i="71"/>
  <c r="F171" i="71"/>
  <c r="B172" i="71"/>
  <c r="C172" i="71"/>
  <c r="D172" i="71"/>
  <c r="E172" i="71"/>
  <c r="F172" i="71"/>
  <c r="B173" i="71"/>
  <c r="C173" i="71"/>
  <c r="D173" i="71"/>
  <c r="E173" i="71"/>
  <c r="F173" i="71"/>
  <c r="B174" i="71"/>
  <c r="C174" i="71"/>
  <c r="D174" i="71"/>
  <c r="E174" i="71"/>
  <c r="F174" i="71"/>
  <c r="B175" i="71"/>
  <c r="C175" i="71"/>
  <c r="D175" i="71"/>
  <c r="E175" i="71"/>
  <c r="F175" i="71"/>
  <c r="B176" i="71"/>
  <c r="C176" i="71"/>
  <c r="D176" i="71"/>
  <c r="E176" i="71"/>
  <c r="F176" i="71"/>
  <c r="B177" i="71"/>
  <c r="C177" i="71"/>
  <c r="D177" i="71"/>
  <c r="E177" i="71"/>
  <c r="F177" i="71"/>
  <c r="C153" i="71"/>
  <c r="D153" i="71"/>
  <c r="E153" i="71"/>
  <c r="F153" i="71"/>
  <c r="B153" i="71"/>
  <c r="I151" i="71"/>
  <c r="N6" i="75" s="1"/>
  <c r="N81" i="75" s="1"/>
  <c r="H151" i="71"/>
  <c r="M6" i="75" s="1"/>
  <c r="C151" i="71"/>
  <c r="D151" i="71"/>
  <c r="E151" i="71"/>
  <c r="F151" i="71"/>
  <c r="B151" i="71"/>
  <c r="P36" i="31"/>
  <c r="O64" i="31"/>
  <c r="O53" i="31"/>
  <c r="O54" i="31"/>
  <c r="O55" i="31"/>
  <c r="O56" i="31"/>
  <c r="O57" i="31"/>
  <c r="O58" i="31"/>
  <c r="O59" i="31"/>
  <c r="O60" i="31"/>
  <c r="O61" i="31"/>
  <c r="O65" i="31"/>
  <c r="O38" i="31"/>
  <c r="O39" i="31"/>
  <c r="O40" i="31"/>
  <c r="O41" i="31"/>
  <c r="O42" i="31"/>
  <c r="O43" i="31"/>
  <c r="O44" i="31"/>
  <c r="O45" i="31"/>
  <c r="O46" i="31"/>
  <c r="O47" i="31"/>
  <c r="O48" i="31"/>
  <c r="O49" i="31"/>
  <c r="O50" i="31"/>
  <c r="O51" i="31"/>
  <c r="O52" i="31"/>
  <c r="O37" i="31"/>
  <c r="Q36" i="31"/>
  <c r="P5" i="31"/>
  <c r="A1" i="75" l="1"/>
  <c r="T160" i="71"/>
  <c r="AD153" i="71"/>
  <c r="S165" i="71"/>
  <c r="AE178" i="71"/>
  <c r="AE174" i="71"/>
  <c r="AD178" i="71"/>
  <c r="T178" i="71"/>
  <c r="S178" i="71"/>
  <c r="I178" i="71"/>
  <c r="N9" i="75" s="1"/>
  <c r="H178" i="71"/>
  <c r="M9" i="75" s="1"/>
  <c r="H153" i="71"/>
  <c r="M50" i="75" s="1"/>
  <c r="M81" i="75"/>
  <c r="A80" i="75" s="1"/>
  <c r="S171" i="71"/>
  <c r="H158" i="71"/>
  <c r="M43" i="75" s="1"/>
  <c r="I163" i="71"/>
  <c r="N36" i="75" s="1"/>
  <c r="S157" i="71"/>
  <c r="S156" i="71"/>
  <c r="S168" i="71"/>
  <c r="AD165" i="71"/>
  <c r="AD159" i="71"/>
  <c r="AD168" i="71"/>
  <c r="AD174" i="71"/>
  <c r="T180" i="71"/>
  <c r="T176" i="71"/>
  <c r="AD171" i="71"/>
  <c r="AD177" i="71"/>
  <c r="I168" i="71"/>
  <c r="N27" i="75" s="1"/>
  <c r="I156" i="71"/>
  <c r="N45" i="75" s="1"/>
  <c r="S153" i="71"/>
  <c r="I157" i="71"/>
  <c r="N44" i="75" s="1"/>
  <c r="H164" i="71"/>
  <c r="M33" i="75" s="1"/>
  <c r="S154" i="71"/>
  <c r="H177" i="71"/>
  <c r="M10" i="75" s="1"/>
  <c r="H165" i="71"/>
  <c r="M32" i="75" s="1"/>
  <c r="I153" i="71"/>
  <c r="N50" i="75" s="1"/>
  <c r="S162" i="71"/>
  <c r="H154" i="71"/>
  <c r="M49" i="75" s="1"/>
  <c r="I175" i="71"/>
  <c r="N14" i="75" s="1"/>
  <c r="S174" i="71"/>
  <c r="I167" i="71"/>
  <c r="N28" i="75" s="1"/>
  <c r="I155" i="71"/>
  <c r="N46" i="75" s="1"/>
  <c r="S159" i="71"/>
  <c r="AD156" i="71"/>
  <c r="AD162" i="71"/>
  <c r="H176" i="71"/>
  <c r="M13" i="75" s="1"/>
  <c r="H175" i="71"/>
  <c r="M14" i="75" s="1"/>
  <c r="H163" i="71"/>
  <c r="M36" i="75" s="1"/>
  <c r="I166" i="71"/>
  <c r="N29" i="75" s="1"/>
  <c r="I154" i="71"/>
  <c r="N49" i="75" s="1"/>
  <c r="H174" i="71"/>
  <c r="M17" i="75" s="1"/>
  <c r="H162" i="71"/>
  <c r="M37" i="75" s="1"/>
  <c r="I177" i="71"/>
  <c r="N10" i="75" s="1"/>
  <c r="I165" i="71"/>
  <c r="N32" i="75" s="1"/>
  <c r="H173" i="71"/>
  <c r="M18" i="75" s="1"/>
  <c r="H161" i="71"/>
  <c r="M38" i="75" s="1"/>
  <c r="I176" i="71"/>
  <c r="N13" i="75" s="1"/>
  <c r="I164" i="71"/>
  <c r="N33" i="75" s="1"/>
  <c r="H172" i="71"/>
  <c r="M21" i="75" s="1"/>
  <c r="H160" i="71"/>
  <c r="M39" i="75" s="1"/>
  <c r="H171" i="71"/>
  <c r="M22" i="75" s="1"/>
  <c r="H159" i="71"/>
  <c r="M40" i="75" s="1"/>
  <c r="I174" i="71"/>
  <c r="N17" i="75" s="1"/>
  <c r="I162" i="71"/>
  <c r="N37" i="75" s="1"/>
  <c r="H170" i="71"/>
  <c r="M23" i="75" s="1"/>
  <c r="I173" i="71"/>
  <c r="N18" i="75" s="1"/>
  <c r="I161" i="71"/>
  <c r="N38" i="75" s="1"/>
  <c r="H169" i="71"/>
  <c r="M26" i="75" s="1"/>
  <c r="H157" i="71"/>
  <c r="M44" i="75" s="1"/>
  <c r="I172" i="71"/>
  <c r="N21" i="75" s="1"/>
  <c r="I160" i="71"/>
  <c r="N39" i="75" s="1"/>
  <c r="H168" i="71"/>
  <c r="M27" i="75" s="1"/>
  <c r="H156" i="71"/>
  <c r="M45" i="75" s="1"/>
  <c r="I171" i="71"/>
  <c r="N22" i="75" s="1"/>
  <c r="I159" i="71"/>
  <c r="N40" i="75" s="1"/>
  <c r="H167" i="71"/>
  <c r="M28" i="75" s="1"/>
  <c r="H155" i="71"/>
  <c r="M46" i="75" s="1"/>
  <c r="I170" i="71"/>
  <c r="N23" i="75" s="1"/>
  <c r="I158" i="71"/>
  <c r="N43" i="75" s="1"/>
  <c r="H166" i="71"/>
  <c r="M29" i="75" s="1"/>
  <c r="I169" i="71"/>
  <c r="N26" i="75" s="1"/>
  <c r="AD180" i="71"/>
  <c r="AE180" i="71"/>
  <c r="AE156" i="71"/>
  <c r="AE159" i="71"/>
  <c r="AE162" i="71"/>
  <c r="AE165" i="71"/>
  <c r="AE168" i="71"/>
  <c r="AE171" i="71"/>
  <c r="AE153" i="71"/>
  <c r="AE177" i="71"/>
  <c r="AD155" i="71"/>
  <c r="AD158" i="71"/>
  <c r="AD161" i="71"/>
  <c r="AD164" i="71"/>
  <c r="AD167" i="71"/>
  <c r="AD170" i="71"/>
  <c r="AD173" i="71"/>
  <c r="AD176" i="71"/>
  <c r="AE155" i="71"/>
  <c r="AE158" i="71"/>
  <c r="AE161" i="71"/>
  <c r="AE164" i="71"/>
  <c r="AE167" i="71"/>
  <c r="AE170" i="71"/>
  <c r="AE173" i="71"/>
  <c r="AE176" i="71"/>
  <c r="AD154" i="71"/>
  <c r="AD157" i="71"/>
  <c r="AD160" i="71"/>
  <c r="AD163" i="71"/>
  <c r="AD166" i="71"/>
  <c r="AD169" i="71"/>
  <c r="AD172" i="71"/>
  <c r="AD175" i="71"/>
  <c r="AE154" i="71"/>
  <c r="AE157" i="71"/>
  <c r="AE160" i="71"/>
  <c r="AE163" i="71"/>
  <c r="AE166" i="71"/>
  <c r="AE169" i="71"/>
  <c r="AE172" i="71"/>
  <c r="AE175" i="71"/>
  <c r="S175" i="71"/>
  <c r="S180" i="71"/>
  <c r="T157" i="71"/>
  <c r="T172" i="71"/>
  <c r="S177" i="71"/>
  <c r="T156" i="71"/>
  <c r="T162" i="71"/>
  <c r="T171" i="71"/>
  <c r="T153" i="71"/>
  <c r="T168" i="71"/>
  <c r="T174" i="71"/>
  <c r="T165" i="71"/>
  <c r="S155" i="71"/>
  <c r="S158" i="71"/>
  <c r="S161" i="71"/>
  <c r="S164" i="71"/>
  <c r="S167" i="71"/>
  <c r="S170" i="71"/>
  <c r="S173" i="71"/>
  <c r="S176" i="71"/>
  <c r="T159" i="71"/>
  <c r="T177" i="71"/>
  <c r="T155" i="71"/>
  <c r="T158" i="71"/>
  <c r="T161" i="71"/>
  <c r="T164" i="71"/>
  <c r="T167" i="71"/>
  <c r="T170" i="71"/>
  <c r="T173" i="71"/>
  <c r="S172" i="71"/>
  <c r="S160" i="71"/>
  <c r="S163" i="71"/>
  <c r="S166" i="71"/>
  <c r="S169" i="71"/>
  <c r="T154" i="71"/>
  <c r="T163" i="71"/>
  <c r="T166" i="71"/>
  <c r="T169" i="71"/>
  <c r="T175" i="71"/>
  <c r="Q18" i="109"/>
  <c r="Q9" i="109"/>
  <c r="Q10" i="109"/>
  <c r="Q11" i="109"/>
  <c r="Q12" i="109"/>
  <c r="Q13" i="109"/>
  <c r="Q14" i="109"/>
  <c r="Q15" i="109"/>
  <c r="Q16" i="109"/>
  <c r="Q8" i="109"/>
  <c r="AD18" i="109"/>
  <c r="AC18" i="109"/>
  <c r="AB18" i="109"/>
  <c r="AB32" i="109" s="1"/>
  <c r="Y18" i="109"/>
  <c r="X18" i="109"/>
  <c r="W18" i="109"/>
  <c r="T18" i="109"/>
  <c r="S18" i="109"/>
  <c r="R18" i="109"/>
  <c r="AE16" i="109"/>
  <c r="Z16" i="109"/>
  <c r="U16" i="109"/>
  <c r="AE15" i="109"/>
  <c r="Z15" i="109"/>
  <c r="U15" i="109"/>
  <c r="AE14" i="109"/>
  <c r="Z14" i="109"/>
  <c r="U14" i="109"/>
  <c r="AE13" i="109"/>
  <c r="Z13" i="109"/>
  <c r="U13" i="109"/>
  <c r="AE12" i="109"/>
  <c r="Z12" i="109"/>
  <c r="U12" i="109"/>
  <c r="AE11" i="109"/>
  <c r="Z11" i="109"/>
  <c r="U11" i="109"/>
  <c r="AE10" i="109"/>
  <c r="Z10" i="109"/>
  <c r="U10" i="109"/>
  <c r="AE9" i="109"/>
  <c r="Z9" i="109"/>
  <c r="U9" i="109"/>
  <c r="AE8" i="109"/>
  <c r="Z8" i="109"/>
  <c r="U8" i="109"/>
  <c r="O16" i="109"/>
  <c r="O15" i="109"/>
  <c r="O14" i="109"/>
  <c r="O13" i="109"/>
  <c r="O12" i="109"/>
  <c r="O11" i="109"/>
  <c r="O10" i="109"/>
  <c r="O9" i="109"/>
  <c r="O8" i="109"/>
  <c r="J16" i="109"/>
  <c r="J15" i="109"/>
  <c r="J14" i="109"/>
  <c r="J13" i="109"/>
  <c r="J12" i="109"/>
  <c r="J11" i="109"/>
  <c r="J10" i="109"/>
  <c r="J9" i="109"/>
  <c r="J8" i="109"/>
  <c r="Z18" i="109" l="1"/>
  <c r="AE18" i="109"/>
  <c r="U18" i="109"/>
  <c r="B36" i="103"/>
  <c r="AU16" i="109"/>
  <c r="AU15" i="109"/>
  <c r="AU14" i="109"/>
  <c r="AU13" i="109"/>
  <c r="AU12" i="109"/>
  <c r="AU11" i="109"/>
  <c r="AU10" i="109"/>
  <c r="AU9" i="109"/>
  <c r="AU8" i="109"/>
  <c r="AP16" i="109"/>
  <c r="AP15" i="109"/>
  <c r="AP14" i="109"/>
  <c r="AP13" i="109"/>
  <c r="AP12" i="109"/>
  <c r="AP11" i="109"/>
  <c r="AP10" i="109"/>
  <c r="AP9" i="109"/>
  <c r="AP8" i="109"/>
  <c r="AK16" i="109"/>
  <c r="AK15" i="109"/>
  <c r="AK14" i="109"/>
  <c r="AK13" i="109"/>
  <c r="AK12" i="109"/>
  <c r="AK11" i="109"/>
  <c r="AK10" i="109"/>
  <c r="AK9" i="109"/>
  <c r="AK8" i="109"/>
  <c r="AT18" i="109"/>
  <c r="AS18" i="109"/>
  <c r="AR18" i="109"/>
  <c r="AO18" i="109"/>
  <c r="AN18" i="109"/>
  <c r="AM18" i="109"/>
  <c r="AJ18" i="109"/>
  <c r="AI18" i="109"/>
  <c r="AI27" i="109" s="1"/>
  <c r="AH18" i="109"/>
  <c r="N18" i="109"/>
  <c r="M18" i="109"/>
  <c r="L18" i="109"/>
  <c r="I18" i="109"/>
  <c r="H18" i="109"/>
  <c r="G18" i="109"/>
  <c r="C18" i="109"/>
  <c r="D18" i="109"/>
  <c r="B18" i="109"/>
  <c r="B26" i="109" s="1"/>
  <c r="E8" i="109"/>
  <c r="AP18" i="109" l="1"/>
  <c r="AP36" i="109" s="1"/>
  <c r="AP47" i="109"/>
  <c r="AK18" i="109"/>
  <c r="AU18" i="109"/>
  <c r="AU54" i="109" s="1"/>
  <c r="O18" i="109"/>
  <c r="O33" i="109" s="1"/>
  <c r="J45" i="109"/>
  <c r="J18" i="109"/>
  <c r="J26" i="109" s="1"/>
  <c r="J50" i="109"/>
  <c r="E44" i="109"/>
  <c r="E9" i="109"/>
  <c r="O45" i="109" s="1"/>
  <c r="E10" i="109"/>
  <c r="E11" i="109"/>
  <c r="E47" i="109" s="1"/>
  <c r="E12" i="109"/>
  <c r="E13" i="109"/>
  <c r="E14" i="109"/>
  <c r="O50" i="109" s="1"/>
  <c r="E15" i="109"/>
  <c r="O51" i="109" s="1"/>
  <c r="E16" i="109"/>
  <c r="E18" i="109"/>
  <c r="AG18" i="109"/>
  <c r="AG9" i="109"/>
  <c r="AG10" i="109"/>
  <c r="AG11" i="109"/>
  <c r="AG12" i="109"/>
  <c r="AG13" i="109"/>
  <c r="AG14" i="109"/>
  <c r="AG15" i="109"/>
  <c r="AG16" i="109"/>
  <c r="AG8" i="109"/>
  <c r="AT54" i="109"/>
  <c r="AS54" i="109"/>
  <c r="AR54" i="109"/>
  <c r="AO54" i="109"/>
  <c r="N28" i="108" s="1"/>
  <c r="AN54" i="109"/>
  <c r="O28" i="108" s="1"/>
  <c r="AM54" i="109"/>
  <c r="P28" i="108" s="1"/>
  <c r="AJ54" i="109"/>
  <c r="AI54" i="109"/>
  <c r="AH54" i="109"/>
  <c r="AU52" i="109"/>
  <c r="AT52" i="109"/>
  <c r="AS52" i="109"/>
  <c r="AR52" i="109"/>
  <c r="AP52" i="109"/>
  <c r="AO52" i="109"/>
  <c r="N26" i="108" s="1"/>
  <c r="AN52" i="109"/>
  <c r="O26" i="108" s="1"/>
  <c r="AM52" i="109"/>
  <c r="P26" i="108" s="1"/>
  <c r="AK52" i="109"/>
  <c r="AJ52" i="109"/>
  <c r="AI52" i="109"/>
  <c r="AH52" i="109"/>
  <c r="AU51" i="109"/>
  <c r="AT51" i="109"/>
  <c r="AS51" i="109"/>
  <c r="AR51" i="109"/>
  <c r="AP51" i="109"/>
  <c r="AO51" i="109"/>
  <c r="N25" i="108" s="1"/>
  <c r="AN51" i="109"/>
  <c r="O25" i="108" s="1"/>
  <c r="AM51" i="109"/>
  <c r="P25" i="108" s="1"/>
  <c r="AK51" i="109"/>
  <c r="AJ51" i="109"/>
  <c r="AI51" i="109"/>
  <c r="AH51" i="109"/>
  <c r="AU50" i="109"/>
  <c r="AT50" i="109"/>
  <c r="AS50" i="109"/>
  <c r="AR50" i="109"/>
  <c r="AP50" i="109"/>
  <c r="AO50" i="109"/>
  <c r="N24" i="108" s="1"/>
  <c r="AN50" i="109"/>
  <c r="O24" i="108" s="1"/>
  <c r="AM50" i="109"/>
  <c r="P24" i="108" s="1"/>
  <c r="AK50" i="109"/>
  <c r="AJ50" i="109"/>
  <c r="AI50" i="109"/>
  <c r="AH50" i="109"/>
  <c r="AU49" i="109"/>
  <c r="AT49" i="109"/>
  <c r="AS49" i="109"/>
  <c r="AR49" i="109"/>
  <c r="AP49" i="109"/>
  <c r="AO49" i="109"/>
  <c r="N23" i="108" s="1"/>
  <c r="AN49" i="109"/>
  <c r="O23" i="108" s="1"/>
  <c r="AM49" i="109"/>
  <c r="P23" i="108" s="1"/>
  <c r="AK49" i="109"/>
  <c r="AJ49" i="109"/>
  <c r="AI49" i="109"/>
  <c r="AH49" i="109"/>
  <c r="AU48" i="109"/>
  <c r="AT48" i="109"/>
  <c r="AS48" i="109"/>
  <c r="AR48" i="109"/>
  <c r="AP48" i="109"/>
  <c r="AO48" i="109"/>
  <c r="N22" i="108" s="1"/>
  <c r="AN48" i="109"/>
  <c r="O22" i="108" s="1"/>
  <c r="AM48" i="109"/>
  <c r="P22" i="108" s="1"/>
  <c r="AK48" i="109"/>
  <c r="AJ48" i="109"/>
  <c r="AI48" i="109"/>
  <c r="AH48" i="109"/>
  <c r="AU47" i="109"/>
  <c r="AT47" i="109"/>
  <c r="AS47" i="109"/>
  <c r="AR47" i="109"/>
  <c r="AO47" i="109"/>
  <c r="N21" i="108" s="1"/>
  <c r="AN47" i="109"/>
  <c r="O21" i="108" s="1"/>
  <c r="AM47" i="109"/>
  <c r="P21" i="108" s="1"/>
  <c r="AK47" i="109"/>
  <c r="AJ47" i="109"/>
  <c r="AI47" i="109"/>
  <c r="AH47" i="109"/>
  <c r="AU46" i="109"/>
  <c r="AT46" i="109"/>
  <c r="AS46" i="109"/>
  <c r="AR46" i="109"/>
  <c r="AP46" i="109"/>
  <c r="AO46" i="109"/>
  <c r="N20" i="108" s="1"/>
  <c r="AN46" i="109"/>
  <c r="O20" i="108" s="1"/>
  <c r="AM46" i="109"/>
  <c r="P20" i="108" s="1"/>
  <c r="AK46" i="109"/>
  <c r="AJ46" i="109"/>
  <c r="AI46" i="109"/>
  <c r="AH46" i="109"/>
  <c r="AU45" i="109"/>
  <c r="AT45" i="109"/>
  <c r="AS45" i="109"/>
  <c r="AR45" i="109"/>
  <c r="AP45" i="109"/>
  <c r="AO45" i="109"/>
  <c r="N19" i="108" s="1"/>
  <c r="AN45" i="109"/>
  <c r="O19" i="108" s="1"/>
  <c r="AM45" i="109"/>
  <c r="P19" i="108" s="1"/>
  <c r="AK45" i="109"/>
  <c r="AJ45" i="109"/>
  <c r="AI45" i="109"/>
  <c r="AH45" i="109"/>
  <c r="AU44" i="109"/>
  <c r="AT44" i="109"/>
  <c r="AS44" i="109"/>
  <c r="AR44" i="109"/>
  <c r="AP44" i="109"/>
  <c r="AO44" i="109"/>
  <c r="N18" i="108" s="1"/>
  <c r="AN44" i="109"/>
  <c r="O18" i="108" s="1"/>
  <c r="AM44" i="109"/>
  <c r="P18" i="108" s="1"/>
  <c r="AK44" i="109"/>
  <c r="AJ44" i="109"/>
  <c r="AI44" i="109"/>
  <c r="AH44" i="109"/>
  <c r="AR41" i="109"/>
  <c r="AM41" i="109"/>
  <c r="AH41" i="109"/>
  <c r="AT36" i="109"/>
  <c r="AS36" i="109"/>
  <c r="AR36" i="109"/>
  <c r="AO36" i="109"/>
  <c r="AN36" i="109"/>
  <c r="AM36" i="109"/>
  <c r="AK36" i="109"/>
  <c r="AJ36" i="109"/>
  <c r="AI36" i="109"/>
  <c r="AH36" i="109"/>
  <c r="AU34" i="109"/>
  <c r="AT34" i="109"/>
  <c r="AS34" i="109"/>
  <c r="AR34" i="109"/>
  <c r="AO34" i="109"/>
  <c r="AN34" i="109"/>
  <c r="AM34" i="109"/>
  <c r="AK34" i="109"/>
  <c r="AJ34" i="109"/>
  <c r="AI34" i="109"/>
  <c r="AH34" i="109"/>
  <c r="AT33" i="109"/>
  <c r="AS33" i="109"/>
  <c r="AR33" i="109"/>
  <c r="AO33" i="109"/>
  <c r="AN33" i="109"/>
  <c r="AM33" i="109"/>
  <c r="AK33" i="109"/>
  <c r="AJ33" i="109"/>
  <c r="AI33" i="109"/>
  <c r="AH33" i="109"/>
  <c r="AT32" i="109"/>
  <c r="AS32" i="109"/>
  <c r="AR32" i="109"/>
  <c r="AO32" i="109"/>
  <c r="AN32" i="109"/>
  <c r="AM32" i="109"/>
  <c r="AK32" i="109"/>
  <c r="AJ32" i="109"/>
  <c r="AI32" i="109"/>
  <c r="AH32" i="109"/>
  <c r="AT31" i="109"/>
  <c r="AS31" i="109"/>
  <c r="AR31" i="109"/>
  <c r="AO31" i="109"/>
  <c r="AN31" i="109"/>
  <c r="AM31" i="109"/>
  <c r="AK31" i="109"/>
  <c r="AJ31" i="109"/>
  <c r="AI31" i="109"/>
  <c r="AH31" i="109"/>
  <c r="AU30" i="109"/>
  <c r="AT30" i="109"/>
  <c r="AS30" i="109"/>
  <c r="AR30" i="109"/>
  <c r="AO30" i="109"/>
  <c r="AN30" i="109"/>
  <c r="AM30" i="109"/>
  <c r="AK30" i="109"/>
  <c r="AJ30" i="109"/>
  <c r="AI30" i="109"/>
  <c r="AH30" i="109"/>
  <c r="AU29" i="109"/>
  <c r="AT29" i="109"/>
  <c r="AS29" i="109"/>
  <c r="AR29" i="109"/>
  <c r="AO29" i="109"/>
  <c r="AN29" i="109"/>
  <c r="AM29" i="109"/>
  <c r="AK29" i="109"/>
  <c r="AJ29" i="109"/>
  <c r="AI29" i="109"/>
  <c r="AH29" i="109"/>
  <c r="AT28" i="109"/>
  <c r="AS28" i="109"/>
  <c r="AR28" i="109"/>
  <c r="AO28" i="109"/>
  <c r="AN28" i="109"/>
  <c r="AM28" i="109"/>
  <c r="AK28" i="109"/>
  <c r="AJ28" i="109"/>
  <c r="AI28" i="109"/>
  <c r="AH28" i="109"/>
  <c r="AT27" i="109"/>
  <c r="AS27" i="109"/>
  <c r="AR27" i="109"/>
  <c r="AO27" i="109"/>
  <c r="AN27" i="109"/>
  <c r="AM27" i="109"/>
  <c r="AK27" i="109"/>
  <c r="AJ27" i="109"/>
  <c r="AH27" i="109"/>
  <c r="AT26" i="109"/>
  <c r="AS26" i="109"/>
  <c r="AR26" i="109"/>
  <c r="AO26" i="109"/>
  <c r="AN26" i="109"/>
  <c r="AM26" i="109"/>
  <c r="AJ26" i="109"/>
  <c r="AI26" i="109"/>
  <c r="AH26" i="109"/>
  <c r="AR23" i="109"/>
  <c r="AM23" i="109"/>
  <c r="AH23" i="109"/>
  <c r="W54" i="109"/>
  <c r="P43" i="108" s="1"/>
  <c r="U54" i="109"/>
  <c r="T54" i="109"/>
  <c r="W52" i="109"/>
  <c r="P41" i="108" s="1"/>
  <c r="U52" i="109"/>
  <c r="T52" i="109"/>
  <c r="W51" i="109"/>
  <c r="P40" i="108" s="1"/>
  <c r="U51" i="109"/>
  <c r="T51" i="109"/>
  <c r="W50" i="109"/>
  <c r="P39" i="108" s="1"/>
  <c r="U50" i="109"/>
  <c r="T50" i="109"/>
  <c r="W49" i="109"/>
  <c r="P38" i="108" s="1"/>
  <c r="U49" i="109"/>
  <c r="T49" i="109"/>
  <c r="W48" i="109"/>
  <c r="P37" i="108" s="1"/>
  <c r="U48" i="109"/>
  <c r="T48" i="109"/>
  <c r="W47" i="109"/>
  <c r="P36" i="108" s="1"/>
  <c r="U47" i="109"/>
  <c r="T47" i="109"/>
  <c r="P35" i="108"/>
  <c r="U46" i="109"/>
  <c r="T46" i="109"/>
  <c r="W45" i="109"/>
  <c r="P34" i="108" s="1"/>
  <c r="U45" i="109"/>
  <c r="T45" i="109"/>
  <c r="W44" i="109"/>
  <c r="P33" i="108" s="1"/>
  <c r="U44" i="109"/>
  <c r="T44" i="109"/>
  <c r="AB41" i="109"/>
  <c r="W41" i="109"/>
  <c r="R41" i="109"/>
  <c r="AB36" i="109"/>
  <c r="Z36" i="109"/>
  <c r="Y36" i="109"/>
  <c r="X36" i="109"/>
  <c r="W36" i="109"/>
  <c r="U36" i="109"/>
  <c r="T36" i="109"/>
  <c r="AB34" i="109"/>
  <c r="Z34" i="109"/>
  <c r="Y34" i="109"/>
  <c r="X34" i="109"/>
  <c r="W34" i="109"/>
  <c r="U34" i="109"/>
  <c r="T34" i="109"/>
  <c r="AB33" i="109"/>
  <c r="Z33" i="109"/>
  <c r="Y33" i="109"/>
  <c r="X33" i="109"/>
  <c r="W33" i="109"/>
  <c r="U33" i="109"/>
  <c r="T33" i="109"/>
  <c r="Z32" i="109"/>
  <c r="Y32" i="109"/>
  <c r="X32" i="109"/>
  <c r="W32" i="109"/>
  <c r="U32" i="109"/>
  <c r="T32" i="109"/>
  <c r="AB31" i="109"/>
  <c r="Z31" i="109"/>
  <c r="Y31" i="109"/>
  <c r="X31" i="109"/>
  <c r="W31" i="109"/>
  <c r="U31" i="109"/>
  <c r="T31" i="109"/>
  <c r="AB30" i="109"/>
  <c r="Z30" i="109"/>
  <c r="Y30" i="109"/>
  <c r="X30" i="109"/>
  <c r="W30" i="109"/>
  <c r="U30" i="109"/>
  <c r="T30" i="109"/>
  <c r="AB29" i="109"/>
  <c r="Z29" i="109"/>
  <c r="Y29" i="109"/>
  <c r="X29" i="109"/>
  <c r="W29" i="109"/>
  <c r="U29" i="109"/>
  <c r="T29" i="109"/>
  <c r="AB28" i="109"/>
  <c r="Z28" i="109"/>
  <c r="Y28" i="109"/>
  <c r="X28" i="109"/>
  <c r="W28" i="109"/>
  <c r="U28" i="109"/>
  <c r="T28" i="109"/>
  <c r="AB27" i="109"/>
  <c r="Z27" i="109"/>
  <c r="Y27" i="109"/>
  <c r="X27" i="109"/>
  <c r="W27" i="109"/>
  <c r="U27" i="109"/>
  <c r="T27" i="109"/>
  <c r="AB26" i="109"/>
  <c r="Z26" i="109"/>
  <c r="Y26" i="109"/>
  <c r="X26" i="109"/>
  <c r="W26" i="109"/>
  <c r="U26" i="109"/>
  <c r="T26" i="109"/>
  <c r="AB23" i="109"/>
  <c r="W23" i="109"/>
  <c r="R23" i="109"/>
  <c r="AD52" i="109"/>
  <c r="AD51" i="109"/>
  <c r="AD49" i="109"/>
  <c r="AD47" i="109"/>
  <c r="Y46" i="109"/>
  <c r="N35" i="108" s="1"/>
  <c r="AD45" i="109"/>
  <c r="S49" i="109"/>
  <c r="S48" i="109"/>
  <c r="S47" i="109"/>
  <c r="S45" i="109"/>
  <c r="C26" i="109"/>
  <c r="D26" i="109"/>
  <c r="G26" i="109"/>
  <c r="H26" i="109"/>
  <c r="I26" i="109"/>
  <c r="L26" i="109"/>
  <c r="M26" i="109"/>
  <c r="N26" i="109"/>
  <c r="C27" i="109"/>
  <c r="D27" i="109"/>
  <c r="G27" i="109"/>
  <c r="H27" i="109"/>
  <c r="I27" i="109"/>
  <c r="L27" i="109"/>
  <c r="M27" i="109"/>
  <c r="N27" i="109"/>
  <c r="C28" i="109"/>
  <c r="D28" i="109"/>
  <c r="G28" i="109"/>
  <c r="H28" i="109"/>
  <c r="I28" i="109"/>
  <c r="L28" i="109"/>
  <c r="M28" i="109"/>
  <c r="N28" i="109"/>
  <c r="C29" i="109"/>
  <c r="D29" i="109"/>
  <c r="G29" i="109"/>
  <c r="H29" i="109"/>
  <c r="I29" i="109"/>
  <c r="L29" i="109"/>
  <c r="M29" i="109"/>
  <c r="N29" i="109"/>
  <c r="O29" i="109"/>
  <c r="C30" i="109"/>
  <c r="D30" i="109"/>
  <c r="G30" i="109"/>
  <c r="H30" i="109"/>
  <c r="I30" i="109"/>
  <c r="L30" i="109"/>
  <c r="M30" i="109"/>
  <c r="N30" i="109"/>
  <c r="C31" i="109"/>
  <c r="D31" i="109"/>
  <c r="G31" i="109"/>
  <c r="H31" i="109"/>
  <c r="I31" i="109"/>
  <c r="L31" i="109"/>
  <c r="M31" i="109"/>
  <c r="N31" i="109"/>
  <c r="C32" i="109"/>
  <c r="D32" i="109"/>
  <c r="G32" i="109"/>
  <c r="H32" i="109"/>
  <c r="I32" i="109"/>
  <c r="L32" i="109"/>
  <c r="M32" i="109"/>
  <c r="N32" i="109"/>
  <c r="C33" i="109"/>
  <c r="D33" i="109"/>
  <c r="G33" i="109"/>
  <c r="H33" i="109"/>
  <c r="I33" i="109"/>
  <c r="L33" i="109"/>
  <c r="M33" i="109"/>
  <c r="N33" i="109"/>
  <c r="C34" i="109"/>
  <c r="D34" i="109"/>
  <c r="G34" i="109"/>
  <c r="H34" i="109"/>
  <c r="I34" i="109"/>
  <c r="L34" i="109"/>
  <c r="M34" i="109"/>
  <c r="N34" i="109"/>
  <c r="C36" i="109"/>
  <c r="D36" i="109"/>
  <c r="G36" i="109"/>
  <c r="H36" i="109"/>
  <c r="I36" i="109"/>
  <c r="L36" i="109"/>
  <c r="M36" i="109"/>
  <c r="N36" i="109"/>
  <c r="L45" i="109"/>
  <c r="M45" i="109"/>
  <c r="N45" i="109"/>
  <c r="L46" i="109"/>
  <c r="M46" i="109"/>
  <c r="N46" i="109"/>
  <c r="L47" i="109"/>
  <c r="M47" i="109"/>
  <c r="N47" i="109"/>
  <c r="L48" i="109"/>
  <c r="M48" i="109"/>
  <c r="N48" i="109"/>
  <c r="L49" i="109"/>
  <c r="M49" i="109"/>
  <c r="N49" i="109"/>
  <c r="L50" i="109"/>
  <c r="M50" i="109"/>
  <c r="N50" i="109"/>
  <c r="L51" i="109"/>
  <c r="M51" i="109"/>
  <c r="N51" i="109"/>
  <c r="L52" i="109"/>
  <c r="M52" i="109"/>
  <c r="N52" i="109"/>
  <c r="L54" i="109"/>
  <c r="M54" i="109"/>
  <c r="N54" i="109"/>
  <c r="M44" i="109"/>
  <c r="N44" i="109"/>
  <c r="L44" i="109"/>
  <c r="G45" i="109"/>
  <c r="P4" i="108" s="1"/>
  <c r="H45" i="109"/>
  <c r="O4" i="108" s="1"/>
  <c r="I45" i="109"/>
  <c r="N4" i="108" s="1"/>
  <c r="G46" i="109"/>
  <c r="P5" i="108" s="1"/>
  <c r="H46" i="109"/>
  <c r="O5" i="108" s="1"/>
  <c r="I46" i="109"/>
  <c r="N5" i="108" s="1"/>
  <c r="G47" i="109"/>
  <c r="P6" i="108" s="1"/>
  <c r="H47" i="109"/>
  <c r="O6" i="108" s="1"/>
  <c r="I47" i="109"/>
  <c r="N6" i="108" s="1"/>
  <c r="J47" i="109"/>
  <c r="G48" i="109"/>
  <c r="P7" i="108" s="1"/>
  <c r="H48" i="109"/>
  <c r="O7" i="108" s="1"/>
  <c r="I48" i="109"/>
  <c r="N7" i="108" s="1"/>
  <c r="G49" i="109"/>
  <c r="P8" i="108" s="1"/>
  <c r="H49" i="109"/>
  <c r="O8" i="108" s="1"/>
  <c r="I49" i="109"/>
  <c r="N8" i="108" s="1"/>
  <c r="J49" i="109"/>
  <c r="G50" i="109"/>
  <c r="P9" i="108" s="1"/>
  <c r="H50" i="109"/>
  <c r="O9" i="108" s="1"/>
  <c r="I50" i="109"/>
  <c r="N9" i="108" s="1"/>
  <c r="G51" i="109"/>
  <c r="P10" i="108" s="1"/>
  <c r="H51" i="109"/>
  <c r="O10" i="108" s="1"/>
  <c r="I51" i="109"/>
  <c r="N10" i="108" s="1"/>
  <c r="G52" i="109"/>
  <c r="P11" i="108" s="1"/>
  <c r="H52" i="109"/>
  <c r="O11" i="108" s="1"/>
  <c r="I52" i="109"/>
  <c r="N11" i="108" s="1"/>
  <c r="G54" i="109"/>
  <c r="P13" i="108" s="1"/>
  <c r="H54" i="109"/>
  <c r="O13" i="108" s="1"/>
  <c r="I54" i="109"/>
  <c r="N13" i="108" s="1"/>
  <c r="H44" i="109"/>
  <c r="O3" i="108" s="1"/>
  <c r="I44" i="109"/>
  <c r="N3" i="108" s="1"/>
  <c r="G44" i="109"/>
  <c r="P3" i="108" s="1"/>
  <c r="B45" i="109"/>
  <c r="C45" i="109"/>
  <c r="D45" i="109"/>
  <c r="B46" i="109"/>
  <c r="C46" i="109"/>
  <c r="D46" i="109"/>
  <c r="B47" i="109"/>
  <c r="C47" i="109"/>
  <c r="D47" i="109"/>
  <c r="B48" i="109"/>
  <c r="C48" i="109"/>
  <c r="D48" i="109"/>
  <c r="B49" i="109"/>
  <c r="C49" i="109"/>
  <c r="D49" i="109"/>
  <c r="B50" i="109"/>
  <c r="C50" i="109"/>
  <c r="D50" i="109"/>
  <c r="B51" i="109"/>
  <c r="C51" i="109"/>
  <c r="D51" i="109"/>
  <c r="B52" i="109"/>
  <c r="C52" i="109"/>
  <c r="D52" i="109"/>
  <c r="B54" i="109"/>
  <c r="C54" i="109"/>
  <c r="D54" i="109"/>
  <c r="C44" i="109"/>
  <c r="D44" i="109"/>
  <c r="B44" i="109"/>
  <c r="L41" i="109"/>
  <c r="G41" i="109"/>
  <c r="B41" i="109"/>
  <c r="L23" i="109"/>
  <c r="G23" i="109"/>
  <c r="B23" i="109"/>
  <c r="A8" i="109"/>
  <c r="AG26" i="109" s="1"/>
  <c r="A9" i="109"/>
  <c r="Q27" i="109" s="1"/>
  <c r="A10" i="109"/>
  <c r="Q28" i="109" s="1"/>
  <c r="A11" i="109"/>
  <c r="Q29" i="109" s="1"/>
  <c r="A12" i="109"/>
  <c r="Q30" i="109" s="1"/>
  <c r="A13" i="109"/>
  <c r="Q31" i="109" s="1"/>
  <c r="A14" i="109"/>
  <c r="Q32" i="109" s="1"/>
  <c r="A15" i="109"/>
  <c r="AG51" i="109" s="1"/>
  <c r="A16" i="109"/>
  <c r="AG34" i="109" s="1"/>
  <c r="A18" i="109"/>
  <c r="Q36" i="109" s="1"/>
  <c r="N1" i="108"/>
  <c r="M35" i="108"/>
  <c r="M43" i="108"/>
  <c r="M28" i="108"/>
  <c r="M13" i="108"/>
  <c r="M11" i="108"/>
  <c r="M26" i="108" s="1"/>
  <c r="M10" i="108"/>
  <c r="M40" i="108" s="1"/>
  <c r="M9" i="108"/>
  <c r="M39" i="108" s="1"/>
  <c r="M8" i="108"/>
  <c r="M38" i="108" s="1"/>
  <c r="M7" i="108"/>
  <c r="M37" i="108" s="1"/>
  <c r="M6" i="108"/>
  <c r="M21" i="108" s="1"/>
  <c r="M5" i="108"/>
  <c r="M20" i="108" s="1"/>
  <c r="M4" i="108"/>
  <c r="M34" i="108" s="1"/>
  <c r="M3" i="108"/>
  <c r="M18" i="108" s="1"/>
  <c r="M13" i="107"/>
  <c r="W14" i="106"/>
  <c r="M4" i="107"/>
  <c r="M5" i="107"/>
  <c r="M6" i="107"/>
  <c r="M7" i="107"/>
  <c r="M8" i="107"/>
  <c r="M9" i="107"/>
  <c r="M10" i="107"/>
  <c r="M11" i="107"/>
  <c r="M3" i="107"/>
  <c r="W5" i="106"/>
  <c r="W6" i="106"/>
  <c r="W7" i="106"/>
  <c r="W8" i="106"/>
  <c r="W9" i="106"/>
  <c r="W10" i="106"/>
  <c r="W11" i="106"/>
  <c r="W12" i="106"/>
  <c r="W4" i="106"/>
  <c r="W112" i="71"/>
  <c r="W35" i="71"/>
  <c r="W9" i="71"/>
  <c r="W154" i="71" s="1"/>
  <c r="W10" i="71"/>
  <c r="W11" i="71"/>
  <c r="W48" i="71" s="1"/>
  <c r="W12" i="71"/>
  <c r="W13" i="71"/>
  <c r="W158" i="71" s="1"/>
  <c r="W14" i="71"/>
  <c r="W159" i="71" s="1"/>
  <c r="W15" i="71"/>
  <c r="W160" i="71" s="1"/>
  <c r="W16" i="71"/>
  <c r="W161" i="71" s="1"/>
  <c r="W17" i="71"/>
  <c r="W162" i="71" s="1"/>
  <c r="W18" i="71"/>
  <c r="W19" i="71"/>
  <c r="W20" i="71"/>
  <c r="W21" i="71"/>
  <c r="W166" i="71" s="1"/>
  <c r="W22" i="71"/>
  <c r="W23" i="71"/>
  <c r="W60" i="71" s="1"/>
  <c r="W24" i="71"/>
  <c r="W61" i="71" s="1"/>
  <c r="W25" i="71"/>
  <c r="W170" i="71" s="1"/>
  <c r="W26" i="71"/>
  <c r="W171" i="71" s="1"/>
  <c r="W27" i="71"/>
  <c r="W172" i="71" s="1"/>
  <c r="W28" i="71"/>
  <c r="W173" i="71" s="1"/>
  <c r="W29" i="71"/>
  <c r="W30" i="71"/>
  <c r="W31" i="71"/>
  <c r="W32" i="71"/>
  <c r="W8" i="71"/>
  <c r="AB143" i="71"/>
  <c r="AA143" i="71"/>
  <c r="Z143" i="71"/>
  <c r="Y143" i="71"/>
  <c r="X143" i="71"/>
  <c r="AB142" i="71"/>
  <c r="AA142" i="71"/>
  <c r="Z142" i="71"/>
  <c r="Y142" i="71"/>
  <c r="X142" i="71"/>
  <c r="AB141" i="71"/>
  <c r="AA141" i="71"/>
  <c r="Z141" i="71"/>
  <c r="Y141" i="71"/>
  <c r="X141" i="71"/>
  <c r="AB140" i="71"/>
  <c r="AA140" i="71"/>
  <c r="Z140" i="71"/>
  <c r="Y140" i="71"/>
  <c r="X140" i="71"/>
  <c r="AB139" i="71"/>
  <c r="AA139" i="71"/>
  <c r="Z139" i="71"/>
  <c r="Y139" i="71"/>
  <c r="X139" i="71"/>
  <c r="AB138" i="71"/>
  <c r="AA138" i="71"/>
  <c r="Z138" i="71"/>
  <c r="Y138" i="71"/>
  <c r="X138" i="71"/>
  <c r="AB137" i="71"/>
  <c r="AA137" i="71"/>
  <c r="Z137" i="71"/>
  <c r="Y137" i="71"/>
  <c r="X137" i="71"/>
  <c r="AB136" i="71"/>
  <c r="AA136" i="71"/>
  <c r="Z136" i="71"/>
  <c r="Y136" i="71"/>
  <c r="X136" i="71"/>
  <c r="AB135" i="71"/>
  <c r="AA135" i="71"/>
  <c r="Z135" i="71"/>
  <c r="Y135" i="71"/>
  <c r="X135" i="71"/>
  <c r="AB134" i="71"/>
  <c r="AA134" i="71"/>
  <c r="Z134" i="71"/>
  <c r="Y134" i="71"/>
  <c r="X134" i="71"/>
  <c r="AB133" i="71"/>
  <c r="AA133" i="71"/>
  <c r="Z133" i="71"/>
  <c r="Y133" i="71"/>
  <c r="X133" i="71"/>
  <c r="AB132" i="71"/>
  <c r="AA132" i="71"/>
  <c r="Z132" i="71"/>
  <c r="Y132" i="71"/>
  <c r="X132" i="71"/>
  <c r="AB131" i="71"/>
  <c r="AA131" i="71"/>
  <c r="Z131" i="71"/>
  <c r="Y131" i="71"/>
  <c r="X131" i="71"/>
  <c r="W131" i="71"/>
  <c r="AB130" i="71"/>
  <c r="AA130" i="71"/>
  <c r="Z130" i="71"/>
  <c r="Y130" i="71"/>
  <c r="X130" i="71"/>
  <c r="AB129" i="71"/>
  <c r="AA129" i="71"/>
  <c r="Z129" i="71"/>
  <c r="Y129" i="71"/>
  <c r="X129" i="71"/>
  <c r="AB128" i="71"/>
  <c r="AA128" i="71"/>
  <c r="Z128" i="71"/>
  <c r="Y128" i="71"/>
  <c r="X128" i="71"/>
  <c r="AB127" i="71"/>
  <c r="AA127" i="71"/>
  <c r="Z127" i="71"/>
  <c r="Y127" i="71"/>
  <c r="X127" i="71"/>
  <c r="AB126" i="71"/>
  <c r="AA126" i="71"/>
  <c r="Z126" i="71"/>
  <c r="Y126" i="71"/>
  <c r="X126" i="71"/>
  <c r="AB125" i="71"/>
  <c r="AA125" i="71"/>
  <c r="Z125" i="71"/>
  <c r="Y125" i="71"/>
  <c r="X125" i="71"/>
  <c r="AB124" i="71"/>
  <c r="AA124" i="71"/>
  <c r="Z124" i="71"/>
  <c r="Y124" i="71"/>
  <c r="X124" i="71"/>
  <c r="AB123" i="71"/>
  <c r="AA123" i="71"/>
  <c r="Z123" i="71"/>
  <c r="Y123" i="71"/>
  <c r="X123" i="71"/>
  <c r="AB122" i="71"/>
  <c r="AA122" i="71"/>
  <c r="Z122" i="71"/>
  <c r="Y122" i="71"/>
  <c r="X122" i="71"/>
  <c r="AB121" i="71"/>
  <c r="AA121" i="71"/>
  <c r="Z121" i="71"/>
  <c r="Y121" i="71"/>
  <c r="X121" i="71"/>
  <c r="AB120" i="71"/>
  <c r="AA120" i="71"/>
  <c r="Z120" i="71"/>
  <c r="Y120" i="71"/>
  <c r="X120" i="71"/>
  <c r="AB119" i="71"/>
  <c r="AA119" i="71"/>
  <c r="Z119" i="71"/>
  <c r="Y119" i="71"/>
  <c r="X119" i="71"/>
  <c r="AB117" i="71"/>
  <c r="AA117" i="71"/>
  <c r="Z117" i="71"/>
  <c r="Y117" i="71"/>
  <c r="X117" i="71"/>
  <c r="AB106" i="71"/>
  <c r="AA106" i="71"/>
  <c r="Z106" i="71"/>
  <c r="Y106" i="71"/>
  <c r="X106" i="71"/>
  <c r="AB105" i="71"/>
  <c r="AA105" i="71"/>
  <c r="Z105" i="71"/>
  <c r="Y105" i="71"/>
  <c r="X105" i="71"/>
  <c r="AB104" i="71"/>
  <c r="AA104" i="71"/>
  <c r="Z104" i="71"/>
  <c r="Y104" i="71"/>
  <c r="X104" i="71"/>
  <c r="AB103" i="71"/>
  <c r="AA103" i="71"/>
  <c r="Z103" i="71"/>
  <c r="Y103" i="71"/>
  <c r="X103" i="71"/>
  <c r="AB102" i="71"/>
  <c r="AA102" i="71"/>
  <c r="Z102" i="71"/>
  <c r="Y102" i="71"/>
  <c r="X102" i="71"/>
  <c r="AB101" i="71"/>
  <c r="AA101" i="71"/>
  <c r="Z101" i="71"/>
  <c r="Y101" i="71"/>
  <c r="X101" i="71"/>
  <c r="AB100" i="71"/>
  <c r="AA100" i="71"/>
  <c r="Z100" i="71"/>
  <c r="Y100" i="71"/>
  <c r="X100" i="71"/>
  <c r="AB99" i="71"/>
  <c r="AA99" i="71"/>
  <c r="Z99" i="71"/>
  <c r="Y99" i="71"/>
  <c r="X99" i="71"/>
  <c r="AB98" i="71"/>
  <c r="AA98" i="71"/>
  <c r="Z98" i="71"/>
  <c r="Y98" i="71"/>
  <c r="X98" i="71"/>
  <c r="AB97" i="71"/>
  <c r="AA97" i="71"/>
  <c r="Z97" i="71"/>
  <c r="Y97" i="71"/>
  <c r="X97" i="71"/>
  <c r="AB96" i="71"/>
  <c r="AA96" i="71"/>
  <c r="Z96" i="71"/>
  <c r="Y96" i="71"/>
  <c r="X96" i="71"/>
  <c r="AB95" i="71"/>
  <c r="AA95" i="71"/>
  <c r="Z95" i="71"/>
  <c r="Y95" i="71"/>
  <c r="X95" i="71"/>
  <c r="AB94" i="71"/>
  <c r="AA94" i="71"/>
  <c r="Z94" i="71"/>
  <c r="Y94" i="71"/>
  <c r="X94" i="71"/>
  <c r="AB93" i="71"/>
  <c r="AA93" i="71"/>
  <c r="Z93" i="71"/>
  <c r="Y93" i="71"/>
  <c r="X93" i="71"/>
  <c r="AB92" i="71"/>
  <c r="AA92" i="71"/>
  <c r="Z92" i="71"/>
  <c r="Y92" i="71"/>
  <c r="X92" i="71"/>
  <c r="AB91" i="71"/>
  <c r="AA91" i="71"/>
  <c r="Y91" i="71"/>
  <c r="X91" i="71"/>
  <c r="AB90" i="71"/>
  <c r="AA90" i="71"/>
  <c r="Z90" i="71"/>
  <c r="Y90" i="71"/>
  <c r="X90" i="71"/>
  <c r="AE89" i="71"/>
  <c r="AB89" i="71"/>
  <c r="AA89" i="71"/>
  <c r="Z89" i="71"/>
  <c r="Y89" i="71"/>
  <c r="X89" i="71"/>
  <c r="AB88" i="71"/>
  <c r="AA88" i="71"/>
  <c r="Z88" i="71"/>
  <c r="Y88" i="71"/>
  <c r="X88" i="71"/>
  <c r="AB87" i="71"/>
  <c r="AA87" i="71"/>
  <c r="Z87" i="71"/>
  <c r="Y87" i="71"/>
  <c r="X87" i="71"/>
  <c r="AB86" i="71"/>
  <c r="AA86" i="71"/>
  <c r="Z86" i="71"/>
  <c r="Y86" i="71"/>
  <c r="X86" i="71"/>
  <c r="AB85" i="71"/>
  <c r="AA85" i="71"/>
  <c r="Z85" i="71"/>
  <c r="Y85" i="71"/>
  <c r="X85" i="71"/>
  <c r="AB84" i="71"/>
  <c r="AA84" i="71"/>
  <c r="Z84" i="71"/>
  <c r="Y84" i="71"/>
  <c r="X84" i="71"/>
  <c r="AB83" i="71"/>
  <c r="AA83" i="71"/>
  <c r="Z83" i="71"/>
  <c r="Y83" i="71"/>
  <c r="X83" i="71"/>
  <c r="AB82" i="71"/>
  <c r="AA82" i="71"/>
  <c r="Z82" i="71"/>
  <c r="Y82" i="71"/>
  <c r="X82" i="71"/>
  <c r="AB80" i="71"/>
  <c r="AA80" i="71"/>
  <c r="Z80" i="71"/>
  <c r="Y80" i="71"/>
  <c r="X80" i="71"/>
  <c r="AA68" i="71"/>
  <c r="Y68" i="71"/>
  <c r="AB65" i="71"/>
  <c r="AA64" i="71"/>
  <c r="Y64" i="71"/>
  <c r="W63" i="71"/>
  <c r="AB61" i="71"/>
  <c r="AA60" i="71"/>
  <c r="Y60" i="71"/>
  <c r="Y58" i="71"/>
  <c r="AB57" i="71"/>
  <c r="AA56" i="71"/>
  <c r="Y56" i="71"/>
  <c r="Y54" i="71"/>
  <c r="AB53" i="71"/>
  <c r="Y53" i="71"/>
  <c r="AA52" i="71"/>
  <c r="Y52" i="71"/>
  <c r="Y50" i="71"/>
  <c r="AB49" i="71"/>
  <c r="Y49" i="71"/>
  <c r="AA48" i="71"/>
  <c r="Y48" i="71"/>
  <c r="Y46" i="71"/>
  <c r="AB45" i="71"/>
  <c r="Y45" i="71"/>
  <c r="AF43" i="71"/>
  <c r="AF80" i="71" s="1"/>
  <c r="AE43" i="71"/>
  <c r="AE80" i="71" s="1"/>
  <c r="AD43" i="71"/>
  <c r="AD80" i="71" s="1"/>
  <c r="AB43" i="71"/>
  <c r="AA43" i="71"/>
  <c r="Z43" i="71"/>
  <c r="Y43" i="71"/>
  <c r="X43" i="71"/>
  <c r="AF42" i="71"/>
  <c r="AF79" i="71" s="1"/>
  <c r="AE42" i="71"/>
  <c r="AE79" i="71" s="1"/>
  <c r="AD42" i="71"/>
  <c r="AD79" i="71" s="1"/>
  <c r="AB146" i="71"/>
  <c r="Z146" i="71"/>
  <c r="Y109" i="71"/>
  <c r="X146" i="71"/>
  <c r="X109" i="71"/>
  <c r="AE106" i="71"/>
  <c r="AD32" i="71"/>
  <c r="AE68" i="71"/>
  <c r="AD31" i="71"/>
  <c r="AD68" i="71" s="1"/>
  <c r="AD105" i="71" s="1"/>
  <c r="AE67" i="71"/>
  <c r="AD30" i="71"/>
  <c r="AD67" i="71" s="1"/>
  <c r="AD104" i="71" s="1"/>
  <c r="AE66" i="71"/>
  <c r="AD29" i="71"/>
  <c r="AE102" i="71"/>
  <c r="AD28" i="71"/>
  <c r="AD65" i="71" s="1"/>
  <c r="AD102" i="71" s="1"/>
  <c r="AE64" i="71"/>
  <c r="AD27" i="71"/>
  <c r="AF27" i="71" s="1"/>
  <c r="AF64" i="71" s="1"/>
  <c r="AF101" i="71" s="1"/>
  <c r="W138" i="71"/>
  <c r="AE63" i="71"/>
  <c r="AD26" i="71"/>
  <c r="AF26" i="71" s="1"/>
  <c r="AF63" i="71" s="1"/>
  <c r="AF100" i="71" s="1"/>
  <c r="W100" i="71"/>
  <c r="AE62" i="71"/>
  <c r="AD25" i="71"/>
  <c r="AF25" i="71" s="1"/>
  <c r="AF62" i="71" s="1"/>
  <c r="AF99" i="71" s="1"/>
  <c r="W99" i="71"/>
  <c r="AE98" i="71"/>
  <c r="AD24" i="71"/>
  <c r="AD61" i="71" s="1"/>
  <c r="AD98" i="71" s="1"/>
  <c r="AE60" i="71"/>
  <c r="AD23" i="71"/>
  <c r="AF23" i="71" s="1"/>
  <c r="AF60" i="71" s="1"/>
  <c r="AF97" i="71" s="1"/>
  <c r="AE59" i="71"/>
  <c r="AD22" i="71"/>
  <c r="AD59" i="71" s="1"/>
  <c r="AD96" i="71" s="1"/>
  <c r="AE58" i="71"/>
  <c r="AD21" i="71"/>
  <c r="AD58" i="71" s="1"/>
  <c r="AD95" i="71" s="1"/>
  <c r="AE94" i="71"/>
  <c r="AD20" i="71"/>
  <c r="AF20" i="71" s="1"/>
  <c r="AF57" i="71" s="1"/>
  <c r="AF94" i="71" s="1"/>
  <c r="AE56" i="71"/>
  <c r="AD19" i="71"/>
  <c r="AD56" i="71" s="1"/>
  <c r="AD93" i="71" s="1"/>
  <c r="AE55" i="71"/>
  <c r="AD18" i="71"/>
  <c r="AF18" i="71" s="1"/>
  <c r="AF55" i="71" s="1"/>
  <c r="AF92" i="71" s="1"/>
  <c r="AE54" i="71"/>
  <c r="AD17" i="71"/>
  <c r="AF17" i="71" s="1"/>
  <c r="AF54" i="71" s="1"/>
  <c r="AF91" i="71" s="1"/>
  <c r="W91" i="71"/>
  <c r="AE90" i="71"/>
  <c r="AD16" i="71"/>
  <c r="AD53" i="71" s="1"/>
  <c r="AD90" i="71" s="1"/>
  <c r="AE52" i="71"/>
  <c r="AD15" i="71"/>
  <c r="AF15" i="71" s="1"/>
  <c r="AF52" i="71" s="1"/>
  <c r="AF89" i="71" s="1"/>
  <c r="AE51" i="71"/>
  <c r="AD14" i="71"/>
  <c r="AE50" i="71"/>
  <c r="AD13" i="71"/>
  <c r="AF13" i="71" s="1"/>
  <c r="AF50" i="71" s="1"/>
  <c r="AF87" i="71" s="1"/>
  <c r="AE86" i="71"/>
  <c r="AD12" i="71"/>
  <c r="AD49" i="71" s="1"/>
  <c r="AD86" i="71" s="1"/>
  <c r="AE48" i="71"/>
  <c r="AD11" i="71"/>
  <c r="AE47" i="71"/>
  <c r="AD10" i="71"/>
  <c r="AD47" i="71" s="1"/>
  <c r="AD84" i="71" s="1"/>
  <c r="AE46" i="71"/>
  <c r="AD9" i="71"/>
  <c r="W83" i="71"/>
  <c r="AE82" i="71"/>
  <c r="AD8" i="71"/>
  <c r="AF8" i="71" s="1"/>
  <c r="AD4" i="71"/>
  <c r="L112" i="71"/>
  <c r="L35" i="71"/>
  <c r="L9" i="71"/>
  <c r="L10" i="71"/>
  <c r="L11" i="71"/>
  <c r="L122" i="71" s="1"/>
  <c r="L12" i="71"/>
  <c r="L13" i="71"/>
  <c r="L158" i="71" s="1"/>
  <c r="L14" i="71"/>
  <c r="L159" i="71" s="1"/>
  <c r="L15" i="71"/>
  <c r="L160" i="71" s="1"/>
  <c r="L16" i="71"/>
  <c r="L17" i="71"/>
  <c r="L91" i="71" s="1"/>
  <c r="L18" i="71"/>
  <c r="L19" i="71"/>
  <c r="L164" i="71" s="1"/>
  <c r="L20" i="71"/>
  <c r="L165" i="71" s="1"/>
  <c r="L21" i="71"/>
  <c r="L166" i="71" s="1"/>
  <c r="L22" i="71"/>
  <c r="L23" i="71"/>
  <c r="L24" i="71"/>
  <c r="L25" i="71"/>
  <c r="L170" i="71" s="1"/>
  <c r="L26" i="71"/>
  <c r="L63" i="71" s="1"/>
  <c r="L27" i="71"/>
  <c r="L172" i="71" s="1"/>
  <c r="L28" i="71"/>
  <c r="L173" i="71" s="1"/>
  <c r="L29" i="71"/>
  <c r="L103" i="71" s="1"/>
  <c r="L30" i="71"/>
  <c r="L31" i="71"/>
  <c r="L176" i="71" s="1"/>
  <c r="L32" i="71"/>
  <c r="L69" i="71" s="1"/>
  <c r="L8" i="71"/>
  <c r="Q143" i="71"/>
  <c r="P143" i="71"/>
  <c r="O143" i="71"/>
  <c r="N143" i="71"/>
  <c r="M143" i="71"/>
  <c r="Q142" i="71"/>
  <c r="P142" i="71"/>
  <c r="O142" i="71"/>
  <c r="N142" i="71"/>
  <c r="M142" i="71"/>
  <c r="Q141" i="71"/>
  <c r="P141" i="71"/>
  <c r="O141" i="71"/>
  <c r="N141" i="71"/>
  <c r="M141" i="71"/>
  <c r="Q140" i="71"/>
  <c r="P140" i="71"/>
  <c r="O140" i="71"/>
  <c r="N140" i="71"/>
  <c r="M140" i="71"/>
  <c r="Q139" i="71"/>
  <c r="P139" i="71"/>
  <c r="O139" i="71"/>
  <c r="N139" i="71"/>
  <c r="M139" i="71"/>
  <c r="Q138" i="71"/>
  <c r="P138" i="71"/>
  <c r="O138" i="71"/>
  <c r="N138" i="71"/>
  <c r="M138" i="71"/>
  <c r="Q137" i="71"/>
  <c r="P137" i="71"/>
  <c r="O137" i="71"/>
  <c r="N137" i="71"/>
  <c r="M137" i="71"/>
  <c r="Q136" i="71"/>
  <c r="P136" i="71"/>
  <c r="O136" i="71"/>
  <c r="N136" i="71"/>
  <c r="M136" i="71"/>
  <c r="Q135" i="71"/>
  <c r="P135" i="71"/>
  <c r="O135" i="71"/>
  <c r="N135" i="71"/>
  <c r="M135" i="71"/>
  <c r="Q134" i="71"/>
  <c r="P134" i="71"/>
  <c r="O134" i="71"/>
  <c r="N134" i="71"/>
  <c r="M134" i="71"/>
  <c r="Q133" i="71"/>
  <c r="P133" i="71"/>
  <c r="O133" i="71"/>
  <c r="N133" i="71"/>
  <c r="M133" i="71"/>
  <c r="Q132" i="71"/>
  <c r="P132" i="71"/>
  <c r="O132" i="71"/>
  <c r="N132" i="71"/>
  <c r="M132" i="71"/>
  <c r="Q131" i="71"/>
  <c r="P131" i="71"/>
  <c r="O131" i="71"/>
  <c r="N131" i="71"/>
  <c r="M131" i="71"/>
  <c r="Q130" i="71"/>
  <c r="P130" i="71"/>
  <c r="O130" i="71"/>
  <c r="N130" i="71"/>
  <c r="M130" i="71"/>
  <c r="Q129" i="71"/>
  <c r="P129" i="71"/>
  <c r="O129" i="71"/>
  <c r="N129" i="71"/>
  <c r="M129" i="71"/>
  <c r="Q128" i="71"/>
  <c r="P128" i="71"/>
  <c r="O128" i="71"/>
  <c r="N128" i="71"/>
  <c r="M128" i="71"/>
  <c r="Q127" i="71"/>
  <c r="P127" i="71"/>
  <c r="O127" i="71"/>
  <c r="N127" i="71"/>
  <c r="M127" i="71"/>
  <c r="Q126" i="71"/>
  <c r="P126" i="71"/>
  <c r="O126" i="71"/>
  <c r="N126" i="71"/>
  <c r="M126" i="71"/>
  <c r="Q125" i="71"/>
  <c r="P125" i="71"/>
  <c r="O125" i="71"/>
  <c r="N125" i="71"/>
  <c r="M125" i="71"/>
  <c r="Q124" i="71"/>
  <c r="P124" i="71"/>
  <c r="O124" i="71"/>
  <c r="N124" i="71"/>
  <c r="M124" i="71"/>
  <c r="Q123" i="71"/>
  <c r="P123" i="71"/>
  <c r="O123" i="71"/>
  <c r="N123" i="71"/>
  <c r="M123" i="71"/>
  <c r="Q122" i="71"/>
  <c r="P122" i="71"/>
  <c r="O122" i="71"/>
  <c r="N122" i="71"/>
  <c r="M122" i="71"/>
  <c r="Q121" i="71"/>
  <c r="P121" i="71"/>
  <c r="O121" i="71"/>
  <c r="N121" i="71"/>
  <c r="M121" i="71"/>
  <c r="Q120" i="71"/>
  <c r="P120" i="71"/>
  <c r="O120" i="71"/>
  <c r="N120" i="71"/>
  <c r="M120" i="71"/>
  <c r="Q119" i="71"/>
  <c r="P119" i="71"/>
  <c r="O119" i="71"/>
  <c r="N119" i="71"/>
  <c r="M119" i="71"/>
  <c r="Q117" i="71"/>
  <c r="P117" i="71"/>
  <c r="O117" i="71"/>
  <c r="N117" i="71"/>
  <c r="M117" i="71"/>
  <c r="Q106" i="71"/>
  <c r="P106" i="71"/>
  <c r="O106" i="71"/>
  <c r="N106" i="71"/>
  <c r="M106" i="71"/>
  <c r="Q105" i="71"/>
  <c r="P105" i="71"/>
  <c r="O105" i="71"/>
  <c r="N105" i="71"/>
  <c r="M105" i="71"/>
  <c r="Q104" i="71"/>
  <c r="P104" i="71"/>
  <c r="O104" i="71"/>
  <c r="N104" i="71"/>
  <c r="M104" i="71"/>
  <c r="Q103" i="71"/>
  <c r="P103" i="71"/>
  <c r="O103" i="71"/>
  <c r="N103" i="71"/>
  <c r="M103" i="71"/>
  <c r="Q102" i="71"/>
  <c r="P102" i="71"/>
  <c r="O102" i="71"/>
  <c r="N102" i="71"/>
  <c r="M102" i="71"/>
  <c r="Q101" i="71"/>
  <c r="P101" i="71"/>
  <c r="O101" i="71"/>
  <c r="N101" i="71"/>
  <c r="M101" i="71"/>
  <c r="Q100" i="71"/>
  <c r="P100" i="71"/>
  <c r="O100" i="71"/>
  <c r="N100" i="71"/>
  <c r="M100" i="71"/>
  <c r="Q99" i="71"/>
  <c r="P99" i="71"/>
  <c r="O99" i="71"/>
  <c r="N99" i="71"/>
  <c r="M99" i="71"/>
  <c r="Q98" i="71"/>
  <c r="P98" i="71"/>
  <c r="O98" i="71"/>
  <c r="N98" i="71"/>
  <c r="M98" i="71"/>
  <c r="Q97" i="71"/>
  <c r="P97" i="71"/>
  <c r="O97" i="71"/>
  <c r="N97" i="71"/>
  <c r="M97" i="71"/>
  <c r="Q96" i="71"/>
  <c r="P96" i="71"/>
  <c r="O96" i="71"/>
  <c r="N96" i="71"/>
  <c r="M96" i="71"/>
  <c r="Q95" i="71"/>
  <c r="P95" i="71"/>
  <c r="O95" i="71"/>
  <c r="N95" i="71"/>
  <c r="M95" i="71"/>
  <c r="Q94" i="71"/>
  <c r="P94" i="71"/>
  <c r="O94" i="71"/>
  <c r="N94" i="71"/>
  <c r="M94" i="71"/>
  <c r="Q93" i="71"/>
  <c r="P93" i="71"/>
  <c r="O93" i="71"/>
  <c r="N93" i="71"/>
  <c r="M93" i="71"/>
  <c r="Q92" i="71"/>
  <c r="P92" i="71"/>
  <c r="O92" i="71"/>
  <c r="N92" i="71"/>
  <c r="M92" i="71"/>
  <c r="Q91" i="71"/>
  <c r="P91" i="71"/>
  <c r="O91" i="71"/>
  <c r="N91" i="71"/>
  <c r="M91" i="71"/>
  <c r="Q90" i="71"/>
  <c r="P90" i="71"/>
  <c r="O90" i="71"/>
  <c r="N90" i="71"/>
  <c r="M90" i="71"/>
  <c r="P89" i="71"/>
  <c r="O89" i="71"/>
  <c r="N89" i="71"/>
  <c r="M89" i="71"/>
  <c r="Q88" i="71"/>
  <c r="P88" i="71"/>
  <c r="O88" i="71"/>
  <c r="N88" i="71"/>
  <c r="M88" i="71"/>
  <c r="Q87" i="71"/>
  <c r="P87" i="71"/>
  <c r="O87" i="71"/>
  <c r="N87" i="71"/>
  <c r="M87" i="71"/>
  <c r="Q86" i="71"/>
  <c r="P86" i="71"/>
  <c r="O86" i="71"/>
  <c r="N86" i="71"/>
  <c r="M86" i="71"/>
  <c r="Q85" i="71"/>
  <c r="P85" i="71"/>
  <c r="O85" i="71"/>
  <c r="N85" i="71"/>
  <c r="M85" i="71"/>
  <c r="Q84" i="71"/>
  <c r="P84" i="71"/>
  <c r="O84" i="71"/>
  <c r="N84" i="71"/>
  <c r="M84" i="71"/>
  <c r="Q83" i="71"/>
  <c r="P83" i="71"/>
  <c r="O83" i="71"/>
  <c r="N83" i="71"/>
  <c r="M83" i="71"/>
  <c r="Q82" i="71"/>
  <c r="P82" i="71"/>
  <c r="O82" i="71"/>
  <c r="N82" i="71"/>
  <c r="M82" i="71"/>
  <c r="Q80" i="71"/>
  <c r="P80" i="71"/>
  <c r="O80" i="71"/>
  <c r="N80" i="71"/>
  <c r="M80" i="71"/>
  <c r="L51" i="71"/>
  <c r="U43" i="71"/>
  <c r="U80" i="71" s="1"/>
  <c r="T43" i="71"/>
  <c r="T80" i="71" s="1"/>
  <c r="S43" i="71"/>
  <c r="S80" i="71" s="1"/>
  <c r="Q43" i="71"/>
  <c r="P43" i="71"/>
  <c r="O43" i="71"/>
  <c r="N43" i="71"/>
  <c r="M43" i="71"/>
  <c r="U42" i="71"/>
  <c r="U79" i="71" s="1"/>
  <c r="T42" i="71"/>
  <c r="T79" i="71" s="1"/>
  <c r="S42" i="71"/>
  <c r="S79" i="71" s="1"/>
  <c r="Q72" i="71"/>
  <c r="M68" i="71"/>
  <c r="T106" i="71"/>
  <c r="S32" i="71"/>
  <c r="S69" i="71" s="1"/>
  <c r="S106" i="71" s="1"/>
  <c r="T68" i="71"/>
  <c r="S31" i="71"/>
  <c r="T67" i="71"/>
  <c r="S30" i="71"/>
  <c r="S67" i="71" s="1"/>
  <c r="S104" i="71" s="1"/>
  <c r="T66" i="71"/>
  <c r="S29" i="71"/>
  <c r="S66" i="71" s="1"/>
  <c r="S103" i="71" s="1"/>
  <c r="T102" i="71"/>
  <c r="S28" i="71"/>
  <c r="S65" i="71" s="1"/>
  <c r="S102" i="71" s="1"/>
  <c r="T64" i="71"/>
  <c r="S27" i="71"/>
  <c r="S64" i="71" s="1"/>
  <c r="S101" i="71" s="1"/>
  <c r="T63" i="71"/>
  <c r="S26" i="71"/>
  <c r="S63" i="71" s="1"/>
  <c r="S100" i="71" s="1"/>
  <c r="T62" i="71"/>
  <c r="S25" i="71"/>
  <c r="S62" i="71" s="1"/>
  <c r="S99" i="71" s="1"/>
  <c r="L99" i="71"/>
  <c r="T98" i="71"/>
  <c r="S24" i="71"/>
  <c r="U24" i="71" s="1"/>
  <c r="U61" i="71" s="1"/>
  <c r="U98" i="71" s="1"/>
  <c r="T97" i="71"/>
  <c r="S23" i="71"/>
  <c r="S60" i="71" s="1"/>
  <c r="S97" i="71" s="1"/>
  <c r="T59" i="71"/>
  <c r="S22" i="71"/>
  <c r="S59" i="71" s="1"/>
  <c r="S96" i="71" s="1"/>
  <c r="T58" i="71"/>
  <c r="S21" i="71"/>
  <c r="S58" i="71" s="1"/>
  <c r="S95" i="71" s="1"/>
  <c r="T94" i="71"/>
  <c r="S20" i="71"/>
  <c r="S57" i="71" s="1"/>
  <c r="S94" i="71" s="1"/>
  <c r="T56" i="71"/>
  <c r="S19" i="71"/>
  <c r="S56" i="71" s="1"/>
  <c r="S93" i="71" s="1"/>
  <c r="T55" i="71"/>
  <c r="S18" i="71"/>
  <c r="S55" i="71" s="1"/>
  <c r="S92" i="71" s="1"/>
  <c r="T54" i="71"/>
  <c r="S17" i="71"/>
  <c r="S54" i="71" s="1"/>
  <c r="S91" i="71" s="1"/>
  <c r="T90" i="71"/>
  <c r="S16" i="71"/>
  <c r="S53" i="71" s="1"/>
  <c r="S90" i="71" s="1"/>
  <c r="T52" i="71"/>
  <c r="S15" i="71"/>
  <c r="S52" i="71" s="1"/>
  <c r="S89" i="71" s="1"/>
  <c r="T51" i="71"/>
  <c r="S14" i="71"/>
  <c r="S51" i="71" s="1"/>
  <c r="S88" i="71" s="1"/>
  <c r="L88" i="71"/>
  <c r="T50" i="71"/>
  <c r="S13" i="71"/>
  <c r="S50" i="71" s="1"/>
  <c r="S87" i="71" s="1"/>
  <c r="T86" i="71"/>
  <c r="S12" i="71"/>
  <c r="S49" i="71" s="1"/>
  <c r="S86" i="71" s="1"/>
  <c r="T85" i="71"/>
  <c r="S11" i="71"/>
  <c r="S48" i="71" s="1"/>
  <c r="S85" i="71" s="1"/>
  <c r="T47" i="71"/>
  <c r="S10" i="71"/>
  <c r="S47" i="71" s="1"/>
  <c r="S84" i="71" s="1"/>
  <c r="T46" i="71"/>
  <c r="S9" i="71"/>
  <c r="S46" i="71" s="1"/>
  <c r="S83" i="71" s="1"/>
  <c r="T82" i="71"/>
  <c r="S8" i="71"/>
  <c r="S45" i="71" s="1"/>
  <c r="S82" i="71" s="1"/>
  <c r="S4" i="71"/>
  <c r="Y6" i="16"/>
  <c r="Z6" i="16"/>
  <c r="AA6" i="16"/>
  <c r="AA79" i="16" s="1"/>
  <c r="AB6" i="16"/>
  <c r="X6" i="16"/>
  <c r="X79" i="16" s="1"/>
  <c r="W18" i="16"/>
  <c r="W90" i="16" s="1"/>
  <c r="W9" i="16"/>
  <c r="W81" i="16" s="1"/>
  <c r="W10" i="16"/>
  <c r="W82" i="16" s="1"/>
  <c r="W11" i="16"/>
  <c r="W83" i="16" s="1"/>
  <c r="W12" i="16"/>
  <c r="W84" i="16" s="1"/>
  <c r="W13" i="16"/>
  <c r="W85" i="16" s="1"/>
  <c r="W14" i="16"/>
  <c r="W86" i="16" s="1"/>
  <c r="W15" i="16"/>
  <c r="W87" i="16" s="1"/>
  <c r="W16" i="16"/>
  <c r="W8" i="16"/>
  <c r="W80" i="16" s="1"/>
  <c r="AF44" i="16"/>
  <c r="AE44" i="16"/>
  <c r="AD44" i="16"/>
  <c r="AF43" i="16"/>
  <c r="AE43" i="16"/>
  <c r="AD43" i="16"/>
  <c r="AF24" i="16"/>
  <c r="AE24" i="16"/>
  <c r="AD24" i="16"/>
  <c r="AF23" i="16"/>
  <c r="AE23" i="16"/>
  <c r="AD23" i="16"/>
  <c r="W88" i="16"/>
  <c r="N6" i="16"/>
  <c r="O6" i="16"/>
  <c r="P6" i="16"/>
  <c r="P24" i="16" s="1"/>
  <c r="Q6" i="16"/>
  <c r="M6" i="16"/>
  <c r="L18" i="16"/>
  <c r="L90" i="16" s="1"/>
  <c r="L9" i="16"/>
  <c r="L10" i="16"/>
  <c r="L11" i="16"/>
  <c r="L83" i="16" s="1"/>
  <c r="L12" i="16"/>
  <c r="L84" i="16" s="1"/>
  <c r="L13" i="16"/>
  <c r="L14" i="16"/>
  <c r="L86" i="16" s="1"/>
  <c r="L15" i="16"/>
  <c r="L87" i="16" s="1"/>
  <c r="L16" i="16"/>
  <c r="L88" i="16" s="1"/>
  <c r="L8" i="16"/>
  <c r="L80" i="16" s="1"/>
  <c r="U44" i="16"/>
  <c r="T44" i="16"/>
  <c r="S44" i="16"/>
  <c r="U43" i="16"/>
  <c r="T43" i="16"/>
  <c r="S43" i="16"/>
  <c r="U24" i="16"/>
  <c r="T24" i="16"/>
  <c r="S24" i="16"/>
  <c r="U23" i="16"/>
  <c r="T23" i="16"/>
  <c r="S23" i="16"/>
  <c r="L85" i="16"/>
  <c r="L82" i="16"/>
  <c r="L81" i="16"/>
  <c r="AP26" i="109" l="1"/>
  <c r="AK54" i="109"/>
  <c r="W1" i="16"/>
  <c r="A79" i="108"/>
  <c r="A40" i="108"/>
  <c r="A1" i="108"/>
  <c r="P48" i="16"/>
  <c r="AU28" i="109"/>
  <c r="AU27" i="109"/>
  <c r="AP54" i="109"/>
  <c r="AU36" i="109"/>
  <c r="AU33" i="109"/>
  <c r="AU32" i="109"/>
  <c r="AU31" i="109"/>
  <c r="AP27" i="109"/>
  <c r="AP28" i="109"/>
  <c r="AP29" i="109"/>
  <c r="AP30" i="109"/>
  <c r="AP31" i="109"/>
  <c r="AP32" i="109"/>
  <c r="AP33" i="109"/>
  <c r="AP34" i="109"/>
  <c r="AU26" i="109"/>
  <c r="AK26" i="109"/>
  <c r="Z79" i="16"/>
  <c r="AD85" i="16"/>
  <c r="W126" i="71"/>
  <c r="W135" i="71"/>
  <c r="W52" i="71"/>
  <c r="W90" i="71"/>
  <c r="L131" i="71"/>
  <c r="L126" i="71"/>
  <c r="L57" i="71"/>
  <c r="W88" i="71"/>
  <c r="M79" i="16"/>
  <c r="W39" i="16"/>
  <c r="W125" i="71"/>
  <c r="W137" i="71"/>
  <c r="L68" i="71"/>
  <c r="W51" i="71"/>
  <c r="W127" i="71"/>
  <c r="L65" i="71"/>
  <c r="W53" i="71"/>
  <c r="M41" i="108"/>
  <c r="M25" i="108"/>
  <c r="M19" i="108"/>
  <c r="M33" i="108"/>
  <c r="W64" i="71"/>
  <c r="L87" i="71"/>
  <c r="L56" i="71"/>
  <c r="W95" i="71"/>
  <c r="W102" i="71"/>
  <c r="L52" i="71"/>
  <c r="W65" i="71"/>
  <c r="W87" i="71"/>
  <c r="L138" i="71"/>
  <c r="L64" i="71"/>
  <c r="L95" i="71"/>
  <c r="L48" i="71"/>
  <c r="L156" i="71"/>
  <c r="W56" i="71"/>
  <c r="W164" i="71"/>
  <c r="W122" i="71"/>
  <c r="W156" i="71"/>
  <c r="M36" i="108"/>
  <c r="AG31" i="109"/>
  <c r="AG48" i="109"/>
  <c r="L100" i="71"/>
  <c r="L171" i="71"/>
  <c r="L55" i="71"/>
  <c r="L163" i="71"/>
  <c r="L84" i="71"/>
  <c r="L155" i="71"/>
  <c r="W55" i="71"/>
  <c r="W163" i="71"/>
  <c r="W121" i="71"/>
  <c r="W155" i="71"/>
  <c r="AG28" i="109"/>
  <c r="AG45" i="109"/>
  <c r="AG54" i="109"/>
  <c r="L45" i="71"/>
  <c r="L153" i="71"/>
  <c r="L54" i="71"/>
  <c r="L162" i="71"/>
  <c r="L83" i="71"/>
  <c r="L154" i="71"/>
  <c r="W119" i="71"/>
  <c r="W153" i="71"/>
  <c r="Q44" i="109"/>
  <c r="Q46" i="109"/>
  <c r="Q48" i="109"/>
  <c r="Q50" i="109"/>
  <c r="Q52" i="109"/>
  <c r="AG33" i="109"/>
  <c r="AG50" i="109"/>
  <c r="L143" i="71"/>
  <c r="L177" i="71"/>
  <c r="L135" i="71"/>
  <c r="L169" i="71"/>
  <c r="L53" i="71"/>
  <c r="L161" i="71"/>
  <c r="L109" i="71"/>
  <c r="L180" i="71"/>
  <c r="W106" i="71"/>
  <c r="W177" i="71"/>
  <c r="W98" i="71"/>
  <c r="W169" i="71"/>
  <c r="W109" i="71"/>
  <c r="W180" i="71"/>
  <c r="M24" i="108"/>
  <c r="AG30" i="109"/>
  <c r="AG47" i="109"/>
  <c r="L134" i="71"/>
  <c r="L168" i="71"/>
  <c r="W68" i="71"/>
  <c r="W176" i="71"/>
  <c r="W134" i="71"/>
  <c r="W168" i="71"/>
  <c r="M23" i="108"/>
  <c r="AG27" i="109"/>
  <c r="AG36" i="109"/>
  <c r="AG44" i="109"/>
  <c r="AG52" i="109"/>
  <c r="L67" i="71"/>
  <c r="L175" i="71"/>
  <c r="L96" i="71"/>
  <c r="L167" i="71"/>
  <c r="W141" i="71"/>
  <c r="W175" i="71"/>
  <c r="W133" i="71"/>
  <c r="W167" i="71"/>
  <c r="M22" i="108"/>
  <c r="AG32" i="109"/>
  <c r="AG49" i="109"/>
  <c r="L66" i="71"/>
  <c r="L174" i="71"/>
  <c r="W103" i="71"/>
  <c r="W174" i="71"/>
  <c r="Q45" i="109"/>
  <c r="Q47" i="109"/>
  <c r="Q49" i="109"/>
  <c r="Q51" i="109"/>
  <c r="Q54" i="109"/>
  <c r="AG29" i="109"/>
  <c r="AG46" i="109"/>
  <c r="L123" i="71"/>
  <c r="L157" i="71"/>
  <c r="W57" i="71"/>
  <c r="W165" i="71"/>
  <c r="W49" i="71"/>
  <c r="W157" i="71"/>
  <c r="Q26" i="109"/>
  <c r="Q33" i="109"/>
  <c r="Q34" i="109"/>
  <c r="T101" i="71"/>
  <c r="AF11" i="71"/>
  <c r="AF48" i="71" s="1"/>
  <c r="AF85" i="71" s="1"/>
  <c r="AE45" i="71"/>
  <c r="AE69" i="71"/>
  <c r="AE53" i="71"/>
  <c r="AE61" i="71"/>
  <c r="AE105" i="71"/>
  <c r="AF32" i="71"/>
  <c r="AF69" i="71" s="1"/>
  <c r="AF106" i="71" s="1"/>
  <c r="AE85" i="71"/>
  <c r="T93" i="71"/>
  <c r="AE101" i="71"/>
  <c r="AE49" i="71"/>
  <c r="U31" i="71"/>
  <c r="U68" i="71" s="1"/>
  <c r="U105" i="71" s="1"/>
  <c r="T89" i="71"/>
  <c r="T105" i="71"/>
  <c r="AF9" i="71"/>
  <c r="AF46" i="71" s="1"/>
  <c r="AF83" i="71" s="1"/>
  <c r="AF14" i="71"/>
  <c r="AF51" i="71" s="1"/>
  <c r="AF88" i="71" s="1"/>
  <c r="AE57" i="71"/>
  <c r="AE97" i="71"/>
  <c r="AE65" i="71"/>
  <c r="AF29" i="71"/>
  <c r="AF66" i="71" s="1"/>
  <c r="AF103" i="71" s="1"/>
  <c r="AE93" i="71"/>
  <c r="O31" i="109"/>
  <c r="E51" i="109"/>
  <c r="O54" i="109"/>
  <c r="O27" i="109"/>
  <c r="O34" i="109"/>
  <c r="AF21" i="71"/>
  <c r="AF58" i="71" s="1"/>
  <c r="AF95" i="71" s="1"/>
  <c r="AD69" i="71"/>
  <c r="AD106" i="71" s="1"/>
  <c r="AF12" i="71"/>
  <c r="AF49" i="71" s="1"/>
  <c r="AF86" i="71" s="1"/>
  <c r="AF30" i="71"/>
  <c r="AF67" i="71" s="1"/>
  <c r="AF104" i="71" s="1"/>
  <c r="E30" i="109"/>
  <c r="J34" i="109"/>
  <c r="E29" i="109"/>
  <c r="AD66" i="71"/>
  <c r="AD103" i="71" s="1"/>
  <c r="P79" i="16"/>
  <c r="AD54" i="71"/>
  <c r="AD91" i="71" s="1"/>
  <c r="AD62" i="71"/>
  <c r="AD99" i="71" s="1"/>
  <c r="AD50" i="71"/>
  <c r="AD87" i="71" s="1"/>
  <c r="AD63" i="71"/>
  <c r="AD100" i="71" s="1"/>
  <c r="X53" i="16"/>
  <c r="S61" i="71"/>
  <c r="S98" i="71" s="1"/>
  <c r="AD45" i="71"/>
  <c r="AD82" i="71" s="1"/>
  <c r="AD51" i="71"/>
  <c r="AD88" i="71" s="1"/>
  <c r="AD57" i="71"/>
  <c r="AD94" i="71" s="1"/>
  <c r="E36" i="109"/>
  <c r="E28" i="109"/>
  <c r="O26" i="109"/>
  <c r="O36" i="109"/>
  <c r="O28" i="109"/>
  <c r="O32" i="109"/>
  <c r="O30" i="109"/>
  <c r="E31" i="109"/>
  <c r="O49" i="109"/>
  <c r="E45" i="109"/>
  <c r="J33" i="109"/>
  <c r="J54" i="109"/>
  <c r="J29" i="109"/>
  <c r="J27" i="109"/>
  <c r="E54" i="109"/>
  <c r="J28" i="109"/>
  <c r="J30" i="109"/>
  <c r="J36" i="109"/>
  <c r="J31" i="109"/>
  <c r="J51" i="109"/>
  <c r="E33" i="109"/>
  <c r="E27" i="109"/>
  <c r="O47" i="109"/>
  <c r="J44" i="109"/>
  <c r="O46" i="109"/>
  <c r="E49" i="109"/>
  <c r="E46" i="109"/>
  <c r="E52" i="109"/>
  <c r="J46" i="109"/>
  <c r="E48" i="109"/>
  <c r="J52" i="109"/>
  <c r="N16" i="108"/>
  <c r="Q45" i="71"/>
  <c r="Q46" i="71"/>
  <c r="Q48" i="71"/>
  <c r="Q49" i="71"/>
  <c r="Q64" i="71"/>
  <c r="Q65" i="71"/>
  <c r="U18" i="71"/>
  <c r="U55" i="71" s="1"/>
  <c r="U92" i="71" s="1"/>
  <c r="Q53" i="71"/>
  <c r="Q68" i="71"/>
  <c r="M146" i="71"/>
  <c r="Q56" i="71"/>
  <c r="Q60" i="71"/>
  <c r="U12" i="71"/>
  <c r="U49" i="71" s="1"/>
  <c r="U86" i="71" s="1"/>
  <c r="N31" i="108"/>
  <c r="N49" i="71"/>
  <c r="U9" i="71"/>
  <c r="U46" i="71" s="1"/>
  <c r="U83" i="71" s="1"/>
  <c r="U21" i="71"/>
  <c r="U58" i="71" s="1"/>
  <c r="U95" i="71" s="1"/>
  <c r="N55" i="71"/>
  <c r="S4" i="16"/>
  <c r="S42" i="16" s="1"/>
  <c r="O79" i="16"/>
  <c r="U30" i="71"/>
  <c r="U67" i="71" s="1"/>
  <c r="U104" i="71" s="1"/>
  <c r="N45" i="71"/>
  <c r="N56" i="71"/>
  <c r="Q61" i="71"/>
  <c r="N67" i="71"/>
  <c r="N68" i="71"/>
  <c r="P146" i="71"/>
  <c r="N51" i="71"/>
  <c r="M109" i="71"/>
  <c r="U27" i="71"/>
  <c r="U64" i="71" s="1"/>
  <c r="U101" i="71" s="1"/>
  <c r="S68" i="71"/>
  <c r="S105" i="71" s="1"/>
  <c r="U11" i="71"/>
  <c r="U48" i="71" s="1"/>
  <c r="U85" i="71" s="1"/>
  <c r="N47" i="71"/>
  <c r="N57" i="71"/>
  <c r="N63" i="71"/>
  <c r="U15" i="71"/>
  <c r="U52" i="71" s="1"/>
  <c r="U89" i="71" s="1"/>
  <c r="N52" i="71"/>
  <c r="Q57" i="71"/>
  <c r="Q69" i="71"/>
  <c r="U23" i="71"/>
  <c r="U60" i="71" s="1"/>
  <c r="U97" i="71" s="1"/>
  <c r="N48" i="71"/>
  <c r="Q52" i="71"/>
  <c r="N53" i="71"/>
  <c r="N59" i="71"/>
  <c r="N64" i="71"/>
  <c r="N60" i="71"/>
  <c r="O146" i="71"/>
  <c r="O52" i="109"/>
  <c r="E50" i="109"/>
  <c r="J48" i="109"/>
  <c r="J32" i="109"/>
  <c r="E32" i="109"/>
  <c r="O48" i="109"/>
  <c r="E34" i="109"/>
  <c r="O44" i="109"/>
  <c r="E26" i="109"/>
  <c r="X52" i="109"/>
  <c r="O41" i="108" s="1"/>
  <c r="AD50" i="109"/>
  <c r="Y50" i="109"/>
  <c r="N39" i="108" s="1"/>
  <c r="R48" i="109"/>
  <c r="AB48" i="109"/>
  <c r="S50" i="109"/>
  <c r="AE26" i="109"/>
  <c r="AE44" i="109"/>
  <c r="Z44" i="109"/>
  <c r="Y45" i="109"/>
  <c r="N34" i="108" s="1"/>
  <c r="R51" i="109"/>
  <c r="Y47" i="109"/>
  <c r="N36" i="108" s="1"/>
  <c r="Y49" i="109"/>
  <c r="N38" i="108" s="1"/>
  <c r="AD46" i="109"/>
  <c r="Y51" i="109"/>
  <c r="N40" i="108" s="1"/>
  <c r="Y52" i="109"/>
  <c r="N41" i="108" s="1"/>
  <c r="AB51" i="109"/>
  <c r="A30" i="109"/>
  <c r="A27" i="109"/>
  <c r="A45" i="109"/>
  <c r="A49" i="109"/>
  <c r="A31" i="109"/>
  <c r="A54" i="109"/>
  <c r="A36" i="109"/>
  <c r="A47" i="109"/>
  <c r="A29" i="109"/>
  <c r="A33" i="109"/>
  <c r="A51" i="109"/>
  <c r="A44" i="109"/>
  <c r="A48" i="109"/>
  <c r="A52" i="109"/>
  <c r="A26" i="109"/>
  <c r="A46" i="109"/>
  <c r="A28" i="109"/>
  <c r="A50" i="109"/>
  <c r="A32" i="109"/>
  <c r="A34" i="109"/>
  <c r="W75" i="71"/>
  <c r="W104" i="71"/>
  <c r="W47" i="71"/>
  <c r="W92" i="71"/>
  <c r="W59" i="71"/>
  <c r="W94" i="71"/>
  <c r="W129" i="71"/>
  <c r="W130" i="71"/>
  <c r="W142" i="71"/>
  <c r="W86" i="71"/>
  <c r="W123" i="71"/>
  <c r="W67" i="71"/>
  <c r="W143" i="71"/>
  <c r="W69" i="71"/>
  <c r="W45" i="71"/>
  <c r="W82" i="71"/>
  <c r="AF45" i="71"/>
  <c r="AF82" i="71" s="1"/>
  <c r="X47" i="71"/>
  <c r="X55" i="71"/>
  <c r="Z109" i="71"/>
  <c r="AD35" i="71"/>
  <c r="AD72" i="71" s="1"/>
  <c r="AD109" i="71" s="1"/>
  <c r="Y47" i="71"/>
  <c r="AB48" i="71"/>
  <c r="Y51" i="71"/>
  <c r="AB52" i="71"/>
  <c r="Y55" i="71"/>
  <c r="AB56" i="71"/>
  <c r="Y59" i="71"/>
  <c r="AB60" i="71"/>
  <c r="Y63" i="71"/>
  <c r="AB64" i="71"/>
  <c r="Y67" i="71"/>
  <c r="AB68" i="71"/>
  <c r="AE84" i="71"/>
  <c r="AE88" i="71"/>
  <c r="AE92" i="71"/>
  <c r="AE96" i="71"/>
  <c r="AE100" i="71"/>
  <c r="AE104" i="71"/>
  <c r="AA109" i="71"/>
  <c r="AF10" i="71"/>
  <c r="AF47" i="71" s="1"/>
  <c r="AF84" i="71" s="1"/>
  <c r="AF16" i="71"/>
  <c r="AF53" i="71" s="1"/>
  <c r="AF90" i="71" s="1"/>
  <c r="AF19" i="71"/>
  <c r="AF56" i="71" s="1"/>
  <c r="AF93" i="71" s="1"/>
  <c r="AF22" i="71"/>
  <c r="AF59" i="71" s="1"/>
  <c r="AF96" i="71" s="1"/>
  <c r="AF28" i="71"/>
  <c r="AF65" i="71" s="1"/>
  <c r="AF102" i="71" s="1"/>
  <c r="AF31" i="71"/>
  <c r="AF68" i="71" s="1"/>
  <c r="AF105" i="71" s="1"/>
  <c r="AE72" i="71"/>
  <c r="W46" i="71"/>
  <c r="Z47" i="71"/>
  <c r="AD48" i="71"/>
  <c r="AD85" i="71" s="1"/>
  <c r="W50" i="71"/>
  <c r="Z51" i="71"/>
  <c r="AD52" i="71"/>
  <c r="AD89" i="71" s="1"/>
  <c r="W54" i="71"/>
  <c r="Z55" i="71"/>
  <c r="W58" i="71"/>
  <c r="Z59" i="71"/>
  <c r="AD60" i="71"/>
  <c r="AD97" i="71" s="1"/>
  <c r="W62" i="71"/>
  <c r="Z63" i="71"/>
  <c r="AD64" i="71"/>
  <c r="AD101" i="71" s="1"/>
  <c r="W66" i="71"/>
  <c r="Z67" i="71"/>
  <c r="W72" i="71"/>
  <c r="AB109" i="71"/>
  <c r="X63" i="71"/>
  <c r="X82" i="16"/>
  <c r="AA84" i="16"/>
  <c r="X46" i="71"/>
  <c r="AA47" i="71"/>
  <c r="X50" i="71"/>
  <c r="AA51" i="71"/>
  <c r="X54" i="71"/>
  <c r="AA55" i="71"/>
  <c r="X58" i="71"/>
  <c r="AA59" i="71"/>
  <c r="X62" i="71"/>
  <c r="AA63" i="71"/>
  <c r="X66" i="71"/>
  <c r="AA67" i="71"/>
  <c r="X72" i="71"/>
  <c r="W85" i="71"/>
  <c r="W89" i="71"/>
  <c r="W93" i="71"/>
  <c r="W97" i="71"/>
  <c r="W101" i="71"/>
  <c r="W105" i="71"/>
  <c r="X51" i="71"/>
  <c r="X59" i="71"/>
  <c r="X67" i="71"/>
  <c r="W139" i="71"/>
  <c r="X83" i="16"/>
  <c r="Z72" i="16"/>
  <c r="W38" i="71"/>
  <c r="AB47" i="71"/>
  <c r="AB51" i="71"/>
  <c r="AB55" i="71"/>
  <c r="AB59" i="71"/>
  <c r="Y62" i="71"/>
  <c r="AB63" i="71"/>
  <c r="Y66" i="71"/>
  <c r="AB67" i="71"/>
  <c r="Y72" i="71"/>
  <c r="AE83" i="71"/>
  <c r="AE87" i="71"/>
  <c r="AE91" i="71"/>
  <c r="AE95" i="71"/>
  <c r="AE99" i="71"/>
  <c r="AE103" i="71"/>
  <c r="Z46" i="71"/>
  <c r="Z50" i="71"/>
  <c r="Z54" i="71"/>
  <c r="AD55" i="71"/>
  <c r="AD92" i="71" s="1"/>
  <c r="Z58" i="71"/>
  <c r="Z62" i="71"/>
  <c r="Z66" i="71"/>
  <c r="Z72" i="71"/>
  <c r="X84" i="16"/>
  <c r="AE34" i="16"/>
  <c r="X45" i="71"/>
  <c r="AA46" i="71"/>
  <c r="X49" i="71"/>
  <c r="AA50" i="71"/>
  <c r="X53" i="71"/>
  <c r="AA54" i="71"/>
  <c r="X57" i="71"/>
  <c r="AA58" i="71"/>
  <c r="X61" i="71"/>
  <c r="AA62" i="71"/>
  <c r="X65" i="71"/>
  <c r="AA66" i="71"/>
  <c r="X69" i="71"/>
  <c r="AA72" i="71"/>
  <c r="W84" i="71"/>
  <c r="W96" i="71"/>
  <c r="W120" i="71"/>
  <c r="W124" i="71"/>
  <c r="W128" i="71"/>
  <c r="W132" i="71"/>
  <c r="W136" i="71"/>
  <c r="W140" i="71"/>
  <c r="W146" i="71"/>
  <c r="X85" i="16"/>
  <c r="X86" i="16"/>
  <c r="AB46" i="71"/>
  <c r="AB50" i="71"/>
  <c r="AB54" i="71"/>
  <c r="Y57" i="71"/>
  <c r="AB58" i="71"/>
  <c r="Y61" i="71"/>
  <c r="AB62" i="71"/>
  <c r="Y65" i="71"/>
  <c r="AB66" i="71"/>
  <c r="Y69" i="71"/>
  <c r="AB72" i="71"/>
  <c r="AD46" i="71"/>
  <c r="AD83" i="71" s="1"/>
  <c r="Z53" i="71"/>
  <c r="Z57" i="71"/>
  <c r="Z61" i="71"/>
  <c r="Z69" i="71"/>
  <c r="Y146" i="71"/>
  <c r="Z45" i="71"/>
  <c r="Z49" i="71"/>
  <c r="Z65" i="71"/>
  <c r="AA45" i="71"/>
  <c r="X48" i="71"/>
  <c r="AA49" i="71"/>
  <c r="X52" i="71"/>
  <c r="AA53" i="71"/>
  <c r="X56" i="71"/>
  <c r="AA57" i="71"/>
  <c r="X60" i="71"/>
  <c r="AA61" i="71"/>
  <c r="X64" i="71"/>
  <c r="AA65" i="71"/>
  <c r="X68" i="71"/>
  <c r="AA69" i="71"/>
  <c r="AF24" i="71"/>
  <c r="AF61" i="71" s="1"/>
  <c r="AF98" i="71" s="1"/>
  <c r="AB69" i="71"/>
  <c r="AA146" i="71"/>
  <c r="Z48" i="71"/>
  <c r="Z52" i="71"/>
  <c r="Z56" i="71"/>
  <c r="Z60" i="71"/>
  <c r="Z64" i="71"/>
  <c r="Z68" i="71"/>
  <c r="L75" i="71"/>
  <c r="L60" i="71"/>
  <c r="L92" i="71"/>
  <c r="L46" i="71"/>
  <c r="L49" i="71"/>
  <c r="L61" i="71"/>
  <c r="L104" i="71"/>
  <c r="L119" i="71"/>
  <c r="O52" i="71"/>
  <c r="O60" i="71"/>
  <c r="Q146" i="71"/>
  <c r="T45" i="71"/>
  <c r="M47" i="71"/>
  <c r="P48" i="71"/>
  <c r="T49" i="71"/>
  <c r="M51" i="71"/>
  <c r="P52" i="71"/>
  <c r="T53" i="71"/>
  <c r="M55" i="71"/>
  <c r="P56" i="71"/>
  <c r="T57" i="71"/>
  <c r="M59" i="71"/>
  <c r="P60" i="71"/>
  <c r="T61" i="71"/>
  <c r="M63" i="71"/>
  <c r="P64" i="71"/>
  <c r="T65" i="71"/>
  <c r="M67" i="71"/>
  <c r="P68" i="71"/>
  <c r="T69" i="71"/>
  <c r="L82" i="71"/>
  <c r="L86" i="71"/>
  <c r="L90" i="71"/>
  <c r="L94" i="71"/>
  <c r="L98" i="71"/>
  <c r="L102" i="71"/>
  <c r="L106" i="71"/>
  <c r="O109" i="71"/>
  <c r="L121" i="71"/>
  <c r="L125" i="71"/>
  <c r="L127" i="71"/>
  <c r="L129" i="71"/>
  <c r="L133" i="71"/>
  <c r="L137" i="71"/>
  <c r="L139" i="71"/>
  <c r="L141" i="71"/>
  <c r="L47" i="71"/>
  <c r="S72" i="71"/>
  <c r="S109" i="71" s="1"/>
  <c r="T84" i="71"/>
  <c r="T88" i="71"/>
  <c r="T92" i="71"/>
  <c r="T96" i="71"/>
  <c r="T100" i="71"/>
  <c r="T104" i="71"/>
  <c r="P109" i="71"/>
  <c r="M82" i="16"/>
  <c r="U10" i="71"/>
  <c r="U47" i="71" s="1"/>
  <c r="U84" i="71" s="1"/>
  <c r="U13" i="71"/>
  <c r="U50" i="71" s="1"/>
  <c r="U87" i="71" s="1"/>
  <c r="U16" i="71"/>
  <c r="U53" i="71" s="1"/>
  <c r="U90" i="71" s="1"/>
  <c r="U19" i="71"/>
  <c r="U56" i="71" s="1"/>
  <c r="U93" i="71" s="1"/>
  <c r="U22" i="71"/>
  <c r="U59" i="71" s="1"/>
  <c r="U96" i="71" s="1"/>
  <c r="U25" i="71"/>
  <c r="U62" i="71" s="1"/>
  <c r="U99" i="71" s="1"/>
  <c r="U28" i="71"/>
  <c r="U65" i="71" s="1"/>
  <c r="U102" i="71" s="1"/>
  <c r="T72" i="71"/>
  <c r="O47" i="71"/>
  <c r="L50" i="71"/>
  <c r="O51" i="71"/>
  <c r="O55" i="71"/>
  <c r="L58" i="71"/>
  <c r="O59" i="71"/>
  <c r="L62" i="71"/>
  <c r="O63" i="71"/>
  <c r="O67" i="71"/>
  <c r="L72" i="71"/>
  <c r="Q109" i="71"/>
  <c r="M46" i="71"/>
  <c r="P47" i="71"/>
  <c r="T48" i="71"/>
  <c r="M50" i="71"/>
  <c r="P51" i="71"/>
  <c r="M54" i="71"/>
  <c r="P55" i="71"/>
  <c r="M58" i="71"/>
  <c r="P59" i="71"/>
  <c r="T60" i="71"/>
  <c r="M62" i="71"/>
  <c r="P63" i="71"/>
  <c r="M66" i="71"/>
  <c r="P67" i="71"/>
  <c r="M72" i="71"/>
  <c r="L85" i="71"/>
  <c r="L89" i="71"/>
  <c r="L93" i="71"/>
  <c r="L97" i="71"/>
  <c r="L101" i="71"/>
  <c r="L105" i="71"/>
  <c r="L38" i="71"/>
  <c r="N46" i="71"/>
  <c r="Q47" i="71"/>
  <c r="N50" i="71"/>
  <c r="Q51" i="71"/>
  <c r="N54" i="71"/>
  <c r="Q55" i="71"/>
  <c r="N58" i="71"/>
  <c r="Q59" i="71"/>
  <c r="N62" i="71"/>
  <c r="Q63" i="71"/>
  <c r="N66" i="71"/>
  <c r="Q67" i="71"/>
  <c r="N72" i="71"/>
  <c r="T83" i="71"/>
  <c r="T87" i="71"/>
  <c r="T91" i="71"/>
  <c r="T95" i="71"/>
  <c r="T99" i="71"/>
  <c r="T103" i="71"/>
  <c r="L59" i="71"/>
  <c r="O46" i="71"/>
  <c r="O50" i="71"/>
  <c r="O54" i="71"/>
  <c r="O58" i="71"/>
  <c r="O62" i="71"/>
  <c r="O66" i="71"/>
  <c r="O72" i="71"/>
  <c r="U8" i="71"/>
  <c r="U14" i="71"/>
  <c r="U51" i="71" s="1"/>
  <c r="U88" i="71" s="1"/>
  <c r="U17" i="71"/>
  <c r="U54" i="71" s="1"/>
  <c r="U91" i="71" s="1"/>
  <c r="U20" i="71"/>
  <c r="U57" i="71" s="1"/>
  <c r="U94" i="71" s="1"/>
  <c r="U26" i="71"/>
  <c r="U63" i="71" s="1"/>
  <c r="U100" i="71" s="1"/>
  <c r="U29" i="71"/>
  <c r="U66" i="71" s="1"/>
  <c r="U103" i="71" s="1"/>
  <c r="U32" i="71"/>
  <c r="U69" i="71" s="1"/>
  <c r="U106" i="71" s="1"/>
  <c r="M45" i="71"/>
  <c r="P46" i="71"/>
  <c r="M49" i="71"/>
  <c r="P50" i="71"/>
  <c r="M53" i="71"/>
  <c r="P54" i="71"/>
  <c r="M57" i="71"/>
  <c r="P58" i="71"/>
  <c r="M61" i="71"/>
  <c r="P62" i="71"/>
  <c r="M65" i="71"/>
  <c r="P66" i="71"/>
  <c r="M69" i="71"/>
  <c r="P72" i="71"/>
  <c r="L120" i="71"/>
  <c r="L124" i="71"/>
  <c r="L128" i="71"/>
  <c r="L130" i="71"/>
  <c r="L132" i="71"/>
  <c r="L136" i="71"/>
  <c r="L140" i="71"/>
  <c r="L142" i="71"/>
  <c r="L146" i="71"/>
  <c r="Q50" i="71"/>
  <c r="Q54" i="71"/>
  <c r="Q58" i="71"/>
  <c r="N61" i="71"/>
  <c r="Q62" i="71"/>
  <c r="N65" i="71"/>
  <c r="Q66" i="71"/>
  <c r="N69" i="71"/>
  <c r="O48" i="71"/>
  <c r="O56" i="71"/>
  <c r="O64" i="71"/>
  <c r="O68" i="71"/>
  <c r="N109" i="71"/>
  <c r="O45" i="71"/>
  <c r="O49" i="71"/>
  <c r="O53" i="71"/>
  <c r="O57" i="71"/>
  <c r="O61" i="71"/>
  <c r="O65" i="71"/>
  <c r="O69" i="71"/>
  <c r="N146" i="71"/>
  <c r="P45" i="71"/>
  <c r="M48" i="71"/>
  <c r="P49" i="71"/>
  <c r="M52" i="71"/>
  <c r="P53" i="71"/>
  <c r="M56" i="71"/>
  <c r="P57" i="71"/>
  <c r="M60" i="71"/>
  <c r="P61" i="71"/>
  <c r="M64" i="71"/>
  <c r="P65" i="71"/>
  <c r="P69" i="71"/>
  <c r="AB24" i="16"/>
  <c r="Y87" i="16"/>
  <c r="Z88" i="16"/>
  <c r="AA87" i="16"/>
  <c r="X81" i="16"/>
  <c r="AB82" i="16"/>
  <c r="AA48" i="16"/>
  <c r="AB79" i="16"/>
  <c r="Y44" i="16"/>
  <c r="X44" i="16"/>
  <c r="AD79" i="16"/>
  <c r="X47" i="16"/>
  <c r="AA53" i="16"/>
  <c r="Z44" i="16"/>
  <c r="X62" i="16"/>
  <c r="AB54" i="16"/>
  <c r="AE88" i="16" s="1"/>
  <c r="Y62" i="16"/>
  <c r="AA44" i="16"/>
  <c r="AB44" i="16"/>
  <c r="AE79" i="16" s="1"/>
  <c r="Z62" i="16"/>
  <c r="Y72" i="16"/>
  <c r="X24" i="16"/>
  <c r="AA62" i="16"/>
  <c r="Z71" i="16"/>
  <c r="Y24" i="16"/>
  <c r="Z24" i="16"/>
  <c r="AB62" i="16"/>
  <c r="AD4" i="16"/>
  <c r="AA24" i="16"/>
  <c r="Y79" i="16"/>
  <c r="P62" i="16"/>
  <c r="N88" i="16"/>
  <c r="O86" i="16"/>
  <c r="M86" i="16"/>
  <c r="P80" i="16"/>
  <c r="Q82" i="16"/>
  <c r="M72" i="16"/>
  <c r="O64" i="16"/>
  <c r="P66" i="16"/>
  <c r="Q79" i="16"/>
  <c r="M44" i="16"/>
  <c r="S79" i="16"/>
  <c r="Q52" i="16"/>
  <c r="T86" i="16" s="1"/>
  <c r="N44" i="16"/>
  <c r="O44" i="16"/>
  <c r="M62" i="16"/>
  <c r="O52" i="16"/>
  <c r="P44" i="16"/>
  <c r="N62" i="16"/>
  <c r="P46" i="16"/>
  <c r="Q44" i="16"/>
  <c r="T79" i="16" s="1"/>
  <c r="O62" i="16"/>
  <c r="M24" i="16"/>
  <c r="N24" i="16"/>
  <c r="Q62" i="16"/>
  <c r="N70" i="16"/>
  <c r="O24" i="16"/>
  <c r="N79" i="16"/>
  <c r="S86" i="16"/>
  <c r="Q24" i="16"/>
  <c r="AF35" i="71" l="1"/>
  <c r="AF72" i="71" s="1"/>
  <c r="AF109" i="71" s="1"/>
  <c r="U35" i="71"/>
  <c r="U72" i="71" s="1"/>
  <c r="U109" i="71" s="1"/>
  <c r="AD83" i="16"/>
  <c r="T26" i="16"/>
  <c r="T27" i="16"/>
  <c r="T32" i="16"/>
  <c r="T28" i="16"/>
  <c r="T34" i="16"/>
  <c r="T33" i="16"/>
  <c r="T30" i="16"/>
  <c r="AE109" i="71"/>
  <c r="AA49" i="16"/>
  <c r="X87" i="16"/>
  <c r="X71" i="16"/>
  <c r="AA47" i="16"/>
  <c r="X49" i="16"/>
  <c r="AA50" i="16"/>
  <c r="Z48" i="16"/>
  <c r="AA52" i="16"/>
  <c r="P51" i="16"/>
  <c r="AA81" i="16"/>
  <c r="M48" i="16"/>
  <c r="X48" i="16"/>
  <c r="X50" i="16"/>
  <c r="X46" i="16"/>
  <c r="Z52" i="16"/>
  <c r="Y53" i="16"/>
  <c r="Y49" i="16"/>
  <c r="S82" i="16"/>
  <c r="AB52" i="16"/>
  <c r="AE86" i="16" s="1"/>
  <c r="Z67" i="16"/>
  <c r="Z54" i="16"/>
  <c r="X54" i="16"/>
  <c r="AB46" i="16"/>
  <c r="AE80" i="16" s="1"/>
  <c r="AA88" i="16"/>
  <c r="Z46" i="16"/>
  <c r="Y51" i="16"/>
  <c r="N47" i="16"/>
  <c r="Z47" i="16"/>
  <c r="AD84" i="16"/>
  <c r="Y54" i="16"/>
  <c r="Z49" i="16"/>
  <c r="AD81" i="16"/>
  <c r="AB49" i="16"/>
  <c r="AE83" i="16" s="1"/>
  <c r="O49" i="16"/>
  <c r="AB47" i="16"/>
  <c r="AE81" i="16" s="1"/>
  <c r="AB53" i="16"/>
  <c r="AE87" i="16" s="1"/>
  <c r="AA51" i="16"/>
  <c r="AB51" i="16"/>
  <c r="AE85" i="16" s="1"/>
  <c r="M46" i="16"/>
  <c r="AA80" i="16"/>
  <c r="X52" i="16"/>
  <c r="N50" i="16"/>
  <c r="Y52" i="16"/>
  <c r="Y46" i="16"/>
  <c r="M53" i="16"/>
  <c r="Q54" i="16"/>
  <c r="T88" i="16" s="1"/>
  <c r="M51" i="16"/>
  <c r="S83" i="16"/>
  <c r="O50" i="16"/>
  <c r="M47" i="16"/>
  <c r="S80" i="16"/>
  <c r="Q53" i="16"/>
  <c r="T87" i="16" s="1"/>
  <c r="S22" i="16"/>
  <c r="N48" i="16"/>
  <c r="O46" i="16"/>
  <c r="Q46" i="16"/>
  <c r="T80" i="16" s="1"/>
  <c r="Q50" i="16"/>
  <c r="T84" i="16" s="1"/>
  <c r="M50" i="16"/>
  <c r="N49" i="16"/>
  <c r="P54" i="16"/>
  <c r="O53" i="16"/>
  <c r="P52" i="16"/>
  <c r="S81" i="16"/>
  <c r="O48" i="16"/>
  <c r="P53" i="16"/>
  <c r="P50" i="16"/>
  <c r="M54" i="16"/>
  <c r="N46" i="16"/>
  <c r="Q47" i="16"/>
  <c r="T81" i="16" s="1"/>
  <c r="O54" i="16"/>
  <c r="N53" i="16"/>
  <c r="Q51" i="16"/>
  <c r="T85" i="16" s="1"/>
  <c r="P49" i="16"/>
  <c r="N51" i="16"/>
  <c r="S87" i="16"/>
  <c r="S84" i="16"/>
  <c r="O47" i="16"/>
  <c r="AE48" i="109"/>
  <c r="AE30" i="109"/>
  <c r="Z48" i="109"/>
  <c r="Z45" i="109"/>
  <c r="AE45" i="109"/>
  <c r="AE27" i="109"/>
  <c r="AC49" i="109"/>
  <c r="X49" i="109"/>
  <c r="O38" i="108" s="1"/>
  <c r="X44" i="109"/>
  <c r="O33" i="108" s="1"/>
  <c r="AC29" i="109"/>
  <c r="AC44" i="109"/>
  <c r="S51" i="109"/>
  <c r="R45" i="109"/>
  <c r="AB45" i="109"/>
  <c r="R52" i="109"/>
  <c r="AB52" i="109"/>
  <c r="R34" i="109"/>
  <c r="R49" i="109"/>
  <c r="R31" i="109"/>
  <c r="AB49" i="109"/>
  <c r="AE50" i="109"/>
  <c r="AE32" i="109"/>
  <c r="Z50" i="109"/>
  <c r="AD48" i="109"/>
  <c r="AD30" i="109"/>
  <c r="Y48" i="109"/>
  <c r="N37" i="108" s="1"/>
  <c r="AE34" i="109"/>
  <c r="Z52" i="109"/>
  <c r="AE52" i="109"/>
  <c r="AC46" i="109"/>
  <c r="X46" i="109"/>
  <c r="O35" i="108" s="1"/>
  <c r="AE47" i="109"/>
  <c r="AE29" i="109"/>
  <c r="Z47" i="109"/>
  <c r="AC51" i="109"/>
  <c r="X51" i="109"/>
  <c r="O40" i="108" s="1"/>
  <c r="AC48" i="109"/>
  <c r="X48" i="109"/>
  <c r="O37" i="108" s="1"/>
  <c r="S44" i="109"/>
  <c r="S26" i="109"/>
  <c r="R47" i="109"/>
  <c r="AB47" i="109"/>
  <c r="S46" i="109"/>
  <c r="AE46" i="109"/>
  <c r="AE28" i="109"/>
  <c r="Z46" i="109"/>
  <c r="AB44" i="109"/>
  <c r="R44" i="109"/>
  <c r="R26" i="109"/>
  <c r="Y44" i="109"/>
  <c r="N33" i="108" s="1"/>
  <c r="AD26" i="109"/>
  <c r="AD44" i="109"/>
  <c r="AC50" i="109"/>
  <c r="X50" i="109"/>
  <c r="O39" i="108" s="1"/>
  <c r="AE51" i="109"/>
  <c r="AE33" i="109"/>
  <c r="Z51" i="109"/>
  <c r="AE49" i="109"/>
  <c r="AE31" i="109"/>
  <c r="Z49" i="109"/>
  <c r="S52" i="109"/>
  <c r="R46" i="109"/>
  <c r="AB46" i="109"/>
  <c r="X47" i="109"/>
  <c r="O36" i="108" s="1"/>
  <c r="AC47" i="109"/>
  <c r="X45" i="109"/>
  <c r="O34" i="108" s="1"/>
  <c r="AC45" i="109"/>
  <c r="R50" i="109"/>
  <c r="AB50" i="109"/>
  <c r="AE54" i="109"/>
  <c r="Z54" i="109"/>
  <c r="AE36" i="109"/>
  <c r="AC52" i="109"/>
  <c r="AB48" i="16"/>
  <c r="AE82" i="16" s="1"/>
  <c r="AB50" i="16"/>
  <c r="AE84" i="16" s="1"/>
  <c r="AA46" i="16"/>
  <c r="AE28" i="16"/>
  <c r="AE32" i="16"/>
  <c r="AE29" i="16"/>
  <c r="AE26" i="16"/>
  <c r="AE27" i="16"/>
  <c r="AE30" i="16"/>
  <c r="AE33" i="16"/>
  <c r="AA83" i="16"/>
  <c r="Y47" i="16"/>
  <c r="AD82" i="16"/>
  <c r="Y48" i="16"/>
  <c r="AD88" i="16"/>
  <c r="Z68" i="16"/>
  <c r="AD86" i="16"/>
  <c r="AA54" i="16"/>
  <c r="AD80" i="16"/>
  <c r="X51" i="16"/>
  <c r="Z50" i="16"/>
  <c r="Z51" i="16"/>
  <c r="AD87" i="16"/>
  <c r="Z53" i="16"/>
  <c r="Y50" i="16"/>
  <c r="AE31" i="16"/>
  <c r="AA18" i="16"/>
  <c r="AA32" i="16" s="1"/>
  <c r="P47" i="16"/>
  <c r="S88" i="16"/>
  <c r="N54" i="16"/>
  <c r="P18" i="16"/>
  <c r="P90" i="16" s="1"/>
  <c r="U45" i="71"/>
  <c r="U82" i="71" s="1"/>
  <c r="N52" i="16"/>
  <c r="S85" i="16"/>
  <c r="M52" i="16"/>
  <c r="Q48" i="16"/>
  <c r="T82" i="16" s="1"/>
  <c r="O51" i="16"/>
  <c r="Q49" i="16"/>
  <c r="T83" i="16" s="1"/>
  <c r="M49" i="16"/>
  <c r="T109" i="71"/>
  <c r="AA86" i="16"/>
  <c r="Z70" i="16"/>
  <c r="Y68" i="16"/>
  <c r="Z84" i="16"/>
  <c r="AB65" i="16"/>
  <c r="O4" i="107" s="1"/>
  <c r="AA65" i="16"/>
  <c r="AD9" i="16"/>
  <c r="AB81" i="16"/>
  <c r="Y82" i="16"/>
  <c r="X66" i="16"/>
  <c r="AB68" i="16"/>
  <c r="O7" i="107" s="1"/>
  <c r="AB84" i="16"/>
  <c r="AD12" i="16"/>
  <c r="AA68" i="16"/>
  <c r="AB80" i="16"/>
  <c r="AD8" i="16"/>
  <c r="AD26" i="16" s="1"/>
  <c r="AB18" i="16"/>
  <c r="AB31" i="16" s="1"/>
  <c r="AB64" i="16"/>
  <c r="O3" i="107" s="1"/>
  <c r="AA64" i="16"/>
  <c r="Z82" i="16"/>
  <c r="Y66" i="16"/>
  <c r="AA82" i="16"/>
  <c r="Z66" i="16"/>
  <c r="AB67" i="16"/>
  <c r="O6" i="107" s="1"/>
  <c r="AB83" i="16"/>
  <c r="AA67" i="16"/>
  <c r="AD11" i="16"/>
  <c r="AD29" i="16" s="1"/>
  <c r="AD42" i="16"/>
  <c r="AD22" i="16"/>
  <c r="Y70" i="16"/>
  <c r="Z86" i="16"/>
  <c r="X18" i="16"/>
  <c r="X26" i="16" s="1"/>
  <c r="X80" i="16"/>
  <c r="Z69" i="16"/>
  <c r="AA85" i="16"/>
  <c r="X88" i="16"/>
  <c r="Y85" i="16"/>
  <c r="X69" i="16"/>
  <c r="AD16" i="16"/>
  <c r="AB72" i="16"/>
  <c r="O11" i="107" s="1"/>
  <c r="AB88" i="16"/>
  <c r="AA72" i="16"/>
  <c r="AB71" i="16"/>
  <c r="O10" i="107" s="1"/>
  <c r="AA71" i="16"/>
  <c r="AB87" i="16"/>
  <c r="AD15" i="16"/>
  <c r="Y64" i="16"/>
  <c r="Z18" i="16"/>
  <c r="Z26" i="16" s="1"/>
  <c r="Z80" i="16"/>
  <c r="X68" i="16"/>
  <c r="Y84" i="16"/>
  <c r="X64" i="16"/>
  <c r="Y18" i="16"/>
  <c r="Y80" i="16"/>
  <c r="AD14" i="16"/>
  <c r="AB86" i="16"/>
  <c r="AB70" i="16"/>
  <c r="O9" i="107" s="1"/>
  <c r="AA70" i="16"/>
  <c r="Z83" i="16"/>
  <c r="Y67" i="16"/>
  <c r="AA66" i="16"/>
  <c r="AB69" i="16"/>
  <c r="O8" i="107" s="1"/>
  <c r="AA69" i="16"/>
  <c r="AD13" i="16"/>
  <c r="AD31" i="16" s="1"/>
  <c r="AB85" i="16"/>
  <c r="X70" i="16"/>
  <c r="Y86" i="16"/>
  <c r="Y65" i="16"/>
  <c r="Z81" i="16"/>
  <c r="X65" i="16"/>
  <c r="Y81" i="16"/>
  <c r="Z85" i="16"/>
  <c r="Y69" i="16"/>
  <c r="Z64" i="16"/>
  <c r="AB66" i="16"/>
  <c r="O5" i="107" s="1"/>
  <c r="Y71" i="16"/>
  <c r="Z87" i="16"/>
  <c r="Y88" i="16"/>
  <c r="X72" i="16"/>
  <c r="Y83" i="16"/>
  <c r="X67" i="16"/>
  <c r="AD10" i="16"/>
  <c r="Z65" i="16"/>
  <c r="Q18" i="16"/>
  <c r="Q32" i="16" s="1"/>
  <c r="Q80" i="16"/>
  <c r="S8" i="16"/>
  <c r="S26" i="16" s="1"/>
  <c r="Q64" i="16"/>
  <c r="P3" i="107" s="1"/>
  <c r="P64" i="16"/>
  <c r="M70" i="16"/>
  <c r="N86" i="16"/>
  <c r="O85" i="16"/>
  <c r="T31" i="16"/>
  <c r="N69" i="16"/>
  <c r="O88" i="16"/>
  <c r="N72" i="16"/>
  <c r="Q83" i="16"/>
  <c r="Q67" i="16"/>
  <c r="P6" i="107" s="1"/>
  <c r="P67" i="16"/>
  <c r="S11" i="16"/>
  <c r="U11" i="16" s="1"/>
  <c r="U29" i="16" s="1"/>
  <c r="P82" i="16"/>
  <c r="O66" i="16"/>
  <c r="N68" i="16"/>
  <c r="O84" i="16"/>
  <c r="Q71" i="16"/>
  <c r="P10" i="107" s="1"/>
  <c r="P71" i="16"/>
  <c r="Q87" i="16"/>
  <c r="S15" i="16"/>
  <c r="N65" i="16"/>
  <c r="O81" i="16"/>
  <c r="M84" i="16"/>
  <c r="N82" i="16"/>
  <c r="M66" i="16"/>
  <c r="O69" i="16"/>
  <c r="P85" i="16"/>
  <c r="N71" i="16"/>
  <c r="O87" i="16"/>
  <c r="M18" i="16"/>
  <c r="M30" i="16" s="1"/>
  <c r="M80" i="16"/>
  <c r="O83" i="16"/>
  <c r="N67" i="16"/>
  <c r="T29" i="16"/>
  <c r="M83" i="16"/>
  <c r="M65" i="16"/>
  <c r="N81" i="16"/>
  <c r="O71" i="16"/>
  <c r="P87" i="16"/>
  <c r="M68" i="16"/>
  <c r="N84" i="16"/>
  <c r="P88" i="16"/>
  <c r="O72" i="16"/>
  <c r="N83" i="16"/>
  <c r="M67" i="16"/>
  <c r="N85" i="16"/>
  <c r="M69" i="16"/>
  <c r="Q84" i="16"/>
  <c r="S12" i="16"/>
  <c r="Q68" i="16"/>
  <c r="P7" i="107" s="1"/>
  <c r="P68" i="16"/>
  <c r="O65" i="16"/>
  <c r="P81" i="16"/>
  <c r="M81" i="16"/>
  <c r="N64" i="16"/>
  <c r="O18" i="16"/>
  <c r="O27" i="16" s="1"/>
  <c r="O80" i="16"/>
  <c r="Q65" i="16"/>
  <c r="P4" i="107" s="1"/>
  <c r="P65" i="16"/>
  <c r="S9" i="16"/>
  <c r="Q81" i="16"/>
  <c r="P84" i="16"/>
  <c r="O68" i="16"/>
  <c r="S14" i="16"/>
  <c r="Q86" i="16"/>
  <c r="Q70" i="16"/>
  <c r="P9" i="107" s="1"/>
  <c r="P70" i="16"/>
  <c r="M88" i="16"/>
  <c r="M71" i="16"/>
  <c r="N87" i="16"/>
  <c r="O82" i="16"/>
  <c r="N66" i="16"/>
  <c r="S16" i="16"/>
  <c r="Q72" i="16"/>
  <c r="P11" i="107" s="1"/>
  <c r="Q88" i="16"/>
  <c r="P72" i="16"/>
  <c r="M87" i="16"/>
  <c r="Q69" i="16"/>
  <c r="P8" i="107" s="1"/>
  <c r="P69" i="16"/>
  <c r="S13" i="16"/>
  <c r="U13" i="16" s="1"/>
  <c r="U31" i="16" s="1"/>
  <c r="Q85" i="16"/>
  <c r="Q66" i="16"/>
  <c r="P5" i="107" s="1"/>
  <c r="M85" i="16"/>
  <c r="M64" i="16"/>
  <c r="N18" i="16"/>
  <c r="N27" i="16" s="1"/>
  <c r="N80" i="16"/>
  <c r="P86" i="16"/>
  <c r="O70" i="16"/>
  <c r="P83" i="16"/>
  <c r="O67" i="16"/>
  <c r="S10" i="16"/>
  <c r="T18" i="16" l="1"/>
  <c r="T36" i="16" s="1"/>
  <c r="U10" i="16"/>
  <c r="U28" i="16" s="1"/>
  <c r="U9" i="16"/>
  <c r="U27" i="16" s="1"/>
  <c r="U12" i="16"/>
  <c r="U30" i="16" s="1"/>
  <c r="AF9" i="16"/>
  <c r="AF27" i="16" s="1"/>
  <c r="U15" i="16"/>
  <c r="U33" i="16" s="1"/>
  <c r="U16" i="16"/>
  <c r="U34" i="16" s="1"/>
  <c r="Z31" i="16"/>
  <c r="AF14" i="16"/>
  <c r="AF32" i="16" s="1"/>
  <c r="AB32" i="16"/>
  <c r="AD27" i="16"/>
  <c r="Z33" i="16"/>
  <c r="AF15" i="16"/>
  <c r="AF33" i="16" s="1"/>
  <c r="AA28" i="16"/>
  <c r="AB29" i="16"/>
  <c r="AF12" i="16"/>
  <c r="AF30" i="16" s="1"/>
  <c r="Z27" i="16"/>
  <c r="Z28" i="16"/>
  <c r="AB30" i="16"/>
  <c r="AB33" i="16"/>
  <c r="Z29" i="16"/>
  <c r="X34" i="16"/>
  <c r="S29" i="16"/>
  <c r="Q34" i="16"/>
  <c r="S27" i="16"/>
  <c r="N28" i="16"/>
  <c r="S31" i="16"/>
  <c r="N26" i="16"/>
  <c r="N29" i="16"/>
  <c r="N32" i="16"/>
  <c r="AC28" i="109"/>
  <c r="R36" i="109"/>
  <c r="AB54" i="109"/>
  <c r="R54" i="109"/>
  <c r="R30" i="109"/>
  <c r="R33" i="109"/>
  <c r="S54" i="109"/>
  <c r="S36" i="109"/>
  <c r="S27" i="109"/>
  <c r="S30" i="109"/>
  <c r="S32" i="109"/>
  <c r="S29" i="109"/>
  <c r="S31" i="109"/>
  <c r="AC26" i="109"/>
  <c r="AC30" i="109"/>
  <c r="AC31" i="109"/>
  <c r="AC54" i="109"/>
  <c r="AC36" i="109"/>
  <c r="X54" i="109"/>
  <c r="O43" i="108" s="1"/>
  <c r="AC34" i="109"/>
  <c r="AC32" i="109"/>
  <c r="S28" i="109"/>
  <c r="AC33" i="109"/>
  <c r="R27" i="109"/>
  <c r="R28" i="109"/>
  <c r="S33" i="109"/>
  <c r="AC27" i="109"/>
  <c r="R32" i="109"/>
  <c r="S34" i="109"/>
  <c r="AD36" i="109"/>
  <c r="Y54" i="109"/>
  <c r="N43" i="108" s="1"/>
  <c r="AD29" i="109"/>
  <c r="AD54" i="109"/>
  <c r="AD32" i="109"/>
  <c r="AD27" i="109"/>
  <c r="AD28" i="109"/>
  <c r="AD33" i="109"/>
  <c r="AD34" i="109"/>
  <c r="AD31" i="109"/>
  <c r="R29" i="109"/>
  <c r="B31" i="109"/>
  <c r="B29" i="109"/>
  <c r="B33" i="109"/>
  <c r="B32" i="109"/>
  <c r="B27" i="109"/>
  <c r="B36" i="109"/>
  <c r="B34" i="109"/>
  <c r="B28" i="109"/>
  <c r="B30" i="109"/>
  <c r="Y28" i="16"/>
  <c r="X56" i="16"/>
  <c r="Y29" i="16"/>
  <c r="AA31" i="16"/>
  <c r="AF11" i="16"/>
  <c r="AF29" i="16" s="1"/>
  <c r="AF10" i="16"/>
  <c r="AF28" i="16" s="1"/>
  <c r="AD33" i="16"/>
  <c r="AA56" i="16"/>
  <c r="AB56" i="16"/>
  <c r="AE90" i="16" s="1"/>
  <c r="AB27" i="16"/>
  <c r="AE18" i="16"/>
  <c r="AE36" i="16" s="1"/>
  <c r="Y34" i="16"/>
  <c r="Z30" i="16"/>
  <c r="Y56" i="16"/>
  <c r="AD90" i="16"/>
  <c r="AF16" i="16"/>
  <c r="AF34" i="16" s="1"/>
  <c r="AD34" i="16"/>
  <c r="AD32" i="16"/>
  <c r="AF13" i="16"/>
  <c r="AF31" i="16" s="1"/>
  <c r="AB34" i="16"/>
  <c r="AB26" i="16"/>
  <c r="AA26" i="16"/>
  <c r="AA27" i="16"/>
  <c r="AA33" i="16"/>
  <c r="Z56" i="16"/>
  <c r="AA30" i="16"/>
  <c r="AA29" i="16"/>
  <c r="AA90" i="16"/>
  <c r="AA36" i="16"/>
  <c r="AA34" i="16"/>
  <c r="AD28" i="16"/>
  <c r="AD30" i="16"/>
  <c r="S90" i="16"/>
  <c r="N56" i="16"/>
  <c r="S28" i="16"/>
  <c r="P36" i="16"/>
  <c r="P30" i="16"/>
  <c r="O74" i="16"/>
  <c r="M26" i="16"/>
  <c r="O28" i="16"/>
  <c r="P32" i="16"/>
  <c r="O29" i="16"/>
  <c r="M33" i="16"/>
  <c r="P27" i="16"/>
  <c r="P26" i="16"/>
  <c r="O56" i="16"/>
  <c r="P33" i="16"/>
  <c r="P31" i="16"/>
  <c r="P56" i="16"/>
  <c r="Q56" i="16"/>
  <c r="T90" i="16" s="1"/>
  <c r="O34" i="16"/>
  <c r="N30" i="16"/>
  <c r="M56" i="16"/>
  <c r="M34" i="16"/>
  <c r="S33" i="16"/>
  <c r="S30" i="16"/>
  <c r="S34" i="16"/>
  <c r="M31" i="16"/>
  <c r="O26" i="16"/>
  <c r="P34" i="16"/>
  <c r="Q30" i="16"/>
  <c r="O33" i="16"/>
  <c r="O31" i="16"/>
  <c r="Q26" i="16"/>
  <c r="P29" i="16"/>
  <c r="U14" i="16"/>
  <c r="U32" i="16" s="1"/>
  <c r="S32" i="16"/>
  <c r="N31" i="16"/>
  <c r="P28" i="16"/>
  <c r="Y30" i="16"/>
  <c r="Y32" i="16"/>
  <c r="Z90" i="16"/>
  <c r="Z36" i="16"/>
  <c r="Y74" i="16"/>
  <c r="Z34" i="16"/>
  <c r="Z74" i="16"/>
  <c r="X90" i="16"/>
  <c r="X36" i="16"/>
  <c r="X27" i="16"/>
  <c r="X30" i="16"/>
  <c r="X33" i="16"/>
  <c r="X32" i="16"/>
  <c r="X29" i="16"/>
  <c r="X28" i="16"/>
  <c r="X31" i="16"/>
  <c r="Y36" i="16"/>
  <c r="Y90" i="16"/>
  <c r="X74" i="16"/>
  <c r="Y33" i="16"/>
  <c r="Y27" i="16"/>
  <c r="Z32" i="16"/>
  <c r="AB74" i="16"/>
  <c r="O13" i="107" s="1"/>
  <c r="AB90" i="16"/>
  <c r="AA74" i="16"/>
  <c r="AB36" i="16"/>
  <c r="AB28" i="16"/>
  <c r="Y26" i="16"/>
  <c r="Y31" i="16"/>
  <c r="AF8" i="16"/>
  <c r="AF26" i="16" s="1"/>
  <c r="AD18" i="16"/>
  <c r="Q90" i="16"/>
  <c r="Q74" i="16"/>
  <c r="P13" i="107" s="1"/>
  <c r="P74" i="16"/>
  <c r="Q36" i="16"/>
  <c r="Q28" i="16"/>
  <c r="Q31" i="16"/>
  <c r="Q33" i="16"/>
  <c r="O90" i="16"/>
  <c r="N74" i="16"/>
  <c r="O36" i="16"/>
  <c r="O32" i="16"/>
  <c r="U8" i="16"/>
  <c r="U26" i="16" s="1"/>
  <c r="S18" i="16"/>
  <c r="M90" i="16"/>
  <c r="M36" i="16"/>
  <c r="M32" i="16"/>
  <c r="M28" i="16"/>
  <c r="M29" i="16"/>
  <c r="O30" i="16"/>
  <c r="Q29" i="16"/>
  <c r="N90" i="16"/>
  <c r="M74" i="16"/>
  <c r="N36" i="16"/>
  <c r="N34" i="16"/>
  <c r="Q27" i="16"/>
  <c r="M27" i="16"/>
  <c r="N33" i="16"/>
  <c r="U18" i="16" l="1"/>
  <c r="U36" i="16" s="1"/>
  <c r="S36" i="16"/>
  <c r="AF18" i="16"/>
  <c r="AF36" i="16" s="1"/>
  <c r="AD36" i="16"/>
  <c r="O7" i="105"/>
  <c r="N7" i="105"/>
  <c r="A36" i="105"/>
  <c r="A10" i="105"/>
  <c r="A11" i="105"/>
  <c r="A12" i="105"/>
  <c r="A13" i="105"/>
  <c r="A14" i="105"/>
  <c r="A15" i="105"/>
  <c r="A16" i="105"/>
  <c r="A17" i="105"/>
  <c r="A18" i="105"/>
  <c r="A19" i="105"/>
  <c r="A20" i="105"/>
  <c r="A21" i="105"/>
  <c r="A22" i="105"/>
  <c r="A23" i="105"/>
  <c r="A24" i="105"/>
  <c r="A25" i="105"/>
  <c r="A26" i="105"/>
  <c r="A27" i="105"/>
  <c r="A28" i="105"/>
  <c r="A29" i="105"/>
  <c r="A30" i="105"/>
  <c r="A31" i="105"/>
  <c r="A32" i="105"/>
  <c r="A33" i="105"/>
  <c r="A9" i="105"/>
  <c r="A8" i="71"/>
  <c r="A153" i="71" s="1"/>
  <c r="L28" i="105"/>
  <c r="L33" i="105" l="1"/>
  <c r="H33" i="105"/>
  <c r="U33" i="105" s="1"/>
  <c r="D33" i="105"/>
  <c r="L32" i="105"/>
  <c r="H32" i="105"/>
  <c r="D32" i="105"/>
  <c r="T32" i="105" s="1"/>
  <c r="L31" i="105"/>
  <c r="H31" i="105"/>
  <c r="D31" i="105"/>
  <c r="L30" i="105"/>
  <c r="H30" i="105"/>
  <c r="D30" i="105"/>
  <c r="L29" i="105"/>
  <c r="H29" i="105"/>
  <c r="U29" i="105" s="1"/>
  <c r="D29" i="105"/>
  <c r="H28" i="105"/>
  <c r="U28" i="105" s="1"/>
  <c r="D28" i="105"/>
  <c r="L27" i="105"/>
  <c r="H27" i="105"/>
  <c r="D27" i="105"/>
  <c r="L26" i="105"/>
  <c r="H26" i="105"/>
  <c r="U26" i="105" s="1"/>
  <c r="D26" i="105"/>
  <c r="L25" i="105"/>
  <c r="H25" i="105"/>
  <c r="D25" i="105"/>
  <c r="T25" i="105" s="1"/>
  <c r="L24" i="105"/>
  <c r="H24" i="105"/>
  <c r="D24" i="105"/>
  <c r="L23" i="105"/>
  <c r="H23" i="105"/>
  <c r="D23" i="105"/>
  <c r="T23" i="105" s="1"/>
  <c r="L22" i="105"/>
  <c r="H22" i="105"/>
  <c r="U22" i="105" s="1"/>
  <c r="D22" i="105"/>
  <c r="L21" i="105"/>
  <c r="H21" i="105"/>
  <c r="D21" i="105"/>
  <c r="T21" i="105" s="1"/>
  <c r="L20" i="105"/>
  <c r="H20" i="105"/>
  <c r="U20" i="105" s="1"/>
  <c r="D20" i="105"/>
  <c r="L19" i="105"/>
  <c r="H19" i="105"/>
  <c r="D19" i="105"/>
  <c r="L18" i="105"/>
  <c r="H18" i="105"/>
  <c r="D18" i="105"/>
  <c r="L17" i="105"/>
  <c r="H17" i="105"/>
  <c r="D17" i="105"/>
  <c r="T17" i="105" s="1"/>
  <c r="L16" i="105"/>
  <c r="H16" i="105"/>
  <c r="D16" i="105"/>
  <c r="L15" i="105"/>
  <c r="H15" i="105"/>
  <c r="D15" i="105"/>
  <c r="T15" i="105" s="1"/>
  <c r="L14" i="105"/>
  <c r="H14" i="105"/>
  <c r="D14" i="105"/>
  <c r="L13" i="105"/>
  <c r="H13" i="105"/>
  <c r="D13" i="105"/>
  <c r="T13" i="105" s="1"/>
  <c r="L12" i="105"/>
  <c r="H12" i="105"/>
  <c r="U12" i="105" s="1"/>
  <c r="D12" i="105"/>
  <c r="L11" i="105"/>
  <c r="H11" i="105"/>
  <c r="D11" i="105"/>
  <c r="L10" i="105"/>
  <c r="H10" i="105"/>
  <c r="U10" i="105" s="1"/>
  <c r="D10" i="105"/>
  <c r="L9" i="105"/>
  <c r="H9" i="105"/>
  <c r="D9" i="105"/>
  <c r="T9" i="105" s="1"/>
  <c r="U7" i="105"/>
  <c r="T7" i="105"/>
  <c r="R7" i="105"/>
  <c r="Q7" i="105"/>
  <c r="U14" i="105" l="1"/>
  <c r="U30" i="105"/>
  <c r="T14" i="105"/>
  <c r="U31" i="105"/>
  <c r="U32" i="105"/>
  <c r="T22" i="105"/>
  <c r="T16" i="105"/>
  <c r="U18" i="105"/>
  <c r="U11" i="105"/>
  <c r="U19" i="105"/>
  <c r="U27" i="105"/>
  <c r="U13" i="105"/>
  <c r="U21" i="105"/>
  <c r="T24" i="105"/>
  <c r="T11" i="105"/>
  <c r="U16" i="105"/>
  <c r="T19" i="105"/>
  <c r="U24" i="105"/>
  <c r="T27" i="105"/>
  <c r="T30" i="105"/>
  <c r="T33" i="105"/>
  <c r="T10" i="105"/>
  <c r="U15" i="105"/>
  <c r="T18" i="105"/>
  <c r="U23" i="105"/>
  <c r="T26" i="105"/>
  <c r="T29" i="105"/>
  <c r="U9" i="105"/>
  <c r="T12" i="105"/>
  <c r="U17" i="105"/>
  <c r="T20" i="105"/>
  <c r="U25" i="105"/>
  <c r="T28" i="105"/>
  <c r="T31" i="105"/>
  <c r="H36" i="105"/>
  <c r="L36" i="105"/>
  <c r="D36" i="105"/>
  <c r="A18" i="104"/>
  <c r="A13" i="104"/>
  <c r="A8" i="104"/>
  <c r="A1" i="104" s="1"/>
  <c r="B8" i="49"/>
  <c r="C8" i="49"/>
  <c r="E8" i="49"/>
  <c r="B9" i="49"/>
  <c r="C9" i="49"/>
  <c r="E9" i="49"/>
  <c r="B10" i="49"/>
  <c r="C10" i="49"/>
  <c r="E10" i="49"/>
  <c r="B11" i="49"/>
  <c r="C11" i="49"/>
  <c r="E11" i="49"/>
  <c r="B12" i="49"/>
  <c r="C12" i="49"/>
  <c r="E12" i="49"/>
  <c r="B13" i="49"/>
  <c r="C13" i="49"/>
  <c r="E13" i="49"/>
  <c r="B14" i="49"/>
  <c r="C14" i="49"/>
  <c r="E14" i="49"/>
  <c r="B15" i="49"/>
  <c r="C15" i="49"/>
  <c r="E15" i="49"/>
  <c r="B16" i="49"/>
  <c r="C16" i="49"/>
  <c r="E16" i="49"/>
  <c r="B17" i="49"/>
  <c r="C17" i="49"/>
  <c r="E17" i="49"/>
  <c r="B18" i="49"/>
  <c r="C18" i="49"/>
  <c r="E18" i="49"/>
  <c r="B19" i="49"/>
  <c r="C19" i="49"/>
  <c r="E19" i="49"/>
  <c r="B20" i="49"/>
  <c r="C20" i="49"/>
  <c r="E20" i="49"/>
  <c r="B21" i="49"/>
  <c r="C21" i="49"/>
  <c r="E21" i="49"/>
  <c r="B22" i="49"/>
  <c r="C22" i="49"/>
  <c r="E22" i="49"/>
  <c r="B23" i="49"/>
  <c r="C23" i="49"/>
  <c r="E23" i="49"/>
  <c r="B24" i="49"/>
  <c r="C24" i="49"/>
  <c r="E24" i="49"/>
  <c r="B25" i="49"/>
  <c r="C25" i="49"/>
  <c r="E25" i="49"/>
  <c r="B26" i="49"/>
  <c r="C26" i="49"/>
  <c r="E26" i="49"/>
  <c r="B27" i="49"/>
  <c r="C27" i="49"/>
  <c r="E27" i="49"/>
  <c r="B28" i="49"/>
  <c r="C28" i="49"/>
  <c r="E28" i="49"/>
  <c r="B29" i="49"/>
  <c r="C29" i="49"/>
  <c r="E29" i="49"/>
  <c r="B30" i="49"/>
  <c r="C30" i="49"/>
  <c r="E30" i="49"/>
  <c r="B31" i="49"/>
  <c r="G31" i="49" s="1"/>
  <c r="E7" i="49"/>
  <c r="C7" i="49"/>
  <c r="B7" i="49"/>
  <c r="T36" i="105" l="1"/>
  <c r="K8" i="49" a="1"/>
  <c r="K12" i="49" s="1"/>
  <c r="M8" i="49" a="1"/>
  <c r="M14" i="49" s="1"/>
  <c r="U36" i="105"/>
  <c r="G7" i="49"/>
  <c r="J8" i="49" a="1"/>
  <c r="F330" i="104"/>
  <c r="F329" i="104"/>
  <c r="D330" i="104"/>
  <c r="D329" i="104"/>
  <c r="B330" i="104"/>
  <c r="B329" i="104"/>
  <c r="B35" i="104"/>
  <c r="K11" i="49" l="1"/>
  <c r="K15" i="49"/>
  <c r="K13" i="49"/>
  <c r="K14" i="49"/>
  <c r="K16" i="49"/>
  <c r="K10" i="49"/>
  <c r="K9" i="49"/>
  <c r="K8" i="49"/>
  <c r="M16" i="49"/>
  <c r="M13" i="49"/>
  <c r="M9" i="49"/>
  <c r="M8" i="49"/>
  <c r="M12" i="49"/>
  <c r="M15" i="49"/>
  <c r="M10" i="49"/>
  <c r="M11" i="49"/>
  <c r="J10" i="49"/>
  <c r="J9" i="49"/>
  <c r="J11" i="49"/>
  <c r="J16" i="49"/>
  <c r="J8" i="49"/>
  <c r="J15" i="49"/>
  <c r="J12" i="49"/>
  <c r="J14" i="49"/>
  <c r="J13" i="49"/>
  <c r="B30" i="104"/>
  <c r="X172" i="102" l="1"/>
  <c r="W172" i="102"/>
  <c r="V172" i="102"/>
  <c r="S172" i="102"/>
  <c r="R172" i="102"/>
  <c r="Q172" i="102"/>
  <c r="N172" i="102"/>
  <c r="M172" i="102"/>
  <c r="L172" i="102"/>
  <c r="I172" i="102"/>
  <c r="H172" i="102"/>
  <c r="G172" i="102"/>
  <c r="D172" i="102"/>
  <c r="C172" i="102"/>
  <c r="B172" i="102"/>
  <c r="Y171" i="102"/>
  <c r="T171" i="102"/>
  <c r="O171" i="102"/>
  <c r="J171" i="102"/>
  <c r="E171" i="102"/>
  <c r="Y170" i="102"/>
  <c r="T170" i="102"/>
  <c r="O170" i="102"/>
  <c r="J170" i="102"/>
  <c r="E170" i="102"/>
  <c r="X163" i="102"/>
  <c r="W163" i="102"/>
  <c r="V163" i="102"/>
  <c r="S163" i="102"/>
  <c r="R163" i="102"/>
  <c r="Q163" i="102"/>
  <c r="N163" i="102"/>
  <c r="M163" i="102"/>
  <c r="L163" i="102"/>
  <c r="I163" i="102"/>
  <c r="H163" i="102"/>
  <c r="G163" i="102"/>
  <c r="D163" i="102"/>
  <c r="C163" i="102"/>
  <c r="B163" i="102"/>
  <c r="Y162" i="102"/>
  <c r="T162" i="102"/>
  <c r="O162" i="102"/>
  <c r="J162" i="102"/>
  <c r="E162" i="102"/>
  <c r="Y161" i="102"/>
  <c r="T161" i="102"/>
  <c r="O161" i="102"/>
  <c r="J161" i="102"/>
  <c r="E161" i="102"/>
  <c r="E134" i="102"/>
  <c r="X136" i="102"/>
  <c r="W136" i="102"/>
  <c r="V136" i="102"/>
  <c r="S136" i="102"/>
  <c r="R136" i="102"/>
  <c r="Q136" i="102"/>
  <c r="N136" i="102"/>
  <c r="M136" i="102"/>
  <c r="L136" i="102"/>
  <c r="I136" i="102"/>
  <c r="H136" i="102"/>
  <c r="G136" i="102"/>
  <c r="D136" i="102"/>
  <c r="C136" i="102"/>
  <c r="B136" i="102"/>
  <c r="Y135" i="102"/>
  <c r="T135" i="102"/>
  <c r="O135" i="102"/>
  <c r="J135" i="102"/>
  <c r="E135" i="102"/>
  <c r="Y134" i="102"/>
  <c r="T134" i="102"/>
  <c r="O134" i="102"/>
  <c r="J134" i="102"/>
  <c r="B313" i="104"/>
  <c r="X55" i="102"/>
  <c r="W55" i="102"/>
  <c r="V55" i="102"/>
  <c r="S55" i="102"/>
  <c r="R55" i="102"/>
  <c r="Q55" i="102"/>
  <c r="N55" i="102"/>
  <c r="M55" i="102"/>
  <c r="L55" i="102"/>
  <c r="I55" i="102"/>
  <c r="H55" i="102"/>
  <c r="G55" i="102"/>
  <c r="D55" i="102"/>
  <c r="C55" i="102"/>
  <c r="B55" i="102"/>
  <c r="Y54" i="102"/>
  <c r="T54" i="102"/>
  <c r="O54" i="102"/>
  <c r="J54" i="102"/>
  <c r="E54" i="102"/>
  <c r="Y53" i="102"/>
  <c r="T53" i="102"/>
  <c r="O53" i="102"/>
  <c r="J53" i="102"/>
  <c r="E53" i="102"/>
  <c r="X19" i="102"/>
  <c r="W19" i="102"/>
  <c r="V19" i="102"/>
  <c r="S19" i="102"/>
  <c r="R19" i="102"/>
  <c r="Q19" i="102"/>
  <c r="N19" i="102"/>
  <c r="M19" i="102"/>
  <c r="L19" i="102"/>
  <c r="I19" i="102"/>
  <c r="H19" i="102"/>
  <c r="G19" i="102"/>
  <c r="D19" i="102"/>
  <c r="C19" i="102"/>
  <c r="B19" i="102"/>
  <c r="Y18" i="102"/>
  <c r="T18" i="102"/>
  <c r="O18" i="102"/>
  <c r="J18" i="102"/>
  <c r="E18" i="102"/>
  <c r="Y17" i="102"/>
  <c r="T17" i="102"/>
  <c r="O17" i="102"/>
  <c r="J17" i="102"/>
  <c r="E17" i="102"/>
  <c r="X10" i="102"/>
  <c r="W10" i="102"/>
  <c r="V10" i="102"/>
  <c r="Y9" i="102"/>
  <c r="Y8" i="102"/>
  <c r="S10" i="102"/>
  <c r="R10" i="102"/>
  <c r="Q10" i="102"/>
  <c r="T9" i="102"/>
  <c r="T8" i="102"/>
  <c r="N10" i="102"/>
  <c r="M10" i="102"/>
  <c r="L10" i="102"/>
  <c r="O9" i="102"/>
  <c r="O8" i="102"/>
  <c r="I10" i="102"/>
  <c r="H10" i="102"/>
  <c r="G10" i="102"/>
  <c r="J9" i="102"/>
  <c r="J8" i="102"/>
  <c r="C10" i="102"/>
  <c r="D10" i="102"/>
  <c r="B10" i="102"/>
  <c r="E9" i="102"/>
  <c r="E8" i="102"/>
  <c r="O144" i="102" l="1"/>
  <c r="Y144" i="102"/>
  <c r="X145" i="102"/>
  <c r="H37" i="102"/>
  <c r="G91" i="102"/>
  <c r="S28" i="102"/>
  <c r="E188" i="102"/>
  <c r="T26" i="102"/>
  <c r="V109" i="102"/>
  <c r="X46" i="102"/>
  <c r="Y45" i="102"/>
  <c r="J63" i="102"/>
  <c r="E89" i="102"/>
  <c r="H82" i="102"/>
  <c r="N91" i="102"/>
  <c r="S199" i="102"/>
  <c r="N199" i="102"/>
  <c r="D28" i="102"/>
  <c r="W28" i="102"/>
  <c r="C37" i="102"/>
  <c r="Q46" i="102"/>
  <c r="T198" i="102"/>
  <c r="T136" i="102"/>
  <c r="C28" i="102"/>
  <c r="X28" i="102"/>
  <c r="E71" i="102"/>
  <c r="T72" i="102"/>
  <c r="C91" i="102"/>
  <c r="Q28" i="102"/>
  <c r="B46" i="102"/>
  <c r="W100" i="102"/>
  <c r="H109" i="102"/>
  <c r="I199" i="102"/>
  <c r="D46" i="102"/>
  <c r="T55" i="102"/>
  <c r="V82" i="102"/>
  <c r="C100" i="102"/>
  <c r="I109" i="102"/>
  <c r="N190" i="102"/>
  <c r="Y99" i="102"/>
  <c r="M91" i="102"/>
  <c r="T10" i="102"/>
  <c r="Q100" i="102"/>
  <c r="T144" i="102"/>
  <c r="L181" i="102"/>
  <c r="M28" i="102"/>
  <c r="S37" i="102"/>
  <c r="H91" i="102"/>
  <c r="N154" i="102"/>
  <c r="Y189" i="102"/>
  <c r="M190" i="102"/>
  <c r="O26" i="102"/>
  <c r="E153" i="102"/>
  <c r="L100" i="102"/>
  <c r="B181" i="102"/>
  <c r="G154" i="102"/>
  <c r="R190" i="102"/>
  <c r="T153" i="102"/>
  <c r="J10" i="102"/>
  <c r="Y19" i="102"/>
  <c r="E26" i="102"/>
  <c r="I28" i="102"/>
  <c r="V28" i="102"/>
  <c r="M46" i="102"/>
  <c r="M64" i="102"/>
  <c r="E63" i="102"/>
  <c r="I73" i="102"/>
  <c r="W73" i="102"/>
  <c r="O72" i="102"/>
  <c r="E81" i="102"/>
  <c r="E98" i="102"/>
  <c r="Y98" i="102"/>
  <c r="E108" i="102"/>
  <c r="L118" i="102"/>
  <c r="X118" i="102"/>
  <c r="I127" i="102"/>
  <c r="W127" i="102"/>
  <c r="H181" i="102"/>
  <c r="H199" i="102"/>
  <c r="W199" i="102"/>
  <c r="C145" i="102"/>
  <c r="X190" i="102"/>
  <c r="B154" i="102"/>
  <c r="Y35" i="102"/>
  <c r="T62" i="102"/>
  <c r="E72" i="102"/>
  <c r="T80" i="102"/>
  <c r="B127" i="102"/>
  <c r="E198" i="102"/>
  <c r="E136" i="102"/>
  <c r="J143" i="102"/>
  <c r="N145" i="102"/>
  <c r="G28" i="102"/>
  <c r="R100" i="102"/>
  <c r="H145" i="102"/>
  <c r="X37" i="102"/>
  <c r="Y55" i="102"/>
  <c r="Y90" i="102"/>
  <c r="I145" i="102"/>
  <c r="Y143" i="102"/>
  <c r="E36" i="102"/>
  <c r="Y36" i="102"/>
  <c r="Y62" i="102"/>
  <c r="J72" i="102"/>
  <c r="E90" i="102"/>
  <c r="T99" i="102"/>
  <c r="Y117" i="102"/>
  <c r="D145" i="102"/>
  <c r="J144" i="102"/>
  <c r="X127" i="102"/>
  <c r="E10" i="102"/>
  <c r="C64" i="102"/>
  <c r="C109" i="102"/>
  <c r="E45" i="102"/>
  <c r="M199" i="102"/>
  <c r="Y10" i="102"/>
  <c r="J19" i="102"/>
  <c r="Y26" i="102"/>
  <c r="J62" i="102"/>
  <c r="Y63" i="102"/>
  <c r="G82" i="102"/>
  <c r="S82" i="102"/>
  <c r="Y89" i="102"/>
  <c r="D118" i="102"/>
  <c r="R118" i="102"/>
  <c r="C127" i="102"/>
  <c r="Q127" i="102"/>
  <c r="E179" i="102"/>
  <c r="T180" i="102"/>
  <c r="E197" i="102"/>
  <c r="J153" i="102"/>
  <c r="X154" i="102"/>
  <c r="E172" i="102"/>
  <c r="T172" i="102"/>
  <c r="O188" i="102"/>
  <c r="S190" i="102"/>
  <c r="N109" i="102"/>
  <c r="W181" i="102"/>
  <c r="N118" i="102"/>
  <c r="D82" i="102"/>
  <c r="L91" i="102"/>
  <c r="I100" i="102"/>
  <c r="M181" i="102"/>
  <c r="D190" i="102"/>
  <c r="M37" i="102"/>
  <c r="G46" i="102"/>
  <c r="N46" i="102"/>
  <c r="W91" i="102"/>
  <c r="M100" i="102"/>
  <c r="J126" i="102"/>
  <c r="T179" i="102"/>
  <c r="D154" i="102"/>
  <c r="R154" i="102"/>
  <c r="Y153" i="102"/>
  <c r="J163" i="102"/>
  <c r="I181" i="102"/>
  <c r="M73" i="102"/>
  <c r="M127" i="102"/>
  <c r="D109" i="102"/>
  <c r="E27" i="102"/>
  <c r="J36" i="102"/>
  <c r="W37" i="102"/>
  <c r="H46" i="102"/>
  <c r="O45" i="102"/>
  <c r="T45" i="102"/>
  <c r="I64" i="102"/>
  <c r="S73" i="102"/>
  <c r="G100" i="102"/>
  <c r="N100" i="102"/>
  <c r="O108" i="102"/>
  <c r="Y126" i="102"/>
  <c r="W145" i="102"/>
  <c r="O152" i="102"/>
  <c r="S154" i="102"/>
  <c r="Y163" i="102"/>
  <c r="J172" i="102"/>
  <c r="G190" i="102"/>
  <c r="B118" i="102"/>
  <c r="R82" i="102"/>
  <c r="R109" i="102"/>
  <c r="T35" i="102"/>
  <c r="V46" i="102"/>
  <c r="E55" i="102"/>
  <c r="X64" i="102"/>
  <c r="H73" i="102"/>
  <c r="L82" i="102"/>
  <c r="X82" i="102"/>
  <c r="D91" i="102"/>
  <c r="H100" i="102"/>
  <c r="O107" i="102"/>
  <c r="O117" i="102"/>
  <c r="G181" i="102"/>
  <c r="S181" i="102"/>
  <c r="T189" i="102"/>
  <c r="I190" i="102"/>
  <c r="E19" i="102"/>
  <c r="T27" i="102"/>
  <c r="E35" i="102"/>
  <c r="T90" i="102"/>
  <c r="D100" i="102"/>
  <c r="J99" i="102"/>
  <c r="O143" i="102"/>
  <c r="S145" i="102"/>
  <c r="N28" i="102"/>
  <c r="R28" i="102"/>
  <c r="E62" i="102"/>
  <c r="O198" i="102"/>
  <c r="O136" i="102"/>
  <c r="C190" i="102"/>
  <c r="J189" i="102"/>
  <c r="T188" i="102"/>
  <c r="O27" i="102"/>
  <c r="S46" i="102"/>
  <c r="B82" i="102"/>
  <c r="N82" i="102"/>
  <c r="R91" i="102"/>
  <c r="E99" i="102"/>
  <c r="N181" i="102"/>
  <c r="B145" i="102"/>
  <c r="E143" i="102"/>
  <c r="E189" i="102"/>
  <c r="O44" i="102"/>
  <c r="L46" i="102"/>
  <c r="G37" i="102"/>
  <c r="N37" i="102"/>
  <c r="D64" i="102"/>
  <c r="R64" i="102"/>
  <c r="N73" i="102"/>
  <c r="O89" i="102"/>
  <c r="Y107" i="102"/>
  <c r="G118" i="102"/>
  <c r="S118" i="102"/>
  <c r="J117" i="102"/>
  <c r="D127" i="102"/>
  <c r="R127" i="102"/>
  <c r="C181" i="102"/>
  <c r="C199" i="102"/>
  <c r="Q199" i="102"/>
  <c r="E152" i="102"/>
  <c r="I154" i="102"/>
  <c r="Y152" i="102"/>
  <c r="E163" i="102"/>
  <c r="O10" i="102"/>
  <c r="O80" i="102"/>
  <c r="O19" i="102"/>
  <c r="J27" i="102"/>
  <c r="Y27" i="102"/>
  <c r="O55" i="102"/>
  <c r="S64" i="102"/>
  <c r="C73" i="102"/>
  <c r="Q73" i="102"/>
  <c r="S91" i="102"/>
  <c r="X109" i="102"/>
  <c r="H118" i="102"/>
  <c r="V118" i="102"/>
  <c r="G127" i="102"/>
  <c r="S127" i="102"/>
  <c r="Y188" i="102"/>
  <c r="T19" i="102"/>
  <c r="L28" i="102"/>
  <c r="O36" i="102"/>
  <c r="N64" i="102"/>
  <c r="T63" i="102"/>
  <c r="O71" i="102"/>
  <c r="X73" i="102"/>
  <c r="I82" i="102"/>
  <c r="Y80" i="102"/>
  <c r="O81" i="102"/>
  <c r="S100" i="102"/>
  <c r="G109" i="102"/>
  <c r="S109" i="102"/>
  <c r="J108" i="102"/>
  <c r="Y108" i="102"/>
  <c r="E116" i="102"/>
  <c r="T116" i="102"/>
  <c r="T117" i="102"/>
  <c r="E125" i="102"/>
  <c r="N127" i="102"/>
  <c r="T126" i="102"/>
  <c r="O179" i="102"/>
  <c r="X181" i="102"/>
  <c r="O197" i="102"/>
  <c r="X199" i="102"/>
  <c r="M145" i="102"/>
  <c r="T163" i="102"/>
  <c r="W190" i="102"/>
  <c r="I37" i="102"/>
  <c r="R37" i="102"/>
  <c r="W46" i="102"/>
  <c r="H64" i="102"/>
  <c r="D73" i="102"/>
  <c r="R73" i="102"/>
  <c r="E80" i="102"/>
  <c r="T81" i="102"/>
  <c r="I91" i="102"/>
  <c r="M109" i="102"/>
  <c r="I118" i="102"/>
  <c r="Y116" i="102"/>
  <c r="H127" i="102"/>
  <c r="Y125" i="102"/>
  <c r="D181" i="102"/>
  <c r="R181" i="102"/>
  <c r="J180" i="102"/>
  <c r="D199" i="102"/>
  <c r="R199" i="102"/>
  <c r="J198" i="102"/>
  <c r="J136" i="102"/>
  <c r="Y172" i="102"/>
  <c r="O35" i="102"/>
  <c r="E44" i="102"/>
  <c r="W64" i="102"/>
  <c r="O63" i="102"/>
  <c r="J71" i="102"/>
  <c r="Y72" i="102"/>
  <c r="J90" i="102"/>
  <c r="E107" i="102"/>
  <c r="L127" i="102"/>
  <c r="Y180" i="102"/>
  <c r="J197" i="102"/>
  <c r="Y198" i="102"/>
  <c r="Y136" i="102"/>
  <c r="T143" i="102"/>
  <c r="O163" i="102"/>
  <c r="H28" i="102"/>
  <c r="T36" i="102"/>
  <c r="I46" i="102"/>
  <c r="R46" i="102"/>
  <c r="J55" i="102"/>
  <c r="O62" i="102"/>
  <c r="Y71" i="102"/>
  <c r="J81" i="102"/>
  <c r="Y81" i="102"/>
  <c r="Q91" i="102"/>
  <c r="X91" i="102"/>
  <c r="X100" i="102"/>
  <c r="T107" i="102"/>
  <c r="T108" i="102"/>
  <c r="O116" i="102"/>
  <c r="E117" i="102"/>
  <c r="O125" i="102"/>
  <c r="Y179" i="102"/>
  <c r="Y197" i="102"/>
  <c r="R145" i="102"/>
  <c r="H154" i="102"/>
  <c r="O153" i="102"/>
  <c r="O172" i="102"/>
  <c r="H190" i="102"/>
  <c r="O189" i="102"/>
  <c r="Q190" i="102"/>
  <c r="J188" i="102"/>
  <c r="B190" i="102"/>
  <c r="V190" i="102"/>
  <c r="L190" i="102"/>
  <c r="V154" i="102"/>
  <c r="T152" i="102"/>
  <c r="L154" i="102"/>
  <c r="Q154" i="102"/>
  <c r="J152" i="102"/>
  <c r="C154" i="102"/>
  <c r="M154" i="102"/>
  <c r="W154" i="102"/>
  <c r="G145" i="102"/>
  <c r="E144" i="102"/>
  <c r="V145" i="102"/>
  <c r="Q145" i="102"/>
  <c r="L145" i="102"/>
  <c r="G199" i="102"/>
  <c r="T197" i="102"/>
  <c r="B199" i="102"/>
  <c r="L199" i="102"/>
  <c r="V199" i="102"/>
  <c r="J179" i="102"/>
  <c r="O180" i="102"/>
  <c r="V181" i="102"/>
  <c r="Q181" i="102"/>
  <c r="E180" i="102"/>
  <c r="J125" i="102"/>
  <c r="T125" i="102"/>
  <c r="E126" i="102"/>
  <c r="O126" i="102"/>
  <c r="V127" i="102"/>
  <c r="Q118" i="102"/>
  <c r="J116" i="102"/>
  <c r="C118" i="102"/>
  <c r="M118" i="102"/>
  <c r="W118" i="102"/>
  <c r="Q109" i="102"/>
  <c r="J107" i="102"/>
  <c r="B109" i="102"/>
  <c r="L109" i="102"/>
  <c r="W109" i="102"/>
  <c r="O98" i="102"/>
  <c r="J98" i="102"/>
  <c r="T98" i="102"/>
  <c r="O99" i="102"/>
  <c r="V100" i="102"/>
  <c r="B100" i="102"/>
  <c r="J89" i="102"/>
  <c r="T89" i="102"/>
  <c r="O90" i="102"/>
  <c r="V91" i="102"/>
  <c r="B91" i="102"/>
  <c r="Q82" i="102"/>
  <c r="J80" i="102"/>
  <c r="M82" i="102"/>
  <c r="C82" i="102"/>
  <c r="W82" i="102"/>
  <c r="G73" i="102"/>
  <c r="T71" i="102"/>
  <c r="B73" i="102"/>
  <c r="L73" i="102"/>
  <c r="V73" i="102"/>
  <c r="G64" i="102"/>
  <c r="B64" i="102"/>
  <c r="L64" i="102"/>
  <c r="Q64" i="102"/>
  <c r="V64" i="102"/>
  <c r="Y44" i="102"/>
  <c r="J45" i="102"/>
  <c r="C46" i="102"/>
  <c r="J44" i="102"/>
  <c r="T44" i="102"/>
  <c r="D37" i="102"/>
  <c r="J35" i="102"/>
  <c r="B37" i="102"/>
  <c r="V37" i="102"/>
  <c r="L37" i="102"/>
  <c r="Q37" i="102"/>
  <c r="J26" i="102"/>
  <c r="B28" i="102"/>
  <c r="N393" i="103"/>
  <c r="M393" i="103"/>
  <c r="L393" i="103"/>
  <c r="I393" i="103"/>
  <c r="H393" i="103"/>
  <c r="G393" i="103"/>
  <c r="D393" i="103"/>
  <c r="C393" i="103"/>
  <c r="B393" i="103"/>
  <c r="O391" i="103"/>
  <c r="J391" i="103"/>
  <c r="E391" i="103"/>
  <c r="O390" i="103"/>
  <c r="J390" i="103"/>
  <c r="E390" i="103"/>
  <c r="O389" i="103"/>
  <c r="J389" i="103"/>
  <c r="E389" i="103"/>
  <c r="O388" i="103"/>
  <c r="J388" i="103"/>
  <c r="E388" i="103"/>
  <c r="O387" i="103"/>
  <c r="J387" i="103"/>
  <c r="E387" i="103"/>
  <c r="O386" i="103"/>
  <c r="J386" i="103"/>
  <c r="E386" i="103"/>
  <c r="O385" i="103"/>
  <c r="J385" i="103"/>
  <c r="E385" i="103"/>
  <c r="O384" i="103"/>
  <c r="J384" i="103"/>
  <c r="E384" i="103"/>
  <c r="O383" i="103"/>
  <c r="J383" i="103"/>
  <c r="E383" i="103"/>
  <c r="O381" i="103"/>
  <c r="J381" i="103"/>
  <c r="E381" i="103"/>
  <c r="L380" i="103"/>
  <c r="G380" i="103"/>
  <c r="B380" i="103"/>
  <c r="N376" i="103"/>
  <c r="M376" i="103"/>
  <c r="L376" i="103"/>
  <c r="I376" i="103"/>
  <c r="H376" i="103"/>
  <c r="G376" i="103"/>
  <c r="D376" i="103"/>
  <c r="C376" i="103"/>
  <c r="B376" i="103"/>
  <c r="O374" i="103"/>
  <c r="J374" i="103"/>
  <c r="E374" i="103"/>
  <c r="O373" i="103"/>
  <c r="J373" i="103"/>
  <c r="E373" i="103"/>
  <c r="O372" i="103"/>
  <c r="J372" i="103"/>
  <c r="E372" i="103"/>
  <c r="O371" i="103"/>
  <c r="J371" i="103"/>
  <c r="E371" i="103"/>
  <c r="O370" i="103"/>
  <c r="J370" i="103"/>
  <c r="E370" i="103"/>
  <c r="O369" i="103"/>
  <c r="J369" i="103"/>
  <c r="E369" i="103"/>
  <c r="O368" i="103"/>
  <c r="J368" i="103"/>
  <c r="E368" i="103"/>
  <c r="O367" i="103"/>
  <c r="J367" i="103"/>
  <c r="E367" i="103"/>
  <c r="O366" i="103"/>
  <c r="J366" i="103"/>
  <c r="E366" i="103"/>
  <c r="O364" i="103"/>
  <c r="J364" i="103"/>
  <c r="E364" i="103"/>
  <c r="L363" i="103"/>
  <c r="G363" i="103"/>
  <c r="B363" i="103"/>
  <c r="N359" i="103"/>
  <c r="M359" i="103"/>
  <c r="L359" i="103"/>
  <c r="I359" i="103"/>
  <c r="H359" i="103"/>
  <c r="G359" i="103"/>
  <c r="D359" i="103"/>
  <c r="C359" i="103"/>
  <c r="B359" i="103"/>
  <c r="O357" i="103"/>
  <c r="J357" i="103"/>
  <c r="E357" i="103"/>
  <c r="O356" i="103"/>
  <c r="J356" i="103"/>
  <c r="E356" i="103"/>
  <c r="O355" i="103"/>
  <c r="J355" i="103"/>
  <c r="E355" i="103"/>
  <c r="O354" i="103"/>
  <c r="J354" i="103"/>
  <c r="E354" i="103"/>
  <c r="O353" i="103"/>
  <c r="J353" i="103"/>
  <c r="E353" i="103"/>
  <c r="O352" i="103"/>
  <c r="J352" i="103"/>
  <c r="E352" i="103"/>
  <c r="O351" i="103"/>
  <c r="J351" i="103"/>
  <c r="E351" i="103"/>
  <c r="O350" i="103"/>
  <c r="J350" i="103"/>
  <c r="E350" i="103"/>
  <c r="O349" i="103"/>
  <c r="J349" i="103"/>
  <c r="E349" i="103"/>
  <c r="O347" i="103"/>
  <c r="J347" i="103"/>
  <c r="E347" i="103"/>
  <c r="L346" i="103"/>
  <c r="G346" i="103"/>
  <c r="B346" i="103"/>
  <c r="N342" i="103"/>
  <c r="M342" i="103"/>
  <c r="L342" i="103"/>
  <c r="I342" i="103"/>
  <c r="H342" i="103"/>
  <c r="G342" i="103"/>
  <c r="D342" i="103"/>
  <c r="C342" i="103"/>
  <c r="B342" i="103"/>
  <c r="O340" i="103"/>
  <c r="J340" i="103"/>
  <c r="E340" i="103"/>
  <c r="O339" i="103"/>
  <c r="J339" i="103"/>
  <c r="E339" i="103"/>
  <c r="O338" i="103"/>
  <c r="J338" i="103"/>
  <c r="E338" i="103"/>
  <c r="O337" i="103"/>
  <c r="J337" i="103"/>
  <c r="E337" i="103"/>
  <c r="O336" i="103"/>
  <c r="J336" i="103"/>
  <c r="E336" i="103"/>
  <c r="O335" i="103"/>
  <c r="J335" i="103"/>
  <c r="E335" i="103"/>
  <c r="O334" i="103"/>
  <c r="J334" i="103"/>
  <c r="E334" i="103"/>
  <c r="O333" i="103"/>
  <c r="J333" i="103"/>
  <c r="E333" i="103"/>
  <c r="O332" i="103"/>
  <c r="J332" i="103"/>
  <c r="E332" i="103"/>
  <c r="O330" i="103"/>
  <c r="J330" i="103"/>
  <c r="E330" i="103"/>
  <c r="L329" i="103"/>
  <c r="G329" i="103"/>
  <c r="B329" i="103"/>
  <c r="N325" i="103"/>
  <c r="M325" i="103"/>
  <c r="L325" i="103"/>
  <c r="I325" i="103"/>
  <c r="H325" i="103"/>
  <c r="G325" i="103"/>
  <c r="D325" i="103"/>
  <c r="C325" i="103"/>
  <c r="B325" i="103"/>
  <c r="O323" i="103"/>
  <c r="J323" i="103"/>
  <c r="E323" i="103"/>
  <c r="O322" i="103"/>
  <c r="J322" i="103"/>
  <c r="E322" i="103"/>
  <c r="O321" i="103"/>
  <c r="J321" i="103"/>
  <c r="E321" i="103"/>
  <c r="O320" i="103"/>
  <c r="J320" i="103"/>
  <c r="E320" i="103"/>
  <c r="O319" i="103"/>
  <c r="J319" i="103"/>
  <c r="E319" i="103"/>
  <c r="O318" i="103"/>
  <c r="J318" i="103"/>
  <c r="E318" i="103"/>
  <c r="O317" i="103"/>
  <c r="J317" i="103"/>
  <c r="E317" i="103"/>
  <c r="O316" i="103"/>
  <c r="J316" i="103"/>
  <c r="E316" i="103"/>
  <c r="O315" i="103"/>
  <c r="J315" i="103"/>
  <c r="E315" i="103"/>
  <c r="O313" i="103"/>
  <c r="J313" i="103"/>
  <c r="E313" i="103"/>
  <c r="L312" i="103"/>
  <c r="G312" i="103"/>
  <c r="B312" i="103"/>
  <c r="N308" i="103"/>
  <c r="M308" i="103"/>
  <c r="L308" i="103"/>
  <c r="I308" i="103"/>
  <c r="H308" i="103"/>
  <c r="G308" i="103"/>
  <c r="D308" i="103"/>
  <c r="C308" i="103"/>
  <c r="B308" i="103"/>
  <c r="O306" i="103"/>
  <c r="J306" i="103"/>
  <c r="E306" i="103"/>
  <c r="O305" i="103"/>
  <c r="J305" i="103"/>
  <c r="E305" i="103"/>
  <c r="O304" i="103"/>
  <c r="J304" i="103"/>
  <c r="E304" i="103"/>
  <c r="O303" i="103"/>
  <c r="J303" i="103"/>
  <c r="E303" i="103"/>
  <c r="O302" i="103"/>
  <c r="J302" i="103"/>
  <c r="E302" i="103"/>
  <c r="O301" i="103"/>
  <c r="J301" i="103"/>
  <c r="E301" i="103"/>
  <c r="O300" i="103"/>
  <c r="J300" i="103"/>
  <c r="E300" i="103"/>
  <c r="O299" i="103"/>
  <c r="J299" i="103"/>
  <c r="E299" i="103"/>
  <c r="O298" i="103"/>
  <c r="J298" i="103"/>
  <c r="E298" i="103"/>
  <c r="O296" i="103"/>
  <c r="J296" i="103"/>
  <c r="E296" i="103"/>
  <c r="L295" i="103"/>
  <c r="G295" i="103"/>
  <c r="B295" i="103"/>
  <c r="N291" i="103"/>
  <c r="M291" i="103"/>
  <c r="L291" i="103"/>
  <c r="I291" i="103"/>
  <c r="H291" i="103"/>
  <c r="G291" i="103"/>
  <c r="D291" i="103"/>
  <c r="C291" i="103"/>
  <c r="B291" i="103"/>
  <c r="O289" i="103"/>
  <c r="J289" i="103"/>
  <c r="E289" i="103"/>
  <c r="O288" i="103"/>
  <c r="J288" i="103"/>
  <c r="E288" i="103"/>
  <c r="O287" i="103"/>
  <c r="J287" i="103"/>
  <c r="E287" i="103"/>
  <c r="O286" i="103"/>
  <c r="J286" i="103"/>
  <c r="E286" i="103"/>
  <c r="O285" i="103"/>
  <c r="J285" i="103"/>
  <c r="E285" i="103"/>
  <c r="O284" i="103"/>
  <c r="J284" i="103"/>
  <c r="E284" i="103"/>
  <c r="O283" i="103"/>
  <c r="J283" i="103"/>
  <c r="E283" i="103"/>
  <c r="O282" i="103"/>
  <c r="J282" i="103"/>
  <c r="E282" i="103"/>
  <c r="O281" i="103"/>
  <c r="J281" i="103"/>
  <c r="E281" i="103"/>
  <c r="O279" i="103"/>
  <c r="J279" i="103"/>
  <c r="E279" i="103"/>
  <c r="L278" i="103"/>
  <c r="G278" i="103"/>
  <c r="B278" i="103"/>
  <c r="N274" i="103"/>
  <c r="M274" i="103"/>
  <c r="L274" i="103"/>
  <c r="I274" i="103"/>
  <c r="H274" i="103"/>
  <c r="G274" i="103"/>
  <c r="D274" i="103"/>
  <c r="C274" i="103"/>
  <c r="B274" i="103"/>
  <c r="O272" i="103"/>
  <c r="J272" i="103"/>
  <c r="E272" i="103"/>
  <c r="O271" i="103"/>
  <c r="J271" i="103"/>
  <c r="E271" i="103"/>
  <c r="O270" i="103"/>
  <c r="J270" i="103"/>
  <c r="E270" i="103"/>
  <c r="O269" i="103"/>
  <c r="J269" i="103"/>
  <c r="E269" i="103"/>
  <c r="O268" i="103"/>
  <c r="J268" i="103"/>
  <c r="E268" i="103"/>
  <c r="O267" i="103"/>
  <c r="J267" i="103"/>
  <c r="E267" i="103"/>
  <c r="O266" i="103"/>
  <c r="J266" i="103"/>
  <c r="E266" i="103"/>
  <c r="O265" i="103"/>
  <c r="J265" i="103"/>
  <c r="E265" i="103"/>
  <c r="O264" i="103"/>
  <c r="J264" i="103"/>
  <c r="E264" i="103"/>
  <c r="O262" i="103"/>
  <c r="J262" i="103"/>
  <c r="E262" i="103"/>
  <c r="L261" i="103"/>
  <c r="G261" i="103"/>
  <c r="B261" i="103"/>
  <c r="N257" i="103"/>
  <c r="M257" i="103"/>
  <c r="L257" i="103"/>
  <c r="I257" i="103"/>
  <c r="H257" i="103"/>
  <c r="G257" i="103"/>
  <c r="D257" i="103"/>
  <c r="C257" i="103"/>
  <c r="B257" i="103"/>
  <c r="O255" i="103"/>
  <c r="J255" i="103"/>
  <c r="E255" i="103"/>
  <c r="O254" i="103"/>
  <c r="J254" i="103"/>
  <c r="E254" i="103"/>
  <c r="O253" i="103"/>
  <c r="J253" i="103"/>
  <c r="E253" i="103"/>
  <c r="O252" i="103"/>
  <c r="J252" i="103"/>
  <c r="E252" i="103"/>
  <c r="O251" i="103"/>
  <c r="J251" i="103"/>
  <c r="E251" i="103"/>
  <c r="O250" i="103"/>
  <c r="J250" i="103"/>
  <c r="E250" i="103"/>
  <c r="O249" i="103"/>
  <c r="J249" i="103"/>
  <c r="E249" i="103"/>
  <c r="O248" i="103"/>
  <c r="J248" i="103"/>
  <c r="E248" i="103"/>
  <c r="O247" i="103"/>
  <c r="J247" i="103"/>
  <c r="E247" i="103"/>
  <c r="O245" i="103"/>
  <c r="J245" i="103"/>
  <c r="E245" i="103"/>
  <c r="L244" i="103"/>
  <c r="G244" i="103"/>
  <c r="B244" i="103"/>
  <c r="N240" i="103"/>
  <c r="M240" i="103"/>
  <c r="L240" i="103"/>
  <c r="I240" i="103"/>
  <c r="H240" i="103"/>
  <c r="G240" i="103"/>
  <c r="D240" i="103"/>
  <c r="C240" i="103"/>
  <c r="B240" i="103"/>
  <c r="O238" i="103"/>
  <c r="J238" i="103"/>
  <c r="E238" i="103"/>
  <c r="O237" i="103"/>
  <c r="J237" i="103"/>
  <c r="E237" i="103"/>
  <c r="O236" i="103"/>
  <c r="J236" i="103"/>
  <c r="E236" i="103"/>
  <c r="O235" i="103"/>
  <c r="J235" i="103"/>
  <c r="E235" i="103"/>
  <c r="O234" i="103"/>
  <c r="J234" i="103"/>
  <c r="E234" i="103"/>
  <c r="O233" i="103"/>
  <c r="J233" i="103"/>
  <c r="E233" i="103"/>
  <c r="O232" i="103"/>
  <c r="J232" i="103"/>
  <c r="E232" i="103"/>
  <c r="O231" i="103"/>
  <c r="J231" i="103"/>
  <c r="E231" i="103"/>
  <c r="O230" i="103"/>
  <c r="J230" i="103"/>
  <c r="E230" i="103"/>
  <c r="O228" i="103"/>
  <c r="J228" i="103"/>
  <c r="E228" i="103"/>
  <c r="L227" i="103"/>
  <c r="G227" i="103"/>
  <c r="B227" i="103"/>
  <c r="N223" i="103"/>
  <c r="M223" i="103"/>
  <c r="L223" i="103"/>
  <c r="I223" i="103"/>
  <c r="H223" i="103"/>
  <c r="G223" i="103"/>
  <c r="D223" i="103"/>
  <c r="C223" i="103"/>
  <c r="B223" i="103"/>
  <c r="O221" i="103"/>
  <c r="J221" i="103"/>
  <c r="E221" i="103"/>
  <c r="O220" i="103"/>
  <c r="J220" i="103"/>
  <c r="E220" i="103"/>
  <c r="O219" i="103"/>
  <c r="J219" i="103"/>
  <c r="E219" i="103"/>
  <c r="O218" i="103"/>
  <c r="J218" i="103"/>
  <c r="E218" i="103"/>
  <c r="O217" i="103"/>
  <c r="J217" i="103"/>
  <c r="E217" i="103"/>
  <c r="O216" i="103"/>
  <c r="J216" i="103"/>
  <c r="E216" i="103"/>
  <c r="O215" i="103"/>
  <c r="J215" i="103"/>
  <c r="E215" i="103"/>
  <c r="O214" i="103"/>
  <c r="J214" i="103"/>
  <c r="E214" i="103"/>
  <c r="O213" i="103"/>
  <c r="J213" i="103"/>
  <c r="E213" i="103"/>
  <c r="O211" i="103"/>
  <c r="J211" i="103"/>
  <c r="E211" i="103"/>
  <c r="L210" i="103"/>
  <c r="G210" i="103"/>
  <c r="B210" i="103"/>
  <c r="N206" i="103"/>
  <c r="M206" i="103"/>
  <c r="L206" i="103"/>
  <c r="I206" i="103"/>
  <c r="H206" i="103"/>
  <c r="G206" i="103"/>
  <c r="D206" i="103"/>
  <c r="C206" i="103"/>
  <c r="B206" i="103"/>
  <c r="O204" i="103"/>
  <c r="J204" i="103"/>
  <c r="E204" i="103"/>
  <c r="O203" i="103"/>
  <c r="J203" i="103"/>
  <c r="E203" i="103"/>
  <c r="O202" i="103"/>
  <c r="J202" i="103"/>
  <c r="E202" i="103"/>
  <c r="O201" i="103"/>
  <c r="J201" i="103"/>
  <c r="E201" i="103"/>
  <c r="O200" i="103"/>
  <c r="J200" i="103"/>
  <c r="E200" i="103"/>
  <c r="O199" i="103"/>
  <c r="J199" i="103"/>
  <c r="E199" i="103"/>
  <c r="O198" i="103"/>
  <c r="J198" i="103"/>
  <c r="E198" i="103"/>
  <c r="O197" i="103"/>
  <c r="J197" i="103"/>
  <c r="E197" i="103"/>
  <c r="O196" i="103"/>
  <c r="J196" i="103"/>
  <c r="E196" i="103"/>
  <c r="O194" i="103"/>
  <c r="J194" i="103"/>
  <c r="E194" i="103"/>
  <c r="L193" i="103"/>
  <c r="G193" i="103"/>
  <c r="B193" i="103"/>
  <c r="N189" i="103"/>
  <c r="M189" i="103"/>
  <c r="L189" i="103"/>
  <c r="I189" i="103"/>
  <c r="H189" i="103"/>
  <c r="G189" i="103"/>
  <c r="D189" i="103"/>
  <c r="C189" i="103"/>
  <c r="B189" i="103"/>
  <c r="O187" i="103"/>
  <c r="J187" i="103"/>
  <c r="E187" i="103"/>
  <c r="O186" i="103"/>
  <c r="J186" i="103"/>
  <c r="E186" i="103"/>
  <c r="O185" i="103"/>
  <c r="J185" i="103"/>
  <c r="E185" i="103"/>
  <c r="O184" i="103"/>
  <c r="J184" i="103"/>
  <c r="E184" i="103"/>
  <c r="O183" i="103"/>
  <c r="J183" i="103"/>
  <c r="E183" i="103"/>
  <c r="O182" i="103"/>
  <c r="J182" i="103"/>
  <c r="E182" i="103"/>
  <c r="O181" i="103"/>
  <c r="J181" i="103"/>
  <c r="E181" i="103"/>
  <c r="O180" i="103"/>
  <c r="J180" i="103"/>
  <c r="E180" i="103"/>
  <c r="O179" i="103"/>
  <c r="J179" i="103"/>
  <c r="E179" i="103"/>
  <c r="O177" i="103"/>
  <c r="J177" i="103"/>
  <c r="E177" i="103"/>
  <c r="L176" i="103"/>
  <c r="G176" i="103"/>
  <c r="B176" i="103"/>
  <c r="N172" i="103"/>
  <c r="M172" i="103"/>
  <c r="L172" i="103"/>
  <c r="I172" i="103"/>
  <c r="H172" i="103"/>
  <c r="G172" i="103"/>
  <c r="D172" i="103"/>
  <c r="C172" i="103"/>
  <c r="B172" i="103"/>
  <c r="O170" i="103"/>
  <c r="J170" i="103"/>
  <c r="E170" i="103"/>
  <c r="O169" i="103"/>
  <c r="J169" i="103"/>
  <c r="E169" i="103"/>
  <c r="O168" i="103"/>
  <c r="J168" i="103"/>
  <c r="E168" i="103"/>
  <c r="O167" i="103"/>
  <c r="J167" i="103"/>
  <c r="E167" i="103"/>
  <c r="O166" i="103"/>
  <c r="J166" i="103"/>
  <c r="E166" i="103"/>
  <c r="O165" i="103"/>
  <c r="J165" i="103"/>
  <c r="E165" i="103"/>
  <c r="O164" i="103"/>
  <c r="J164" i="103"/>
  <c r="E164" i="103"/>
  <c r="O163" i="103"/>
  <c r="J163" i="103"/>
  <c r="E163" i="103"/>
  <c r="O162" i="103"/>
  <c r="J162" i="103"/>
  <c r="E162" i="103"/>
  <c r="O160" i="103"/>
  <c r="J160" i="103"/>
  <c r="E160" i="103"/>
  <c r="L159" i="103"/>
  <c r="G159" i="103"/>
  <c r="B159" i="103"/>
  <c r="N155" i="103"/>
  <c r="M155" i="103"/>
  <c r="L155" i="103"/>
  <c r="I155" i="103"/>
  <c r="H155" i="103"/>
  <c r="G155" i="103"/>
  <c r="D155" i="103"/>
  <c r="C155" i="103"/>
  <c r="B155" i="103"/>
  <c r="O153" i="103"/>
  <c r="J153" i="103"/>
  <c r="E153" i="103"/>
  <c r="O152" i="103"/>
  <c r="J152" i="103"/>
  <c r="E152" i="103"/>
  <c r="O151" i="103"/>
  <c r="J151" i="103"/>
  <c r="E151" i="103"/>
  <c r="O150" i="103"/>
  <c r="J150" i="103"/>
  <c r="E150" i="103"/>
  <c r="O149" i="103"/>
  <c r="J149" i="103"/>
  <c r="E149" i="103"/>
  <c r="O148" i="103"/>
  <c r="J148" i="103"/>
  <c r="E148" i="103"/>
  <c r="O147" i="103"/>
  <c r="J147" i="103"/>
  <c r="E147" i="103"/>
  <c r="O146" i="103"/>
  <c r="J146" i="103"/>
  <c r="E146" i="103"/>
  <c r="O145" i="103"/>
  <c r="J145" i="103"/>
  <c r="E145" i="103"/>
  <c r="O143" i="103"/>
  <c r="J143" i="103"/>
  <c r="E143" i="103"/>
  <c r="L142" i="103"/>
  <c r="G142" i="103"/>
  <c r="B142" i="103"/>
  <c r="N138" i="103"/>
  <c r="M138" i="103"/>
  <c r="L138" i="103"/>
  <c r="I138" i="103"/>
  <c r="H138" i="103"/>
  <c r="G138" i="103"/>
  <c r="D138" i="103"/>
  <c r="C138" i="103"/>
  <c r="B138" i="103"/>
  <c r="O136" i="103"/>
  <c r="J136" i="103"/>
  <c r="E136" i="103"/>
  <c r="O135" i="103"/>
  <c r="J135" i="103"/>
  <c r="E135" i="103"/>
  <c r="O134" i="103"/>
  <c r="J134" i="103"/>
  <c r="E134" i="103"/>
  <c r="O133" i="103"/>
  <c r="J133" i="103"/>
  <c r="E133" i="103"/>
  <c r="O132" i="103"/>
  <c r="J132" i="103"/>
  <c r="E132" i="103"/>
  <c r="O131" i="103"/>
  <c r="J131" i="103"/>
  <c r="E131" i="103"/>
  <c r="O130" i="103"/>
  <c r="J130" i="103"/>
  <c r="E130" i="103"/>
  <c r="O129" i="103"/>
  <c r="J129" i="103"/>
  <c r="E129" i="103"/>
  <c r="O128" i="103"/>
  <c r="J128" i="103"/>
  <c r="E128" i="103"/>
  <c r="O126" i="103"/>
  <c r="J126" i="103"/>
  <c r="E126" i="103"/>
  <c r="L125" i="103"/>
  <c r="G125" i="103"/>
  <c r="B125" i="103"/>
  <c r="N121" i="103"/>
  <c r="M121" i="103"/>
  <c r="L121" i="103"/>
  <c r="I121" i="103"/>
  <c r="H121" i="103"/>
  <c r="G121" i="103"/>
  <c r="D121" i="103"/>
  <c r="C121" i="103"/>
  <c r="B121" i="103"/>
  <c r="O119" i="103"/>
  <c r="J119" i="103"/>
  <c r="E119" i="103"/>
  <c r="O118" i="103"/>
  <c r="J118" i="103"/>
  <c r="E118" i="103"/>
  <c r="O117" i="103"/>
  <c r="J117" i="103"/>
  <c r="E117" i="103"/>
  <c r="O116" i="103"/>
  <c r="J116" i="103"/>
  <c r="E116" i="103"/>
  <c r="O115" i="103"/>
  <c r="J115" i="103"/>
  <c r="E115" i="103"/>
  <c r="O114" i="103"/>
  <c r="J114" i="103"/>
  <c r="E114" i="103"/>
  <c r="O113" i="103"/>
  <c r="J113" i="103"/>
  <c r="E113" i="103"/>
  <c r="O112" i="103"/>
  <c r="J112" i="103"/>
  <c r="E112" i="103"/>
  <c r="O111" i="103"/>
  <c r="J111" i="103"/>
  <c r="E111" i="103"/>
  <c r="O109" i="103"/>
  <c r="J109" i="103"/>
  <c r="E109" i="103"/>
  <c r="L108" i="103"/>
  <c r="G108" i="103"/>
  <c r="B108" i="103"/>
  <c r="N104" i="103"/>
  <c r="M104" i="103"/>
  <c r="L104" i="103"/>
  <c r="I104" i="103"/>
  <c r="H104" i="103"/>
  <c r="G104" i="103"/>
  <c r="D104" i="103"/>
  <c r="C104" i="103"/>
  <c r="B104" i="103"/>
  <c r="O102" i="103"/>
  <c r="J102" i="103"/>
  <c r="E102" i="103"/>
  <c r="O101" i="103"/>
  <c r="J101" i="103"/>
  <c r="E101" i="103"/>
  <c r="O100" i="103"/>
  <c r="J100" i="103"/>
  <c r="E100" i="103"/>
  <c r="O99" i="103"/>
  <c r="J99" i="103"/>
  <c r="E99" i="103"/>
  <c r="O98" i="103"/>
  <c r="J98" i="103"/>
  <c r="E98" i="103"/>
  <c r="O97" i="103"/>
  <c r="J97" i="103"/>
  <c r="E97" i="103"/>
  <c r="O96" i="103"/>
  <c r="J96" i="103"/>
  <c r="E96" i="103"/>
  <c r="O95" i="103"/>
  <c r="J95" i="103"/>
  <c r="E95" i="103"/>
  <c r="O94" i="103"/>
  <c r="J94" i="103"/>
  <c r="E94" i="103"/>
  <c r="O92" i="103"/>
  <c r="J92" i="103"/>
  <c r="E92" i="103"/>
  <c r="L91" i="103"/>
  <c r="G91" i="103"/>
  <c r="B91" i="103"/>
  <c r="N87" i="103"/>
  <c r="M87" i="103"/>
  <c r="L87" i="103"/>
  <c r="I87" i="103"/>
  <c r="H87" i="103"/>
  <c r="G87" i="103"/>
  <c r="D87" i="103"/>
  <c r="C87" i="103"/>
  <c r="B87" i="103"/>
  <c r="O85" i="103"/>
  <c r="J85" i="103"/>
  <c r="E85" i="103"/>
  <c r="O84" i="103"/>
  <c r="J84" i="103"/>
  <c r="E84" i="103"/>
  <c r="O83" i="103"/>
  <c r="J83" i="103"/>
  <c r="E83" i="103"/>
  <c r="O82" i="103"/>
  <c r="J82" i="103"/>
  <c r="E82" i="103"/>
  <c r="O81" i="103"/>
  <c r="J81" i="103"/>
  <c r="E81" i="103"/>
  <c r="O80" i="103"/>
  <c r="J80" i="103"/>
  <c r="E80" i="103"/>
  <c r="O79" i="103"/>
  <c r="J79" i="103"/>
  <c r="E79" i="103"/>
  <c r="O78" i="103"/>
  <c r="J78" i="103"/>
  <c r="E78" i="103"/>
  <c r="O77" i="103"/>
  <c r="J77" i="103"/>
  <c r="E77" i="103"/>
  <c r="O75" i="103"/>
  <c r="J75" i="103"/>
  <c r="E75" i="103"/>
  <c r="L74" i="103"/>
  <c r="G74" i="103"/>
  <c r="B74" i="103"/>
  <c r="N70" i="103"/>
  <c r="M70" i="103"/>
  <c r="L70" i="103"/>
  <c r="I70" i="103"/>
  <c r="H70" i="103"/>
  <c r="G70" i="103"/>
  <c r="D70" i="103"/>
  <c r="C70" i="103"/>
  <c r="B70" i="103"/>
  <c r="O68" i="103"/>
  <c r="J68" i="103"/>
  <c r="E68" i="103"/>
  <c r="O67" i="103"/>
  <c r="J67" i="103"/>
  <c r="E67" i="103"/>
  <c r="O66" i="103"/>
  <c r="J66" i="103"/>
  <c r="E66" i="103"/>
  <c r="O65" i="103"/>
  <c r="J65" i="103"/>
  <c r="E65" i="103"/>
  <c r="O64" i="103"/>
  <c r="J64" i="103"/>
  <c r="E64" i="103"/>
  <c r="O63" i="103"/>
  <c r="J63" i="103"/>
  <c r="E63" i="103"/>
  <c r="O62" i="103"/>
  <c r="J62" i="103"/>
  <c r="E62" i="103"/>
  <c r="O61" i="103"/>
  <c r="J61" i="103"/>
  <c r="E61" i="103"/>
  <c r="O60" i="103"/>
  <c r="J60" i="103"/>
  <c r="E60" i="103"/>
  <c r="O58" i="103"/>
  <c r="J58" i="103"/>
  <c r="E58" i="103"/>
  <c r="L57" i="103"/>
  <c r="G57" i="103"/>
  <c r="B57" i="103"/>
  <c r="N53" i="103"/>
  <c r="M53" i="103"/>
  <c r="L53" i="103"/>
  <c r="I53" i="103"/>
  <c r="H53" i="103"/>
  <c r="G53" i="103"/>
  <c r="D53" i="103"/>
  <c r="C53" i="103"/>
  <c r="B53" i="103"/>
  <c r="O51" i="103"/>
  <c r="J51" i="103"/>
  <c r="E51" i="103"/>
  <c r="O50" i="103"/>
  <c r="J50" i="103"/>
  <c r="E50" i="103"/>
  <c r="O49" i="103"/>
  <c r="J49" i="103"/>
  <c r="E49" i="103"/>
  <c r="O48" i="103"/>
  <c r="J48" i="103"/>
  <c r="E48" i="103"/>
  <c r="O47" i="103"/>
  <c r="J47" i="103"/>
  <c r="E47" i="103"/>
  <c r="O46" i="103"/>
  <c r="J46" i="103"/>
  <c r="E46" i="103"/>
  <c r="O45" i="103"/>
  <c r="J45" i="103"/>
  <c r="E45" i="103"/>
  <c r="O44" i="103"/>
  <c r="J44" i="103"/>
  <c r="E44" i="103"/>
  <c r="O43" i="103"/>
  <c r="J43" i="103"/>
  <c r="E43" i="103"/>
  <c r="O41" i="103"/>
  <c r="J41" i="103"/>
  <c r="E41" i="103"/>
  <c r="L40" i="103"/>
  <c r="G40" i="103"/>
  <c r="B40" i="103"/>
  <c r="J30" i="103"/>
  <c r="C36" i="103"/>
  <c r="D36" i="103"/>
  <c r="G36" i="103"/>
  <c r="H36" i="103"/>
  <c r="I36" i="103"/>
  <c r="L36" i="103"/>
  <c r="M36" i="103"/>
  <c r="N36" i="103"/>
  <c r="J199" i="102" l="1"/>
  <c r="E91" i="102"/>
  <c r="Y46" i="102"/>
  <c r="E28" i="102"/>
  <c r="E109" i="102"/>
  <c r="E82" i="102"/>
  <c r="J154" i="102"/>
  <c r="T46" i="102"/>
  <c r="J109" i="102"/>
  <c r="E100" i="102"/>
  <c r="Y28" i="102"/>
  <c r="E46" i="102"/>
  <c r="T73" i="102"/>
  <c r="O190" i="102"/>
  <c r="J37" i="102"/>
  <c r="E145" i="102"/>
  <c r="T109" i="102"/>
  <c r="J145" i="102"/>
  <c r="J91" i="102"/>
  <c r="E181" i="102"/>
  <c r="T127" i="102"/>
  <c r="J181" i="102"/>
  <c r="T28" i="102"/>
  <c r="O91" i="102"/>
  <c r="J46" i="102"/>
  <c r="J28" i="102"/>
  <c r="J73" i="102"/>
  <c r="O181" i="102"/>
  <c r="T100" i="102"/>
  <c r="O46" i="102"/>
  <c r="J190" i="102"/>
  <c r="Y64" i="102"/>
  <c r="Y91" i="102"/>
  <c r="O199" i="102"/>
  <c r="J100" i="102"/>
  <c r="O100" i="102"/>
  <c r="E118" i="102"/>
  <c r="E127" i="102"/>
  <c r="O64" i="102"/>
  <c r="O28" i="102"/>
  <c r="O145" i="102"/>
  <c r="J82" i="102"/>
  <c r="O127" i="102"/>
  <c r="Y127" i="102"/>
  <c r="T82" i="102"/>
  <c r="Y100" i="102"/>
  <c r="O109" i="102"/>
  <c r="T118" i="102"/>
  <c r="T181" i="102"/>
  <c r="E199" i="102"/>
  <c r="E154" i="102"/>
  <c r="Y37" i="102"/>
  <c r="E64" i="102"/>
  <c r="Y82" i="102"/>
  <c r="T145" i="102"/>
  <c r="Y118" i="102"/>
  <c r="E37" i="102"/>
  <c r="O118" i="102"/>
  <c r="Y145" i="102"/>
  <c r="T154" i="102"/>
  <c r="T190" i="102"/>
  <c r="J118" i="102"/>
  <c r="O37" i="102"/>
  <c r="Y73" i="102"/>
  <c r="Y199" i="102"/>
  <c r="T91" i="102"/>
  <c r="J127" i="102"/>
  <c r="T37" i="102"/>
  <c r="T64" i="102"/>
  <c r="Y109" i="102"/>
  <c r="O82" i="102"/>
  <c r="Y181" i="102"/>
  <c r="Y154" i="102"/>
  <c r="O73" i="102"/>
  <c r="O154" i="102"/>
  <c r="Y190" i="102"/>
  <c r="T199" i="102"/>
  <c r="J64" i="102"/>
  <c r="E73" i="102"/>
  <c r="E190" i="102"/>
  <c r="E53" i="103"/>
  <c r="O70" i="103"/>
  <c r="O359" i="103"/>
  <c r="O87" i="103"/>
  <c r="J138" i="103"/>
  <c r="E189" i="103"/>
  <c r="E325" i="103"/>
  <c r="E240" i="103"/>
  <c r="E376" i="103"/>
  <c r="O53" i="103"/>
  <c r="J376" i="103"/>
  <c r="J240" i="103"/>
  <c r="J291" i="103"/>
  <c r="J70" i="103"/>
  <c r="E121" i="103"/>
  <c r="J206" i="103"/>
  <c r="E257" i="103"/>
  <c r="O291" i="103"/>
  <c r="J342" i="103"/>
  <c r="E393" i="103"/>
  <c r="J53" i="103"/>
  <c r="E70" i="103"/>
  <c r="J325" i="103"/>
  <c r="E155" i="103"/>
  <c r="E291" i="103"/>
  <c r="E206" i="103"/>
  <c r="O240" i="103"/>
  <c r="O376" i="103"/>
  <c r="J121" i="103"/>
  <c r="E172" i="103"/>
  <c r="O206" i="103"/>
  <c r="J257" i="103"/>
  <c r="E308" i="103"/>
  <c r="O342" i="103"/>
  <c r="J393" i="103"/>
  <c r="O138" i="103"/>
  <c r="O274" i="103"/>
  <c r="O121" i="103"/>
  <c r="J172" i="103"/>
  <c r="E223" i="103"/>
  <c r="O223" i="103"/>
  <c r="J274" i="103"/>
  <c r="J308" i="103"/>
  <c r="E359" i="103"/>
  <c r="J189" i="103"/>
  <c r="O257" i="103"/>
  <c r="O393" i="103"/>
  <c r="J104" i="103"/>
  <c r="O189" i="103"/>
  <c r="O325" i="103"/>
  <c r="J155" i="103"/>
  <c r="E342" i="103"/>
  <c r="E87" i="103"/>
  <c r="J87" i="103"/>
  <c r="E104" i="103"/>
  <c r="O104" i="103"/>
  <c r="E138" i="103"/>
  <c r="O155" i="103"/>
  <c r="O172" i="103"/>
  <c r="J223" i="103"/>
  <c r="E274" i="103"/>
  <c r="O308" i="103"/>
  <c r="J359" i="103"/>
  <c r="D134" i="101"/>
  <c r="H47" i="101" l="1"/>
  <c r="K393" i="101"/>
  <c r="J393" i="101"/>
  <c r="G393" i="101"/>
  <c r="F393" i="101"/>
  <c r="C393" i="101"/>
  <c r="B393" i="101"/>
  <c r="L391" i="101"/>
  <c r="H391" i="101"/>
  <c r="D391" i="101"/>
  <c r="L390" i="101"/>
  <c r="H390" i="101"/>
  <c r="D390" i="101"/>
  <c r="L389" i="101"/>
  <c r="H389" i="101"/>
  <c r="D389" i="101"/>
  <c r="L388" i="101"/>
  <c r="H388" i="101"/>
  <c r="D388" i="101"/>
  <c r="L387" i="101"/>
  <c r="H387" i="101"/>
  <c r="D387" i="101"/>
  <c r="L386" i="101"/>
  <c r="H386" i="101"/>
  <c r="D386" i="101"/>
  <c r="L385" i="101"/>
  <c r="H385" i="101"/>
  <c r="D385" i="101"/>
  <c r="L384" i="101"/>
  <c r="H384" i="101"/>
  <c r="D384" i="101"/>
  <c r="L383" i="101"/>
  <c r="H383" i="101"/>
  <c r="D383" i="101"/>
  <c r="K376" i="101"/>
  <c r="J376" i="101"/>
  <c r="G376" i="101"/>
  <c r="F376" i="101"/>
  <c r="C376" i="101"/>
  <c r="B376" i="101"/>
  <c r="L374" i="101"/>
  <c r="H374" i="101"/>
  <c r="D374" i="101"/>
  <c r="L373" i="101"/>
  <c r="H373" i="101"/>
  <c r="D373" i="101"/>
  <c r="L372" i="101"/>
  <c r="H372" i="101"/>
  <c r="D372" i="101"/>
  <c r="L371" i="101"/>
  <c r="H371" i="101"/>
  <c r="D371" i="101"/>
  <c r="L370" i="101"/>
  <c r="H370" i="101"/>
  <c r="D370" i="101"/>
  <c r="L369" i="101"/>
  <c r="H369" i="101"/>
  <c r="D369" i="101"/>
  <c r="L368" i="101"/>
  <c r="H368" i="101"/>
  <c r="D368" i="101"/>
  <c r="L367" i="101"/>
  <c r="H367" i="101"/>
  <c r="D367" i="101"/>
  <c r="L366" i="101"/>
  <c r="H366" i="101"/>
  <c r="D366" i="101"/>
  <c r="K359" i="101"/>
  <c r="J359" i="101"/>
  <c r="G359" i="101"/>
  <c r="F359" i="101"/>
  <c r="C359" i="101"/>
  <c r="B359" i="101"/>
  <c r="L357" i="101"/>
  <c r="H357" i="101"/>
  <c r="D357" i="101"/>
  <c r="L356" i="101"/>
  <c r="H356" i="101"/>
  <c r="D356" i="101"/>
  <c r="L355" i="101"/>
  <c r="H355" i="101"/>
  <c r="D355" i="101"/>
  <c r="L354" i="101"/>
  <c r="H354" i="101"/>
  <c r="D354" i="101"/>
  <c r="L353" i="101"/>
  <c r="H353" i="101"/>
  <c r="D353" i="101"/>
  <c r="L352" i="101"/>
  <c r="H352" i="101"/>
  <c r="D352" i="101"/>
  <c r="L351" i="101"/>
  <c r="H351" i="101"/>
  <c r="D351" i="101"/>
  <c r="L350" i="101"/>
  <c r="H350" i="101"/>
  <c r="D350" i="101"/>
  <c r="L349" i="101"/>
  <c r="H349" i="101"/>
  <c r="D349" i="101"/>
  <c r="K342" i="101"/>
  <c r="J342" i="101"/>
  <c r="G342" i="101"/>
  <c r="F342" i="101"/>
  <c r="C342" i="101"/>
  <c r="B342" i="101"/>
  <c r="L340" i="101"/>
  <c r="H340" i="101"/>
  <c r="D340" i="101"/>
  <c r="L339" i="101"/>
  <c r="H339" i="101"/>
  <c r="D339" i="101"/>
  <c r="L338" i="101"/>
  <c r="H338" i="101"/>
  <c r="D338" i="101"/>
  <c r="L337" i="101"/>
  <c r="H337" i="101"/>
  <c r="D337" i="101"/>
  <c r="L336" i="101"/>
  <c r="H336" i="101"/>
  <c r="D336" i="101"/>
  <c r="L335" i="101"/>
  <c r="H335" i="101"/>
  <c r="D335" i="101"/>
  <c r="L334" i="101"/>
  <c r="H334" i="101"/>
  <c r="D334" i="101"/>
  <c r="L333" i="101"/>
  <c r="H333" i="101"/>
  <c r="D333" i="101"/>
  <c r="L332" i="101"/>
  <c r="H332" i="101"/>
  <c r="D332" i="101"/>
  <c r="K325" i="101"/>
  <c r="J325" i="101"/>
  <c r="G325" i="101"/>
  <c r="F325" i="101"/>
  <c r="C325" i="101"/>
  <c r="B325" i="101"/>
  <c r="L323" i="101"/>
  <c r="H323" i="101"/>
  <c r="D323" i="101"/>
  <c r="L322" i="101"/>
  <c r="H322" i="101"/>
  <c r="D322" i="101"/>
  <c r="L321" i="101"/>
  <c r="H321" i="101"/>
  <c r="D321" i="101"/>
  <c r="L320" i="101"/>
  <c r="H320" i="101"/>
  <c r="D320" i="101"/>
  <c r="L319" i="101"/>
  <c r="H319" i="101"/>
  <c r="D319" i="101"/>
  <c r="L318" i="101"/>
  <c r="H318" i="101"/>
  <c r="D318" i="101"/>
  <c r="L317" i="101"/>
  <c r="H317" i="101"/>
  <c r="D317" i="101"/>
  <c r="L316" i="101"/>
  <c r="H316" i="101"/>
  <c r="D316" i="101"/>
  <c r="L315" i="101"/>
  <c r="H315" i="101"/>
  <c r="D315" i="101"/>
  <c r="K308" i="101"/>
  <c r="J308" i="101"/>
  <c r="G308" i="101"/>
  <c r="F308" i="101"/>
  <c r="C308" i="101"/>
  <c r="B308" i="101"/>
  <c r="L306" i="101"/>
  <c r="H306" i="101"/>
  <c r="D306" i="101"/>
  <c r="L305" i="101"/>
  <c r="H305" i="101"/>
  <c r="D305" i="101"/>
  <c r="L304" i="101"/>
  <c r="H304" i="101"/>
  <c r="D304" i="101"/>
  <c r="L303" i="101"/>
  <c r="H303" i="101"/>
  <c r="D303" i="101"/>
  <c r="L302" i="101"/>
  <c r="H302" i="101"/>
  <c r="D302" i="101"/>
  <c r="L301" i="101"/>
  <c r="H301" i="101"/>
  <c r="D301" i="101"/>
  <c r="L300" i="101"/>
  <c r="H300" i="101"/>
  <c r="D300" i="101"/>
  <c r="L299" i="101"/>
  <c r="H299" i="101"/>
  <c r="D299" i="101"/>
  <c r="L298" i="101"/>
  <c r="H298" i="101"/>
  <c r="D298" i="101"/>
  <c r="K291" i="101"/>
  <c r="J291" i="101"/>
  <c r="G291" i="101"/>
  <c r="F291" i="101"/>
  <c r="C291" i="101"/>
  <c r="B291" i="101"/>
  <c r="L289" i="101"/>
  <c r="H289" i="101"/>
  <c r="D289" i="101"/>
  <c r="L288" i="101"/>
  <c r="H288" i="101"/>
  <c r="D288" i="101"/>
  <c r="L287" i="101"/>
  <c r="H287" i="101"/>
  <c r="D287" i="101"/>
  <c r="L286" i="101"/>
  <c r="H286" i="101"/>
  <c r="D286" i="101"/>
  <c r="L285" i="101"/>
  <c r="H285" i="101"/>
  <c r="D285" i="101"/>
  <c r="L284" i="101"/>
  <c r="H284" i="101"/>
  <c r="D284" i="101"/>
  <c r="L283" i="101"/>
  <c r="H283" i="101"/>
  <c r="D283" i="101"/>
  <c r="L282" i="101"/>
  <c r="H282" i="101"/>
  <c r="D282" i="101"/>
  <c r="L281" i="101"/>
  <c r="H281" i="101"/>
  <c r="D281" i="101"/>
  <c r="K274" i="101"/>
  <c r="J274" i="101"/>
  <c r="G274" i="101"/>
  <c r="F274" i="101"/>
  <c r="C274" i="101"/>
  <c r="B274" i="101"/>
  <c r="L272" i="101"/>
  <c r="H272" i="101"/>
  <c r="D272" i="101"/>
  <c r="L271" i="101"/>
  <c r="H271" i="101"/>
  <c r="D271" i="101"/>
  <c r="L270" i="101"/>
  <c r="H270" i="101"/>
  <c r="D270" i="101"/>
  <c r="L269" i="101"/>
  <c r="H269" i="101"/>
  <c r="D269" i="101"/>
  <c r="L268" i="101"/>
  <c r="H268" i="101"/>
  <c r="D268" i="101"/>
  <c r="L267" i="101"/>
  <c r="H267" i="101"/>
  <c r="D267" i="101"/>
  <c r="L266" i="101"/>
  <c r="H266" i="101"/>
  <c r="D266" i="101"/>
  <c r="L265" i="101"/>
  <c r="H265" i="101"/>
  <c r="D265" i="101"/>
  <c r="L264" i="101"/>
  <c r="H264" i="101"/>
  <c r="D264" i="101"/>
  <c r="K257" i="101"/>
  <c r="J257" i="101"/>
  <c r="G257" i="101"/>
  <c r="F257" i="101"/>
  <c r="C257" i="101"/>
  <c r="B257" i="101"/>
  <c r="L255" i="101"/>
  <c r="H255" i="101"/>
  <c r="D255" i="101"/>
  <c r="L254" i="101"/>
  <c r="H254" i="101"/>
  <c r="D254" i="101"/>
  <c r="L253" i="101"/>
  <c r="H253" i="101"/>
  <c r="D253" i="101"/>
  <c r="L252" i="101"/>
  <c r="H252" i="101"/>
  <c r="D252" i="101"/>
  <c r="L251" i="101"/>
  <c r="H251" i="101"/>
  <c r="D251" i="101"/>
  <c r="L250" i="101"/>
  <c r="H250" i="101"/>
  <c r="D250" i="101"/>
  <c r="L249" i="101"/>
  <c r="H249" i="101"/>
  <c r="D249" i="101"/>
  <c r="L248" i="101"/>
  <c r="H248" i="101"/>
  <c r="D248" i="101"/>
  <c r="L247" i="101"/>
  <c r="H247" i="101"/>
  <c r="D247" i="101"/>
  <c r="K240" i="101"/>
  <c r="J240" i="101"/>
  <c r="G240" i="101"/>
  <c r="F240" i="101"/>
  <c r="C240" i="101"/>
  <c r="B240" i="101"/>
  <c r="L238" i="101"/>
  <c r="H238" i="101"/>
  <c r="D238" i="101"/>
  <c r="L237" i="101"/>
  <c r="H237" i="101"/>
  <c r="D237" i="101"/>
  <c r="L236" i="101"/>
  <c r="H236" i="101"/>
  <c r="D236" i="101"/>
  <c r="L235" i="101"/>
  <c r="H235" i="101"/>
  <c r="D235" i="101"/>
  <c r="L234" i="101"/>
  <c r="H234" i="101"/>
  <c r="D234" i="101"/>
  <c r="L233" i="101"/>
  <c r="H233" i="101"/>
  <c r="D233" i="101"/>
  <c r="L232" i="101"/>
  <c r="H232" i="101"/>
  <c r="D232" i="101"/>
  <c r="L231" i="101"/>
  <c r="H231" i="101"/>
  <c r="D231" i="101"/>
  <c r="L230" i="101"/>
  <c r="H230" i="101"/>
  <c r="D230" i="101"/>
  <c r="K223" i="101"/>
  <c r="J223" i="101"/>
  <c r="G223" i="101"/>
  <c r="F223" i="101"/>
  <c r="C223" i="101"/>
  <c r="B223" i="101"/>
  <c r="L221" i="101"/>
  <c r="H221" i="101"/>
  <c r="D221" i="101"/>
  <c r="L220" i="101"/>
  <c r="H220" i="101"/>
  <c r="D220" i="101"/>
  <c r="L219" i="101"/>
  <c r="H219" i="101"/>
  <c r="D219" i="101"/>
  <c r="L218" i="101"/>
  <c r="H218" i="101"/>
  <c r="D218" i="101"/>
  <c r="L217" i="101"/>
  <c r="H217" i="101"/>
  <c r="D217" i="101"/>
  <c r="L216" i="101"/>
  <c r="H216" i="101"/>
  <c r="D216" i="101"/>
  <c r="L215" i="101"/>
  <c r="H215" i="101"/>
  <c r="D215" i="101"/>
  <c r="L214" i="101"/>
  <c r="H214" i="101"/>
  <c r="D214" i="101"/>
  <c r="L213" i="101"/>
  <c r="H213" i="101"/>
  <c r="D213" i="101"/>
  <c r="K206" i="101"/>
  <c r="J206" i="101"/>
  <c r="G206" i="101"/>
  <c r="F206" i="101"/>
  <c r="C206" i="101"/>
  <c r="B206" i="101"/>
  <c r="L204" i="101"/>
  <c r="H204" i="101"/>
  <c r="D204" i="101"/>
  <c r="L203" i="101"/>
  <c r="H203" i="101"/>
  <c r="D203" i="101"/>
  <c r="L202" i="101"/>
  <c r="H202" i="101"/>
  <c r="D202" i="101"/>
  <c r="L201" i="101"/>
  <c r="H201" i="101"/>
  <c r="D201" i="101"/>
  <c r="L200" i="101"/>
  <c r="H200" i="101"/>
  <c r="D200" i="101"/>
  <c r="L199" i="101"/>
  <c r="H199" i="101"/>
  <c r="D199" i="101"/>
  <c r="L198" i="101"/>
  <c r="H198" i="101"/>
  <c r="D198" i="101"/>
  <c r="L197" i="101"/>
  <c r="H197" i="101"/>
  <c r="D197" i="101"/>
  <c r="L196" i="101"/>
  <c r="H196" i="101"/>
  <c r="D196" i="101"/>
  <c r="K189" i="101"/>
  <c r="J189" i="101"/>
  <c r="G189" i="101"/>
  <c r="F189" i="101"/>
  <c r="C189" i="101"/>
  <c r="B189" i="101"/>
  <c r="L187" i="101"/>
  <c r="H187" i="101"/>
  <c r="D187" i="101"/>
  <c r="L186" i="101"/>
  <c r="H186" i="101"/>
  <c r="D186" i="101"/>
  <c r="L185" i="101"/>
  <c r="H185" i="101"/>
  <c r="D185" i="101"/>
  <c r="L184" i="101"/>
  <c r="H184" i="101"/>
  <c r="D184" i="101"/>
  <c r="L183" i="101"/>
  <c r="H183" i="101"/>
  <c r="D183" i="101"/>
  <c r="L182" i="101"/>
  <c r="H182" i="101"/>
  <c r="D182" i="101"/>
  <c r="L181" i="101"/>
  <c r="H181" i="101"/>
  <c r="D181" i="101"/>
  <c r="L180" i="101"/>
  <c r="H180" i="101"/>
  <c r="D180" i="101"/>
  <c r="L179" i="101"/>
  <c r="H179" i="101"/>
  <c r="D179" i="101"/>
  <c r="K172" i="101"/>
  <c r="J172" i="101"/>
  <c r="G172" i="101"/>
  <c r="F172" i="101"/>
  <c r="C172" i="101"/>
  <c r="B172" i="101"/>
  <c r="L170" i="101"/>
  <c r="H170" i="101"/>
  <c r="D170" i="101"/>
  <c r="L169" i="101"/>
  <c r="H169" i="101"/>
  <c r="D169" i="101"/>
  <c r="L168" i="101"/>
  <c r="H168" i="101"/>
  <c r="D168" i="101"/>
  <c r="L167" i="101"/>
  <c r="H167" i="101"/>
  <c r="D167" i="101"/>
  <c r="L166" i="101"/>
  <c r="H166" i="101"/>
  <c r="D166" i="101"/>
  <c r="L165" i="101"/>
  <c r="H165" i="101"/>
  <c r="D165" i="101"/>
  <c r="L164" i="101"/>
  <c r="H164" i="101"/>
  <c r="D164" i="101"/>
  <c r="L163" i="101"/>
  <c r="H163" i="101"/>
  <c r="D163" i="101"/>
  <c r="L162" i="101"/>
  <c r="H162" i="101"/>
  <c r="D162" i="101"/>
  <c r="K155" i="101"/>
  <c r="J155" i="101"/>
  <c r="G155" i="101"/>
  <c r="F155" i="101"/>
  <c r="C155" i="101"/>
  <c r="B155" i="101"/>
  <c r="L153" i="101"/>
  <c r="H153" i="101"/>
  <c r="D153" i="101"/>
  <c r="L152" i="101"/>
  <c r="H152" i="101"/>
  <c r="D152" i="101"/>
  <c r="L151" i="101"/>
  <c r="H151" i="101"/>
  <c r="D151" i="101"/>
  <c r="L150" i="101"/>
  <c r="H150" i="101"/>
  <c r="D150" i="101"/>
  <c r="L149" i="101"/>
  <c r="H149" i="101"/>
  <c r="D149" i="101"/>
  <c r="L148" i="101"/>
  <c r="H148" i="101"/>
  <c r="D148" i="101"/>
  <c r="L147" i="101"/>
  <c r="H147" i="101"/>
  <c r="D147" i="101"/>
  <c r="L146" i="101"/>
  <c r="H146" i="101"/>
  <c r="D146" i="101"/>
  <c r="L145" i="101"/>
  <c r="H145" i="101"/>
  <c r="D145" i="101"/>
  <c r="K138" i="101"/>
  <c r="J138" i="101"/>
  <c r="G138" i="101"/>
  <c r="F138" i="101"/>
  <c r="C138" i="101"/>
  <c r="B138" i="101"/>
  <c r="L136" i="101"/>
  <c r="H136" i="101"/>
  <c r="D136" i="101"/>
  <c r="L135" i="101"/>
  <c r="H135" i="101"/>
  <c r="D135" i="101"/>
  <c r="L134" i="101"/>
  <c r="H134" i="101"/>
  <c r="L133" i="101"/>
  <c r="H133" i="101"/>
  <c r="D133" i="101"/>
  <c r="L132" i="101"/>
  <c r="H132" i="101"/>
  <c r="D132" i="101"/>
  <c r="L131" i="101"/>
  <c r="H131" i="101"/>
  <c r="D131" i="101"/>
  <c r="L130" i="101"/>
  <c r="H130" i="101"/>
  <c r="D130" i="101"/>
  <c r="L129" i="101"/>
  <c r="H129" i="101"/>
  <c r="D129" i="101"/>
  <c r="L128" i="101"/>
  <c r="H128" i="101"/>
  <c r="D128" i="101"/>
  <c r="K121" i="101"/>
  <c r="J121" i="101"/>
  <c r="G121" i="101"/>
  <c r="F121" i="101"/>
  <c r="C121" i="101"/>
  <c r="B121" i="101"/>
  <c r="L119" i="101"/>
  <c r="H119" i="101"/>
  <c r="D119" i="101"/>
  <c r="L118" i="101"/>
  <c r="H118" i="101"/>
  <c r="D118" i="101"/>
  <c r="L117" i="101"/>
  <c r="H117" i="101"/>
  <c r="D117" i="101"/>
  <c r="L116" i="101"/>
  <c r="H116" i="101"/>
  <c r="D116" i="101"/>
  <c r="L115" i="101"/>
  <c r="H115" i="101"/>
  <c r="D115" i="101"/>
  <c r="L114" i="101"/>
  <c r="H114" i="101"/>
  <c r="D114" i="101"/>
  <c r="L113" i="101"/>
  <c r="H113" i="101"/>
  <c r="D113" i="101"/>
  <c r="L112" i="101"/>
  <c r="H112" i="101"/>
  <c r="D112" i="101"/>
  <c r="L111" i="101"/>
  <c r="H111" i="101"/>
  <c r="D111" i="101"/>
  <c r="K104" i="101"/>
  <c r="J104" i="101"/>
  <c r="G104" i="101"/>
  <c r="F104" i="101"/>
  <c r="C104" i="101"/>
  <c r="B104" i="101"/>
  <c r="L102" i="101"/>
  <c r="H102" i="101"/>
  <c r="D102" i="101"/>
  <c r="L101" i="101"/>
  <c r="H101" i="101"/>
  <c r="D101" i="101"/>
  <c r="L100" i="101"/>
  <c r="H100" i="101"/>
  <c r="D100" i="101"/>
  <c r="L99" i="101"/>
  <c r="H99" i="101"/>
  <c r="D99" i="101"/>
  <c r="L98" i="101"/>
  <c r="H98" i="101"/>
  <c r="D98" i="101"/>
  <c r="L97" i="101"/>
  <c r="H97" i="101"/>
  <c r="D97" i="101"/>
  <c r="L96" i="101"/>
  <c r="H96" i="101"/>
  <c r="D96" i="101"/>
  <c r="L95" i="101"/>
  <c r="H95" i="101"/>
  <c r="D95" i="101"/>
  <c r="L94" i="101"/>
  <c r="H94" i="101"/>
  <c r="D94" i="101"/>
  <c r="K87" i="101"/>
  <c r="J87" i="101"/>
  <c r="G87" i="101"/>
  <c r="F87" i="101"/>
  <c r="C87" i="101"/>
  <c r="B87" i="101"/>
  <c r="L85" i="101"/>
  <c r="H85" i="101"/>
  <c r="D85" i="101"/>
  <c r="L84" i="101"/>
  <c r="H84" i="101"/>
  <c r="D84" i="101"/>
  <c r="L83" i="101"/>
  <c r="H83" i="101"/>
  <c r="D83" i="101"/>
  <c r="L82" i="101"/>
  <c r="H82" i="101"/>
  <c r="D82" i="101"/>
  <c r="L81" i="101"/>
  <c r="H81" i="101"/>
  <c r="D81" i="101"/>
  <c r="L80" i="101"/>
  <c r="H80" i="101"/>
  <c r="D80" i="101"/>
  <c r="L79" i="101"/>
  <c r="H79" i="101"/>
  <c r="D79" i="101"/>
  <c r="L78" i="101"/>
  <c r="H78" i="101"/>
  <c r="D78" i="101"/>
  <c r="L77" i="101"/>
  <c r="H77" i="101"/>
  <c r="D77" i="101"/>
  <c r="B70" i="101"/>
  <c r="K70" i="101"/>
  <c r="J70" i="101"/>
  <c r="G70" i="101"/>
  <c r="F70" i="101"/>
  <c r="C70" i="101"/>
  <c r="K53" i="101"/>
  <c r="J53" i="101"/>
  <c r="G53" i="101"/>
  <c r="F53" i="101"/>
  <c r="C53" i="101"/>
  <c r="B53" i="101"/>
  <c r="K36" i="101"/>
  <c r="J36" i="101"/>
  <c r="G36" i="101"/>
  <c r="F36" i="101"/>
  <c r="C36" i="101"/>
  <c r="B36" i="101"/>
  <c r="B380" i="101"/>
  <c r="B363" i="101"/>
  <c r="B346" i="101"/>
  <c r="B329" i="101"/>
  <c r="B312" i="101"/>
  <c r="B295" i="101"/>
  <c r="B278" i="101"/>
  <c r="B261" i="101"/>
  <c r="B244" i="101"/>
  <c r="B227" i="101"/>
  <c r="B210" i="101"/>
  <c r="B193" i="101"/>
  <c r="B176" i="101"/>
  <c r="B159" i="101"/>
  <c r="B142" i="101"/>
  <c r="B125" i="101"/>
  <c r="B108" i="101"/>
  <c r="B91" i="101"/>
  <c r="B74" i="101"/>
  <c r="B57" i="101"/>
  <c r="B40" i="101"/>
  <c r="AD11" i="21"/>
  <c r="N5" i="21"/>
  <c r="N38" i="21" s="1"/>
  <c r="O5" i="21"/>
  <c r="O38" i="21" s="1"/>
  <c r="P5" i="21"/>
  <c r="P38" i="21" s="1"/>
  <c r="Q5" i="21"/>
  <c r="Q38" i="21" s="1"/>
  <c r="R5" i="21"/>
  <c r="S5" i="21"/>
  <c r="T5" i="21"/>
  <c r="U5" i="21"/>
  <c r="V5" i="21"/>
  <c r="W5" i="21"/>
  <c r="X5" i="21"/>
  <c r="Y5" i="21"/>
  <c r="Z5" i="21"/>
  <c r="AA5" i="21"/>
  <c r="AB5" i="21"/>
  <c r="AC5" i="21"/>
  <c r="AD5" i="21"/>
  <c r="AE5" i="21"/>
  <c r="AF5" i="21"/>
  <c r="AG5" i="21"/>
  <c r="M5" i="21"/>
  <c r="M38" i="21" s="1"/>
  <c r="AD38" i="21" l="1"/>
  <c r="D138" i="101"/>
  <c r="L342" i="101"/>
  <c r="L308" i="101"/>
  <c r="H240" i="101"/>
  <c r="L223" i="101"/>
  <c r="D189" i="101"/>
  <c r="H189" i="101"/>
  <c r="D172" i="101"/>
  <c r="L87" i="101"/>
  <c r="L104" i="101"/>
  <c r="H257" i="101"/>
  <c r="L121" i="101"/>
  <c r="H172" i="101"/>
  <c r="H223" i="101"/>
  <c r="D223" i="101"/>
  <c r="L257" i="101"/>
  <c r="D291" i="101"/>
  <c r="H342" i="101"/>
  <c r="D342" i="101"/>
  <c r="L376" i="101"/>
  <c r="H104" i="101"/>
  <c r="D104" i="101"/>
  <c r="L138" i="101"/>
  <c r="L274" i="101"/>
  <c r="H359" i="101"/>
  <c r="D359" i="101"/>
  <c r="L393" i="101"/>
  <c r="D206" i="101"/>
  <c r="D274" i="101"/>
  <c r="D121" i="101"/>
  <c r="L155" i="101"/>
  <c r="D240" i="101"/>
  <c r="D376" i="101"/>
  <c r="L172" i="101"/>
  <c r="H393" i="101"/>
  <c r="H206" i="101"/>
  <c r="H274" i="101"/>
  <c r="D325" i="101"/>
  <c r="L359" i="101"/>
  <c r="D257" i="101"/>
  <c r="H376" i="101"/>
  <c r="D87" i="101"/>
  <c r="H87" i="101"/>
  <c r="H155" i="101"/>
  <c r="D155" i="101"/>
  <c r="L189" i="101"/>
  <c r="H291" i="101"/>
  <c r="D308" i="101"/>
  <c r="H138" i="101"/>
  <c r="H325" i="101"/>
  <c r="D393" i="101"/>
  <c r="H121" i="101"/>
  <c r="L240" i="101"/>
  <c r="L291" i="101"/>
  <c r="L206" i="101"/>
  <c r="H308" i="101"/>
  <c r="L325" i="101"/>
  <c r="J9" i="79"/>
  <c r="J10" i="79"/>
  <c r="J11" i="79"/>
  <c r="J12" i="79"/>
  <c r="J13" i="79"/>
  <c r="J14" i="79"/>
  <c r="J15" i="79"/>
  <c r="J16" i="79"/>
  <c r="J17" i="79"/>
  <c r="J18" i="79"/>
  <c r="J19" i="79"/>
  <c r="J20" i="79"/>
  <c r="J21" i="79"/>
  <c r="J22" i="79"/>
  <c r="J23" i="79"/>
  <c r="J24" i="79"/>
  <c r="J25" i="79"/>
  <c r="J26" i="79"/>
  <c r="J27" i="79"/>
  <c r="J28" i="79"/>
  <c r="J29" i="79"/>
  <c r="J30" i="79"/>
  <c r="J31" i="79"/>
  <c r="J32" i="79"/>
  <c r="I9" i="79"/>
  <c r="I10" i="79"/>
  <c r="I11" i="79"/>
  <c r="I12" i="79"/>
  <c r="I13" i="79"/>
  <c r="I14" i="79"/>
  <c r="I15" i="79"/>
  <c r="I16" i="79"/>
  <c r="I17" i="79"/>
  <c r="I18" i="79"/>
  <c r="I19" i="79"/>
  <c r="I20" i="79"/>
  <c r="I21" i="79"/>
  <c r="I22" i="79"/>
  <c r="I23" i="79"/>
  <c r="I24" i="79"/>
  <c r="I25" i="79"/>
  <c r="I26" i="79"/>
  <c r="I27" i="79"/>
  <c r="I28" i="79"/>
  <c r="I29" i="79"/>
  <c r="I30" i="79"/>
  <c r="I31" i="79"/>
  <c r="I32" i="79"/>
  <c r="H9" i="79"/>
  <c r="H10" i="79"/>
  <c r="H11" i="79"/>
  <c r="H12" i="79"/>
  <c r="H13" i="79"/>
  <c r="H14" i="79"/>
  <c r="H15" i="79"/>
  <c r="H16" i="79"/>
  <c r="H17" i="79"/>
  <c r="H18" i="79"/>
  <c r="H19" i="79"/>
  <c r="H20" i="79"/>
  <c r="H21" i="79"/>
  <c r="H22" i="79"/>
  <c r="H23" i="79"/>
  <c r="H24" i="79"/>
  <c r="H25" i="79"/>
  <c r="H26" i="79"/>
  <c r="H27" i="79"/>
  <c r="H28" i="79"/>
  <c r="H29" i="79"/>
  <c r="H30" i="79"/>
  <c r="H31" i="79"/>
  <c r="H32" i="79"/>
  <c r="G9" i="79"/>
  <c r="G10" i="79"/>
  <c r="G11" i="79"/>
  <c r="G12" i="79"/>
  <c r="G13" i="79"/>
  <c r="G14" i="79"/>
  <c r="G15" i="79"/>
  <c r="G16" i="79"/>
  <c r="G17" i="79"/>
  <c r="G18" i="79"/>
  <c r="G19" i="79"/>
  <c r="G20" i="79"/>
  <c r="G21" i="79"/>
  <c r="G22" i="79"/>
  <c r="G23" i="79"/>
  <c r="G24" i="79"/>
  <c r="G25" i="79"/>
  <c r="G26" i="79"/>
  <c r="G27" i="79"/>
  <c r="G28" i="79"/>
  <c r="G29" i="79"/>
  <c r="G30" i="79"/>
  <c r="G31" i="79"/>
  <c r="G32" i="79"/>
  <c r="F9" i="79"/>
  <c r="F10" i="79"/>
  <c r="F11" i="79"/>
  <c r="F12" i="79"/>
  <c r="F13" i="79"/>
  <c r="F14" i="79"/>
  <c r="F15" i="79"/>
  <c r="F16" i="79"/>
  <c r="F17" i="79"/>
  <c r="F18" i="79"/>
  <c r="F19" i="79"/>
  <c r="F20" i="79"/>
  <c r="F21" i="79"/>
  <c r="F22" i="79"/>
  <c r="F23" i="79"/>
  <c r="F24" i="79"/>
  <c r="F25" i="79"/>
  <c r="F26" i="79"/>
  <c r="F27" i="79"/>
  <c r="F28" i="79"/>
  <c r="F29" i="79"/>
  <c r="F30" i="79"/>
  <c r="F31" i="79"/>
  <c r="F32" i="79"/>
  <c r="E9" i="79"/>
  <c r="E10" i="79"/>
  <c r="E11" i="79"/>
  <c r="E12" i="79"/>
  <c r="E13" i="79"/>
  <c r="E14" i="79"/>
  <c r="E15" i="79"/>
  <c r="E16" i="79"/>
  <c r="E17" i="79"/>
  <c r="E18" i="79"/>
  <c r="E19" i="79"/>
  <c r="E20" i="79"/>
  <c r="E21" i="79"/>
  <c r="E22" i="79"/>
  <c r="E23" i="79"/>
  <c r="E24" i="79"/>
  <c r="E25" i="79"/>
  <c r="E26" i="79"/>
  <c r="E27" i="79"/>
  <c r="E28" i="79"/>
  <c r="E29" i="79"/>
  <c r="E30" i="79"/>
  <c r="E31" i="79"/>
  <c r="E32" i="79"/>
  <c r="D9" i="79"/>
  <c r="D10" i="79"/>
  <c r="D11" i="79"/>
  <c r="D12" i="79"/>
  <c r="D13" i="79"/>
  <c r="D14" i="79"/>
  <c r="D15" i="79"/>
  <c r="D16" i="79"/>
  <c r="D17" i="79"/>
  <c r="D18" i="79"/>
  <c r="D19" i="79"/>
  <c r="D20" i="79"/>
  <c r="D21" i="79"/>
  <c r="D22" i="79"/>
  <c r="D23" i="79"/>
  <c r="D24" i="79"/>
  <c r="D25" i="79"/>
  <c r="D26" i="79"/>
  <c r="D27" i="79"/>
  <c r="D28" i="79"/>
  <c r="D29" i="79"/>
  <c r="D30" i="79"/>
  <c r="D31" i="79"/>
  <c r="D32" i="79"/>
  <c r="C9" i="79"/>
  <c r="C10" i="79"/>
  <c r="C11" i="79"/>
  <c r="C12" i="79"/>
  <c r="C13" i="79"/>
  <c r="C14" i="79"/>
  <c r="C15" i="79"/>
  <c r="C16" i="79"/>
  <c r="C17" i="79"/>
  <c r="C18" i="79"/>
  <c r="C19" i="79"/>
  <c r="C20" i="79"/>
  <c r="C21" i="79"/>
  <c r="C22" i="79"/>
  <c r="C23" i="79"/>
  <c r="C24" i="79"/>
  <c r="C25" i="79"/>
  <c r="C26" i="79"/>
  <c r="C27" i="79"/>
  <c r="C28" i="79"/>
  <c r="C29" i="79"/>
  <c r="C30" i="79"/>
  <c r="C31" i="79"/>
  <c r="C32" i="79"/>
  <c r="B9" i="79"/>
  <c r="B10" i="79"/>
  <c r="B11" i="79"/>
  <c r="B12" i="79"/>
  <c r="B13" i="79"/>
  <c r="B14" i="79"/>
  <c r="B15" i="79"/>
  <c r="B16" i="79"/>
  <c r="B17" i="79"/>
  <c r="B18" i="79"/>
  <c r="B19" i="79"/>
  <c r="B20" i="79"/>
  <c r="B21" i="79"/>
  <c r="B22" i="79"/>
  <c r="B23" i="79"/>
  <c r="B24" i="79"/>
  <c r="B25" i="79"/>
  <c r="B26" i="79"/>
  <c r="B27" i="79"/>
  <c r="B28" i="79"/>
  <c r="B29" i="79"/>
  <c r="B30" i="79"/>
  <c r="B31" i="79"/>
  <c r="B32" i="79"/>
  <c r="B119" i="78"/>
  <c r="H8" i="78"/>
  <c r="K9" i="79" l="1"/>
  <c r="B21" i="52"/>
  <c r="O34" i="103" l="1"/>
  <c r="O33" i="103"/>
  <c r="O32" i="103"/>
  <c r="O31" i="103"/>
  <c r="O30" i="103"/>
  <c r="O29" i="103"/>
  <c r="O28" i="103"/>
  <c r="O27" i="103"/>
  <c r="O26" i="103"/>
  <c r="J34" i="103"/>
  <c r="J33" i="103"/>
  <c r="J32" i="103"/>
  <c r="J31" i="103"/>
  <c r="J29" i="103"/>
  <c r="J28" i="103"/>
  <c r="J27" i="103"/>
  <c r="J26" i="103"/>
  <c r="E34" i="103"/>
  <c r="E33" i="103"/>
  <c r="E32" i="103"/>
  <c r="E31" i="103"/>
  <c r="E30" i="103"/>
  <c r="E29" i="103"/>
  <c r="E28" i="103"/>
  <c r="E27" i="103"/>
  <c r="E26" i="103"/>
  <c r="L68" i="101"/>
  <c r="H68" i="101"/>
  <c r="D68" i="101"/>
  <c r="L67" i="101"/>
  <c r="H67" i="101"/>
  <c r="D67" i="101"/>
  <c r="L66" i="101"/>
  <c r="H66" i="101"/>
  <c r="D66" i="101"/>
  <c r="L65" i="101"/>
  <c r="H65" i="101"/>
  <c r="D65" i="101"/>
  <c r="L64" i="101"/>
  <c r="H64" i="101"/>
  <c r="D64" i="101"/>
  <c r="L63" i="101"/>
  <c r="H63" i="101"/>
  <c r="D63" i="101"/>
  <c r="L62" i="101"/>
  <c r="H62" i="101"/>
  <c r="D62" i="101"/>
  <c r="L61" i="101"/>
  <c r="H61" i="101"/>
  <c r="D61" i="101"/>
  <c r="L60" i="101"/>
  <c r="H60" i="101"/>
  <c r="D60" i="101"/>
  <c r="L51" i="101"/>
  <c r="H51" i="101"/>
  <c r="D51" i="101"/>
  <c r="L50" i="101"/>
  <c r="H50" i="101"/>
  <c r="D50" i="101"/>
  <c r="L49" i="101"/>
  <c r="H49" i="101"/>
  <c r="D49" i="101"/>
  <c r="L48" i="101"/>
  <c r="H48" i="101"/>
  <c r="D48" i="101"/>
  <c r="L47" i="101"/>
  <c r="D47" i="101"/>
  <c r="L46" i="101"/>
  <c r="H46" i="101"/>
  <c r="D46" i="101"/>
  <c r="L45" i="101"/>
  <c r="H45" i="101"/>
  <c r="D45" i="101"/>
  <c r="L44" i="101"/>
  <c r="H44" i="101"/>
  <c r="D44" i="101"/>
  <c r="L43" i="101"/>
  <c r="H43" i="101"/>
  <c r="D43" i="101"/>
  <c r="H26" i="101"/>
  <c r="L34" i="101"/>
  <c r="L33" i="101"/>
  <c r="L32" i="101"/>
  <c r="L31" i="101"/>
  <c r="L30" i="101"/>
  <c r="L29" i="101"/>
  <c r="L28" i="101"/>
  <c r="L27" i="101"/>
  <c r="L26" i="101"/>
  <c r="H34" i="101"/>
  <c r="H33" i="101"/>
  <c r="H32" i="101"/>
  <c r="H31" i="101"/>
  <c r="H30" i="101"/>
  <c r="H29" i="101"/>
  <c r="H28" i="101"/>
  <c r="H27" i="101"/>
  <c r="D34" i="101"/>
  <c r="D33" i="101"/>
  <c r="D32" i="101"/>
  <c r="D31" i="101"/>
  <c r="D30" i="101"/>
  <c r="D29" i="101"/>
  <c r="D28" i="101"/>
  <c r="D27" i="101"/>
  <c r="D26" i="101"/>
  <c r="B19" i="103" l="1"/>
  <c r="E36" i="103"/>
  <c r="J36" i="103"/>
  <c r="O36" i="103"/>
  <c r="L36" i="101"/>
  <c r="D36" i="101"/>
  <c r="D53" i="101"/>
  <c r="H36" i="101"/>
  <c r="L53" i="101"/>
  <c r="D70" i="101"/>
  <c r="H53" i="101"/>
  <c r="H70" i="101"/>
  <c r="L70" i="101"/>
  <c r="J10" i="103"/>
  <c r="O9" i="103"/>
  <c r="O17" i="103"/>
  <c r="J13" i="103"/>
  <c r="O12" i="103"/>
  <c r="E16" i="103"/>
  <c r="E13" i="103"/>
  <c r="E17" i="103"/>
  <c r="E14" i="103"/>
  <c r="D19" i="103"/>
  <c r="I19" i="103"/>
  <c r="J15" i="103"/>
  <c r="O14" i="103"/>
  <c r="L19" i="103"/>
  <c r="E10" i="103"/>
  <c r="J16" i="103"/>
  <c r="E15" i="103"/>
  <c r="J9" i="103"/>
  <c r="J11" i="103"/>
  <c r="J14" i="103"/>
  <c r="J17" i="103"/>
  <c r="N19" i="103"/>
  <c r="O13" i="103"/>
  <c r="O16" i="103"/>
  <c r="E11" i="103"/>
  <c r="M19" i="103"/>
  <c r="E9" i="103"/>
  <c r="O15" i="103"/>
  <c r="E12" i="103"/>
  <c r="J12" i="103"/>
  <c r="O11" i="103"/>
  <c r="H19" i="103"/>
  <c r="C19" i="103"/>
  <c r="O10" i="103"/>
  <c r="G19" i="103"/>
  <c r="H15" i="101"/>
  <c r="L14" i="101"/>
  <c r="H10" i="101"/>
  <c r="H14" i="101"/>
  <c r="L13" i="101"/>
  <c r="L17" i="101"/>
  <c r="D9" i="101"/>
  <c r="H12" i="101"/>
  <c r="H16" i="101"/>
  <c r="L11" i="101"/>
  <c r="L15" i="101"/>
  <c r="D12" i="101"/>
  <c r="D11" i="101"/>
  <c r="D10" i="101"/>
  <c r="D15" i="101"/>
  <c r="D17" i="101"/>
  <c r="D13" i="101"/>
  <c r="G19" i="101"/>
  <c r="J19" i="101"/>
  <c r="D16" i="101"/>
  <c r="K19" i="101"/>
  <c r="H11" i="101"/>
  <c r="L10" i="101"/>
  <c r="B19" i="101"/>
  <c r="D14" i="101"/>
  <c r="C19" i="101"/>
  <c r="H9" i="101"/>
  <c r="H13" i="101"/>
  <c r="H17" i="101"/>
  <c r="L12" i="101"/>
  <c r="L16" i="101"/>
  <c r="L9" i="101"/>
  <c r="F19" i="101"/>
  <c r="J19" i="103" l="1"/>
  <c r="E19" i="103"/>
  <c r="O19" i="103"/>
  <c r="D19" i="101"/>
  <c r="L19" i="101"/>
  <c r="H19" i="101"/>
  <c r="L14" i="51"/>
  <c r="L13" i="51"/>
  <c r="L12" i="51"/>
  <c r="L11" i="51"/>
  <c r="L10" i="51"/>
  <c r="L9" i="51"/>
  <c r="L8" i="51"/>
  <c r="L7" i="51"/>
  <c r="L6" i="51"/>
  <c r="F482" i="104" l="1"/>
  <c r="F481" i="104"/>
  <c r="F477" i="104"/>
  <c r="F476" i="104"/>
  <c r="F472" i="104"/>
  <c r="F471" i="104"/>
  <c r="D482" i="104"/>
  <c r="D481" i="104"/>
  <c r="D477" i="104"/>
  <c r="D476" i="104"/>
  <c r="D472" i="104"/>
  <c r="D471" i="104"/>
  <c r="B482" i="104"/>
  <c r="B481" i="104"/>
  <c r="B477" i="104"/>
  <c r="B476" i="104"/>
  <c r="B472" i="104"/>
  <c r="B471" i="104"/>
  <c r="F461" i="104"/>
  <c r="F460" i="104"/>
  <c r="F456" i="104"/>
  <c r="F455" i="104"/>
  <c r="F451" i="104"/>
  <c r="F450" i="104"/>
  <c r="D461" i="104"/>
  <c r="D460" i="104"/>
  <c r="D456" i="104"/>
  <c r="D455" i="104"/>
  <c r="D451" i="104"/>
  <c r="D450" i="104"/>
  <c r="B461" i="104"/>
  <c r="B460" i="104"/>
  <c r="B456" i="104"/>
  <c r="B455" i="104"/>
  <c r="B451" i="104"/>
  <c r="B450" i="104"/>
  <c r="F440" i="104"/>
  <c r="F439" i="104"/>
  <c r="F435" i="104"/>
  <c r="F434" i="104"/>
  <c r="F430" i="104"/>
  <c r="F429" i="104"/>
  <c r="D440" i="104"/>
  <c r="D439" i="104"/>
  <c r="D435" i="104"/>
  <c r="D434" i="104"/>
  <c r="D430" i="104"/>
  <c r="D429" i="104"/>
  <c r="B440" i="104"/>
  <c r="B439" i="104"/>
  <c r="B435" i="104"/>
  <c r="B434" i="104"/>
  <c r="B430" i="104"/>
  <c r="B429" i="104"/>
  <c r="F419" i="104"/>
  <c r="F418" i="104"/>
  <c r="F414" i="104"/>
  <c r="F413" i="104"/>
  <c r="F409" i="104"/>
  <c r="F408" i="104"/>
  <c r="D419" i="104"/>
  <c r="D418" i="104"/>
  <c r="D414" i="104"/>
  <c r="D413" i="104"/>
  <c r="D409" i="104"/>
  <c r="D408" i="104"/>
  <c r="B419" i="104"/>
  <c r="B418" i="104"/>
  <c r="B414" i="104"/>
  <c r="B413" i="104"/>
  <c r="B409" i="104"/>
  <c r="B408" i="104"/>
  <c r="F398" i="104"/>
  <c r="F397" i="104"/>
  <c r="F393" i="104"/>
  <c r="F392" i="104"/>
  <c r="F388" i="104"/>
  <c r="F387" i="104"/>
  <c r="D398" i="104"/>
  <c r="D397" i="104"/>
  <c r="D393" i="104"/>
  <c r="D392" i="104"/>
  <c r="D388" i="104"/>
  <c r="D387" i="104"/>
  <c r="B398" i="104"/>
  <c r="B397" i="104"/>
  <c r="B393" i="104"/>
  <c r="B392" i="104"/>
  <c r="B388" i="104"/>
  <c r="B387" i="104"/>
  <c r="F377" i="104"/>
  <c r="F376" i="104"/>
  <c r="F372" i="104"/>
  <c r="F371" i="104"/>
  <c r="F367" i="104"/>
  <c r="F366" i="104"/>
  <c r="D377" i="104"/>
  <c r="D376" i="104"/>
  <c r="D372" i="104"/>
  <c r="D371" i="104"/>
  <c r="D367" i="104"/>
  <c r="D366" i="104"/>
  <c r="B377" i="104"/>
  <c r="B376" i="104"/>
  <c r="B372" i="104"/>
  <c r="B371" i="104"/>
  <c r="B367" i="104"/>
  <c r="B366" i="104"/>
  <c r="F356" i="104"/>
  <c r="F355" i="104"/>
  <c r="F351" i="104"/>
  <c r="F350" i="104"/>
  <c r="F346" i="104"/>
  <c r="F345" i="104"/>
  <c r="D356" i="104"/>
  <c r="D355" i="104"/>
  <c r="D351" i="104"/>
  <c r="D350" i="104"/>
  <c r="D346" i="104"/>
  <c r="D345" i="104"/>
  <c r="B356" i="104"/>
  <c r="B355" i="104"/>
  <c r="B351" i="104"/>
  <c r="B350" i="104"/>
  <c r="B346" i="104"/>
  <c r="B345" i="104"/>
  <c r="F335" i="104"/>
  <c r="F334" i="104"/>
  <c r="F325" i="104"/>
  <c r="F324" i="104"/>
  <c r="D335" i="104"/>
  <c r="D334" i="104"/>
  <c r="D325" i="104"/>
  <c r="D324" i="104"/>
  <c r="B335" i="104"/>
  <c r="B334" i="104"/>
  <c r="B325" i="104"/>
  <c r="B324" i="104"/>
  <c r="F314" i="104"/>
  <c r="F313" i="104"/>
  <c r="F309" i="104"/>
  <c r="F308" i="104"/>
  <c r="F304" i="104"/>
  <c r="F303" i="104"/>
  <c r="D314" i="104"/>
  <c r="D313" i="104"/>
  <c r="D309" i="104"/>
  <c r="D308" i="104"/>
  <c r="D304" i="104"/>
  <c r="D303" i="104"/>
  <c r="B314" i="104"/>
  <c r="B309" i="104"/>
  <c r="B308" i="104"/>
  <c r="B304" i="104"/>
  <c r="B303" i="104"/>
  <c r="F293" i="104"/>
  <c r="F292" i="104"/>
  <c r="F288" i="104"/>
  <c r="F287" i="104"/>
  <c r="F283" i="104"/>
  <c r="F282" i="104"/>
  <c r="D293" i="104"/>
  <c r="D292" i="104"/>
  <c r="D288" i="104"/>
  <c r="D287" i="104"/>
  <c r="D283" i="104"/>
  <c r="D282" i="104"/>
  <c r="B293" i="104"/>
  <c r="B292" i="104"/>
  <c r="B288" i="104"/>
  <c r="B287" i="104"/>
  <c r="B283" i="104"/>
  <c r="B282" i="104"/>
  <c r="F272" i="104"/>
  <c r="F271" i="104"/>
  <c r="F267" i="104"/>
  <c r="F266" i="104"/>
  <c r="F262" i="104"/>
  <c r="F261" i="104"/>
  <c r="D272" i="104"/>
  <c r="D271" i="104"/>
  <c r="D267" i="104"/>
  <c r="D266" i="104"/>
  <c r="D262" i="104"/>
  <c r="D261" i="104"/>
  <c r="B272" i="104"/>
  <c r="B271" i="104"/>
  <c r="B267" i="104"/>
  <c r="B266" i="104"/>
  <c r="B262" i="104"/>
  <c r="B261" i="104"/>
  <c r="F251" i="104"/>
  <c r="F250" i="104"/>
  <c r="F246" i="104"/>
  <c r="F245" i="104"/>
  <c r="F241" i="104"/>
  <c r="F240" i="104"/>
  <c r="D251" i="104"/>
  <c r="D250" i="104"/>
  <c r="D246" i="104"/>
  <c r="D245" i="104"/>
  <c r="D241" i="104"/>
  <c r="D240" i="104"/>
  <c r="B251" i="104"/>
  <c r="B250" i="104"/>
  <c r="B246" i="104"/>
  <c r="B245" i="104"/>
  <c r="B241" i="104"/>
  <c r="B240" i="104"/>
  <c r="F230" i="104"/>
  <c r="F229" i="104"/>
  <c r="F225" i="104"/>
  <c r="F224" i="104"/>
  <c r="F220" i="104"/>
  <c r="F219" i="104"/>
  <c r="D230" i="104"/>
  <c r="D229" i="104"/>
  <c r="D225" i="104"/>
  <c r="D224" i="104"/>
  <c r="D220" i="104"/>
  <c r="D219" i="104"/>
  <c r="B230" i="104"/>
  <c r="B229" i="104"/>
  <c r="B225" i="104"/>
  <c r="B224" i="104"/>
  <c r="B220" i="104"/>
  <c r="B219" i="104"/>
  <c r="F209" i="104"/>
  <c r="F208" i="104"/>
  <c r="F204" i="104"/>
  <c r="F203" i="104"/>
  <c r="F199" i="104"/>
  <c r="F198" i="104"/>
  <c r="D209" i="104"/>
  <c r="D208" i="104"/>
  <c r="D204" i="104"/>
  <c r="D203" i="104"/>
  <c r="D199" i="104"/>
  <c r="D198" i="104"/>
  <c r="B209" i="104"/>
  <c r="B208" i="104"/>
  <c r="B204" i="104"/>
  <c r="B203" i="104"/>
  <c r="B199" i="104"/>
  <c r="B198" i="104"/>
  <c r="F188" i="104"/>
  <c r="F187" i="104"/>
  <c r="F183" i="104"/>
  <c r="F182" i="104"/>
  <c r="F178" i="104"/>
  <c r="F177" i="104"/>
  <c r="D188" i="104"/>
  <c r="D187" i="104"/>
  <c r="D183" i="104"/>
  <c r="D182" i="104"/>
  <c r="D178" i="104"/>
  <c r="D177" i="104"/>
  <c r="B188" i="104"/>
  <c r="B187" i="104"/>
  <c r="B183" i="104"/>
  <c r="B182" i="104"/>
  <c r="B178" i="104"/>
  <c r="B177" i="104"/>
  <c r="F166" i="104"/>
  <c r="F167" i="104"/>
  <c r="F162" i="104"/>
  <c r="F161" i="104"/>
  <c r="F157" i="104"/>
  <c r="F156" i="104"/>
  <c r="D167" i="104"/>
  <c r="D166" i="104"/>
  <c r="D162" i="104"/>
  <c r="D161" i="104"/>
  <c r="D157" i="104"/>
  <c r="D156" i="104"/>
  <c r="B167" i="104"/>
  <c r="B166" i="104"/>
  <c r="B162" i="104"/>
  <c r="B161" i="104"/>
  <c r="B157" i="104"/>
  <c r="B156" i="104"/>
  <c r="F146" i="104"/>
  <c r="F145" i="104"/>
  <c r="F141" i="104"/>
  <c r="F140" i="104"/>
  <c r="F136" i="104"/>
  <c r="F135" i="104"/>
  <c r="D146" i="104"/>
  <c r="D145" i="104"/>
  <c r="D141" i="104"/>
  <c r="D140" i="104"/>
  <c r="D136" i="104"/>
  <c r="D135" i="104"/>
  <c r="B146" i="104"/>
  <c r="B145" i="104"/>
  <c r="B141" i="104"/>
  <c r="B140" i="104"/>
  <c r="B136" i="104"/>
  <c r="B135" i="104"/>
  <c r="F125" i="104"/>
  <c r="F124" i="104"/>
  <c r="F120" i="104"/>
  <c r="F119" i="104"/>
  <c r="F115" i="104"/>
  <c r="F114" i="104"/>
  <c r="D125" i="104"/>
  <c r="D124" i="104"/>
  <c r="D120" i="104"/>
  <c r="D119" i="104"/>
  <c r="D115" i="104"/>
  <c r="D114" i="104"/>
  <c r="B125" i="104"/>
  <c r="B124" i="104"/>
  <c r="B120" i="104"/>
  <c r="B119" i="104"/>
  <c r="B115" i="104"/>
  <c r="B114" i="104"/>
  <c r="D56" i="104"/>
  <c r="D51" i="104"/>
  <c r="F315" i="104" l="1"/>
  <c r="F126" i="104"/>
  <c r="H124" i="104"/>
  <c r="F168" i="104"/>
  <c r="H335" i="104"/>
  <c r="H145" i="104"/>
  <c r="F104" i="104"/>
  <c r="F103" i="104"/>
  <c r="F99" i="104"/>
  <c r="F98" i="104"/>
  <c r="F94" i="104"/>
  <c r="F93" i="104"/>
  <c r="D104" i="104"/>
  <c r="D103" i="104"/>
  <c r="D99" i="104"/>
  <c r="D98" i="104"/>
  <c r="D94" i="104"/>
  <c r="D93" i="104"/>
  <c r="B104" i="104"/>
  <c r="B103" i="104"/>
  <c r="B99" i="104"/>
  <c r="B98" i="104"/>
  <c r="B94" i="104"/>
  <c r="B93" i="104"/>
  <c r="F83" i="104"/>
  <c r="F82" i="104"/>
  <c r="F78" i="104"/>
  <c r="F77" i="104"/>
  <c r="F73" i="104"/>
  <c r="F72" i="104"/>
  <c r="D83" i="104"/>
  <c r="D82" i="104"/>
  <c r="D78" i="104"/>
  <c r="D77" i="104"/>
  <c r="D73" i="104"/>
  <c r="D72" i="104"/>
  <c r="B83" i="104"/>
  <c r="B82" i="104"/>
  <c r="B78" i="104"/>
  <c r="B77" i="104"/>
  <c r="F62" i="104"/>
  <c r="F61" i="104"/>
  <c r="F57" i="104"/>
  <c r="F56" i="104"/>
  <c r="F52" i="104"/>
  <c r="F51" i="104"/>
  <c r="D62" i="104"/>
  <c r="D61" i="104"/>
  <c r="L61" i="104" s="1"/>
  <c r="D57" i="104"/>
  <c r="D52" i="104"/>
  <c r="D53" i="104" s="1"/>
  <c r="B52" i="104"/>
  <c r="B51" i="104"/>
  <c r="B73" i="104"/>
  <c r="B72" i="104"/>
  <c r="B62" i="104"/>
  <c r="B61" i="104"/>
  <c r="B57" i="104"/>
  <c r="B56" i="104"/>
  <c r="H482" i="104"/>
  <c r="H481" i="104"/>
  <c r="H477" i="104"/>
  <c r="H476" i="104"/>
  <c r="H472" i="104"/>
  <c r="H471" i="104"/>
  <c r="H461" i="104"/>
  <c r="H460" i="104"/>
  <c r="H456" i="104"/>
  <c r="H455" i="104"/>
  <c r="H451" i="104"/>
  <c r="H450" i="104"/>
  <c r="H440" i="104"/>
  <c r="H439" i="104"/>
  <c r="H435" i="104"/>
  <c r="H434" i="104"/>
  <c r="H430" i="104"/>
  <c r="H429" i="104"/>
  <c r="H419" i="104"/>
  <c r="H418" i="104"/>
  <c r="H414" i="104"/>
  <c r="H413" i="104"/>
  <c r="H409" i="104"/>
  <c r="H408" i="104"/>
  <c r="H398" i="104"/>
  <c r="H397" i="104"/>
  <c r="H393" i="104"/>
  <c r="H392" i="104"/>
  <c r="H388" i="104"/>
  <c r="H387" i="104"/>
  <c r="H377" i="104"/>
  <c r="H376" i="104"/>
  <c r="H372" i="104"/>
  <c r="H371" i="104"/>
  <c r="H367" i="104"/>
  <c r="H366" i="104"/>
  <c r="H356" i="104"/>
  <c r="H355" i="104"/>
  <c r="H351" i="104"/>
  <c r="H350" i="104"/>
  <c r="H346" i="104"/>
  <c r="H345" i="104"/>
  <c r="H334" i="104"/>
  <c r="H330" i="104"/>
  <c r="H329" i="104"/>
  <c r="H325" i="104"/>
  <c r="H324" i="104"/>
  <c r="H314" i="104"/>
  <c r="H313" i="104"/>
  <c r="H309" i="104"/>
  <c r="H308" i="104"/>
  <c r="H304" i="104"/>
  <c r="H303" i="104"/>
  <c r="H293" i="104"/>
  <c r="H292" i="104"/>
  <c r="H288" i="104"/>
  <c r="H287" i="104"/>
  <c r="H283" i="104"/>
  <c r="H282" i="104"/>
  <c r="H272" i="104"/>
  <c r="H271" i="104"/>
  <c r="H267" i="104"/>
  <c r="H266" i="104"/>
  <c r="H262" i="104"/>
  <c r="H261" i="104"/>
  <c r="H251" i="104"/>
  <c r="H250" i="104"/>
  <c r="H246" i="104"/>
  <c r="H245" i="104"/>
  <c r="H241" i="104"/>
  <c r="H240" i="104"/>
  <c r="H230" i="104"/>
  <c r="H229" i="104"/>
  <c r="H225" i="104"/>
  <c r="H224" i="104"/>
  <c r="H220" i="104"/>
  <c r="H219" i="104"/>
  <c r="H209" i="104"/>
  <c r="H208" i="104"/>
  <c r="H204" i="104"/>
  <c r="H203" i="104"/>
  <c r="H199" i="104"/>
  <c r="H198" i="104"/>
  <c r="H188" i="104"/>
  <c r="H187" i="104"/>
  <c r="H183" i="104"/>
  <c r="H182" i="104"/>
  <c r="H178" i="104"/>
  <c r="H177" i="104"/>
  <c r="H167" i="104"/>
  <c r="H166" i="104"/>
  <c r="H162" i="104"/>
  <c r="H161" i="104"/>
  <c r="H157" i="104"/>
  <c r="H156" i="104"/>
  <c r="H146" i="104"/>
  <c r="H141" i="104"/>
  <c r="H140" i="104"/>
  <c r="H136" i="104"/>
  <c r="H135" i="104"/>
  <c r="H125" i="104"/>
  <c r="H120" i="104"/>
  <c r="H119" i="104"/>
  <c r="H115" i="104"/>
  <c r="H114" i="104"/>
  <c r="F483" i="104"/>
  <c r="F473" i="104"/>
  <c r="F462" i="104"/>
  <c r="M456" i="104"/>
  <c r="M450" i="104"/>
  <c r="M461" i="104"/>
  <c r="F441" i="104"/>
  <c r="M434" i="104"/>
  <c r="F431" i="104"/>
  <c r="F420" i="104"/>
  <c r="F415" i="104"/>
  <c r="M408" i="104"/>
  <c r="F399" i="104"/>
  <c r="M398" i="104"/>
  <c r="F378" i="104"/>
  <c r="F373" i="104"/>
  <c r="M367" i="104"/>
  <c r="F357" i="104"/>
  <c r="M346" i="104"/>
  <c r="F336" i="104"/>
  <c r="M329" i="104"/>
  <c r="M304" i="104"/>
  <c r="F305" i="104"/>
  <c r="F294" i="104"/>
  <c r="M283" i="104"/>
  <c r="M287" i="104"/>
  <c r="F284" i="104"/>
  <c r="M272" i="104"/>
  <c r="F273" i="104"/>
  <c r="M261" i="104"/>
  <c r="F252" i="104"/>
  <c r="M241" i="104"/>
  <c r="M240" i="104"/>
  <c r="M251" i="104"/>
  <c r="F231" i="104"/>
  <c r="M225" i="104"/>
  <c r="M224" i="104"/>
  <c r="F221" i="104"/>
  <c r="F210" i="104"/>
  <c r="F200" i="104"/>
  <c r="F189" i="104"/>
  <c r="M178" i="104"/>
  <c r="M182" i="104"/>
  <c r="M188" i="104"/>
  <c r="M162" i="104"/>
  <c r="M161" i="104"/>
  <c r="M146" i="104"/>
  <c r="F147" i="104"/>
  <c r="M141" i="104"/>
  <c r="F137" i="104"/>
  <c r="M120" i="104"/>
  <c r="M114" i="104"/>
  <c r="M125" i="104"/>
  <c r="D483" i="104"/>
  <c r="L471" i="104"/>
  <c r="D473" i="104"/>
  <c r="D462" i="104"/>
  <c r="L450" i="104"/>
  <c r="D452" i="104"/>
  <c r="D441" i="104"/>
  <c r="D436" i="104"/>
  <c r="L440" i="104"/>
  <c r="D420" i="104"/>
  <c r="D410" i="104"/>
  <c r="D389" i="104"/>
  <c r="D378" i="104"/>
  <c r="L372" i="104"/>
  <c r="L371" i="104"/>
  <c r="D368" i="104"/>
  <c r="D357" i="104"/>
  <c r="L345" i="104"/>
  <c r="D347" i="104"/>
  <c r="D336" i="104"/>
  <c r="L324" i="104"/>
  <c r="L325" i="104"/>
  <c r="D315" i="104"/>
  <c r="L303" i="104"/>
  <c r="L314" i="104"/>
  <c r="D294" i="104"/>
  <c r="L287" i="104"/>
  <c r="D284" i="104"/>
  <c r="L292" i="104"/>
  <c r="D268" i="104"/>
  <c r="D263" i="104"/>
  <c r="D252" i="104"/>
  <c r="L241" i="104"/>
  <c r="D231" i="104"/>
  <c r="L225" i="104"/>
  <c r="L224" i="104"/>
  <c r="L230" i="104"/>
  <c r="D210" i="104"/>
  <c r="L203" i="104"/>
  <c r="L199" i="104"/>
  <c r="D189" i="104"/>
  <c r="L177" i="104"/>
  <c r="D168" i="104"/>
  <c r="L162" i="104"/>
  <c r="D163" i="104"/>
  <c r="D158" i="104"/>
  <c r="L146" i="104"/>
  <c r="D147" i="104"/>
  <c r="L136" i="104"/>
  <c r="D137" i="104"/>
  <c r="D126" i="104"/>
  <c r="L114" i="104"/>
  <c r="B483" i="104"/>
  <c r="K472" i="104"/>
  <c r="B462" i="104"/>
  <c r="K451" i="104"/>
  <c r="K455" i="104"/>
  <c r="B441" i="104"/>
  <c r="K435" i="104"/>
  <c r="B436" i="104"/>
  <c r="B420" i="104"/>
  <c r="B410" i="104"/>
  <c r="B399" i="104"/>
  <c r="K393" i="104"/>
  <c r="K392" i="104"/>
  <c r="B378" i="104"/>
  <c r="K366" i="104"/>
  <c r="K351" i="104"/>
  <c r="B357" i="104"/>
  <c r="B347" i="104"/>
  <c r="B336" i="104"/>
  <c r="K325" i="104"/>
  <c r="B326" i="104"/>
  <c r="B315" i="104"/>
  <c r="K303" i="104"/>
  <c r="B294" i="104"/>
  <c r="K282" i="104"/>
  <c r="K293" i="104"/>
  <c r="K272" i="104"/>
  <c r="B273" i="104"/>
  <c r="K262" i="104"/>
  <c r="K266" i="104"/>
  <c r="B263" i="104"/>
  <c r="K251" i="104"/>
  <c r="B252" i="104"/>
  <c r="K246" i="104"/>
  <c r="B242" i="104"/>
  <c r="B231" i="104"/>
  <c r="K220" i="104"/>
  <c r="K224" i="104"/>
  <c r="B221" i="104"/>
  <c r="B210" i="104"/>
  <c r="K198" i="104"/>
  <c r="B200" i="104"/>
  <c r="B189" i="104"/>
  <c r="B184" i="104"/>
  <c r="B168" i="104"/>
  <c r="K161" i="104"/>
  <c r="K157" i="104"/>
  <c r="B147" i="104"/>
  <c r="K136" i="104"/>
  <c r="B142" i="104"/>
  <c r="B137" i="104"/>
  <c r="B126" i="104"/>
  <c r="K115" i="104"/>
  <c r="B116" i="104"/>
  <c r="F36" i="104"/>
  <c r="F35" i="104"/>
  <c r="D36" i="104"/>
  <c r="D35" i="104"/>
  <c r="B36" i="104"/>
  <c r="Y195" i="102"/>
  <c r="T195" i="102"/>
  <c r="O195" i="102"/>
  <c r="J195" i="102"/>
  <c r="E195" i="102"/>
  <c r="V194" i="102"/>
  <c r="Q194" i="102"/>
  <c r="L194" i="102"/>
  <c r="G194" i="102"/>
  <c r="B194" i="102"/>
  <c r="Y186" i="102"/>
  <c r="T186" i="102"/>
  <c r="O186" i="102"/>
  <c r="J186" i="102"/>
  <c r="E186" i="102"/>
  <c r="V185" i="102"/>
  <c r="Q185" i="102"/>
  <c r="L185" i="102"/>
  <c r="G185" i="102"/>
  <c r="B185" i="102"/>
  <c r="Y177" i="102"/>
  <c r="T177" i="102"/>
  <c r="O177" i="102"/>
  <c r="J177" i="102"/>
  <c r="E177" i="102"/>
  <c r="V176" i="102"/>
  <c r="Q176" i="102"/>
  <c r="L176" i="102"/>
  <c r="G176" i="102"/>
  <c r="B176" i="102"/>
  <c r="Y168" i="102"/>
  <c r="T168" i="102"/>
  <c r="O168" i="102"/>
  <c r="J168" i="102"/>
  <c r="E168" i="102"/>
  <c r="V167" i="102"/>
  <c r="Q167" i="102"/>
  <c r="L167" i="102"/>
  <c r="G167" i="102"/>
  <c r="B167" i="102"/>
  <c r="Y159" i="102"/>
  <c r="T159" i="102"/>
  <c r="O159" i="102"/>
  <c r="J159" i="102"/>
  <c r="E159" i="102"/>
  <c r="V158" i="102"/>
  <c r="Q158" i="102"/>
  <c r="L158" i="102"/>
  <c r="G158" i="102"/>
  <c r="B158" i="102"/>
  <c r="Y150" i="102"/>
  <c r="T150" i="102"/>
  <c r="O150" i="102"/>
  <c r="J150" i="102"/>
  <c r="E150" i="102"/>
  <c r="V149" i="102"/>
  <c r="Q149" i="102"/>
  <c r="L149" i="102"/>
  <c r="G149" i="102"/>
  <c r="B149" i="102"/>
  <c r="Y141" i="102"/>
  <c r="T141" i="102"/>
  <c r="O141" i="102"/>
  <c r="J141" i="102"/>
  <c r="E141" i="102"/>
  <c r="V140" i="102"/>
  <c r="Q140" i="102"/>
  <c r="L140" i="102"/>
  <c r="G140" i="102"/>
  <c r="B140" i="102"/>
  <c r="Y132" i="102"/>
  <c r="T132" i="102"/>
  <c r="O132" i="102"/>
  <c r="J132" i="102"/>
  <c r="E132" i="102"/>
  <c r="V131" i="102"/>
  <c r="Q131" i="102"/>
  <c r="L131" i="102"/>
  <c r="G131" i="102"/>
  <c r="B131" i="102"/>
  <c r="Y123" i="102"/>
  <c r="T123" i="102"/>
  <c r="O123" i="102"/>
  <c r="J123" i="102"/>
  <c r="E123" i="102"/>
  <c r="V122" i="102"/>
  <c r="Q122" i="102"/>
  <c r="L122" i="102"/>
  <c r="G122" i="102"/>
  <c r="B122" i="102"/>
  <c r="Y114" i="102"/>
  <c r="T114" i="102"/>
  <c r="O114" i="102"/>
  <c r="J114" i="102"/>
  <c r="E114" i="102"/>
  <c r="V113" i="102"/>
  <c r="Q113" i="102"/>
  <c r="L113" i="102"/>
  <c r="G113" i="102"/>
  <c r="B113" i="102"/>
  <c r="Y105" i="102"/>
  <c r="T105" i="102"/>
  <c r="O105" i="102"/>
  <c r="J105" i="102"/>
  <c r="E105" i="102"/>
  <c r="V104" i="102"/>
  <c r="Q104" i="102"/>
  <c r="L104" i="102"/>
  <c r="G104" i="102"/>
  <c r="B104" i="102"/>
  <c r="Y96" i="102"/>
  <c r="T96" i="102"/>
  <c r="O96" i="102"/>
  <c r="J96" i="102"/>
  <c r="E96" i="102"/>
  <c r="V95" i="102"/>
  <c r="Q95" i="102"/>
  <c r="L95" i="102"/>
  <c r="G95" i="102"/>
  <c r="B95" i="102"/>
  <c r="Y87" i="102"/>
  <c r="T87" i="102"/>
  <c r="O87" i="102"/>
  <c r="J87" i="102"/>
  <c r="E87" i="102"/>
  <c r="V86" i="102"/>
  <c r="Q86" i="102"/>
  <c r="L86" i="102"/>
  <c r="G86" i="102"/>
  <c r="B86" i="102"/>
  <c r="Y78" i="102"/>
  <c r="T78" i="102"/>
  <c r="O78" i="102"/>
  <c r="J78" i="102"/>
  <c r="E78" i="102"/>
  <c r="V77" i="102"/>
  <c r="Q77" i="102"/>
  <c r="L77" i="102"/>
  <c r="G77" i="102"/>
  <c r="B77" i="102"/>
  <c r="Y69" i="102"/>
  <c r="T69" i="102"/>
  <c r="O69" i="102"/>
  <c r="J69" i="102"/>
  <c r="E69" i="102"/>
  <c r="V68" i="102"/>
  <c r="Q68" i="102"/>
  <c r="L68" i="102"/>
  <c r="G68" i="102"/>
  <c r="B68" i="102"/>
  <c r="Y60" i="102"/>
  <c r="T60" i="102"/>
  <c r="O60" i="102"/>
  <c r="J60" i="102"/>
  <c r="E60" i="102"/>
  <c r="V59" i="102"/>
  <c r="Q59" i="102"/>
  <c r="L59" i="102"/>
  <c r="G59" i="102"/>
  <c r="B59" i="102"/>
  <c r="Y51" i="102"/>
  <c r="T51" i="102"/>
  <c r="O51" i="102"/>
  <c r="J51" i="102"/>
  <c r="E51" i="102"/>
  <c r="V50" i="102"/>
  <c r="Q50" i="102"/>
  <c r="L50" i="102"/>
  <c r="G50" i="102"/>
  <c r="B50" i="102"/>
  <c r="Y42" i="102"/>
  <c r="T42" i="102"/>
  <c r="O42" i="102"/>
  <c r="J42" i="102"/>
  <c r="E42" i="102"/>
  <c r="V41" i="102"/>
  <c r="Q41" i="102"/>
  <c r="L41" i="102"/>
  <c r="G41" i="102"/>
  <c r="B41" i="102"/>
  <c r="Y33" i="102"/>
  <c r="T33" i="102"/>
  <c r="O33" i="102"/>
  <c r="J33" i="102"/>
  <c r="E33" i="102"/>
  <c r="V32" i="102"/>
  <c r="Q32" i="102"/>
  <c r="L32" i="102"/>
  <c r="G32" i="102"/>
  <c r="B32" i="102"/>
  <c r="Y24" i="102"/>
  <c r="T24" i="102"/>
  <c r="O24" i="102"/>
  <c r="J24" i="102"/>
  <c r="E24" i="102"/>
  <c r="V23" i="102"/>
  <c r="Q23" i="102"/>
  <c r="L23" i="102"/>
  <c r="G23" i="102"/>
  <c r="B23" i="102"/>
  <c r="Q14" i="102"/>
  <c r="T15" i="102"/>
  <c r="S6" i="102"/>
  <c r="R6" i="102"/>
  <c r="Q6" i="102"/>
  <c r="G14" i="102"/>
  <c r="J15" i="102"/>
  <c r="I6" i="102"/>
  <c r="H6" i="102"/>
  <c r="G6" i="102"/>
  <c r="F41" i="104"/>
  <c r="F40" i="104"/>
  <c r="D41" i="104"/>
  <c r="D40" i="104"/>
  <c r="B41" i="104"/>
  <c r="B40" i="104"/>
  <c r="F68" i="104"/>
  <c r="F89" i="104"/>
  <c r="F110" i="104"/>
  <c r="F131" i="104"/>
  <c r="F152" i="104"/>
  <c r="F173" i="104"/>
  <c r="F194" i="104"/>
  <c r="F215" i="104"/>
  <c r="F236" i="104"/>
  <c r="F257" i="104"/>
  <c r="F278" i="104"/>
  <c r="F299" i="104"/>
  <c r="F320" i="104"/>
  <c r="F341" i="104"/>
  <c r="F362" i="104"/>
  <c r="F383" i="104"/>
  <c r="F404" i="104"/>
  <c r="F425" i="104"/>
  <c r="F446" i="104"/>
  <c r="F467" i="104"/>
  <c r="F47" i="104"/>
  <c r="F26" i="104"/>
  <c r="F5" i="104"/>
  <c r="F31" i="104"/>
  <c r="F30" i="104"/>
  <c r="D31" i="104"/>
  <c r="D30" i="104"/>
  <c r="B31" i="104"/>
  <c r="M482" i="104"/>
  <c r="L482" i="104"/>
  <c r="M481" i="104"/>
  <c r="L481" i="104"/>
  <c r="K481" i="104"/>
  <c r="M477" i="104"/>
  <c r="L477" i="104"/>
  <c r="K477" i="104"/>
  <c r="L472" i="104"/>
  <c r="M471" i="104"/>
  <c r="K471" i="104"/>
  <c r="L461" i="104"/>
  <c r="M460" i="104"/>
  <c r="L460" i="104"/>
  <c r="K460" i="104"/>
  <c r="L456" i="104"/>
  <c r="K456" i="104"/>
  <c r="M451" i="104"/>
  <c r="L451" i="104"/>
  <c r="M440" i="104"/>
  <c r="K440" i="104"/>
  <c r="M439" i="104"/>
  <c r="L439" i="104"/>
  <c r="K439" i="104"/>
  <c r="M435" i="104"/>
  <c r="L435" i="104"/>
  <c r="L434" i="104"/>
  <c r="K434" i="104"/>
  <c r="M430" i="104"/>
  <c r="M429" i="104"/>
  <c r="L429" i="104"/>
  <c r="K429" i="104"/>
  <c r="K419" i="104"/>
  <c r="M418" i="104"/>
  <c r="L418" i="104"/>
  <c r="K418" i="104"/>
  <c r="M414" i="104"/>
  <c r="L414" i="104"/>
  <c r="K414" i="104"/>
  <c r="M413" i="104"/>
  <c r="L413" i="104"/>
  <c r="M409" i="104"/>
  <c r="L408" i="104"/>
  <c r="K408" i="104"/>
  <c r="L398" i="104"/>
  <c r="M397" i="104"/>
  <c r="L397" i="104"/>
  <c r="K397" i="104"/>
  <c r="M393" i="104"/>
  <c r="M392" i="104"/>
  <c r="L392" i="104"/>
  <c r="K387" i="104"/>
  <c r="L377" i="104"/>
  <c r="M376" i="104"/>
  <c r="L376" i="104"/>
  <c r="K376" i="104"/>
  <c r="K372" i="104"/>
  <c r="K371" i="104"/>
  <c r="M366" i="104"/>
  <c r="L356" i="104"/>
  <c r="M355" i="104"/>
  <c r="K355" i="104"/>
  <c r="L351" i="104"/>
  <c r="K350" i="104"/>
  <c r="L346" i="104"/>
  <c r="K345" i="104"/>
  <c r="K335" i="104"/>
  <c r="M334" i="104"/>
  <c r="L334" i="104"/>
  <c r="K334" i="104"/>
  <c r="M330" i="104"/>
  <c r="L330" i="104"/>
  <c r="K330" i="104"/>
  <c r="M314" i="104"/>
  <c r="M313" i="104"/>
  <c r="K313" i="104"/>
  <c r="L309" i="104"/>
  <c r="K309" i="104"/>
  <c r="M308" i="104"/>
  <c r="K308" i="104"/>
  <c r="L304" i="104"/>
  <c r="K304" i="104"/>
  <c r="M293" i="104"/>
  <c r="L293" i="104"/>
  <c r="M292" i="104"/>
  <c r="L288" i="104"/>
  <c r="K287" i="104"/>
  <c r="L283" i="104"/>
  <c r="M271" i="104"/>
  <c r="K271" i="104"/>
  <c r="M267" i="104"/>
  <c r="K267" i="104"/>
  <c r="M266" i="104"/>
  <c r="L262" i="104"/>
  <c r="M250" i="104"/>
  <c r="L250" i="104"/>
  <c r="K250" i="104"/>
  <c r="L245" i="104"/>
  <c r="K245" i="104"/>
  <c r="K241" i="104"/>
  <c r="L240" i="104"/>
  <c r="K240" i="104"/>
  <c r="M230" i="104"/>
  <c r="M229" i="104"/>
  <c r="L229" i="104"/>
  <c r="K229" i="104"/>
  <c r="K225" i="104"/>
  <c r="M220" i="104"/>
  <c r="K209" i="104"/>
  <c r="M208" i="104"/>
  <c r="L208" i="104"/>
  <c r="K208" i="104"/>
  <c r="L204" i="104"/>
  <c r="K204" i="104"/>
  <c r="M199" i="104"/>
  <c r="K199" i="104"/>
  <c r="M187" i="104"/>
  <c r="L187" i="104"/>
  <c r="K187" i="104"/>
  <c r="L183" i="104"/>
  <c r="K183" i="104"/>
  <c r="K177" i="104"/>
  <c r="M166" i="104"/>
  <c r="L166" i="104"/>
  <c r="K166" i="104"/>
  <c r="K162" i="104"/>
  <c r="L161" i="104"/>
  <c r="M156" i="104"/>
  <c r="L156" i="104"/>
  <c r="K156" i="104"/>
  <c r="K146" i="104"/>
  <c r="M145" i="104"/>
  <c r="L145" i="104"/>
  <c r="K145" i="104"/>
  <c r="L140" i="104"/>
  <c r="M136" i="104"/>
  <c r="K135" i="104"/>
  <c r="M124" i="104"/>
  <c r="L124" i="104"/>
  <c r="K124" i="104"/>
  <c r="K120" i="104"/>
  <c r="L119" i="104"/>
  <c r="M115" i="104"/>
  <c r="A480" i="104"/>
  <c r="A475" i="104"/>
  <c r="A470" i="104"/>
  <c r="A459" i="104"/>
  <c r="A454" i="104"/>
  <c r="A449" i="104"/>
  <c r="A438" i="104"/>
  <c r="A433" i="104"/>
  <c r="A428" i="104"/>
  <c r="A417" i="104"/>
  <c r="A412" i="104"/>
  <c r="A407" i="104"/>
  <c r="A396" i="104"/>
  <c r="A391" i="104"/>
  <c r="A386" i="104"/>
  <c r="A375" i="104"/>
  <c r="A370" i="104"/>
  <c r="A365" i="104"/>
  <c r="A354" i="104"/>
  <c r="A349" i="104"/>
  <c r="A344" i="104"/>
  <c r="A333" i="104"/>
  <c r="A328" i="104"/>
  <c r="A323" i="104"/>
  <c r="A312" i="104"/>
  <c r="A307" i="104"/>
  <c r="A302" i="104"/>
  <c r="A291" i="104"/>
  <c r="A286" i="104"/>
  <c r="A281" i="104"/>
  <c r="A270" i="104"/>
  <c r="A265" i="104"/>
  <c r="A260" i="104"/>
  <c r="A249" i="104"/>
  <c r="A244" i="104"/>
  <c r="A239" i="104"/>
  <c r="A228" i="104"/>
  <c r="A223" i="104"/>
  <c r="A218" i="104"/>
  <c r="A207" i="104"/>
  <c r="A202" i="104"/>
  <c r="A197" i="104"/>
  <c r="A186" i="104"/>
  <c r="A181" i="104"/>
  <c r="A176" i="104"/>
  <c r="A165" i="104"/>
  <c r="A160" i="104"/>
  <c r="A155" i="104"/>
  <c r="A144" i="104"/>
  <c r="A139" i="104"/>
  <c r="A134" i="104"/>
  <c r="A123" i="104"/>
  <c r="A118" i="104"/>
  <c r="A113" i="104"/>
  <c r="A102" i="104"/>
  <c r="A97" i="104"/>
  <c r="A92" i="104"/>
  <c r="A81" i="104"/>
  <c r="A76" i="104"/>
  <c r="A71" i="104"/>
  <c r="A60" i="104"/>
  <c r="A55" i="104"/>
  <c r="A50" i="104"/>
  <c r="A39" i="104"/>
  <c r="A34" i="104"/>
  <c r="A29" i="104"/>
  <c r="K18" i="104"/>
  <c r="K13" i="104"/>
  <c r="K8" i="104"/>
  <c r="B9" i="104" l="1"/>
  <c r="K99" i="104"/>
  <c r="K118" i="104"/>
  <c r="K370" i="104"/>
  <c r="K160" i="104"/>
  <c r="K328" i="104"/>
  <c r="K134" i="104"/>
  <c r="K218" i="104"/>
  <c r="K386" i="104"/>
  <c r="K470" i="104"/>
  <c r="M315" i="104"/>
  <c r="K139" i="104"/>
  <c r="M73" i="104"/>
  <c r="M31" i="104"/>
  <c r="K29" i="104"/>
  <c r="K113" i="104"/>
  <c r="K197" i="104"/>
  <c r="K365" i="104"/>
  <c r="K449" i="104"/>
  <c r="K34" i="104"/>
  <c r="K202" i="104"/>
  <c r="M36" i="104"/>
  <c r="K81" i="104"/>
  <c r="K155" i="104"/>
  <c r="K323" i="104"/>
  <c r="K60" i="104"/>
  <c r="K55" i="104"/>
  <c r="K223" i="104"/>
  <c r="K391" i="104"/>
  <c r="K186" i="104"/>
  <c r="K354" i="104"/>
  <c r="K417" i="104"/>
  <c r="K181" i="104"/>
  <c r="K349" i="104"/>
  <c r="F63" i="104"/>
  <c r="M82" i="104"/>
  <c r="K291" i="104"/>
  <c r="K286" i="104"/>
  <c r="K454" i="104"/>
  <c r="K102" i="104"/>
  <c r="K270" i="104"/>
  <c r="K438" i="104"/>
  <c r="K97" i="104"/>
  <c r="K265" i="104"/>
  <c r="K433" i="104"/>
  <c r="K76" i="104"/>
  <c r="K244" i="104"/>
  <c r="K312" i="104"/>
  <c r="K412" i="104"/>
  <c r="K480" i="104"/>
  <c r="K307" i="104"/>
  <c r="K475" i="104"/>
  <c r="K39" i="104"/>
  <c r="K375" i="104"/>
  <c r="K207" i="104"/>
  <c r="K123" i="104"/>
  <c r="K144" i="104"/>
  <c r="K344" i="104"/>
  <c r="K176" i="104"/>
  <c r="K239" i="104"/>
  <c r="K407" i="104"/>
  <c r="K302" i="104"/>
  <c r="K92" i="104"/>
  <c r="K260" i="104"/>
  <c r="K428" i="104"/>
  <c r="K50" i="104"/>
  <c r="K228" i="104"/>
  <c r="K396" i="104"/>
  <c r="K333" i="104"/>
  <c r="K71" i="104"/>
  <c r="K165" i="104"/>
  <c r="K249" i="104"/>
  <c r="K459" i="104"/>
  <c r="K281" i="104"/>
  <c r="B14" i="104"/>
  <c r="F42" i="104"/>
  <c r="F20" i="104"/>
  <c r="H35" i="104"/>
  <c r="K103" i="104"/>
  <c r="M98" i="104"/>
  <c r="H483" i="104"/>
  <c r="C482" i="104" s="1"/>
  <c r="L103" i="104"/>
  <c r="H98" i="104"/>
  <c r="H82" i="104"/>
  <c r="K51" i="104"/>
  <c r="D37" i="104"/>
  <c r="H30" i="104"/>
  <c r="K77" i="104"/>
  <c r="H126" i="104"/>
  <c r="E125" i="104" s="1"/>
  <c r="H273" i="104"/>
  <c r="G271" i="104" s="1"/>
  <c r="B84" i="104"/>
  <c r="K72" i="104"/>
  <c r="L62" i="104"/>
  <c r="H41" i="104"/>
  <c r="B63" i="104"/>
  <c r="D63" i="104"/>
  <c r="K57" i="104"/>
  <c r="D100" i="104"/>
  <c r="H221" i="104"/>
  <c r="G220" i="104" s="1"/>
  <c r="F53" i="104"/>
  <c r="F84" i="104"/>
  <c r="B79" i="104"/>
  <c r="D84" i="104"/>
  <c r="H62" i="104"/>
  <c r="L78" i="104"/>
  <c r="M57" i="104"/>
  <c r="H452" i="104"/>
  <c r="E450" i="104" s="1"/>
  <c r="H83" i="104"/>
  <c r="D105" i="104"/>
  <c r="K56" i="104"/>
  <c r="M78" i="104"/>
  <c r="F37" i="104"/>
  <c r="H51" i="104"/>
  <c r="H56" i="104"/>
  <c r="H179" i="104"/>
  <c r="C178" i="104" s="1"/>
  <c r="H205" i="104"/>
  <c r="C204" i="104" s="1"/>
  <c r="H263" i="104"/>
  <c r="C261" i="104" s="1"/>
  <c r="H289" i="104"/>
  <c r="G287" i="104" s="1"/>
  <c r="H57" i="104"/>
  <c r="L82" i="104"/>
  <c r="H72" i="104"/>
  <c r="M72" i="104"/>
  <c r="H77" i="104"/>
  <c r="H93" i="104"/>
  <c r="M103" i="104"/>
  <c r="K31" i="104"/>
  <c r="K61" i="104"/>
  <c r="H104" i="104"/>
  <c r="H103" i="104"/>
  <c r="B105" i="104"/>
  <c r="K30" i="104"/>
  <c r="M93" i="104"/>
  <c r="D9" i="104"/>
  <c r="K35" i="104"/>
  <c r="H40" i="104"/>
  <c r="L83" i="104"/>
  <c r="M62" i="104"/>
  <c r="N439" i="104"/>
  <c r="H121" i="104"/>
  <c r="I119" i="104" s="1"/>
  <c r="H462" i="104"/>
  <c r="G460" i="104" s="1"/>
  <c r="H36" i="104"/>
  <c r="M99" i="104"/>
  <c r="M52" i="104"/>
  <c r="H389" i="104"/>
  <c r="I388" i="104" s="1"/>
  <c r="H415" i="104"/>
  <c r="C414" i="104" s="1"/>
  <c r="H61" i="104"/>
  <c r="F105" i="104"/>
  <c r="H394" i="104"/>
  <c r="C392" i="104" s="1"/>
  <c r="H478" i="104"/>
  <c r="C477" i="104" s="1"/>
  <c r="K98" i="104"/>
  <c r="H331" i="104"/>
  <c r="C329" i="104" s="1"/>
  <c r="H99" i="104"/>
  <c r="K93" i="104"/>
  <c r="K78" i="104"/>
  <c r="H78" i="104"/>
  <c r="N481" i="104"/>
  <c r="H431" i="104"/>
  <c r="G431" i="104" s="1"/>
  <c r="H441" i="104"/>
  <c r="I441" i="104" s="1"/>
  <c r="N414" i="104"/>
  <c r="H420" i="104"/>
  <c r="E418" i="104" s="1"/>
  <c r="H410" i="104"/>
  <c r="E408" i="104" s="1"/>
  <c r="H399" i="104"/>
  <c r="I398" i="104" s="1"/>
  <c r="N376" i="104"/>
  <c r="H378" i="104"/>
  <c r="E377" i="104" s="1"/>
  <c r="H357" i="104"/>
  <c r="I356" i="104" s="1"/>
  <c r="N330" i="104"/>
  <c r="H336" i="104"/>
  <c r="G334" i="104" s="1"/>
  <c r="H315" i="104"/>
  <c r="I313" i="104" s="1"/>
  <c r="H305" i="104"/>
  <c r="I303" i="104" s="1"/>
  <c r="L294" i="104"/>
  <c r="H294" i="104"/>
  <c r="I293" i="104" s="1"/>
  <c r="H284" i="104"/>
  <c r="E283" i="104" s="1"/>
  <c r="H268" i="104"/>
  <c r="C267" i="104" s="1"/>
  <c r="N250" i="104"/>
  <c r="H252" i="104"/>
  <c r="C251" i="104" s="1"/>
  <c r="H231" i="104"/>
  <c r="E230" i="104" s="1"/>
  <c r="H210" i="104"/>
  <c r="I210" i="104" s="1"/>
  <c r="H189" i="104"/>
  <c r="C187" i="104" s="1"/>
  <c r="N166" i="104"/>
  <c r="H168" i="104"/>
  <c r="I167" i="104" s="1"/>
  <c r="H158" i="104"/>
  <c r="G156" i="104" s="1"/>
  <c r="N145" i="104"/>
  <c r="H142" i="104"/>
  <c r="C140" i="104" s="1"/>
  <c r="H147" i="104"/>
  <c r="I147" i="104" s="1"/>
  <c r="H137" i="104"/>
  <c r="G137" i="104" s="1"/>
  <c r="N124" i="104"/>
  <c r="H94" i="104"/>
  <c r="L104" i="104"/>
  <c r="H73" i="104"/>
  <c r="B53" i="104"/>
  <c r="H52" i="104"/>
  <c r="H473" i="104"/>
  <c r="E472" i="104" s="1"/>
  <c r="H457" i="104"/>
  <c r="I457" i="104" s="1"/>
  <c r="H436" i="104"/>
  <c r="E436" i="104" s="1"/>
  <c r="H368" i="104"/>
  <c r="C367" i="104" s="1"/>
  <c r="H373" i="104"/>
  <c r="I371" i="104" s="1"/>
  <c r="H347" i="104"/>
  <c r="G346" i="104" s="1"/>
  <c r="H352" i="104"/>
  <c r="I351" i="104" s="1"/>
  <c r="H326" i="104"/>
  <c r="G325" i="104" s="1"/>
  <c r="H310" i="104"/>
  <c r="G308" i="104" s="1"/>
  <c r="H247" i="104"/>
  <c r="G245" i="104" s="1"/>
  <c r="H242" i="104"/>
  <c r="H226" i="104"/>
  <c r="H200" i="104"/>
  <c r="G200" i="104" s="1"/>
  <c r="H184" i="104"/>
  <c r="E182" i="104" s="1"/>
  <c r="H163" i="104"/>
  <c r="I162" i="104" s="1"/>
  <c r="H116" i="104"/>
  <c r="C115" i="104" s="1"/>
  <c r="M483" i="104"/>
  <c r="M472" i="104"/>
  <c r="N472" i="104" s="1"/>
  <c r="F478" i="104"/>
  <c r="M476" i="104"/>
  <c r="F452" i="104"/>
  <c r="F457" i="104"/>
  <c r="M455" i="104"/>
  <c r="M441" i="104"/>
  <c r="F436" i="104"/>
  <c r="M436" i="104" s="1"/>
  <c r="N429" i="104"/>
  <c r="M415" i="104"/>
  <c r="F410" i="104"/>
  <c r="N418" i="104"/>
  <c r="N408" i="104"/>
  <c r="M419" i="104"/>
  <c r="F389" i="104"/>
  <c r="F394" i="104"/>
  <c r="M387" i="104"/>
  <c r="M388" i="104"/>
  <c r="N397" i="104"/>
  <c r="M373" i="104"/>
  <c r="F368" i="104"/>
  <c r="M371" i="104"/>
  <c r="N371" i="104" s="1"/>
  <c r="M377" i="104"/>
  <c r="M372" i="104"/>
  <c r="N372" i="104" s="1"/>
  <c r="F347" i="104"/>
  <c r="M350" i="104"/>
  <c r="F352" i="104"/>
  <c r="M352" i="104" s="1"/>
  <c r="M356" i="104"/>
  <c r="M345" i="104"/>
  <c r="N345" i="104" s="1"/>
  <c r="M351" i="104"/>
  <c r="N351" i="104" s="1"/>
  <c r="F326" i="104"/>
  <c r="M324" i="104"/>
  <c r="M325" i="104"/>
  <c r="N325" i="104" s="1"/>
  <c r="F331" i="104"/>
  <c r="M335" i="104"/>
  <c r="F310" i="104"/>
  <c r="M310" i="104" s="1"/>
  <c r="M309" i="104"/>
  <c r="N309" i="104" s="1"/>
  <c r="M303" i="104"/>
  <c r="N303" i="104" s="1"/>
  <c r="M294" i="104"/>
  <c r="F289" i="104"/>
  <c r="M282" i="104"/>
  <c r="M288" i="104"/>
  <c r="F263" i="104"/>
  <c r="M262" i="104"/>
  <c r="N262" i="104" s="1"/>
  <c r="F268" i="104"/>
  <c r="N240" i="104"/>
  <c r="M245" i="104"/>
  <c r="N245" i="104" s="1"/>
  <c r="F247" i="104"/>
  <c r="M246" i="104"/>
  <c r="F242" i="104"/>
  <c r="M252" i="104" s="1"/>
  <c r="M231" i="104"/>
  <c r="F226" i="104"/>
  <c r="M219" i="104"/>
  <c r="M210" i="104"/>
  <c r="F205" i="104"/>
  <c r="M209" i="104"/>
  <c r="M203" i="104"/>
  <c r="M198" i="104"/>
  <c r="M204" i="104"/>
  <c r="N204" i="104" s="1"/>
  <c r="M183" i="104"/>
  <c r="N183" i="104" s="1"/>
  <c r="F184" i="104"/>
  <c r="M177" i="104"/>
  <c r="N177" i="104" s="1"/>
  <c r="F179" i="104"/>
  <c r="F163" i="104"/>
  <c r="F158" i="104"/>
  <c r="M167" i="104"/>
  <c r="M157" i="104"/>
  <c r="M147" i="104"/>
  <c r="M135" i="104"/>
  <c r="F142" i="104"/>
  <c r="M142" i="104" s="1"/>
  <c r="M140" i="104"/>
  <c r="F116" i="104"/>
  <c r="F121" i="104"/>
  <c r="M119" i="104"/>
  <c r="F95" i="104"/>
  <c r="F100" i="104"/>
  <c r="M104" i="104"/>
  <c r="M94" i="104"/>
  <c r="F74" i="104"/>
  <c r="F14" i="104"/>
  <c r="F79" i="104"/>
  <c r="M77" i="104"/>
  <c r="M83" i="104"/>
  <c r="F58" i="104"/>
  <c r="F15" i="104"/>
  <c r="M51" i="104"/>
  <c r="M56" i="104"/>
  <c r="L483" i="104"/>
  <c r="D478" i="104"/>
  <c r="N471" i="104"/>
  <c r="L476" i="104"/>
  <c r="N477" i="104"/>
  <c r="L462" i="104"/>
  <c r="D457" i="104"/>
  <c r="L455" i="104"/>
  <c r="N460" i="104"/>
  <c r="N456" i="104"/>
  <c r="L436" i="104"/>
  <c r="D431" i="104"/>
  <c r="L430" i="104"/>
  <c r="N435" i="104"/>
  <c r="L420" i="104"/>
  <c r="L409" i="104"/>
  <c r="L419" i="104"/>
  <c r="D415" i="104"/>
  <c r="L393" i="104"/>
  <c r="N393" i="104" s="1"/>
  <c r="D394" i="104"/>
  <c r="L388" i="104"/>
  <c r="D399" i="104"/>
  <c r="L387" i="104"/>
  <c r="L378" i="104"/>
  <c r="L366" i="104"/>
  <c r="N366" i="104" s="1"/>
  <c r="D373" i="104"/>
  <c r="L367" i="104"/>
  <c r="L357" i="104"/>
  <c r="D352" i="104"/>
  <c r="L350" i="104"/>
  <c r="L355" i="104"/>
  <c r="N355" i="104" s="1"/>
  <c r="D326" i="104"/>
  <c r="L335" i="104"/>
  <c r="D331" i="104"/>
  <c r="L329" i="104"/>
  <c r="D305" i="104"/>
  <c r="D310" i="104"/>
  <c r="L308" i="104"/>
  <c r="N308" i="104" s="1"/>
  <c r="D19" i="104"/>
  <c r="N304" i="104"/>
  <c r="L313" i="104"/>
  <c r="N313" i="104" s="1"/>
  <c r="D289" i="104"/>
  <c r="L282" i="104"/>
  <c r="N293" i="104"/>
  <c r="L263" i="104"/>
  <c r="L266" i="104"/>
  <c r="N266" i="104" s="1"/>
  <c r="D273" i="104"/>
  <c r="L261" i="104"/>
  <c r="L271" i="104"/>
  <c r="N271" i="104" s="1"/>
  <c r="L267" i="104"/>
  <c r="N267" i="104" s="1"/>
  <c r="L272" i="104"/>
  <c r="N272" i="104" s="1"/>
  <c r="D242" i="104"/>
  <c r="L246" i="104"/>
  <c r="L251" i="104"/>
  <c r="N251" i="104" s="1"/>
  <c r="D247" i="104"/>
  <c r="L247" i="104" s="1"/>
  <c r="D221" i="104"/>
  <c r="D226" i="104"/>
  <c r="N225" i="104"/>
  <c r="L219" i="104"/>
  <c r="L220" i="104"/>
  <c r="N220" i="104" s="1"/>
  <c r="D200" i="104"/>
  <c r="L209" i="104"/>
  <c r="D205" i="104"/>
  <c r="L198" i="104"/>
  <c r="N208" i="104"/>
  <c r="D184" i="104"/>
  <c r="L184" i="104" s="1"/>
  <c r="L178" i="104"/>
  <c r="N187" i="104"/>
  <c r="L188" i="104"/>
  <c r="L182" i="104"/>
  <c r="D179" i="104"/>
  <c r="L158" i="104"/>
  <c r="L168" i="104"/>
  <c r="L163" i="104"/>
  <c r="L157" i="104"/>
  <c r="L167" i="104"/>
  <c r="N162" i="104"/>
  <c r="L147" i="104"/>
  <c r="L141" i="104"/>
  <c r="N146" i="104"/>
  <c r="D142" i="104"/>
  <c r="L135" i="104"/>
  <c r="D116" i="104"/>
  <c r="L126" i="104" s="1"/>
  <c r="D121" i="104"/>
  <c r="L115" i="104"/>
  <c r="N115" i="104" s="1"/>
  <c r="L120" i="104"/>
  <c r="N120" i="104" s="1"/>
  <c r="L125" i="104"/>
  <c r="L93" i="104"/>
  <c r="L98" i="104"/>
  <c r="D14" i="104"/>
  <c r="D95" i="104"/>
  <c r="D15" i="104"/>
  <c r="L94" i="104"/>
  <c r="L99" i="104"/>
  <c r="D20" i="104"/>
  <c r="D79" i="104"/>
  <c r="L72" i="104"/>
  <c r="L77" i="104"/>
  <c r="D74" i="104"/>
  <c r="L73" i="104"/>
  <c r="D58" i="104"/>
  <c r="L56" i="104"/>
  <c r="D10" i="104"/>
  <c r="L51" i="104"/>
  <c r="L52" i="104"/>
  <c r="L57" i="104"/>
  <c r="K482" i="104"/>
  <c r="N482" i="104" s="1"/>
  <c r="B478" i="104"/>
  <c r="B473" i="104"/>
  <c r="K476" i="104"/>
  <c r="B452" i="104"/>
  <c r="K450" i="104"/>
  <c r="N450" i="104" s="1"/>
  <c r="B457" i="104"/>
  <c r="K457" i="104" s="1"/>
  <c r="N451" i="104"/>
  <c r="K461" i="104"/>
  <c r="N461" i="104" s="1"/>
  <c r="K436" i="104"/>
  <c r="N440" i="104"/>
  <c r="B431" i="104"/>
  <c r="K430" i="104"/>
  <c r="N434" i="104"/>
  <c r="K420" i="104"/>
  <c r="K409" i="104"/>
  <c r="K413" i="104"/>
  <c r="N413" i="104" s="1"/>
  <c r="B415" i="104"/>
  <c r="K398" i="104"/>
  <c r="N398" i="104" s="1"/>
  <c r="B389" i="104"/>
  <c r="B394" i="104"/>
  <c r="K388" i="104"/>
  <c r="N392" i="104"/>
  <c r="B368" i="104"/>
  <c r="B373" i="104"/>
  <c r="K377" i="104"/>
  <c r="K367" i="104"/>
  <c r="K357" i="104"/>
  <c r="K356" i="104"/>
  <c r="B352" i="104"/>
  <c r="K352" i="104" s="1"/>
  <c r="K346" i="104"/>
  <c r="N346" i="104" s="1"/>
  <c r="K336" i="104"/>
  <c r="N334" i="104"/>
  <c r="K324" i="104"/>
  <c r="B331" i="104"/>
  <c r="K329" i="104"/>
  <c r="B310" i="104"/>
  <c r="B305" i="104"/>
  <c r="K314" i="104"/>
  <c r="N314" i="104" s="1"/>
  <c r="N287" i="104"/>
  <c r="K292" i="104"/>
  <c r="N292" i="104" s="1"/>
  <c r="K288" i="104"/>
  <c r="B289" i="104"/>
  <c r="B284" i="104"/>
  <c r="K283" i="104"/>
  <c r="N283" i="104" s="1"/>
  <c r="K273" i="104"/>
  <c r="K261" i="104"/>
  <c r="B268" i="104"/>
  <c r="K252" i="104"/>
  <c r="B247" i="104"/>
  <c r="N241" i="104"/>
  <c r="K231" i="104"/>
  <c r="K230" i="104"/>
  <c r="N230" i="104" s="1"/>
  <c r="K219" i="104"/>
  <c r="B226" i="104"/>
  <c r="N229" i="104"/>
  <c r="N224" i="104"/>
  <c r="K210" i="104"/>
  <c r="K203" i="104"/>
  <c r="N199" i="104"/>
  <c r="B205" i="104"/>
  <c r="K184" i="104"/>
  <c r="B179" i="104"/>
  <c r="K182" i="104"/>
  <c r="K178" i="104"/>
  <c r="K188" i="104"/>
  <c r="K167" i="104"/>
  <c r="B163" i="104"/>
  <c r="N156" i="104"/>
  <c r="B158" i="104"/>
  <c r="N161" i="104"/>
  <c r="K137" i="104"/>
  <c r="K147" i="104"/>
  <c r="K142" i="104"/>
  <c r="K140" i="104"/>
  <c r="N136" i="104"/>
  <c r="K141" i="104"/>
  <c r="K126" i="104"/>
  <c r="K125" i="104"/>
  <c r="K114" i="104"/>
  <c r="N114" i="104" s="1"/>
  <c r="B121" i="104"/>
  <c r="K121" i="104" s="1"/>
  <c r="K119" i="104"/>
  <c r="B95" i="104"/>
  <c r="B15" i="104"/>
  <c r="B100" i="104"/>
  <c r="K104" i="104"/>
  <c r="K94" i="104"/>
  <c r="K73" i="104"/>
  <c r="K82" i="104"/>
  <c r="B74" i="104"/>
  <c r="K83" i="104"/>
  <c r="K52" i="104"/>
  <c r="B58" i="104"/>
  <c r="K62" i="104"/>
  <c r="B10" i="104"/>
  <c r="M61" i="104"/>
  <c r="F9" i="104"/>
  <c r="B37" i="104"/>
  <c r="L40" i="104"/>
  <c r="B32" i="104"/>
  <c r="K41" i="104"/>
  <c r="M41" i="104"/>
  <c r="L31" i="104"/>
  <c r="D32" i="104"/>
  <c r="M40" i="104"/>
  <c r="L41" i="104"/>
  <c r="M35" i="104"/>
  <c r="K36" i="104"/>
  <c r="L36" i="104"/>
  <c r="F19" i="104"/>
  <c r="D42" i="104"/>
  <c r="B20" i="104"/>
  <c r="L35" i="104"/>
  <c r="H31" i="104"/>
  <c r="F32" i="104"/>
  <c r="B42" i="104"/>
  <c r="M30" i="104"/>
  <c r="F10" i="104"/>
  <c r="B19" i="104"/>
  <c r="K40" i="104"/>
  <c r="L30" i="104"/>
  <c r="E119" i="104" l="1"/>
  <c r="I220" i="104"/>
  <c r="C263" i="104"/>
  <c r="H79" i="104"/>
  <c r="G77" i="104" s="1"/>
  <c r="E483" i="104"/>
  <c r="M20" i="104"/>
  <c r="H84" i="104"/>
  <c r="E84" i="104" s="1"/>
  <c r="G450" i="104"/>
  <c r="C451" i="104"/>
  <c r="G261" i="104"/>
  <c r="G481" i="104"/>
  <c r="H105" i="104"/>
  <c r="I105" i="104" s="1"/>
  <c r="I219" i="104"/>
  <c r="E120" i="104"/>
  <c r="I287" i="104"/>
  <c r="H37" i="104"/>
  <c r="G37" i="104" s="1"/>
  <c r="M15" i="104"/>
  <c r="I262" i="104"/>
  <c r="G262" i="104"/>
  <c r="C221" i="104"/>
  <c r="E204" i="104"/>
  <c r="L100" i="104"/>
  <c r="H100" i="104"/>
  <c r="I98" i="104" s="1"/>
  <c r="N98" i="104"/>
  <c r="F21" i="104"/>
  <c r="E481" i="104"/>
  <c r="I205" i="104"/>
  <c r="G272" i="104"/>
  <c r="G273" i="104"/>
  <c r="E482" i="104"/>
  <c r="G208" i="104"/>
  <c r="G482" i="104"/>
  <c r="C273" i="104"/>
  <c r="C271" i="104"/>
  <c r="C210" i="104"/>
  <c r="I483" i="104"/>
  <c r="N62" i="104"/>
  <c r="G210" i="104"/>
  <c r="G483" i="104"/>
  <c r="E210" i="104"/>
  <c r="I203" i="104"/>
  <c r="C292" i="104"/>
  <c r="I431" i="104"/>
  <c r="C481" i="104"/>
  <c r="I209" i="104"/>
  <c r="E203" i="104"/>
  <c r="I272" i="104"/>
  <c r="I208" i="104"/>
  <c r="E271" i="104"/>
  <c r="I482" i="104"/>
  <c r="H74" i="104"/>
  <c r="G72" i="104" s="1"/>
  <c r="I271" i="104"/>
  <c r="C208" i="104"/>
  <c r="C483" i="104"/>
  <c r="E208" i="104"/>
  <c r="E272" i="104"/>
  <c r="I481" i="104"/>
  <c r="G451" i="104"/>
  <c r="E476" i="104"/>
  <c r="G314" i="104"/>
  <c r="C313" i="104"/>
  <c r="I263" i="104"/>
  <c r="C203" i="104"/>
  <c r="G204" i="104"/>
  <c r="I204" i="104"/>
  <c r="E188" i="104"/>
  <c r="I187" i="104"/>
  <c r="C179" i="104"/>
  <c r="I179" i="104"/>
  <c r="E178" i="104"/>
  <c r="E126" i="104"/>
  <c r="I124" i="104"/>
  <c r="C126" i="104"/>
  <c r="I125" i="104"/>
  <c r="E124" i="104"/>
  <c r="I126" i="104"/>
  <c r="C124" i="104"/>
  <c r="C125" i="104"/>
  <c r="G125" i="104"/>
  <c r="G126" i="104"/>
  <c r="G124" i="104"/>
  <c r="N103" i="104"/>
  <c r="N78" i="104"/>
  <c r="N82" i="104"/>
  <c r="L37" i="104"/>
  <c r="M105" i="104"/>
  <c r="C220" i="104"/>
  <c r="E221" i="104"/>
  <c r="N119" i="104"/>
  <c r="G188" i="104"/>
  <c r="C188" i="104"/>
  <c r="G219" i="104"/>
  <c r="I273" i="104"/>
  <c r="I288" i="104"/>
  <c r="I452" i="104"/>
  <c r="E452" i="104"/>
  <c r="E220" i="104"/>
  <c r="C450" i="104"/>
  <c r="K79" i="104"/>
  <c r="E179" i="104"/>
  <c r="E231" i="104"/>
  <c r="I177" i="104"/>
  <c r="E187" i="104"/>
  <c r="I221" i="104"/>
  <c r="C272" i="104"/>
  <c r="C304" i="104"/>
  <c r="G221" i="104"/>
  <c r="G452" i="104"/>
  <c r="C177" i="104"/>
  <c r="I450" i="104"/>
  <c r="N83" i="104"/>
  <c r="C189" i="104"/>
  <c r="C452" i="104"/>
  <c r="G179" i="104"/>
  <c r="I178" i="104"/>
  <c r="C219" i="104"/>
  <c r="I267" i="104"/>
  <c r="I429" i="104"/>
  <c r="E451" i="104"/>
  <c r="K84" i="104"/>
  <c r="E136" i="104"/>
  <c r="G178" i="104"/>
  <c r="G146" i="104"/>
  <c r="G177" i="104"/>
  <c r="C288" i="104"/>
  <c r="G330" i="104"/>
  <c r="E177" i="104"/>
  <c r="H58" i="104"/>
  <c r="C57" i="104" s="1"/>
  <c r="E388" i="104"/>
  <c r="E389" i="104"/>
  <c r="C388" i="104"/>
  <c r="I387" i="104"/>
  <c r="C389" i="104"/>
  <c r="C387" i="104"/>
  <c r="G389" i="104"/>
  <c r="E334" i="104"/>
  <c r="G387" i="104"/>
  <c r="I414" i="104"/>
  <c r="H20" i="104"/>
  <c r="K32" i="104"/>
  <c r="N57" i="104"/>
  <c r="G413" i="104"/>
  <c r="I389" i="104"/>
  <c r="E414" i="104"/>
  <c r="H14" i="104"/>
  <c r="C413" i="104"/>
  <c r="G388" i="104"/>
  <c r="E387" i="104"/>
  <c r="E413" i="104"/>
  <c r="H53" i="104"/>
  <c r="C52" i="104" s="1"/>
  <c r="H19" i="104"/>
  <c r="G408" i="104"/>
  <c r="E83" i="104"/>
  <c r="C82" i="104"/>
  <c r="E330" i="104"/>
  <c r="E430" i="104"/>
  <c r="N61" i="104"/>
  <c r="C158" i="104"/>
  <c r="H95" i="104"/>
  <c r="E95" i="104" s="1"/>
  <c r="G392" i="104"/>
  <c r="C429" i="104"/>
  <c r="H10" i="104"/>
  <c r="E329" i="104"/>
  <c r="G187" i="104"/>
  <c r="G203" i="104"/>
  <c r="I231" i="104"/>
  <c r="I261" i="104"/>
  <c r="G288" i="104"/>
  <c r="I314" i="104"/>
  <c r="I330" i="104"/>
  <c r="E392" i="104"/>
  <c r="G397" i="104"/>
  <c r="G414" i="104"/>
  <c r="I430" i="104"/>
  <c r="H63" i="104"/>
  <c r="C61" i="104" s="1"/>
  <c r="E263" i="104"/>
  <c r="H42" i="104"/>
  <c r="I42" i="104" s="1"/>
  <c r="C441" i="104"/>
  <c r="G329" i="104"/>
  <c r="G473" i="104"/>
  <c r="C287" i="104"/>
  <c r="I289" i="104"/>
  <c r="N99" i="104"/>
  <c r="E287" i="104"/>
  <c r="I329" i="104"/>
  <c r="N35" i="104"/>
  <c r="C330" i="104"/>
  <c r="N356" i="104"/>
  <c r="E462" i="104"/>
  <c r="C120" i="104"/>
  <c r="E262" i="104"/>
  <c r="E288" i="104"/>
  <c r="I331" i="104"/>
  <c r="I394" i="104"/>
  <c r="E429" i="104"/>
  <c r="E460" i="104"/>
  <c r="E261" i="104"/>
  <c r="C431" i="104"/>
  <c r="L105" i="104"/>
  <c r="G231" i="104"/>
  <c r="G263" i="104"/>
  <c r="G399" i="104"/>
  <c r="I136" i="104"/>
  <c r="E219" i="104"/>
  <c r="C262" i="104"/>
  <c r="I392" i="104"/>
  <c r="G430" i="104"/>
  <c r="I451" i="104"/>
  <c r="C460" i="104"/>
  <c r="L19" i="104"/>
  <c r="I393" i="104"/>
  <c r="E477" i="104"/>
  <c r="N335" i="104"/>
  <c r="G456" i="104"/>
  <c r="C119" i="104"/>
  <c r="G393" i="104"/>
  <c r="C157" i="104"/>
  <c r="I376" i="104"/>
  <c r="I462" i="104"/>
  <c r="C184" i="104"/>
  <c r="C399" i="104"/>
  <c r="C462" i="104"/>
  <c r="E168" i="104"/>
  <c r="E189" i="104"/>
  <c r="E304" i="104"/>
  <c r="M63" i="104"/>
  <c r="G119" i="104"/>
  <c r="G189" i="104"/>
  <c r="I120" i="104"/>
  <c r="I156" i="104"/>
  <c r="I188" i="104"/>
  <c r="E251" i="104"/>
  <c r="C314" i="104"/>
  <c r="E393" i="104"/>
  <c r="E397" i="104"/>
  <c r="C397" i="104"/>
  <c r="G415" i="104"/>
  <c r="I415" i="104"/>
  <c r="C461" i="104"/>
  <c r="E461" i="104"/>
  <c r="I477" i="104"/>
  <c r="G166" i="104"/>
  <c r="H15" i="104"/>
  <c r="G476" i="104"/>
  <c r="N31" i="104"/>
  <c r="I141" i="104"/>
  <c r="I250" i="104"/>
  <c r="I461" i="104"/>
  <c r="G477" i="104"/>
  <c r="C167" i="104"/>
  <c r="N41" i="104"/>
  <c r="E305" i="104"/>
  <c r="G398" i="104"/>
  <c r="C476" i="104"/>
  <c r="I476" i="104"/>
  <c r="D21" i="104"/>
  <c r="N147" i="104"/>
  <c r="C168" i="104"/>
  <c r="C305" i="104"/>
  <c r="C393" i="104"/>
  <c r="N72" i="104"/>
  <c r="L315" i="104"/>
  <c r="I121" i="104"/>
  <c r="I158" i="104"/>
  <c r="I189" i="104"/>
  <c r="G230" i="104"/>
  <c r="G304" i="104"/>
  <c r="I399" i="104"/>
  <c r="I413" i="104"/>
  <c r="G461" i="104"/>
  <c r="I478" i="104"/>
  <c r="I140" i="104"/>
  <c r="G167" i="104"/>
  <c r="I460" i="104"/>
  <c r="G120" i="104"/>
  <c r="I397" i="104"/>
  <c r="I252" i="104"/>
  <c r="I168" i="104"/>
  <c r="C252" i="104"/>
  <c r="E315" i="104"/>
  <c r="G305" i="104"/>
  <c r="G462" i="104"/>
  <c r="C156" i="104"/>
  <c r="C230" i="104"/>
  <c r="C303" i="104"/>
  <c r="C398" i="104"/>
  <c r="G168" i="104"/>
  <c r="N455" i="104"/>
  <c r="N288" i="104"/>
  <c r="G266" i="104"/>
  <c r="E268" i="104"/>
  <c r="I266" i="104"/>
  <c r="I268" i="104"/>
  <c r="C266" i="104"/>
  <c r="E266" i="104"/>
  <c r="G267" i="104"/>
  <c r="N198" i="104"/>
  <c r="C142" i="104"/>
  <c r="I142" i="104"/>
  <c r="C141" i="104"/>
  <c r="N141" i="104"/>
  <c r="E140" i="104"/>
  <c r="E141" i="104"/>
  <c r="N93" i="104"/>
  <c r="C473" i="104"/>
  <c r="C472" i="104"/>
  <c r="C439" i="104"/>
  <c r="E431" i="104"/>
  <c r="C430" i="104"/>
  <c r="G429" i="104"/>
  <c r="G441" i="104"/>
  <c r="E441" i="104"/>
  <c r="C440" i="104"/>
  <c r="G440" i="104"/>
  <c r="G439" i="104"/>
  <c r="E440" i="104"/>
  <c r="E439" i="104"/>
  <c r="I439" i="104"/>
  <c r="I440" i="104"/>
  <c r="N436" i="104"/>
  <c r="N419" i="104"/>
  <c r="G420" i="104"/>
  <c r="N409" i="104"/>
  <c r="G409" i="104"/>
  <c r="C408" i="104"/>
  <c r="C409" i="104"/>
  <c r="C410" i="104"/>
  <c r="E410" i="104"/>
  <c r="E409" i="104"/>
  <c r="I408" i="104"/>
  <c r="C420" i="104"/>
  <c r="C418" i="104"/>
  <c r="E419" i="104"/>
  <c r="G418" i="104"/>
  <c r="I418" i="104"/>
  <c r="I419" i="104"/>
  <c r="C419" i="104"/>
  <c r="E420" i="104"/>
  <c r="I420" i="104"/>
  <c r="G419" i="104"/>
  <c r="I410" i="104"/>
  <c r="I409" i="104"/>
  <c r="E398" i="104"/>
  <c r="N367" i="104"/>
  <c r="E368" i="104"/>
  <c r="G377" i="104"/>
  <c r="I377" i="104"/>
  <c r="G378" i="104"/>
  <c r="I378" i="104"/>
  <c r="G376" i="104"/>
  <c r="C378" i="104"/>
  <c r="C376" i="104"/>
  <c r="E378" i="104"/>
  <c r="E376" i="104"/>
  <c r="C377" i="104"/>
  <c r="G373" i="104"/>
  <c r="I367" i="104"/>
  <c r="C368" i="104"/>
  <c r="G368" i="104"/>
  <c r="E355" i="104"/>
  <c r="E357" i="104"/>
  <c r="G356" i="104"/>
  <c r="I357" i="104"/>
  <c r="C355" i="104"/>
  <c r="G355" i="104"/>
  <c r="I355" i="104"/>
  <c r="C357" i="104"/>
  <c r="G357" i="104"/>
  <c r="C356" i="104"/>
  <c r="E356" i="104"/>
  <c r="G350" i="104"/>
  <c r="C351" i="104"/>
  <c r="I350" i="104"/>
  <c r="G347" i="104"/>
  <c r="E347" i="104"/>
  <c r="G336" i="104"/>
  <c r="N324" i="104"/>
  <c r="C335" i="104"/>
  <c r="I334" i="104"/>
  <c r="C336" i="104"/>
  <c r="E335" i="104"/>
  <c r="I336" i="104"/>
  <c r="G335" i="104"/>
  <c r="C334" i="104"/>
  <c r="E336" i="104"/>
  <c r="I335" i="104"/>
  <c r="N329" i="104"/>
  <c r="G313" i="104"/>
  <c r="I315" i="104"/>
  <c r="C315" i="104"/>
  <c r="E313" i="104"/>
  <c r="G315" i="104"/>
  <c r="E314" i="104"/>
  <c r="I305" i="104"/>
  <c r="G303" i="104"/>
  <c r="I308" i="104"/>
  <c r="E308" i="104"/>
  <c r="G309" i="104"/>
  <c r="E309" i="104"/>
  <c r="I304" i="104"/>
  <c r="E303" i="104"/>
  <c r="I284" i="104"/>
  <c r="C284" i="104"/>
  <c r="E294" i="104"/>
  <c r="G293" i="104"/>
  <c r="E292" i="104"/>
  <c r="I292" i="104"/>
  <c r="I294" i="104"/>
  <c r="E293" i="104"/>
  <c r="C293" i="104"/>
  <c r="C294" i="104"/>
  <c r="G292" i="104"/>
  <c r="G294" i="104"/>
  <c r="G284" i="104"/>
  <c r="E284" i="104"/>
  <c r="C282" i="104"/>
  <c r="I282" i="104"/>
  <c r="C283" i="104"/>
  <c r="G282" i="104"/>
  <c r="G283" i="104"/>
  <c r="E282" i="104"/>
  <c r="I283" i="104"/>
  <c r="M273" i="104"/>
  <c r="E267" i="104"/>
  <c r="N261" i="104"/>
  <c r="C250" i="104"/>
  <c r="G252" i="104"/>
  <c r="I251" i="104"/>
  <c r="N246" i="104"/>
  <c r="E245" i="104"/>
  <c r="E250" i="104"/>
  <c r="E252" i="104"/>
  <c r="G250" i="104"/>
  <c r="G251" i="104"/>
  <c r="C229" i="104"/>
  <c r="G229" i="104"/>
  <c r="I230" i="104"/>
  <c r="E229" i="104"/>
  <c r="I229" i="104"/>
  <c r="C231" i="104"/>
  <c r="L231" i="104"/>
  <c r="N231" i="104" s="1"/>
  <c r="E209" i="104"/>
  <c r="C209" i="104"/>
  <c r="G209" i="104"/>
  <c r="N182" i="104"/>
  <c r="G183" i="104"/>
  <c r="E166" i="104"/>
  <c r="E167" i="104"/>
  <c r="N157" i="104"/>
  <c r="I166" i="104"/>
  <c r="C166" i="104"/>
  <c r="E163" i="104"/>
  <c r="C161" i="104"/>
  <c r="G157" i="104"/>
  <c r="E156" i="104"/>
  <c r="E158" i="104"/>
  <c r="I157" i="104"/>
  <c r="E157" i="104"/>
  <c r="I161" i="104"/>
  <c r="K168" i="104"/>
  <c r="E145" i="104"/>
  <c r="C146" i="104"/>
  <c r="E146" i="104"/>
  <c r="C147" i="104"/>
  <c r="G147" i="104"/>
  <c r="N135" i="104"/>
  <c r="G140" i="104"/>
  <c r="G141" i="104"/>
  <c r="E135" i="104"/>
  <c r="E137" i="104"/>
  <c r="I145" i="104"/>
  <c r="C145" i="104"/>
  <c r="G145" i="104"/>
  <c r="I146" i="104"/>
  <c r="E147" i="104"/>
  <c r="G136" i="104"/>
  <c r="I137" i="104"/>
  <c r="C135" i="104"/>
  <c r="N140" i="104"/>
  <c r="C137" i="104"/>
  <c r="G135" i="104"/>
  <c r="C136" i="104"/>
  <c r="I135" i="104"/>
  <c r="N125" i="104"/>
  <c r="G115" i="104"/>
  <c r="E116" i="104"/>
  <c r="G116" i="104"/>
  <c r="C116" i="104"/>
  <c r="N94" i="104"/>
  <c r="N77" i="104"/>
  <c r="E73" i="104"/>
  <c r="G83" i="104"/>
  <c r="E82" i="104"/>
  <c r="N73" i="104"/>
  <c r="C83" i="104"/>
  <c r="I84" i="104"/>
  <c r="N56" i="104"/>
  <c r="N52" i="104"/>
  <c r="K74" i="104"/>
  <c r="I472" i="104"/>
  <c r="C471" i="104"/>
  <c r="G471" i="104"/>
  <c r="E471" i="104"/>
  <c r="I473" i="104"/>
  <c r="G472" i="104"/>
  <c r="E473" i="104"/>
  <c r="I471" i="104"/>
  <c r="I455" i="104"/>
  <c r="C455" i="104"/>
  <c r="E455" i="104"/>
  <c r="G455" i="104"/>
  <c r="C456" i="104"/>
  <c r="E456" i="104"/>
  <c r="I456" i="104"/>
  <c r="I436" i="104"/>
  <c r="E435" i="104"/>
  <c r="E434" i="104"/>
  <c r="C435" i="104"/>
  <c r="G435" i="104"/>
  <c r="C434" i="104"/>
  <c r="G434" i="104"/>
  <c r="C436" i="104"/>
  <c r="I435" i="104"/>
  <c r="I434" i="104"/>
  <c r="E372" i="104"/>
  <c r="E366" i="104"/>
  <c r="I368" i="104"/>
  <c r="C366" i="104"/>
  <c r="I366" i="104"/>
  <c r="G367" i="104"/>
  <c r="G366" i="104"/>
  <c r="E367" i="104"/>
  <c r="I372" i="104"/>
  <c r="E371" i="104"/>
  <c r="C371" i="104"/>
  <c r="C372" i="104"/>
  <c r="G372" i="104"/>
  <c r="G371" i="104"/>
  <c r="I373" i="104"/>
  <c r="E345" i="104"/>
  <c r="C345" i="104"/>
  <c r="G345" i="104"/>
  <c r="E346" i="104"/>
  <c r="C346" i="104"/>
  <c r="I347" i="104"/>
  <c r="I345" i="104"/>
  <c r="C347" i="104"/>
  <c r="E351" i="104"/>
  <c r="I352" i="104"/>
  <c r="G351" i="104"/>
  <c r="E350" i="104"/>
  <c r="C350" i="104"/>
  <c r="I346" i="104"/>
  <c r="G326" i="104"/>
  <c r="E325" i="104"/>
  <c r="I326" i="104"/>
  <c r="C324" i="104"/>
  <c r="G324" i="104"/>
  <c r="C325" i="104"/>
  <c r="I324" i="104"/>
  <c r="E324" i="104"/>
  <c r="C326" i="104"/>
  <c r="E326" i="104"/>
  <c r="I325" i="104"/>
  <c r="I310" i="104"/>
  <c r="I309" i="104"/>
  <c r="C308" i="104"/>
  <c r="C309" i="104"/>
  <c r="I242" i="104"/>
  <c r="C241" i="104"/>
  <c r="C240" i="104"/>
  <c r="I240" i="104"/>
  <c r="E240" i="104"/>
  <c r="G240" i="104"/>
  <c r="G241" i="104"/>
  <c r="I247" i="104"/>
  <c r="E246" i="104"/>
  <c r="C245" i="104"/>
  <c r="G242" i="104"/>
  <c r="I246" i="104"/>
  <c r="E241" i="104"/>
  <c r="E242" i="104"/>
  <c r="G246" i="104"/>
  <c r="I245" i="104"/>
  <c r="C246" i="104"/>
  <c r="C242" i="104"/>
  <c r="I241" i="104"/>
  <c r="E224" i="104"/>
  <c r="E225" i="104"/>
  <c r="G224" i="104"/>
  <c r="I226" i="104"/>
  <c r="G225" i="104"/>
  <c r="C224" i="104"/>
  <c r="I225" i="104"/>
  <c r="C225" i="104"/>
  <c r="I224" i="104"/>
  <c r="E198" i="104"/>
  <c r="I199" i="104"/>
  <c r="C199" i="104"/>
  <c r="G198" i="104"/>
  <c r="I200" i="104"/>
  <c r="C198" i="104"/>
  <c r="I198" i="104"/>
  <c r="G199" i="104"/>
  <c r="E199" i="104"/>
  <c r="C200" i="104"/>
  <c r="C182" i="104"/>
  <c r="C183" i="104"/>
  <c r="I184" i="104"/>
  <c r="G182" i="104"/>
  <c r="E183" i="104"/>
  <c r="I183" i="104"/>
  <c r="I182" i="104"/>
  <c r="I163" i="104"/>
  <c r="G162" i="104"/>
  <c r="E161" i="104"/>
  <c r="E162" i="104"/>
  <c r="G161" i="104"/>
  <c r="C162" i="104"/>
  <c r="G114" i="104"/>
  <c r="I114" i="104"/>
  <c r="C114" i="104"/>
  <c r="E114" i="104"/>
  <c r="I116" i="104"/>
  <c r="E115" i="104"/>
  <c r="I115" i="104"/>
  <c r="G82" i="104"/>
  <c r="G478" i="104"/>
  <c r="M473" i="104"/>
  <c r="M478" i="104"/>
  <c r="G457" i="104"/>
  <c r="M452" i="104"/>
  <c r="M462" i="104"/>
  <c r="M457" i="104"/>
  <c r="G436" i="104"/>
  <c r="M431" i="104"/>
  <c r="G410" i="104"/>
  <c r="M410" i="104"/>
  <c r="M420" i="104"/>
  <c r="N420" i="104" s="1"/>
  <c r="G394" i="104"/>
  <c r="M389" i="104"/>
  <c r="N388" i="104"/>
  <c r="N387" i="104"/>
  <c r="M399" i="104"/>
  <c r="M394" i="104"/>
  <c r="M378" i="104"/>
  <c r="M368" i="104"/>
  <c r="N377" i="104"/>
  <c r="M347" i="104"/>
  <c r="G352" i="104"/>
  <c r="M357" i="104"/>
  <c r="N357" i="104" s="1"/>
  <c r="N350" i="104"/>
  <c r="G331" i="104"/>
  <c r="M326" i="104"/>
  <c r="M336" i="104"/>
  <c r="M331" i="104"/>
  <c r="M305" i="104"/>
  <c r="G310" i="104"/>
  <c r="G289" i="104"/>
  <c r="M284" i="104"/>
  <c r="M289" i="104"/>
  <c r="N282" i="104"/>
  <c r="G268" i="104"/>
  <c r="M263" i="104"/>
  <c r="M268" i="104"/>
  <c r="G247" i="104"/>
  <c r="M242" i="104"/>
  <c r="M247" i="104"/>
  <c r="G226" i="104"/>
  <c r="M221" i="104"/>
  <c r="M226" i="104"/>
  <c r="M200" i="104"/>
  <c r="G205" i="104"/>
  <c r="N209" i="104"/>
  <c r="N203" i="104"/>
  <c r="M205" i="104"/>
  <c r="M179" i="104"/>
  <c r="G184" i="104"/>
  <c r="M189" i="104"/>
  <c r="M184" i="104"/>
  <c r="N184" i="104" s="1"/>
  <c r="M19" i="104"/>
  <c r="M168" i="104"/>
  <c r="G158" i="104"/>
  <c r="M158" i="104"/>
  <c r="G163" i="104"/>
  <c r="M163" i="104"/>
  <c r="G142" i="104"/>
  <c r="M137" i="104"/>
  <c r="M126" i="104"/>
  <c r="N126" i="104" s="1"/>
  <c r="M116" i="104"/>
  <c r="G121" i="104"/>
  <c r="M121" i="104"/>
  <c r="M95" i="104"/>
  <c r="N104" i="104"/>
  <c r="M100" i="104"/>
  <c r="M74" i="104"/>
  <c r="G79" i="104"/>
  <c r="F16" i="104"/>
  <c r="M79" i="104"/>
  <c r="M9" i="104"/>
  <c r="M84" i="104"/>
  <c r="M14" i="104"/>
  <c r="N51" i="104"/>
  <c r="M53" i="104"/>
  <c r="M58" i="104"/>
  <c r="N476" i="104"/>
  <c r="E478" i="104"/>
  <c r="L473" i="104"/>
  <c r="L478" i="104"/>
  <c r="E457" i="104"/>
  <c r="L452" i="104"/>
  <c r="L457" i="104"/>
  <c r="N430" i="104"/>
  <c r="L441" i="104"/>
  <c r="L431" i="104"/>
  <c r="E415" i="104"/>
  <c r="L410" i="104"/>
  <c r="L415" i="104"/>
  <c r="E399" i="104"/>
  <c r="L399" i="104"/>
  <c r="L394" i="104"/>
  <c r="E394" i="104"/>
  <c r="L389" i="104"/>
  <c r="L368" i="104"/>
  <c r="E373" i="104"/>
  <c r="L14" i="104"/>
  <c r="L373" i="104"/>
  <c r="L347" i="104"/>
  <c r="E352" i="104"/>
  <c r="L352" i="104"/>
  <c r="N352" i="104" s="1"/>
  <c r="E331" i="104"/>
  <c r="L326" i="104"/>
  <c r="L336" i="104"/>
  <c r="L331" i="104"/>
  <c r="E310" i="104"/>
  <c r="L305" i="104"/>
  <c r="L15" i="104"/>
  <c r="L310" i="104"/>
  <c r="L284" i="104"/>
  <c r="E289" i="104"/>
  <c r="L289" i="104"/>
  <c r="L273" i="104"/>
  <c r="L268" i="104"/>
  <c r="E273" i="104"/>
  <c r="E247" i="104"/>
  <c r="L242" i="104"/>
  <c r="L252" i="104"/>
  <c r="N252" i="104" s="1"/>
  <c r="L221" i="104"/>
  <c r="E226" i="104"/>
  <c r="N219" i="104"/>
  <c r="L226" i="104"/>
  <c r="E205" i="104"/>
  <c r="L200" i="104"/>
  <c r="L205" i="104"/>
  <c r="E200" i="104"/>
  <c r="L210" i="104"/>
  <c r="N210" i="104" s="1"/>
  <c r="N178" i="104"/>
  <c r="L189" i="104"/>
  <c r="N188" i="104"/>
  <c r="E184" i="104"/>
  <c r="L179" i="104"/>
  <c r="N167" i="104"/>
  <c r="L10" i="104"/>
  <c r="L137" i="104"/>
  <c r="E142" i="104"/>
  <c r="L9" i="104"/>
  <c r="L142" i="104"/>
  <c r="N142" i="104" s="1"/>
  <c r="L116" i="104"/>
  <c r="E121" i="104"/>
  <c r="L121" i="104"/>
  <c r="L95" i="104"/>
  <c r="L20" i="104"/>
  <c r="L74" i="104"/>
  <c r="E79" i="104"/>
  <c r="L84" i="104"/>
  <c r="L79" i="104"/>
  <c r="L58" i="104"/>
  <c r="L53" i="104"/>
  <c r="D16" i="104"/>
  <c r="L63" i="104"/>
  <c r="L42" i="104"/>
  <c r="N40" i="104"/>
  <c r="C478" i="104"/>
  <c r="K473" i="104"/>
  <c r="K483" i="104"/>
  <c r="N483" i="104" s="1"/>
  <c r="K478" i="104"/>
  <c r="C457" i="104"/>
  <c r="K452" i="104"/>
  <c r="K462" i="104"/>
  <c r="K441" i="104"/>
  <c r="K431" i="104"/>
  <c r="K410" i="104"/>
  <c r="C415" i="104"/>
  <c r="K415" i="104"/>
  <c r="K389" i="104"/>
  <c r="C394" i="104"/>
  <c r="K399" i="104"/>
  <c r="K394" i="104"/>
  <c r="K368" i="104"/>
  <c r="C373" i="104"/>
  <c r="K373" i="104"/>
  <c r="K378" i="104"/>
  <c r="C352" i="104"/>
  <c r="K347" i="104"/>
  <c r="C331" i="104"/>
  <c r="K326" i="104"/>
  <c r="K331" i="104"/>
  <c r="K305" i="104"/>
  <c r="C310" i="104"/>
  <c r="K315" i="104"/>
  <c r="K310" i="104"/>
  <c r="K294" i="104"/>
  <c r="N294" i="104" s="1"/>
  <c r="C289" i="104"/>
  <c r="K284" i="104"/>
  <c r="K289" i="104"/>
  <c r="C268" i="104"/>
  <c r="K263" i="104"/>
  <c r="K268" i="104"/>
  <c r="K242" i="104"/>
  <c r="C247" i="104"/>
  <c r="K247" i="104"/>
  <c r="C226" i="104"/>
  <c r="K221" i="104"/>
  <c r="K226" i="104"/>
  <c r="C205" i="104"/>
  <c r="K200" i="104"/>
  <c r="K205" i="104"/>
  <c r="B11" i="104"/>
  <c r="K189" i="104"/>
  <c r="K179" i="104"/>
  <c r="C163" i="104"/>
  <c r="K158" i="104"/>
  <c r="K163" i="104"/>
  <c r="K116" i="104"/>
  <c r="C121" i="104"/>
  <c r="K95" i="104"/>
  <c r="K9" i="104"/>
  <c r="K105" i="104"/>
  <c r="K10" i="104"/>
  <c r="K100" i="104"/>
  <c r="K58" i="104"/>
  <c r="K53" i="104"/>
  <c r="K63" i="104"/>
  <c r="M10" i="104"/>
  <c r="N30" i="104"/>
  <c r="B16" i="104"/>
  <c r="K42" i="104"/>
  <c r="N36" i="104"/>
  <c r="L32" i="104"/>
  <c r="D11" i="104"/>
  <c r="M37" i="104"/>
  <c r="M32" i="104"/>
  <c r="F11" i="104"/>
  <c r="H32" i="104"/>
  <c r="I30" i="104" s="1"/>
  <c r="H9" i="104"/>
  <c r="M42" i="104"/>
  <c r="B21" i="104"/>
  <c r="K37" i="104"/>
  <c r="K15" i="104"/>
  <c r="K20" i="104"/>
  <c r="K19" i="104"/>
  <c r="K14" i="104"/>
  <c r="E104" i="104" l="1"/>
  <c r="C104" i="104"/>
  <c r="G105" i="104"/>
  <c r="E105" i="104"/>
  <c r="G103" i="104"/>
  <c r="C105" i="104"/>
  <c r="G104" i="104"/>
  <c r="E103" i="104"/>
  <c r="C103" i="104"/>
  <c r="I103" i="104"/>
  <c r="C37" i="104"/>
  <c r="G99" i="104"/>
  <c r="G73" i="104"/>
  <c r="C78" i="104"/>
  <c r="G78" i="104"/>
  <c r="I35" i="104"/>
  <c r="I72" i="104"/>
  <c r="G36" i="104"/>
  <c r="E37" i="104"/>
  <c r="C36" i="104"/>
  <c r="E35" i="104"/>
  <c r="E78" i="104"/>
  <c r="C35" i="104"/>
  <c r="C77" i="104"/>
  <c r="C79" i="104"/>
  <c r="I78" i="104"/>
  <c r="I36" i="104"/>
  <c r="I79" i="104"/>
  <c r="I37" i="104"/>
  <c r="C74" i="104"/>
  <c r="E77" i="104"/>
  <c r="E36" i="104"/>
  <c r="I77" i="104"/>
  <c r="G35" i="104"/>
  <c r="C99" i="104"/>
  <c r="E99" i="104"/>
  <c r="G100" i="104"/>
  <c r="I99" i="104"/>
  <c r="E98" i="104"/>
  <c r="G98" i="104"/>
  <c r="C100" i="104"/>
  <c r="I100" i="104"/>
  <c r="C98" i="104"/>
  <c r="E100" i="104"/>
  <c r="I104" i="104"/>
  <c r="I82" i="104"/>
  <c r="C84" i="104"/>
  <c r="I83" i="104"/>
  <c r="G84" i="104"/>
  <c r="G95" i="104"/>
  <c r="N457" i="104"/>
  <c r="G58" i="104"/>
  <c r="I56" i="104"/>
  <c r="H16" i="104"/>
  <c r="C14" i="104" s="1"/>
  <c r="C72" i="104"/>
  <c r="I74" i="104"/>
  <c r="C93" i="104"/>
  <c r="I95" i="104"/>
  <c r="E74" i="104"/>
  <c r="E72" i="104"/>
  <c r="G74" i="104"/>
  <c r="I73" i="104"/>
  <c r="C73" i="104"/>
  <c r="N158" i="104"/>
  <c r="G94" i="104"/>
  <c r="E58" i="104"/>
  <c r="C56" i="104"/>
  <c r="I57" i="104"/>
  <c r="C58" i="104"/>
  <c r="G56" i="104"/>
  <c r="E57" i="104"/>
  <c r="G57" i="104"/>
  <c r="I58" i="104"/>
  <c r="E56" i="104"/>
  <c r="L21" i="104"/>
  <c r="C95" i="104"/>
  <c r="E94" i="104"/>
  <c r="N462" i="104"/>
  <c r="I93" i="104"/>
  <c r="N378" i="104"/>
  <c r="E93" i="104"/>
  <c r="C94" i="104"/>
  <c r="E41" i="104"/>
  <c r="I41" i="104"/>
  <c r="G41" i="104"/>
  <c r="G53" i="104"/>
  <c r="I53" i="104"/>
  <c r="C63" i="104"/>
  <c r="N32" i="104"/>
  <c r="E52" i="104"/>
  <c r="I52" i="104"/>
  <c r="E40" i="104"/>
  <c r="C53" i="104"/>
  <c r="G51" i="104"/>
  <c r="G40" i="104"/>
  <c r="E53" i="104"/>
  <c r="E42" i="104"/>
  <c r="C40" i="104"/>
  <c r="E51" i="104"/>
  <c r="C41" i="104"/>
  <c r="C51" i="104"/>
  <c r="G52" i="104"/>
  <c r="G42" i="104"/>
  <c r="I40" i="104"/>
  <c r="I51" i="104"/>
  <c r="C62" i="104"/>
  <c r="I61" i="104"/>
  <c r="E61" i="104"/>
  <c r="I63" i="104"/>
  <c r="G61" i="104"/>
  <c r="G62" i="104"/>
  <c r="E62" i="104"/>
  <c r="I94" i="104"/>
  <c r="G63" i="104"/>
  <c r="N105" i="104"/>
  <c r="N42" i="104"/>
  <c r="N168" i="104"/>
  <c r="G93" i="104"/>
  <c r="C42" i="104"/>
  <c r="H21" i="104"/>
  <c r="C19" i="104" s="1"/>
  <c r="E63" i="104"/>
  <c r="I62" i="104"/>
  <c r="N315" i="104"/>
  <c r="L16" i="104"/>
  <c r="N452" i="104"/>
  <c r="N263" i="104"/>
  <c r="N200" i="104"/>
  <c r="N473" i="104"/>
  <c r="N431" i="104"/>
  <c r="N415" i="104"/>
  <c r="N394" i="104"/>
  <c r="N399" i="104"/>
  <c r="N373" i="104"/>
  <c r="N368" i="104"/>
  <c r="N347" i="104"/>
  <c r="N336" i="104"/>
  <c r="N331" i="104"/>
  <c r="N273" i="104"/>
  <c r="N268" i="104"/>
  <c r="N247" i="104"/>
  <c r="N242" i="104"/>
  <c r="N221" i="104"/>
  <c r="N205" i="104"/>
  <c r="N137" i="104"/>
  <c r="N116" i="104"/>
  <c r="N95" i="104"/>
  <c r="N74" i="104"/>
  <c r="N53" i="104"/>
  <c r="N410" i="104"/>
  <c r="N305" i="104"/>
  <c r="N289" i="104"/>
  <c r="N19" i="104"/>
  <c r="N189" i="104"/>
  <c r="N163" i="104"/>
  <c r="N121" i="104"/>
  <c r="M16" i="104"/>
  <c r="N100" i="104"/>
  <c r="N79" i="104"/>
  <c r="N84" i="104"/>
  <c r="N14" i="104"/>
  <c r="N478" i="104"/>
  <c r="N441" i="104"/>
  <c r="N389" i="104"/>
  <c r="N326" i="104"/>
  <c r="N15" i="104"/>
  <c r="N310" i="104"/>
  <c r="N284" i="104"/>
  <c r="N10" i="104"/>
  <c r="N226" i="104"/>
  <c r="N179" i="104"/>
  <c r="N9" i="104"/>
  <c r="N20" i="104"/>
  <c r="L11" i="104"/>
  <c r="N58" i="104"/>
  <c r="N63" i="104"/>
  <c r="K11" i="104"/>
  <c r="N37" i="104"/>
  <c r="I32" i="104"/>
  <c r="G30" i="104"/>
  <c r="E30" i="104"/>
  <c r="C31" i="104"/>
  <c r="H11" i="104"/>
  <c r="C32" i="104"/>
  <c r="E32" i="104"/>
  <c r="C30" i="104"/>
  <c r="E31" i="104"/>
  <c r="G31" i="104"/>
  <c r="G32" i="104"/>
  <c r="M11" i="104"/>
  <c r="M21" i="104"/>
  <c r="K21" i="104"/>
  <c r="K16" i="104"/>
  <c r="I31" i="104"/>
  <c r="G14" i="104" l="1"/>
  <c r="G16" i="104"/>
  <c r="G15" i="104"/>
  <c r="I16" i="104"/>
  <c r="E14" i="104"/>
  <c r="E16" i="104"/>
  <c r="C15" i="104"/>
  <c r="C16" i="104"/>
  <c r="E15" i="104"/>
  <c r="I14" i="104"/>
  <c r="I15" i="104"/>
  <c r="E20" i="104"/>
  <c r="G19" i="104"/>
  <c r="E21" i="104"/>
  <c r="I19" i="104"/>
  <c r="G21" i="104"/>
  <c r="I20" i="104"/>
  <c r="I21" i="104"/>
  <c r="G20" i="104"/>
  <c r="C21" i="104"/>
  <c r="E19" i="104"/>
  <c r="C20" i="104"/>
  <c r="N16" i="104"/>
  <c r="N21" i="104"/>
  <c r="N11" i="104"/>
  <c r="E11" i="104"/>
  <c r="E9" i="104"/>
  <c r="C9" i="104"/>
  <c r="C11" i="104"/>
  <c r="E10" i="104"/>
  <c r="G10" i="104"/>
  <c r="C10" i="104"/>
  <c r="I10" i="104"/>
  <c r="G11" i="104"/>
  <c r="I11" i="104"/>
  <c r="G9" i="104"/>
  <c r="I9" i="104"/>
  <c r="A391" i="103" l="1"/>
  <c r="A390" i="103"/>
  <c r="A389" i="103"/>
  <c r="A388" i="103"/>
  <c r="A387" i="103"/>
  <c r="A386" i="103"/>
  <c r="A385" i="103"/>
  <c r="A384" i="103"/>
  <c r="A383" i="103"/>
  <c r="A374" i="103"/>
  <c r="A373" i="103"/>
  <c r="A372" i="103"/>
  <c r="A371" i="103"/>
  <c r="A370" i="103"/>
  <c r="A369" i="103"/>
  <c r="A368" i="103"/>
  <c r="A367" i="103"/>
  <c r="A366" i="103"/>
  <c r="A357" i="103"/>
  <c r="A356" i="103"/>
  <c r="A355" i="103"/>
  <c r="A354" i="103"/>
  <c r="A353" i="103"/>
  <c r="A352" i="103"/>
  <c r="A351" i="103"/>
  <c r="A350" i="103"/>
  <c r="A349" i="103"/>
  <c r="A340" i="103"/>
  <c r="A339" i="103"/>
  <c r="A338" i="103"/>
  <c r="A337" i="103"/>
  <c r="A336" i="103"/>
  <c r="A335" i="103"/>
  <c r="A334" i="103"/>
  <c r="A333" i="103"/>
  <c r="A332" i="103"/>
  <c r="A323" i="103"/>
  <c r="A322" i="103"/>
  <c r="A321" i="103"/>
  <c r="A320" i="103"/>
  <c r="A319" i="103"/>
  <c r="A318" i="103"/>
  <c r="A317" i="103"/>
  <c r="A316" i="103"/>
  <c r="A315" i="103"/>
  <c r="A306" i="103"/>
  <c r="A305" i="103"/>
  <c r="A304" i="103"/>
  <c r="A303" i="103"/>
  <c r="A302" i="103"/>
  <c r="A301" i="103"/>
  <c r="A300" i="103"/>
  <c r="A299" i="103"/>
  <c r="A298" i="103"/>
  <c r="A289" i="103"/>
  <c r="A288" i="103"/>
  <c r="A287" i="103"/>
  <c r="A286" i="103"/>
  <c r="A285" i="103"/>
  <c r="A284" i="103"/>
  <c r="A283" i="103"/>
  <c r="A282" i="103"/>
  <c r="A281" i="103"/>
  <c r="A272" i="103"/>
  <c r="A271" i="103"/>
  <c r="A270" i="103"/>
  <c r="A269" i="103"/>
  <c r="A268" i="103"/>
  <c r="A267" i="103"/>
  <c r="A266" i="103"/>
  <c r="A265" i="103"/>
  <c r="A264" i="103"/>
  <c r="A255" i="103"/>
  <c r="A254" i="103"/>
  <c r="A253" i="103"/>
  <c r="A252" i="103"/>
  <c r="A251" i="103"/>
  <c r="A250" i="103"/>
  <c r="A249" i="103"/>
  <c r="A248" i="103"/>
  <c r="A247" i="103"/>
  <c r="A238" i="103"/>
  <c r="A237" i="103"/>
  <c r="A236" i="103"/>
  <c r="A235" i="103"/>
  <c r="A234" i="103"/>
  <c r="A233" i="103"/>
  <c r="A232" i="103"/>
  <c r="A231" i="103"/>
  <c r="A230" i="103"/>
  <c r="A221" i="103"/>
  <c r="A220" i="103"/>
  <c r="A219" i="103"/>
  <c r="A218" i="103"/>
  <c r="A217" i="103"/>
  <c r="A216" i="103"/>
  <c r="A215" i="103"/>
  <c r="A214" i="103"/>
  <c r="A213" i="103"/>
  <c r="A204" i="103"/>
  <c r="A203" i="103"/>
  <c r="A202" i="103"/>
  <c r="A201" i="103"/>
  <c r="A200" i="103"/>
  <c r="A199" i="103"/>
  <c r="A198" i="103"/>
  <c r="A197" i="103"/>
  <c r="A196" i="103"/>
  <c r="A187" i="103"/>
  <c r="A186" i="103"/>
  <c r="A185" i="103"/>
  <c r="A184" i="103"/>
  <c r="A183" i="103"/>
  <c r="A182" i="103"/>
  <c r="A181" i="103"/>
  <c r="A180" i="103"/>
  <c r="A179" i="103"/>
  <c r="A170" i="103"/>
  <c r="A169" i="103"/>
  <c r="A168" i="103"/>
  <c r="A167" i="103"/>
  <c r="A166" i="103"/>
  <c r="A165" i="103"/>
  <c r="A164" i="103"/>
  <c r="A163" i="103"/>
  <c r="A162" i="103"/>
  <c r="A153" i="103"/>
  <c r="A152" i="103"/>
  <c r="A151" i="103"/>
  <c r="A150" i="103"/>
  <c r="A149" i="103"/>
  <c r="A148" i="103"/>
  <c r="A147" i="103"/>
  <c r="A146" i="103"/>
  <c r="A145" i="103"/>
  <c r="A136" i="103"/>
  <c r="A135" i="103"/>
  <c r="A134" i="103"/>
  <c r="A133" i="103"/>
  <c r="A132" i="103"/>
  <c r="A131" i="103"/>
  <c r="A130" i="103"/>
  <c r="A129" i="103"/>
  <c r="A128" i="103"/>
  <c r="A119" i="103"/>
  <c r="A118" i="103"/>
  <c r="A117" i="103"/>
  <c r="A116" i="103"/>
  <c r="A115" i="103"/>
  <c r="A114" i="103"/>
  <c r="A113" i="103"/>
  <c r="A112" i="103"/>
  <c r="A111" i="103"/>
  <c r="A102" i="103"/>
  <c r="A101" i="103"/>
  <c r="A100" i="103"/>
  <c r="A99" i="103"/>
  <c r="A98" i="103"/>
  <c r="A97" i="103"/>
  <c r="A96" i="103"/>
  <c r="A95" i="103"/>
  <c r="A94" i="103"/>
  <c r="A85" i="103"/>
  <c r="A84" i="103"/>
  <c r="A83" i="103"/>
  <c r="A82" i="103"/>
  <c r="A81" i="103"/>
  <c r="A80" i="103"/>
  <c r="A79" i="103"/>
  <c r="A78" i="103"/>
  <c r="A77" i="103"/>
  <c r="A68" i="103"/>
  <c r="A67" i="103"/>
  <c r="A66" i="103"/>
  <c r="A65" i="103"/>
  <c r="A64" i="103"/>
  <c r="A63" i="103"/>
  <c r="A62" i="103"/>
  <c r="A61" i="103"/>
  <c r="A60" i="103"/>
  <c r="A51" i="103"/>
  <c r="A50" i="103"/>
  <c r="A49" i="103"/>
  <c r="A48" i="103"/>
  <c r="A47" i="103"/>
  <c r="A46" i="103"/>
  <c r="A45" i="103"/>
  <c r="A44" i="103"/>
  <c r="A43" i="103"/>
  <c r="A34" i="103"/>
  <c r="A33" i="103"/>
  <c r="A32" i="103"/>
  <c r="A31" i="103"/>
  <c r="A30" i="103"/>
  <c r="A29" i="103"/>
  <c r="A28" i="103"/>
  <c r="A27" i="103"/>
  <c r="A26" i="103"/>
  <c r="A17" i="103"/>
  <c r="A16" i="103"/>
  <c r="A15" i="103"/>
  <c r="A14" i="103"/>
  <c r="A13" i="103"/>
  <c r="A12" i="103"/>
  <c r="A11" i="103"/>
  <c r="A10" i="103"/>
  <c r="A9" i="103"/>
  <c r="O24" i="103"/>
  <c r="L23" i="103"/>
  <c r="J24" i="103"/>
  <c r="G23" i="103"/>
  <c r="E24" i="103"/>
  <c r="B23" i="103"/>
  <c r="N7" i="103"/>
  <c r="M7" i="103"/>
  <c r="L7" i="103"/>
  <c r="I7" i="103"/>
  <c r="H7" i="103"/>
  <c r="G7" i="103"/>
  <c r="D7" i="103"/>
  <c r="C7" i="103"/>
  <c r="B7" i="103"/>
  <c r="C347" i="103" l="1"/>
  <c r="C279" i="103"/>
  <c r="C211" i="103"/>
  <c r="C143" i="103"/>
  <c r="C75" i="103"/>
  <c r="C330" i="103"/>
  <c r="C262" i="103"/>
  <c r="C194" i="103"/>
  <c r="C126" i="103"/>
  <c r="C58" i="103"/>
  <c r="C381" i="103"/>
  <c r="C313" i="103"/>
  <c r="C245" i="103"/>
  <c r="C177" i="103"/>
  <c r="C109" i="103"/>
  <c r="C41" i="103"/>
  <c r="C364" i="103"/>
  <c r="C296" i="103"/>
  <c r="C228" i="103"/>
  <c r="C160" i="103"/>
  <c r="C92" i="103"/>
  <c r="L381" i="103"/>
  <c r="L313" i="103"/>
  <c r="L245" i="103"/>
  <c r="L177" i="103"/>
  <c r="L109" i="103"/>
  <c r="L41" i="103"/>
  <c r="L58" i="103"/>
  <c r="L194" i="103"/>
  <c r="L364" i="103"/>
  <c r="L296" i="103"/>
  <c r="L228" i="103"/>
  <c r="L160" i="103"/>
  <c r="L92" i="103"/>
  <c r="L330" i="103"/>
  <c r="L126" i="103"/>
  <c r="L347" i="103"/>
  <c r="L279" i="103"/>
  <c r="L211" i="103"/>
  <c r="L143" i="103"/>
  <c r="L75" i="103"/>
  <c r="L262" i="103"/>
  <c r="M364" i="103"/>
  <c r="M296" i="103"/>
  <c r="M228" i="103"/>
  <c r="M160" i="103"/>
  <c r="M92" i="103"/>
  <c r="M381" i="103"/>
  <c r="M347" i="103"/>
  <c r="M279" i="103"/>
  <c r="M211" i="103"/>
  <c r="M143" i="103"/>
  <c r="M75" i="103"/>
  <c r="M313" i="103"/>
  <c r="M245" i="103"/>
  <c r="M109" i="103"/>
  <c r="M330" i="103"/>
  <c r="M262" i="103"/>
  <c r="M194" i="103"/>
  <c r="M126" i="103"/>
  <c r="M58" i="103"/>
  <c r="M41" i="103"/>
  <c r="M177" i="103"/>
  <c r="N364" i="103"/>
  <c r="N296" i="103"/>
  <c r="N228" i="103"/>
  <c r="N160" i="103"/>
  <c r="N92" i="103"/>
  <c r="N347" i="103"/>
  <c r="N279" i="103"/>
  <c r="N211" i="103"/>
  <c r="N143" i="103"/>
  <c r="N75" i="103"/>
  <c r="N330" i="103"/>
  <c r="N262" i="103"/>
  <c r="N194" i="103"/>
  <c r="N126" i="103"/>
  <c r="N58" i="103"/>
  <c r="N381" i="103"/>
  <c r="N313" i="103"/>
  <c r="N245" i="103"/>
  <c r="N177" i="103"/>
  <c r="N109" i="103"/>
  <c r="N41" i="103"/>
  <c r="B364" i="103"/>
  <c r="B347" i="103"/>
  <c r="B279" i="103"/>
  <c r="B211" i="103"/>
  <c r="B143" i="103"/>
  <c r="B75" i="103"/>
  <c r="B228" i="103"/>
  <c r="B160" i="103"/>
  <c r="B92" i="103"/>
  <c r="B296" i="103"/>
  <c r="B330" i="103"/>
  <c r="B262" i="103"/>
  <c r="B194" i="103"/>
  <c r="B126" i="103"/>
  <c r="B58" i="103"/>
  <c r="B381" i="103"/>
  <c r="B313" i="103"/>
  <c r="B245" i="103"/>
  <c r="B177" i="103"/>
  <c r="B109" i="103"/>
  <c r="B41" i="103"/>
  <c r="D347" i="103"/>
  <c r="D279" i="103"/>
  <c r="D211" i="103"/>
  <c r="D143" i="103"/>
  <c r="D75" i="103"/>
  <c r="D41" i="103"/>
  <c r="D160" i="103"/>
  <c r="D92" i="103"/>
  <c r="D330" i="103"/>
  <c r="D262" i="103"/>
  <c r="D194" i="103"/>
  <c r="D126" i="103"/>
  <c r="D58" i="103"/>
  <c r="D364" i="103"/>
  <c r="D381" i="103"/>
  <c r="D313" i="103"/>
  <c r="D245" i="103"/>
  <c r="D177" i="103"/>
  <c r="D109" i="103"/>
  <c r="D296" i="103"/>
  <c r="D228" i="103"/>
  <c r="G330" i="103"/>
  <c r="G262" i="103"/>
  <c r="G194" i="103"/>
  <c r="G126" i="103"/>
  <c r="G58" i="103"/>
  <c r="G381" i="103"/>
  <c r="G313" i="103"/>
  <c r="G245" i="103"/>
  <c r="G177" i="103"/>
  <c r="G109" i="103"/>
  <c r="G41" i="103"/>
  <c r="G364" i="103"/>
  <c r="G296" i="103"/>
  <c r="G228" i="103"/>
  <c r="G160" i="103"/>
  <c r="G92" i="103"/>
  <c r="G347" i="103"/>
  <c r="G279" i="103"/>
  <c r="G211" i="103"/>
  <c r="G143" i="103"/>
  <c r="G75" i="103"/>
  <c r="H330" i="103"/>
  <c r="H262" i="103"/>
  <c r="H194" i="103"/>
  <c r="H126" i="103"/>
  <c r="H58" i="103"/>
  <c r="H347" i="103"/>
  <c r="H381" i="103"/>
  <c r="H313" i="103"/>
  <c r="H245" i="103"/>
  <c r="H177" i="103"/>
  <c r="H109" i="103"/>
  <c r="H41" i="103"/>
  <c r="H364" i="103"/>
  <c r="H296" i="103"/>
  <c r="H228" i="103"/>
  <c r="H160" i="103"/>
  <c r="H92" i="103"/>
  <c r="H211" i="103"/>
  <c r="H75" i="103"/>
  <c r="H143" i="103"/>
  <c r="H279" i="103"/>
  <c r="I381" i="103"/>
  <c r="I313" i="103"/>
  <c r="I245" i="103"/>
  <c r="I177" i="103"/>
  <c r="I109" i="103"/>
  <c r="I41" i="103"/>
  <c r="I126" i="103"/>
  <c r="I58" i="103"/>
  <c r="I364" i="103"/>
  <c r="I296" i="103"/>
  <c r="I228" i="103"/>
  <c r="I160" i="103"/>
  <c r="I92" i="103"/>
  <c r="I262" i="103"/>
  <c r="I347" i="103"/>
  <c r="I279" i="103"/>
  <c r="I211" i="103"/>
  <c r="I143" i="103"/>
  <c r="I75" i="103"/>
  <c r="I194" i="103"/>
  <c r="I330" i="103"/>
  <c r="B24" i="103"/>
  <c r="L24" i="103"/>
  <c r="I24" i="103"/>
  <c r="C24" i="103"/>
  <c r="D24" i="103"/>
  <c r="M24" i="103"/>
  <c r="N24" i="103"/>
  <c r="G24" i="103"/>
  <c r="H24" i="103"/>
  <c r="A194" i="102"/>
  <c r="A185" i="102"/>
  <c r="A167" i="102"/>
  <c r="A158" i="102"/>
  <c r="A176" i="102"/>
  <c r="A149" i="102"/>
  <c r="A140" i="102"/>
  <c r="A131" i="102"/>
  <c r="A122" i="102"/>
  <c r="A113" i="102"/>
  <c r="A104" i="102"/>
  <c r="A95" i="102"/>
  <c r="A86" i="102"/>
  <c r="A77" i="102"/>
  <c r="A68" i="102"/>
  <c r="A59" i="102"/>
  <c r="A50" i="102"/>
  <c r="A41" i="102"/>
  <c r="A32" i="102"/>
  <c r="A23" i="102"/>
  <c r="B14" i="102"/>
  <c r="A14" i="102"/>
  <c r="A5" i="102"/>
  <c r="L14" i="102"/>
  <c r="V14" i="102"/>
  <c r="Y15" i="102"/>
  <c r="O15" i="102"/>
  <c r="E15" i="102"/>
  <c r="X6" i="102"/>
  <c r="W6" i="102"/>
  <c r="V6" i="102"/>
  <c r="N6" i="102"/>
  <c r="M6" i="102"/>
  <c r="L6" i="102"/>
  <c r="D6" i="102"/>
  <c r="C6" i="102"/>
  <c r="B6" i="102"/>
  <c r="A391" i="101"/>
  <c r="A390" i="101"/>
  <c r="A389" i="101"/>
  <c r="A388" i="101"/>
  <c r="A387" i="101"/>
  <c r="A386" i="101"/>
  <c r="A385" i="101"/>
  <c r="A384" i="101"/>
  <c r="A383" i="101"/>
  <c r="A374" i="101"/>
  <c r="A373" i="101"/>
  <c r="A372" i="101"/>
  <c r="A371" i="101"/>
  <c r="A370" i="101"/>
  <c r="A369" i="101"/>
  <c r="A368" i="101"/>
  <c r="A367" i="101"/>
  <c r="A366" i="101"/>
  <c r="A357" i="101"/>
  <c r="A356" i="101"/>
  <c r="A355" i="101"/>
  <c r="A354" i="101"/>
  <c r="A353" i="101"/>
  <c r="A352" i="101"/>
  <c r="A351" i="101"/>
  <c r="A350" i="101"/>
  <c r="A349" i="101"/>
  <c r="A340" i="101"/>
  <c r="A339" i="101"/>
  <c r="A338" i="101"/>
  <c r="A337" i="101"/>
  <c r="A336" i="101"/>
  <c r="A335" i="101"/>
  <c r="A334" i="101"/>
  <c r="A333" i="101"/>
  <c r="A332" i="101"/>
  <c r="A323" i="101"/>
  <c r="A322" i="101"/>
  <c r="A321" i="101"/>
  <c r="A320" i="101"/>
  <c r="A319" i="101"/>
  <c r="A318" i="101"/>
  <c r="A317" i="101"/>
  <c r="A316" i="101"/>
  <c r="A315" i="101"/>
  <c r="A306" i="101"/>
  <c r="A305" i="101"/>
  <c r="A304" i="101"/>
  <c r="A303" i="101"/>
  <c r="A302" i="101"/>
  <c r="A301" i="101"/>
  <c r="A300" i="101"/>
  <c r="A299" i="101"/>
  <c r="A298" i="101"/>
  <c r="A289" i="101"/>
  <c r="A288" i="101"/>
  <c r="A287" i="101"/>
  <c r="A286" i="101"/>
  <c r="A285" i="101"/>
  <c r="A284" i="101"/>
  <c r="A283" i="101"/>
  <c r="A282" i="101"/>
  <c r="A281" i="101"/>
  <c r="A272" i="101"/>
  <c r="A271" i="101"/>
  <c r="A270" i="101"/>
  <c r="A269" i="101"/>
  <c r="A268" i="101"/>
  <c r="A267" i="101"/>
  <c r="A266" i="101"/>
  <c r="A265" i="101"/>
  <c r="A264" i="101"/>
  <c r="A255" i="101"/>
  <c r="A254" i="101"/>
  <c r="A253" i="101"/>
  <c r="A252" i="101"/>
  <c r="A251" i="101"/>
  <c r="A250" i="101"/>
  <c r="A249" i="101"/>
  <c r="A248" i="101"/>
  <c r="A247" i="101"/>
  <c r="A238" i="101"/>
  <c r="A237" i="101"/>
  <c r="A236" i="101"/>
  <c r="A235" i="101"/>
  <c r="A234" i="101"/>
  <c r="A233" i="101"/>
  <c r="A232" i="101"/>
  <c r="A231" i="101"/>
  <c r="A230" i="101"/>
  <c r="A221" i="101"/>
  <c r="A220" i="101"/>
  <c r="A219" i="101"/>
  <c r="A218" i="101"/>
  <c r="A217" i="101"/>
  <c r="A216" i="101"/>
  <c r="A215" i="101"/>
  <c r="A214" i="101"/>
  <c r="A213" i="101"/>
  <c r="A204" i="101"/>
  <c r="A203" i="101"/>
  <c r="A202" i="101"/>
  <c r="A201" i="101"/>
  <c r="A200" i="101"/>
  <c r="A199" i="101"/>
  <c r="A198" i="101"/>
  <c r="A197" i="101"/>
  <c r="A196" i="101"/>
  <c r="A187" i="101"/>
  <c r="A186" i="101"/>
  <c r="A185" i="101"/>
  <c r="A184" i="101"/>
  <c r="A183" i="101"/>
  <c r="A182" i="101"/>
  <c r="A181" i="101"/>
  <c r="A180" i="101"/>
  <c r="A179" i="101"/>
  <c r="A170" i="101"/>
  <c r="A169" i="101"/>
  <c r="A168" i="101"/>
  <c r="A167" i="101"/>
  <c r="A166" i="101"/>
  <c r="A165" i="101"/>
  <c r="A164" i="101"/>
  <c r="A163" i="101"/>
  <c r="A162" i="101"/>
  <c r="A153" i="101"/>
  <c r="A152" i="101"/>
  <c r="A151" i="101"/>
  <c r="A150" i="101"/>
  <c r="A149" i="101"/>
  <c r="A148" i="101"/>
  <c r="A147" i="101"/>
  <c r="A146" i="101"/>
  <c r="A145" i="101"/>
  <c r="A136" i="101"/>
  <c r="A135" i="101"/>
  <c r="A134" i="101"/>
  <c r="A133" i="101"/>
  <c r="A132" i="101"/>
  <c r="A131" i="101"/>
  <c r="A130" i="101"/>
  <c r="A129" i="101"/>
  <c r="A128" i="101"/>
  <c r="A119" i="101"/>
  <c r="A118" i="101"/>
  <c r="A117" i="101"/>
  <c r="A116" i="101"/>
  <c r="A115" i="101"/>
  <c r="A114" i="101"/>
  <c r="A113" i="101"/>
  <c r="A112" i="101"/>
  <c r="A111" i="101"/>
  <c r="A102" i="101"/>
  <c r="A101" i="101"/>
  <c r="A100" i="101"/>
  <c r="A99" i="101"/>
  <c r="A98" i="101"/>
  <c r="A97" i="101"/>
  <c r="A96" i="101"/>
  <c r="A95" i="101"/>
  <c r="A94" i="101"/>
  <c r="A85" i="101"/>
  <c r="A84" i="101"/>
  <c r="A83" i="101"/>
  <c r="A82" i="101"/>
  <c r="A81" i="101"/>
  <c r="A80" i="101"/>
  <c r="A79" i="101"/>
  <c r="A78" i="101"/>
  <c r="A77" i="101"/>
  <c r="A68" i="101"/>
  <c r="A67" i="101"/>
  <c r="A66" i="101"/>
  <c r="A65" i="101"/>
  <c r="A64" i="101"/>
  <c r="A63" i="101"/>
  <c r="A62" i="101"/>
  <c r="A61" i="101"/>
  <c r="A60" i="101"/>
  <c r="A51" i="101"/>
  <c r="A50" i="101"/>
  <c r="A49" i="101"/>
  <c r="A48" i="101"/>
  <c r="A47" i="101"/>
  <c r="A46" i="101"/>
  <c r="A45" i="101"/>
  <c r="A44" i="101"/>
  <c r="A43" i="101"/>
  <c r="A34" i="101"/>
  <c r="A33" i="101"/>
  <c r="A32" i="101"/>
  <c r="A31" i="101"/>
  <c r="A30" i="101"/>
  <c r="A29" i="101"/>
  <c r="A28" i="101"/>
  <c r="A27" i="101"/>
  <c r="A26" i="101"/>
  <c r="A17" i="101"/>
  <c r="A16" i="101"/>
  <c r="A15" i="101"/>
  <c r="A14" i="101"/>
  <c r="A13" i="101"/>
  <c r="A12" i="101"/>
  <c r="A11" i="101"/>
  <c r="A10" i="101"/>
  <c r="A9" i="101"/>
  <c r="D195" i="102" l="1"/>
  <c r="I159" i="102"/>
  <c r="D123" i="102"/>
  <c r="I87" i="102"/>
  <c r="D51" i="102"/>
  <c r="D177" i="102"/>
  <c r="I141" i="102"/>
  <c r="D105" i="102"/>
  <c r="I69" i="102"/>
  <c r="D33" i="102"/>
  <c r="D168" i="102"/>
  <c r="I132" i="102"/>
  <c r="D96" i="102"/>
  <c r="I60" i="102"/>
  <c r="I195" i="102"/>
  <c r="D159" i="102"/>
  <c r="I123" i="102"/>
  <c r="D87" i="102"/>
  <c r="I51" i="102"/>
  <c r="I186" i="102"/>
  <c r="D150" i="102"/>
  <c r="I114" i="102"/>
  <c r="D78" i="102"/>
  <c r="I168" i="102"/>
  <c r="I150" i="102"/>
  <c r="I96" i="102"/>
  <c r="I78" i="102"/>
  <c r="D186" i="102"/>
  <c r="I105" i="102"/>
  <c r="D69" i="102"/>
  <c r="D60" i="102"/>
  <c r="I177" i="102"/>
  <c r="D141" i="102"/>
  <c r="D132" i="102"/>
  <c r="I42" i="102"/>
  <c r="I33" i="102"/>
  <c r="D114" i="102"/>
  <c r="I24" i="102"/>
  <c r="D42" i="102"/>
  <c r="D24" i="102"/>
  <c r="Q177" i="102"/>
  <c r="L141" i="102"/>
  <c r="Q105" i="102"/>
  <c r="L69" i="102"/>
  <c r="Q33" i="102"/>
  <c r="L195" i="102"/>
  <c r="Q159" i="102"/>
  <c r="L123" i="102"/>
  <c r="Q87" i="102"/>
  <c r="L51" i="102"/>
  <c r="L186" i="102"/>
  <c r="Q150" i="102"/>
  <c r="L114" i="102"/>
  <c r="Q78" i="102"/>
  <c r="L42" i="102"/>
  <c r="L177" i="102"/>
  <c r="Q141" i="102"/>
  <c r="L105" i="102"/>
  <c r="Q69" i="102"/>
  <c r="L33" i="102"/>
  <c r="L168" i="102"/>
  <c r="Q132" i="102"/>
  <c r="L96" i="102"/>
  <c r="Q195" i="102"/>
  <c r="Q51" i="102"/>
  <c r="Q168" i="102"/>
  <c r="L159" i="102"/>
  <c r="L60" i="102"/>
  <c r="L150" i="102"/>
  <c r="Q24" i="102"/>
  <c r="L24" i="102"/>
  <c r="Q15" i="102"/>
  <c r="Q96" i="102"/>
  <c r="L87" i="102"/>
  <c r="Q60" i="102"/>
  <c r="L78" i="102"/>
  <c r="Q123" i="102"/>
  <c r="Q114" i="102"/>
  <c r="Q42" i="102"/>
  <c r="Q186" i="102"/>
  <c r="L132" i="102"/>
  <c r="M15" i="102"/>
  <c r="R168" i="102"/>
  <c r="M132" i="102"/>
  <c r="R96" i="102"/>
  <c r="M60" i="102"/>
  <c r="R24" i="102"/>
  <c r="M195" i="102"/>
  <c r="M186" i="102"/>
  <c r="R150" i="102"/>
  <c r="M114" i="102"/>
  <c r="R78" i="102"/>
  <c r="M42" i="102"/>
  <c r="M177" i="102"/>
  <c r="R141" i="102"/>
  <c r="M105" i="102"/>
  <c r="R69" i="102"/>
  <c r="M33" i="102"/>
  <c r="M168" i="102"/>
  <c r="R132" i="102"/>
  <c r="M96" i="102"/>
  <c r="R60" i="102"/>
  <c r="M24" i="102"/>
  <c r="R195" i="102"/>
  <c r="M159" i="102"/>
  <c r="R123" i="102"/>
  <c r="M87" i="102"/>
  <c r="R87" i="102"/>
  <c r="R15" i="102"/>
  <c r="R105" i="102"/>
  <c r="M150" i="102"/>
  <c r="R42" i="102"/>
  <c r="R186" i="102"/>
  <c r="M123" i="102"/>
  <c r="R177" i="102"/>
  <c r="M78" i="102"/>
  <c r="R159" i="102"/>
  <c r="R114" i="102"/>
  <c r="R51" i="102"/>
  <c r="M69" i="102"/>
  <c r="M51" i="102"/>
  <c r="M141" i="102"/>
  <c r="R33" i="102"/>
  <c r="N15" i="102"/>
  <c r="N195" i="102"/>
  <c r="S159" i="102"/>
  <c r="N123" i="102"/>
  <c r="S87" i="102"/>
  <c r="N51" i="102"/>
  <c r="N177" i="102"/>
  <c r="S141" i="102"/>
  <c r="N105" i="102"/>
  <c r="S69" i="102"/>
  <c r="N33" i="102"/>
  <c r="N168" i="102"/>
  <c r="S132" i="102"/>
  <c r="N96" i="102"/>
  <c r="S60" i="102"/>
  <c r="S195" i="102"/>
  <c r="N159" i="102"/>
  <c r="S123" i="102"/>
  <c r="N87" i="102"/>
  <c r="S51" i="102"/>
  <c r="S186" i="102"/>
  <c r="N150" i="102"/>
  <c r="S114" i="102"/>
  <c r="N78" i="102"/>
  <c r="S78" i="102"/>
  <c r="N42" i="102"/>
  <c r="N24" i="102"/>
  <c r="N60" i="102"/>
  <c r="S24" i="102"/>
  <c r="S177" i="102"/>
  <c r="N132" i="102"/>
  <c r="S33" i="102"/>
  <c r="N186" i="102"/>
  <c r="S96" i="102"/>
  <c r="S150" i="102"/>
  <c r="S105" i="102"/>
  <c r="N69" i="102"/>
  <c r="S168" i="102"/>
  <c r="S42" i="102"/>
  <c r="N141" i="102"/>
  <c r="N114" i="102"/>
  <c r="S15" i="102"/>
  <c r="V15" i="102"/>
  <c r="V141" i="102"/>
  <c r="V69" i="102"/>
  <c r="V195" i="102"/>
  <c r="V123" i="102"/>
  <c r="V51" i="102"/>
  <c r="V186" i="102"/>
  <c r="V114" i="102"/>
  <c r="V42" i="102"/>
  <c r="V177" i="102"/>
  <c r="V105" i="102"/>
  <c r="V33" i="102"/>
  <c r="V168" i="102"/>
  <c r="V96" i="102"/>
  <c r="V60" i="102"/>
  <c r="V159" i="102"/>
  <c r="V150" i="102"/>
  <c r="V132" i="102"/>
  <c r="V24" i="102"/>
  <c r="V87" i="102"/>
  <c r="V78" i="102"/>
  <c r="W15" i="102"/>
  <c r="W132" i="102"/>
  <c r="W60" i="102"/>
  <c r="W195" i="102"/>
  <c r="W186" i="102"/>
  <c r="W114" i="102"/>
  <c r="W42" i="102"/>
  <c r="W177" i="102"/>
  <c r="W105" i="102"/>
  <c r="W33" i="102"/>
  <c r="W168" i="102"/>
  <c r="W96" i="102"/>
  <c r="W24" i="102"/>
  <c r="W159" i="102"/>
  <c r="W87" i="102"/>
  <c r="W150" i="102"/>
  <c r="W69" i="102"/>
  <c r="W78" i="102"/>
  <c r="W51" i="102"/>
  <c r="W123" i="102"/>
  <c r="W141" i="102"/>
  <c r="G177" i="102"/>
  <c r="B141" i="102"/>
  <c r="G105" i="102"/>
  <c r="B69" i="102"/>
  <c r="G33" i="102"/>
  <c r="B195" i="102"/>
  <c r="G159" i="102"/>
  <c r="B123" i="102"/>
  <c r="G87" i="102"/>
  <c r="B51" i="102"/>
  <c r="B186" i="102"/>
  <c r="G150" i="102"/>
  <c r="B114" i="102"/>
  <c r="G78" i="102"/>
  <c r="B42" i="102"/>
  <c r="B177" i="102"/>
  <c r="G141" i="102"/>
  <c r="B105" i="102"/>
  <c r="G69" i="102"/>
  <c r="B33" i="102"/>
  <c r="B168" i="102"/>
  <c r="G132" i="102"/>
  <c r="B96" i="102"/>
  <c r="G123" i="102"/>
  <c r="B78" i="102"/>
  <c r="G42" i="102"/>
  <c r="G24" i="102"/>
  <c r="G96" i="102"/>
  <c r="B87" i="102"/>
  <c r="B24" i="102"/>
  <c r="G168" i="102"/>
  <c r="B159" i="102"/>
  <c r="G114" i="102"/>
  <c r="G51" i="102"/>
  <c r="B60" i="102"/>
  <c r="G195" i="102"/>
  <c r="B150" i="102"/>
  <c r="B132" i="102"/>
  <c r="G186" i="102"/>
  <c r="G60" i="102"/>
  <c r="X15" i="102"/>
  <c r="X195" i="102"/>
  <c r="X123" i="102"/>
  <c r="X51" i="102"/>
  <c r="X177" i="102"/>
  <c r="X105" i="102"/>
  <c r="X33" i="102"/>
  <c r="X168" i="102"/>
  <c r="X96" i="102"/>
  <c r="X24" i="102"/>
  <c r="X159" i="102"/>
  <c r="X87" i="102"/>
  <c r="X150" i="102"/>
  <c r="X78" i="102"/>
  <c r="X60" i="102"/>
  <c r="X114" i="102"/>
  <c r="X141" i="102"/>
  <c r="X132" i="102"/>
  <c r="X42" i="102"/>
  <c r="X186" i="102"/>
  <c r="X69" i="102"/>
  <c r="H168" i="102"/>
  <c r="C132" i="102"/>
  <c r="H96" i="102"/>
  <c r="C60" i="102"/>
  <c r="H24" i="102"/>
  <c r="C186" i="102"/>
  <c r="H150" i="102"/>
  <c r="C114" i="102"/>
  <c r="H78" i="102"/>
  <c r="C42" i="102"/>
  <c r="C177" i="102"/>
  <c r="H141" i="102"/>
  <c r="C105" i="102"/>
  <c r="H69" i="102"/>
  <c r="C33" i="102"/>
  <c r="C168" i="102"/>
  <c r="H132" i="102"/>
  <c r="C96" i="102"/>
  <c r="H60" i="102"/>
  <c r="C24" i="102"/>
  <c r="H195" i="102"/>
  <c r="C159" i="102"/>
  <c r="H123" i="102"/>
  <c r="C87" i="102"/>
  <c r="H114" i="102"/>
  <c r="H105" i="102"/>
  <c r="C69" i="102"/>
  <c r="H51" i="102"/>
  <c r="C195" i="102"/>
  <c r="C78" i="102"/>
  <c r="C150" i="102"/>
  <c r="C123" i="102"/>
  <c r="H186" i="102"/>
  <c r="H177" i="102"/>
  <c r="C141" i="102"/>
  <c r="C51" i="102"/>
  <c r="H42" i="102"/>
  <c r="H33" i="102"/>
  <c r="H87" i="102"/>
  <c r="H159" i="102"/>
  <c r="B15" i="102"/>
  <c r="G15" i="102"/>
  <c r="C15" i="102"/>
  <c r="H15" i="102"/>
  <c r="D15" i="102"/>
  <c r="I15" i="102"/>
  <c r="L15" i="102"/>
  <c r="J23" i="101"/>
  <c r="J40" i="101" s="1"/>
  <c r="J57" i="101" s="1"/>
  <c r="J74" i="101" s="1"/>
  <c r="J91" i="101" s="1"/>
  <c r="J108" i="101" s="1"/>
  <c r="J125" i="101" s="1"/>
  <c r="J142" i="101" s="1"/>
  <c r="J159" i="101" s="1"/>
  <c r="J176" i="101" s="1"/>
  <c r="J193" i="101" s="1"/>
  <c r="J210" i="101" s="1"/>
  <c r="J227" i="101" s="1"/>
  <c r="J244" i="101" s="1"/>
  <c r="J261" i="101" s="1"/>
  <c r="J278" i="101" s="1"/>
  <c r="J295" i="101" s="1"/>
  <c r="J312" i="101" s="1"/>
  <c r="J329" i="101" s="1"/>
  <c r="J346" i="101" s="1"/>
  <c r="J363" i="101" s="1"/>
  <c r="J380" i="101" s="1"/>
  <c r="F23" i="101"/>
  <c r="F40" i="101" s="1"/>
  <c r="F57" i="101" s="1"/>
  <c r="F74" i="101" s="1"/>
  <c r="F91" i="101" s="1"/>
  <c r="F108" i="101" s="1"/>
  <c r="F125" i="101" s="1"/>
  <c r="F142" i="101" s="1"/>
  <c r="F159" i="101" s="1"/>
  <c r="F176" i="101" s="1"/>
  <c r="F193" i="101" s="1"/>
  <c r="F210" i="101" s="1"/>
  <c r="F227" i="101" s="1"/>
  <c r="F244" i="101" s="1"/>
  <c r="F261" i="101" s="1"/>
  <c r="F278" i="101" s="1"/>
  <c r="F295" i="101" s="1"/>
  <c r="F312" i="101" s="1"/>
  <c r="F329" i="101" s="1"/>
  <c r="F346" i="101" s="1"/>
  <c r="F363" i="101" s="1"/>
  <c r="F380" i="101" s="1"/>
  <c r="B23" i="101"/>
  <c r="K13" i="80" l="1"/>
  <c r="R45" i="80" l="1"/>
  <c r="R44" i="80"/>
  <c r="K44" i="80"/>
  <c r="I44" i="80"/>
  <c r="H44" i="80"/>
  <c r="F44" i="80"/>
  <c r="C44" i="80"/>
  <c r="R8" i="80"/>
  <c r="K8" i="80"/>
  <c r="I8" i="80"/>
  <c r="H8" i="80"/>
  <c r="F9" i="80"/>
  <c r="C8" i="80"/>
  <c r="N8" i="80" l="1"/>
  <c r="O8" i="80" s="1"/>
  <c r="N44" i="80"/>
  <c r="O44" i="80" s="1"/>
  <c r="L44" i="80"/>
  <c r="L8" i="80"/>
  <c r="R11" i="80"/>
  <c r="K12" i="80"/>
  <c r="I11" i="80"/>
  <c r="H11" i="80"/>
  <c r="C9" i="80"/>
  <c r="A9" i="80"/>
  <c r="A10" i="80"/>
  <c r="A11" i="80"/>
  <c r="A12" i="80"/>
  <c r="A13" i="80"/>
  <c r="A14" i="80"/>
  <c r="A15" i="80"/>
  <c r="A16" i="80"/>
  <c r="A17" i="80"/>
  <c r="A18" i="80"/>
  <c r="A19" i="80"/>
  <c r="A20" i="80"/>
  <c r="A21" i="80"/>
  <c r="A22" i="80"/>
  <c r="A23" i="80"/>
  <c r="A24" i="80"/>
  <c r="A25" i="80"/>
  <c r="A26" i="80"/>
  <c r="A27" i="80"/>
  <c r="A28" i="80"/>
  <c r="A29" i="80"/>
  <c r="A30" i="80"/>
  <c r="A31" i="80"/>
  <c r="A32" i="80"/>
  <c r="A8" i="80"/>
  <c r="AG6" i="79"/>
  <c r="AF6" i="79"/>
  <c r="AE6" i="79"/>
  <c r="AD6" i="79"/>
  <c r="AC6" i="79"/>
  <c r="AB6" i="79"/>
  <c r="AA6" i="79"/>
  <c r="Z6" i="79"/>
  <c r="Y6" i="79"/>
  <c r="X6" i="79"/>
  <c r="V6" i="79"/>
  <c r="U6" i="79"/>
  <c r="T6" i="79"/>
  <c r="S6" i="79"/>
  <c r="R6" i="79"/>
  <c r="Q6" i="79"/>
  <c r="P6" i="79"/>
  <c r="O6" i="79"/>
  <c r="N6" i="79"/>
  <c r="M6" i="79"/>
  <c r="K6" i="79"/>
  <c r="J6" i="79"/>
  <c r="I6" i="79"/>
  <c r="H6" i="79"/>
  <c r="G6" i="79"/>
  <c r="F6" i="79"/>
  <c r="E6" i="79"/>
  <c r="D6" i="79"/>
  <c r="C6" i="79"/>
  <c r="B6" i="79"/>
  <c r="J8" i="79"/>
  <c r="J35" i="79" s="1"/>
  <c r="U33" i="79" s="1"/>
  <c r="I8" i="79"/>
  <c r="I35" i="79" s="1"/>
  <c r="T33" i="79" s="1"/>
  <c r="H8" i="79"/>
  <c r="H35" i="79" s="1"/>
  <c r="S33" i="79" s="1"/>
  <c r="G8" i="79"/>
  <c r="G35" i="79" s="1"/>
  <c r="R33" i="79" s="1"/>
  <c r="F8" i="79"/>
  <c r="F35" i="79" s="1"/>
  <c r="Q33" i="79" s="1"/>
  <c r="E8" i="79"/>
  <c r="E35" i="79" s="1"/>
  <c r="P33" i="79" s="1"/>
  <c r="D8" i="79"/>
  <c r="D35" i="79" s="1"/>
  <c r="O33" i="79" s="1"/>
  <c r="C8" i="79"/>
  <c r="C35" i="79" s="1"/>
  <c r="N33" i="79" s="1"/>
  <c r="B8" i="79"/>
  <c r="B35" i="79" s="1"/>
  <c r="M33" i="79" s="1"/>
  <c r="A35" i="79"/>
  <c r="A9" i="79"/>
  <c r="A10" i="79"/>
  <c r="A11" i="79"/>
  <c r="A12" i="79"/>
  <c r="A13" i="79"/>
  <c r="A14" i="79"/>
  <c r="A15" i="79"/>
  <c r="A16" i="79"/>
  <c r="A17" i="79"/>
  <c r="A18" i="79"/>
  <c r="A19" i="79"/>
  <c r="A20" i="79"/>
  <c r="A21" i="79"/>
  <c r="A22" i="79"/>
  <c r="A23" i="79"/>
  <c r="A24" i="79"/>
  <c r="A25" i="79"/>
  <c r="A26" i="79"/>
  <c r="A27" i="79"/>
  <c r="A28" i="79"/>
  <c r="A29" i="79"/>
  <c r="A30" i="79"/>
  <c r="A31" i="79"/>
  <c r="A32" i="79"/>
  <c r="A8" i="79"/>
  <c r="A6" i="79"/>
  <c r="A1" i="79" s="1"/>
  <c r="K8" i="79" l="1"/>
  <c r="P19" i="79"/>
  <c r="Q31" i="79"/>
  <c r="U25" i="79"/>
  <c r="T17" i="79"/>
  <c r="R9" i="79"/>
  <c r="U30" i="79" l="1"/>
  <c r="P15" i="79"/>
  <c r="Q20" i="79"/>
  <c r="P8" i="79"/>
  <c r="Q10" i="79"/>
  <c r="U18" i="79"/>
  <c r="Q24" i="79"/>
  <c r="P11" i="79"/>
  <c r="U16" i="79"/>
  <c r="Q26" i="79"/>
  <c r="Q15" i="79"/>
  <c r="Q8" i="79"/>
  <c r="AD8" i="79"/>
  <c r="Z8" i="79"/>
  <c r="AE8" i="79"/>
  <c r="AF8" i="79"/>
  <c r="AG8" i="79"/>
  <c r="Y8" i="79"/>
  <c r="X8" i="79"/>
  <c r="AB8" i="79"/>
  <c r="AC8" i="79"/>
  <c r="AA8" i="79"/>
  <c r="U28" i="79"/>
  <c r="Q12" i="79"/>
  <c r="Q27" i="79"/>
  <c r="Q30" i="79"/>
  <c r="Q11" i="79"/>
  <c r="R28" i="79"/>
  <c r="Q18" i="79"/>
  <c r="T13" i="79"/>
  <c r="T29" i="79"/>
  <c r="U14" i="79"/>
  <c r="U29" i="79"/>
  <c r="Q16" i="79"/>
  <c r="S10" i="79"/>
  <c r="S14" i="79"/>
  <c r="S18" i="79"/>
  <c r="S22" i="79"/>
  <c r="S26" i="79"/>
  <c r="S30" i="79"/>
  <c r="S35" i="79"/>
  <c r="S8" i="79"/>
  <c r="S24" i="79"/>
  <c r="S13" i="79"/>
  <c r="S32" i="79"/>
  <c r="R12" i="79"/>
  <c r="R16" i="79"/>
  <c r="U13" i="79"/>
  <c r="Q13" i="79"/>
  <c r="Q17" i="79"/>
  <c r="Q21" i="79"/>
  <c r="Q25" i="79"/>
  <c r="Q29" i="79"/>
  <c r="Q35" i="79"/>
  <c r="Q9" i="79"/>
  <c r="R20" i="79"/>
  <c r="S11" i="79"/>
  <c r="U32" i="79"/>
  <c r="Q23" i="79"/>
  <c r="P9" i="79"/>
  <c r="P12" i="79"/>
  <c r="P16" i="79"/>
  <c r="P20" i="79"/>
  <c r="P24" i="79"/>
  <c r="P28" i="79"/>
  <c r="P32" i="79"/>
  <c r="P14" i="79"/>
  <c r="P26" i="79"/>
  <c r="P10" i="79"/>
  <c r="P18" i="79"/>
  <c r="P22" i="79"/>
  <c r="P30" i="79"/>
  <c r="P13" i="79"/>
  <c r="P17" i="79"/>
  <c r="P21" i="79"/>
  <c r="P25" i="79"/>
  <c r="P29" i="79"/>
  <c r="P35" i="79"/>
  <c r="S25" i="79"/>
  <c r="P23" i="79"/>
  <c r="Q19" i="79"/>
  <c r="U12" i="79"/>
  <c r="S23" i="79"/>
  <c r="S29" i="79"/>
  <c r="P27" i="79"/>
  <c r="S9" i="79"/>
  <c r="S15" i="79"/>
  <c r="R13" i="79"/>
  <c r="R17" i="79"/>
  <c r="R21" i="79"/>
  <c r="R25" i="79"/>
  <c r="R29" i="79"/>
  <c r="R35" i="79"/>
  <c r="R11" i="79"/>
  <c r="R15" i="79"/>
  <c r="R19" i="79"/>
  <c r="R23" i="79"/>
  <c r="R31" i="79"/>
  <c r="R27" i="79"/>
  <c r="R10" i="79"/>
  <c r="R14" i="79"/>
  <c r="R18" i="79"/>
  <c r="R22" i="79"/>
  <c r="R26" i="79"/>
  <c r="R30" i="79"/>
  <c r="R8" i="79"/>
  <c r="S27" i="79"/>
  <c r="T10" i="79"/>
  <c r="T14" i="79"/>
  <c r="T18" i="79"/>
  <c r="T22" i="79"/>
  <c r="T26" i="79"/>
  <c r="T30" i="79"/>
  <c r="T12" i="79"/>
  <c r="T16" i="79"/>
  <c r="T20" i="79"/>
  <c r="T28" i="79"/>
  <c r="T35" i="79"/>
  <c r="T9" i="79"/>
  <c r="T24" i="79"/>
  <c r="T32" i="79"/>
  <c r="T11" i="79"/>
  <c r="T15" i="79"/>
  <c r="T19" i="79"/>
  <c r="T23" i="79"/>
  <c r="T27" i="79"/>
  <c r="T31" i="79"/>
  <c r="R32" i="79"/>
  <c r="U11" i="79"/>
  <c r="U15" i="79"/>
  <c r="U19" i="79"/>
  <c r="U23" i="79"/>
  <c r="U27" i="79"/>
  <c r="U31" i="79"/>
  <c r="U9" i="79"/>
  <c r="U35" i="79"/>
  <c r="U8" i="79"/>
  <c r="S17" i="79"/>
  <c r="S12" i="79"/>
  <c r="S19" i="79"/>
  <c r="S21" i="79"/>
  <c r="S16" i="79"/>
  <c r="U20" i="79"/>
  <c r="S31" i="79"/>
  <c r="T21" i="79"/>
  <c r="S20" i="79"/>
  <c r="U22" i="79"/>
  <c r="U17" i="79"/>
  <c r="Q22" i="79"/>
  <c r="U26" i="79"/>
  <c r="R24" i="79"/>
  <c r="T8" i="79"/>
  <c r="Q28" i="79"/>
  <c r="T25" i="79"/>
  <c r="U21" i="79"/>
  <c r="Q14" i="79"/>
  <c r="U24" i="79"/>
  <c r="U10" i="79"/>
  <c r="Q32" i="79"/>
  <c r="P31" i="79"/>
  <c r="S28" i="79"/>
  <c r="CP143" i="78" l="1"/>
  <c r="CP142" i="78"/>
  <c r="CP141" i="78"/>
  <c r="CP140" i="78"/>
  <c r="CP139" i="78"/>
  <c r="CP138" i="78"/>
  <c r="CP137" i="78"/>
  <c r="CP136" i="78"/>
  <c r="CP135" i="78"/>
  <c r="CP134" i="78"/>
  <c r="CP133" i="78"/>
  <c r="CP132" i="78"/>
  <c r="CP131" i="78"/>
  <c r="CP130" i="78"/>
  <c r="CP129" i="78"/>
  <c r="CP128" i="78"/>
  <c r="CP127" i="78"/>
  <c r="CP126" i="78"/>
  <c r="CP125" i="78"/>
  <c r="CP124" i="78"/>
  <c r="CP123" i="78"/>
  <c r="CP122" i="78"/>
  <c r="CP121" i="78"/>
  <c r="CP120" i="78"/>
  <c r="CP119" i="78"/>
  <c r="CE143" i="78"/>
  <c r="CE142" i="78"/>
  <c r="CE141" i="78"/>
  <c r="CE140" i="78"/>
  <c r="CE139" i="78"/>
  <c r="CE138" i="78"/>
  <c r="CE137" i="78"/>
  <c r="CE136" i="78"/>
  <c r="CE135" i="78"/>
  <c r="CE134" i="78"/>
  <c r="CE133" i="78"/>
  <c r="CE132" i="78"/>
  <c r="CE131" i="78"/>
  <c r="CE130" i="78"/>
  <c r="CE129" i="78"/>
  <c r="CE128" i="78"/>
  <c r="CE127" i="78"/>
  <c r="CE126" i="78"/>
  <c r="CE125" i="78"/>
  <c r="CE124" i="78"/>
  <c r="CE123" i="78"/>
  <c r="CE122" i="78"/>
  <c r="CE121" i="78"/>
  <c r="CE120" i="78"/>
  <c r="CE119" i="78"/>
  <c r="BT143" i="78"/>
  <c r="BT142" i="78"/>
  <c r="BT141" i="78"/>
  <c r="BT140" i="78"/>
  <c r="BT139" i="78"/>
  <c r="BT138" i="78"/>
  <c r="BT137" i="78"/>
  <c r="BT136" i="78"/>
  <c r="BT135" i="78"/>
  <c r="BT134" i="78"/>
  <c r="BT133" i="78"/>
  <c r="BT132" i="78"/>
  <c r="BT131" i="78"/>
  <c r="BT130" i="78"/>
  <c r="BT129" i="78"/>
  <c r="BT128" i="78"/>
  <c r="BT127" i="78"/>
  <c r="BT126" i="78"/>
  <c r="BT125" i="78"/>
  <c r="BT124" i="78"/>
  <c r="BT123" i="78"/>
  <c r="BT122" i="78"/>
  <c r="BT121" i="78"/>
  <c r="BT120" i="78"/>
  <c r="BT119" i="78"/>
  <c r="BI143" i="78"/>
  <c r="BI142" i="78"/>
  <c r="BI141" i="78"/>
  <c r="BI140" i="78"/>
  <c r="BI139" i="78"/>
  <c r="BI138" i="78"/>
  <c r="BI137" i="78"/>
  <c r="BI136" i="78"/>
  <c r="BI135" i="78"/>
  <c r="BI134" i="78"/>
  <c r="BI133" i="78"/>
  <c r="BI132" i="78"/>
  <c r="BI131" i="78"/>
  <c r="BI130" i="78"/>
  <c r="BI129" i="78"/>
  <c r="BI128" i="78"/>
  <c r="BI127" i="78"/>
  <c r="BI126" i="78"/>
  <c r="BI125" i="78"/>
  <c r="BI124" i="78"/>
  <c r="BI123" i="78"/>
  <c r="BI122" i="78"/>
  <c r="BI121" i="78"/>
  <c r="BI120" i="78"/>
  <c r="BI119" i="78"/>
  <c r="AX143" i="78"/>
  <c r="AX142" i="78"/>
  <c r="AX141" i="78"/>
  <c r="AX140" i="78"/>
  <c r="AX139" i="78"/>
  <c r="AX138" i="78"/>
  <c r="AX137" i="78"/>
  <c r="AX136" i="78"/>
  <c r="AX135" i="78"/>
  <c r="AX134" i="78"/>
  <c r="AX133" i="78"/>
  <c r="AX132" i="78"/>
  <c r="AX131" i="78"/>
  <c r="AX130" i="78"/>
  <c r="AX129" i="78"/>
  <c r="AX128" i="78"/>
  <c r="AX127" i="78"/>
  <c r="AX126" i="78"/>
  <c r="AX125" i="78"/>
  <c r="AX124" i="78"/>
  <c r="AX123" i="78"/>
  <c r="AX122" i="78"/>
  <c r="AX121" i="78"/>
  <c r="AX120" i="78"/>
  <c r="AX119" i="78"/>
  <c r="AM143" i="78"/>
  <c r="AM142" i="78"/>
  <c r="AM141" i="78"/>
  <c r="AM140" i="78"/>
  <c r="AM139" i="78"/>
  <c r="AM138" i="78"/>
  <c r="AM137" i="78"/>
  <c r="AM136" i="78"/>
  <c r="AM135" i="78"/>
  <c r="AM134" i="78"/>
  <c r="AM133" i="78"/>
  <c r="AM132" i="78"/>
  <c r="AM131" i="78"/>
  <c r="AM130" i="78"/>
  <c r="AM129" i="78"/>
  <c r="AM128" i="78"/>
  <c r="AM127" i="78"/>
  <c r="AM126" i="78"/>
  <c r="AM125" i="78"/>
  <c r="AM124" i="78"/>
  <c r="AM123" i="78"/>
  <c r="AM122" i="78"/>
  <c r="AM121" i="78"/>
  <c r="AM120" i="78"/>
  <c r="AM119" i="78"/>
  <c r="AB143" i="78"/>
  <c r="AB142" i="78"/>
  <c r="AB141" i="78"/>
  <c r="AB140" i="78"/>
  <c r="AB139" i="78"/>
  <c r="AB138" i="78"/>
  <c r="AB137" i="78"/>
  <c r="AB136" i="78"/>
  <c r="AB135" i="78"/>
  <c r="AB134" i="78"/>
  <c r="AB133" i="78"/>
  <c r="AB132" i="78"/>
  <c r="AB131" i="78"/>
  <c r="AB130" i="78"/>
  <c r="AB129" i="78"/>
  <c r="AB128" i="78"/>
  <c r="AB127" i="78"/>
  <c r="AB126" i="78"/>
  <c r="AB125" i="78"/>
  <c r="AB124" i="78"/>
  <c r="AB123" i="78"/>
  <c r="AB122" i="78"/>
  <c r="AB121" i="78"/>
  <c r="AB120" i="78"/>
  <c r="AB119" i="78"/>
  <c r="Q122" i="78"/>
  <c r="Q143" i="78"/>
  <c r="Q142" i="78"/>
  <c r="Q141" i="78"/>
  <c r="Q140" i="78"/>
  <c r="Q139" i="78"/>
  <c r="Q138" i="78"/>
  <c r="Q137" i="78"/>
  <c r="Q136" i="78"/>
  <c r="Q135" i="78"/>
  <c r="Q134" i="78"/>
  <c r="Q133" i="78"/>
  <c r="Q132" i="78"/>
  <c r="Q131" i="78"/>
  <c r="Q130" i="78"/>
  <c r="Q129" i="78"/>
  <c r="Q128" i="78"/>
  <c r="Q127" i="78"/>
  <c r="Q126" i="78"/>
  <c r="Q125" i="78"/>
  <c r="Q124" i="78"/>
  <c r="Q123" i="78"/>
  <c r="Q121" i="78"/>
  <c r="Q120" i="78"/>
  <c r="Q119" i="78"/>
  <c r="CS9" i="78"/>
  <c r="CS83" i="78" s="1"/>
  <c r="CS10" i="78"/>
  <c r="CS84" i="78" s="1"/>
  <c r="CS11" i="78"/>
  <c r="CS48" i="78" s="1"/>
  <c r="CS12" i="78"/>
  <c r="CS86" i="78" s="1"/>
  <c r="CS13" i="78"/>
  <c r="CS87" i="78" s="1"/>
  <c r="CS14" i="78"/>
  <c r="CS88" i="78" s="1"/>
  <c r="CS15" i="78"/>
  <c r="CS52" i="78" s="1"/>
  <c r="CS16" i="78"/>
  <c r="CS17" i="78"/>
  <c r="CS91" i="78" s="1"/>
  <c r="CS18" i="78"/>
  <c r="CS19" i="78"/>
  <c r="CS56" i="78" s="1"/>
  <c r="CS20" i="78"/>
  <c r="CS57" i="78" s="1"/>
  <c r="CS21" i="78"/>
  <c r="CS58" i="78" s="1"/>
  <c r="CS22" i="78"/>
  <c r="CS59" i="78" s="1"/>
  <c r="CS23" i="78"/>
  <c r="CS97" i="78" s="1"/>
  <c r="CS24" i="78"/>
  <c r="CS25" i="78"/>
  <c r="CS99" i="78" s="1"/>
  <c r="CS26" i="78"/>
  <c r="CS63" i="78" s="1"/>
  <c r="CS27" i="78"/>
  <c r="CS28" i="78"/>
  <c r="CS102" i="78" s="1"/>
  <c r="CS29" i="78"/>
  <c r="CS103" i="78" s="1"/>
  <c r="CS30" i="78"/>
  <c r="CS67" i="78" s="1"/>
  <c r="CS31" i="78"/>
  <c r="CS68" i="78" s="1"/>
  <c r="CS32" i="78"/>
  <c r="CS69" i="78" s="1"/>
  <c r="CS8" i="78"/>
  <c r="CH9" i="78"/>
  <c r="CH46" i="78" s="1"/>
  <c r="CH10" i="78"/>
  <c r="CH47" i="78" s="1"/>
  <c r="CH11" i="78"/>
  <c r="CH48" i="78" s="1"/>
  <c r="CH12" i="78"/>
  <c r="CH86" i="78" s="1"/>
  <c r="CH13" i="78"/>
  <c r="CH87" i="78" s="1"/>
  <c r="CH14" i="78"/>
  <c r="CH51" i="78" s="1"/>
  <c r="CH15" i="78"/>
  <c r="CH52" i="78" s="1"/>
  <c r="CH16" i="78"/>
  <c r="CH53" i="78" s="1"/>
  <c r="CH17" i="78"/>
  <c r="CH54" i="78" s="1"/>
  <c r="CH18" i="78"/>
  <c r="CH55" i="78" s="1"/>
  <c r="CH19" i="78"/>
  <c r="CH56" i="78" s="1"/>
  <c r="CH20" i="78"/>
  <c r="CH57" i="78" s="1"/>
  <c r="CH21" i="78"/>
  <c r="CH22" i="78"/>
  <c r="CH96" i="78" s="1"/>
  <c r="CH23" i="78"/>
  <c r="CH97" i="78" s="1"/>
  <c r="CH24" i="78"/>
  <c r="CH61" i="78" s="1"/>
  <c r="CH25" i="78"/>
  <c r="CH99" i="78" s="1"/>
  <c r="CH26" i="78"/>
  <c r="CH100" i="78" s="1"/>
  <c r="CH27" i="78"/>
  <c r="CH64" i="78" s="1"/>
  <c r="CH28" i="78"/>
  <c r="CH102" i="78" s="1"/>
  <c r="CH29" i="78"/>
  <c r="CH103" i="78" s="1"/>
  <c r="CH30" i="78"/>
  <c r="CH67" i="78" s="1"/>
  <c r="CH31" i="78"/>
  <c r="CH32" i="78"/>
  <c r="CH69" i="78" s="1"/>
  <c r="CH8" i="78"/>
  <c r="BW9" i="78"/>
  <c r="BW46" i="78" s="1"/>
  <c r="BW10" i="78"/>
  <c r="BW11" i="78"/>
  <c r="BW48" i="78" s="1"/>
  <c r="BW12" i="78"/>
  <c r="BW49" i="78" s="1"/>
  <c r="BW13" i="78"/>
  <c r="BW14" i="78"/>
  <c r="BW88" i="78" s="1"/>
  <c r="BW15" i="78"/>
  <c r="BW52" i="78" s="1"/>
  <c r="BW16" i="78"/>
  <c r="BW17" i="78"/>
  <c r="BW54" i="78" s="1"/>
  <c r="BW18" i="78"/>
  <c r="BW92" i="78" s="1"/>
  <c r="BW19" i="78"/>
  <c r="BW56" i="78" s="1"/>
  <c r="BW20" i="78"/>
  <c r="BW94" i="78" s="1"/>
  <c r="BW21" i="78"/>
  <c r="BW95" i="78" s="1"/>
  <c r="BW22" i="78"/>
  <c r="BW96" i="78" s="1"/>
  <c r="BW23" i="78"/>
  <c r="BW97" i="78" s="1"/>
  <c r="BW24" i="78"/>
  <c r="BW61" i="78" s="1"/>
  <c r="BW25" i="78"/>
  <c r="BW99" i="78" s="1"/>
  <c r="BW26" i="78"/>
  <c r="BW63" i="78" s="1"/>
  <c r="BW27" i="78"/>
  <c r="BW64" i="78" s="1"/>
  <c r="BW28" i="78"/>
  <c r="BW65" i="78" s="1"/>
  <c r="BW29" i="78"/>
  <c r="BW66" i="78" s="1"/>
  <c r="BW30" i="78"/>
  <c r="BW104" i="78" s="1"/>
  <c r="BW31" i="78"/>
  <c r="BW32" i="78"/>
  <c r="BW69" i="78" s="1"/>
  <c r="BW8" i="78"/>
  <c r="BL9" i="78"/>
  <c r="BL46" i="78" s="1"/>
  <c r="BL10" i="78"/>
  <c r="BL47" i="78" s="1"/>
  <c r="BL11" i="78"/>
  <c r="BL85" i="78" s="1"/>
  <c r="BL12" i="78"/>
  <c r="BL86" i="78" s="1"/>
  <c r="BL13" i="78"/>
  <c r="BL50" i="78" s="1"/>
  <c r="BL14" i="78"/>
  <c r="BL88" i="78" s="1"/>
  <c r="BL15" i="78"/>
  <c r="BL89" i="78" s="1"/>
  <c r="BL16" i="78"/>
  <c r="BL17" i="78"/>
  <c r="BL91" i="78" s="1"/>
  <c r="BL18" i="78"/>
  <c r="BL55" i="78" s="1"/>
  <c r="BL19" i="78"/>
  <c r="BL93" i="78" s="1"/>
  <c r="BL20" i="78"/>
  <c r="BL94" i="78" s="1"/>
  <c r="BL21" i="78"/>
  <c r="BL58" i="78" s="1"/>
  <c r="BL22" i="78"/>
  <c r="BL59" i="78" s="1"/>
  <c r="BL23" i="78"/>
  <c r="BL60" i="78" s="1"/>
  <c r="BL24" i="78"/>
  <c r="BL25" i="78"/>
  <c r="BL62" i="78" s="1"/>
  <c r="BL26" i="78"/>
  <c r="BL63" i="78" s="1"/>
  <c r="BL27" i="78"/>
  <c r="BL101" i="78" s="1"/>
  <c r="BL28" i="78"/>
  <c r="BL65" i="78" s="1"/>
  <c r="BL29" i="78"/>
  <c r="BL66" i="78" s="1"/>
  <c r="BL30" i="78"/>
  <c r="BL104" i="78" s="1"/>
  <c r="BL31" i="78"/>
  <c r="BL68" i="78" s="1"/>
  <c r="BL32" i="78"/>
  <c r="BL8" i="78"/>
  <c r="BA9" i="78"/>
  <c r="BA83" i="78" s="1"/>
  <c r="BA10" i="78"/>
  <c r="BA47" i="78" s="1"/>
  <c r="BA11" i="78"/>
  <c r="BA48" i="78" s="1"/>
  <c r="BA12" i="78"/>
  <c r="BA49" i="78" s="1"/>
  <c r="BA13" i="78"/>
  <c r="BA87" i="78" s="1"/>
  <c r="BA14" i="78"/>
  <c r="BA88" i="78" s="1"/>
  <c r="BA15" i="78"/>
  <c r="BA89" i="78" s="1"/>
  <c r="BA16" i="78"/>
  <c r="BA53" i="78" s="1"/>
  <c r="BA17" i="78"/>
  <c r="BA91" i="78" s="1"/>
  <c r="BA18" i="78"/>
  <c r="BA92" i="78" s="1"/>
  <c r="BA19" i="78"/>
  <c r="BA56" i="78" s="1"/>
  <c r="BA20" i="78"/>
  <c r="BA57" i="78" s="1"/>
  <c r="BA21" i="78"/>
  <c r="BA58" i="78" s="1"/>
  <c r="BA22" i="78"/>
  <c r="BA96" i="78" s="1"/>
  <c r="BA23" i="78"/>
  <c r="BA97" i="78" s="1"/>
  <c r="BA24" i="78"/>
  <c r="BA98" i="78" s="1"/>
  <c r="BA25" i="78"/>
  <c r="BA99" i="78" s="1"/>
  <c r="BA26" i="78"/>
  <c r="BA100" i="78" s="1"/>
  <c r="BA27" i="78"/>
  <c r="BA64" i="78" s="1"/>
  <c r="BA28" i="78"/>
  <c r="BA65" i="78" s="1"/>
  <c r="BA29" i="78"/>
  <c r="BA103" i="78" s="1"/>
  <c r="BA30" i="78"/>
  <c r="BA104" i="78" s="1"/>
  <c r="BA31" i="78"/>
  <c r="BA32" i="78"/>
  <c r="BA106" i="78" s="1"/>
  <c r="BA8" i="78"/>
  <c r="AP9" i="78"/>
  <c r="AP83" i="78" s="1"/>
  <c r="AP10" i="78"/>
  <c r="AP84" i="78" s="1"/>
  <c r="AP11" i="78"/>
  <c r="AP48" i="78" s="1"/>
  <c r="AP12" i="78"/>
  <c r="AP49" i="78" s="1"/>
  <c r="AP13" i="78"/>
  <c r="AP50" i="78" s="1"/>
  <c r="AP14" i="78"/>
  <c r="AP88" i="78" s="1"/>
  <c r="AP15" i="78"/>
  <c r="AP89" i="78" s="1"/>
  <c r="AP16" i="78"/>
  <c r="AP17" i="78"/>
  <c r="AP91" i="78" s="1"/>
  <c r="AP18" i="78"/>
  <c r="AP55" i="78" s="1"/>
  <c r="AP19" i="78"/>
  <c r="AP56" i="78" s="1"/>
  <c r="AP20" i="78"/>
  <c r="AP57" i="78" s="1"/>
  <c r="AP21" i="78"/>
  <c r="AP95" i="78" s="1"/>
  <c r="AP22" i="78"/>
  <c r="AP96" i="78" s="1"/>
  <c r="AP23" i="78"/>
  <c r="AP97" i="78" s="1"/>
  <c r="AP24" i="78"/>
  <c r="AP98" i="78" s="1"/>
  <c r="AP25" i="78"/>
  <c r="AP99" i="78" s="1"/>
  <c r="AP26" i="78"/>
  <c r="AP100" i="78" s="1"/>
  <c r="AP27" i="78"/>
  <c r="AP64" i="78" s="1"/>
  <c r="AP28" i="78"/>
  <c r="AP65" i="78" s="1"/>
  <c r="AP29" i="78"/>
  <c r="AP66" i="78" s="1"/>
  <c r="AP30" i="78"/>
  <c r="AP104" i="78" s="1"/>
  <c r="AP31" i="78"/>
  <c r="AP68" i="78" s="1"/>
  <c r="AP32" i="78"/>
  <c r="AP69" i="78" s="1"/>
  <c r="AP8" i="78"/>
  <c r="AE9" i="78"/>
  <c r="AE10" i="78"/>
  <c r="AE47" i="78" s="1"/>
  <c r="AE11" i="78"/>
  <c r="AE85" i="78" s="1"/>
  <c r="AE12" i="78"/>
  <c r="AE86" i="78" s="1"/>
  <c r="AE13" i="78"/>
  <c r="AE50" i="78" s="1"/>
  <c r="AE14" i="78"/>
  <c r="AE51" i="78" s="1"/>
  <c r="AE15" i="78"/>
  <c r="AE89" i="78" s="1"/>
  <c r="AE16" i="78"/>
  <c r="AE53" i="78" s="1"/>
  <c r="AE17" i="78"/>
  <c r="AE91" i="78" s="1"/>
  <c r="AE18" i="78"/>
  <c r="AE55" i="78" s="1"/>
  <c r="AE19" i="78"/>
  <c r="AE93" i="78" s="1"/>
  <c r="AE20" i="78"/>
  <c r="AE94" i="78" s="1"/>
  <c r="AE21" i="78"/>
  <c r="AE58" i="78" s="1"/>
  <c r="AE22" i="78"/>
  <c r="AE59" i="78" s="1"/>
  <c r="AE23" i="78"/>
  <c r="AE97" i="78" s="1"/>
  <c r="AE24" i="78"/>
  <c r="AE61" i="78" s="1"/>
  <c r="AE25" i="78"/>
  <c r="AE99" i="78" s="1"/>
  <c r="AE26" i="78"/>
  <c r="AE27" i="78"/>
  <c r="AE64" i="78" s="1"/>
  <c r="AE28" i="78"/>
  <c r="AE102" i="78" s="1"/>
  <c r="AE29" i="78"/>
  <c r="AE66" i="78" s="1"/>
  <c r="AE30" i="78"/>
  <c r="AE67" i="78" s="1"/>
  <c r="AE31" i="78"/>
  <c r="AE105" i="78" s="1"/>
  <c r="AE32" i="78"/>
  <c r="AE69" i="78" s="1"/>
  <c r="AE8" i="78"/>
  <c r="CS106" i="78"/>
  <c r="CS55" i="78"/>
  <c r="CS47" i="78"/>
  <c r="CT43" i="78"/>
  <c r="CT80" i="78" s="1"/>
  <c r="CS43" i="78"/>
  <c r="CS80" i="78" s="1"/>
  <c r="CR43" i="78"/>
  <c r="CR80" i="78" s="1"/>
  <c r="CT42" i="78"/>
  <c r="CT79" i="78" s="1"/>
  <c r="CS42" i="78"/>
  <c r="CS79" i="78" s="1"/>
  <c r="CR42" i="78"/>
  <c r="CR79" i="78" s="1"/>
  <c r="CR32" i="78"/>
  <c r="CR69" i="78" s="1"/>
  <c r="CR106" i="78" s="1"/>
  <c r="CR31" i="78"/>
  <c r="CR68" i="78" s="1"/>
  <c r="CR105" i="78" s="1"/>
  <c r="CR30" i="78"/>
  <c r="CR67" i="78" s="1"/>
  <c r="CR104" i="78" s="1"/>
  <c r="CR29" i="78"/>
  <c r="CR66" i="78" s="1"/>
  <c r="CR103" i="78" s="1"/>
  <c r="CR28" i="78"/>
  <c r="CS64" i="78"/>
  <c r="CR27" i="78"/>
  <c r="CR64" i="78" s="1"/>
  <c r="CR101" i="78" s="1"/>
  <c r="CS100" i="78"/>
  <c r="CR26" i="78"/>
  <c r="CT26" i="78" s="1"/>
  <c r="CT63" i="78" s="1"/>
  <c r="CT100" i="78" s="1"/>
  <c r="CR25" i="78"/>
  <c r="CR62" i="78" s="1"/>
  <c r="CR99" i="78" s="1"/>
  <c r="CR24" i="78"/>
  <c r="CR61" i="78" s="1"/>
  <c r="CR98" i="78" s="1"/>
  <c r="CR23" i="78"/>
  <c r="CR60" i="78" s="1"/>
  <c r="CR97" i="78" s="1"/>
  <c r="CR22" i="78"/>
  <c r="CR59" i="78" s="1"/>
  <c r="CR96" i="78" s="1"/>
  <c r="CR21" i="78"/>
  <c r="CR58" i="78" s="1"/>
  <c r="CR95" i="78" s="1"/>
  <c r="CR20" i="78"/>
  <c r="CR19" i="78"/>
  <c r="CR56" i="78" s="1"/>
  <c r="CR93" i="78" s="1"/>
  <c r="CS92" i="78"/>
  <c r="CR18" i="78"/>
  <c r="CR55" i="78" s="1"/>
  <c r="CR92" i="78" s="1"/>
  <c r="CR17" i="78"/>
  <c r="CR16" i="78"/>
  <c r="CR53" i="78" s="1"/>
  <c r="CR90" i="78" s="1"/>
  <c r="CR15" i="78"/>
  <c r="CR52" i="78" s="1"/>
  <c r="CR89" i="78" s="1"/>
  <c r="CR14" i="78"/>
  <c r="CR51" i="78" s="1"/>
  <c r="CR88" i="78" s="1"/>
  <c r="CR13" i="78"/>
  <c r="CR50" i="78" s="1"/>
  <c r="CR87" i="78" s="1"/>
  <c r="CR12" i="78"/>
  <c r="CR11" i="78"/>
  <c r="CR48" i="78" s="1"/>
  <c r="CR85" i="78" s="1"/>
  <c r="CR10" i="78"/>
  <c r="CR47" i="78" s="1"/>
  <c r="CR84" i="78" s="1"/>
  <c r="CR9" i="78"/>
  <c r="CR46" i="78" s="1"/>
  <c r="CR83" i="78" s="1"/>
  <c r="CR8" i="78"/>
  <c r="CT8" i="78" s="1"/>
  <c r="CT45" i="78" s="1"/>
  <c r="CT82" i="78" s="1"/>
  <c r="CH62" i="78"/>
  <c r="CI43" i="78"/>
  <c r="CI80" i="78" s="1"/>
  <c r="CH43" i="78"/>
  <c r="CH80" i="78" s="1"/>
  <c r="CG43" i="78"/>
  <c r="CG80" i="78" s="1"/>
  <c r="CI42" i="78"/>
  <c r="CI79" i="78" s="1"/>
  <c r="CH42" i="78"/>
  <c r="CH79" i="78" s="1"/>
  <c r="CG42" i="78"/>
  <c r="CG79" i="78" s="1"/>
  <c r="CG32" i="78"/>
  <c r="CG31" i="78"/>
  <c r="CG68" i="78" s="1"/>
  <c r="CG105" i="78" s="1"/>
  <c r="CG30" i="78"/>
  <c r="CG67" i="78" s="1"/>
  <c r="CG104" i="78" s="1"/>
  <c r="CG29" i="78"/>
  <c r="CG66" i="78" s="1"/>
  <c r="CG103" i="78" s="1"/>
  <c r="CG28" i="78"/>
  <c r="CG65" i="78" s="1"/>
  <c r="CG102" i="78" s="1"/>
  <c r="CG27" i="78"/>
  <c r="CG26" i="78"/>
  <c r="CG63" i="78" s="1"/>
  <c r="CG100" i="78" s="1"/>
  <c r="CG25" i="78"/>
  <c r="CG62" i="78" s="1"/>
  <c r="CG99" i="78" s="1"/>
  <c r="CG24" i="78"/>
  <c r="CG23" i="78"/>
  <c r="CG60" i="78" s="1"/>
  <c r="CG97" i="78" s="1"/>
  <c r="CG22" i="78"/>
  <c r="CG59" i="78" s="1"/>
  <c r="CG96" i="78" s="1"/>
  <c r="CG21" i="78"/>
  <c r="CG58" i="78" s="1"/>
  <c r="CG95" i="78" s="1"/>
  <c r="CG20" i="78"/>
  <c r="CG57" i="78" s="1"/>
  <c r="CG94" i="78" s="1"/>
  <c r="CG19" i="78"/>
  <c r="CG18" i="78"/>
  <c r="CG55" i="78" s="1"/>
  <c r="CG92" i="78" s="1"/>
  <c r="CH91" i="78"/>
  <c r="CG17" i="78"/>
  <c r="CI17" i="78" s="1"/>
  <c r="CI54" i="78" s="1"/>
  <c r="CI91" i="78" s="1"/>
  <c r="CG16" i="78"/>
  <c r="CG15" i="78"/>
  <c r="CG52" i="78" s="1"/>
  <c r="CG89" i="78" s="1"/>
  <c r="CG14" i="78"/>
  <c r="CG51" i="78" s="1"/>
  <c r="CG88" i="78" s="1"/>
  <c r="CG13" i="78"/>
  <c r="CG50" i="78" s="1"/>
  <c r="CG87" i="78" s="1"/>
  <c r="CG12" i="78"/>
  <c r="CG49" i="78" s="1"/>
  <c r="CG86" i="78" s="1"/>
  <c r="CG11" i="78"/>
  <c r="CG48" i="78" s="1"/>
  <c r="CG85" i="78" s="1"/>
  <c r="CG10" i="78"/>
  <c r="CG47" i="78" s="1"/>
  <c r="CG84" i="78" s="1"/>
  <c r="CH83" i="78"/>
  <c r="CG9" i="78"/>
  <c r="CG46" i="78" s="1"/>
  <c r="CG83" i="78" s="1"/>
  <c r="CG8" i="78"/>
  <c r="BW62" i="78"/>
  <c r="BX43" i="78"/>
  <c r="BX80" i="78" s="1"/>
  <c r="BW43" i="78"/>
  <c r="BW80" i="78" s="1"/>
  <c r="BV43" i="78"/>
  <c r="BV80" i="78" s="1"/>
  <c r="BX42" i="78"/>
  <c r="BX79" i="78" s="1"/>
  <c r="BW42" i="78"/>
  <c r="BW79" i="78" s="1"/>
  <c r="BV42" i="78"/>
  <c r="BV79" i="78" s="1"/>
  <c r="BV32" i="78"/>
  <c r="BV31" i="78"/>
  <c r="BV68" i="78" s="1"/>
  <c r="BV105" i="78" s="1"/>
  <c r="BV30" i="78"/>
  <c r="BV67" i="78" s="1"/>
  <c r="BV104" i="78" s="1"/>
  <c r="BV29" i="78"/>
  <c r="BV66" i="78" s="1"/>
  <c r="BV103" i="78" s="1"/>
  <c r="BV28" i="78"/>
  <c r="BV65" i="78" s="1"/>
  <c r="BV102" i="78" s="1"/>
  <c r="BV27" i="78"/>
  <c r="BV64" i="78" s="1"/>
  <c r="BV101" i="78" s="1"/>
  <c r="BV26" i="78"/>
  <c r="BV63" i="78" s="1"/>
  <c r="BV100" i="78" s="1"/>
  <c r="BV25" i="78"/>
  <c r="BV62" i="78" s="1"/>
  <c r="BV99" i="78" s="1"/>
  <c r="BV24" i="78"/>
  <c r="BX24" i="78" s="1"/>
  <c r="BX61" i="78" s="1"/>
  <c r="BX98" i="78" s="1"/>
  <c r="BV23" i="78"/>
  <c r="BV60" i="78" s="1"/>
  <c r="BV97" i="78" s="1"/>
  <c r="BV22" i="78"/>
  <c r="BV59" i="78" s="1"/>
  <c r="BV96" i="78" s="1"/>
  <c r="BV21" i="78"/>
  <c r="BV58" i="78" s="1"/>
  <c r="BV95" i="78" s="1"/>
  <c r="BV20" i="78"/>
  <c r="BV57" i="78" s="1"/>
  <c r="BV94" i="78" s="1"/>
  <c r="BV19" i="78"/>
  <c r="BV18" i="78"/>
  <c r="BV55" i="78" s="1"/>
  <c r="BV92" i="78" s="1"/>
  <c r="BW91" i="78"/>
  <c r="BV17" i="78"/>
  <c r="BV54" i="78" s="1"/>
  <c r="BV91" i="78" s="1"/>
  <c r="BW53" i="78"/>
  <c r="BV16" i="78"/>
  <c r="BV15" i="78"/>
  <c r="BV52" i="78" s="1"/>
  <c r="BV89" i="78" s="1"/>
  <c r="BV14" i="78"/>
  <c r="BV51" i="78" s="1"/>
  <c r="BV88" i="78" s="1"/>
  <c r="BV13" i="78"/>
  <c r="BV50" i="78" s="1"/>
  <c r="BV87" i="78" s="1"/>
  <c r="BV12" i="78"/>
  <c r="BV49" i="78" s="1"/>
  <c r="BV86" i="78" s="1"/>
  <c r="BV11" i="78"/>
  <c r="BV48" i="78" s="1"/>
  <c r="BV85" i="78" s="1"/>
  <c r="BV10" i="78"/>
  <c r="BV47" i="78" s="1"/>
  <c r="BV84" i="78" s="1"/>
  <c r="BV9" i="78"/>
  <c r="BV46" i="78" s="1"/>
  <c r="BV83" i="78" s="1"/>
  <c r="BV8" i="78"/>
  <c r="BV45" i="78" s="1"/>
  <c r="BV82" i="78" s="1"/>
  <c r="BM43" i="78"/>
  <c r="BM80" i="78" s="1"/>
  <c r="BL43" i="78"/>
  <c r="BL80" i="78" s="1"/>
  <c r="BK43" i="78"/>
  <c r="BK80" i="78" s="1"/>
  <c r="BM42" i="78"/>
  <c r="BM79" i="78" s="1"/>
  <c r="BL42" i="78"/>
  <c r="BL79" i="78" s="1"/>
  <c r="BK42" i="78"/>
  <c r="BK79" i="78" s="1"/>
  <c r="BK32" i="78"/>
  <c r="BK69" i="78" s="1"/>
  <c r="BK106" i="78" s="1"/>
  <c r="BK31" i="78"/>
  <c r="BK68" i="78" s="1"/>
  <c r="BK105" i="78" s="1"/>
  <c r="BK30" i="78"/>
  <c r="BK67" i="78" s="1"/>
  <c r="BK104" i="78" s="1"/>
  <c r="BK29" i="78"/>
  <c r="BK66" i="78" s="1"/>
  <c r="BK103" i="78" s="1"/>
  <c r="BK28" i="78"/>
  <c r="BK65" i="78" s="1"/>
  <c r="BK102" i="78" s="1"/>
  <c r="BK27" i="78"/>
  <c r="BK64" i="78" s="1"/>
  <c r="BK101" i="78" s="1"/>
  <c r="BK26" i="78"/>
  <c r="BK63" i="78" s="1"/>
  <c r="BK100" i="78" s="1"/>
  <c r="BK25" i="78"/>
  <c r="BK24" i="78"/>
  <c r="BK61" i="78" s="1"/>
  <c r="BK98" i="78" s="1"/>
  <c r="BK23" i="78"/>
  <c r="BK60" i="78" s="1"/>
  <c r="BK97" i="78" s="1"/>
  <c r="BK22" i="78"/>
  <c r="BK21" i="78"/>
  <c r="BK58" i="78" s="1"/>
  <c r="BK95" i="78" s="1"/>
  <c r="BK20" i="78"/>
  <c r="BK57" i="78" s="1"/>
  <c r="BK94" i="78" s="1"/>
  <c r="BK19" i="78"/>
  <c r="BK56" i="78" s="1"/>
  <c r="BK93" i="78" s="1"/>
  <c r="BK18" i="78"/>
  <c r="BK55" i="78" s="1"/>
  <c r="BK92" i="78" s="1"/>
  <c r="BK17" i="78"/>
  <c r="BK16" i="78"/>
  <c r="BK53" i="78" s="1"/>
  <c r="BK90" i="78" s="1"/>
  <c r="BK15" i="78"/>
  <c r="BK52" i="78" s="1"/>
  <c r="BK89" i="78" s="1"/>
  <c r="BK14" i="78"/>
  <c r="BK51" i="78" s="1"/>
  <c r="BK88" i="78" s="1"/>
  <c r="BK13" i="78"/>
  <c r="BK50" i="78" s="1"/>
  <c r="BK87" i="78" s="1"/>
  <c r="BK12" i="78"/>
  <c r="BK49" i="78" s="1"/>
  <c r="BK86" i="78" s="1"/>
  <c r="BK11" i="78"/>
  <c r="BK48" i="78" s="1"/>
  <c r="BK85" i="78" s="1"/>
  <c r="BK10" i="78"/>
  <c r="BK47" i="78" s="1"/>
  <c r="BK84" i="78" s="1"/>
  <c r="BK9" i="78"/>
  <c r="BK8" i="78"/>
  <c r="BK45" i="78" s="1"/>
  <c r="BK82" i="78" s="1"/>
  <c r="BB43" i="78"/>
  <c r="BB80" i="78" s="1"/>
  <c r="BA43" i="78"/>
  <c r="BA80" i="78" s="1"/>
  <c r="AZ43" i="78"/>
  <c r="AZ80" i="78" s="1"/>
  <c r="BB42" i="78"/>
  <c r="BB79" i="78" s="1"/>
  <c r="BA42" i="78"/>
  <c r="BA79" i="78" s="1"/>
  <c r="AZ42" i="78"/>
  <c r="AZ79" i="78" s="1"/>
  <c r="AZ32" i="78"/>
  <c r="AZ69" i="78" s="1"/>
  <c r="AZ106" i="78" s="1"/>
  <c r="AZ31" i="78"/>
  <c r="AZ68" i="78" s="1"/>
  <c r="AZ105" i="78" s="1"/>
  <c r="AZ30" i="78"/>
  <c r="AZ67" i="78" s="1"/>
  <c r="AZ104" i="78" s="1"/>
  <c r="AZ29" i="78"/>
  <c r="AZ66" i="78" s="1"/>
  <c r="AZ103" i="78" s="1"/>
  <c r="AZ28" i="78"/>
  <c r="AZ27" i="78"/>
  <c r="AZ64" i="78" s="1"/>
  <c r="AZ101" i="78" s="1"/>
  <c r="AZ26" i="78"/>
  <c r="AZ63" i="78" s="1"/>
  <c r="AZ100" i="78" s="1"/>
  <c r="AZ25" i="78"/>
  <c r="AZ24" i="78"/>
  <c r="AZ61" i="78" s="1"/>
  <c r="AZ98" i="78" s="1"/>
  <c r="AZ23" i="78"/>
  <c r="AZ60" i="78" s="1"/>
  <c r="AZ97" i="78" s="1"/>
  <c r="AZ22" i="78"/>
  <c r="AZ59" i="78" s="1"/>
  <c r="AZ96" i="78" s="1"/>
  <c r="AZ21" i="78"/>
  <c r="AZ58" i="78" s="1"/>
  <c r="AZ95" i="78" s="1"/>
  <c r="AZ20" i="78"/>
  <c r="AZ19" i="78"/>
  <c r="AZ56" i="78" s="1"/>
  <c r="AZ93" i="78" s="1"/>
  <c r="AZ18" i="78"/>
  <c r="AZ55" i="78" s="1"/>
  <c r="AZ92" i="78" s="1"/>
  <c r="AZ17" i="78"/>
  <c r="AZ16" i="78"/>
  <c r="AZ53" i="78" s="1"/>
  <c r="AZ90" i="78" s="1"/>
  <c r="AZ15" i="78"/>
  <c r="AZ52" i="78" s="1"/>
  <c r="AZ89" i="78" s="1"/>
  <c r="AZ14" i="78"/>
  <c r="AZ51" i="78" s="1"/>
  <c r="AZ88" i="78" s="1"/>
  <c r="AZ13" i="78"/>
  <c r="AZ50" i="78" s="1"/>
  <c r="AZ87" i="78" s="1"/>
  <c r="AZ12" i="78"/>
  <c r="AZ11" i="78"/>
  <c r="AZ48" i="78" s="1"/>
  <c r="AZ85" i="78" s="1"/>
  <c r="AZ10" i="78"/>
  <c r="AZ47" i="78" s="1"/>
  <c r="AZ84" i="78" s="1"/>
  <c r="AZ9" i="78"/>
  <c r="AZ8" i="78"/>
  <c r="AZ45" i="78" s="1"/>
  <c r="AZ82" i="78" s="1"/>
  <c r="AQ43" i="78"/>
  <c r="AQ80" i="78" s="1"/>
  <c r="AP43" i="78"/>
  <c r="AP80" i="78" s="1"/>
  <c r="AO43" i="78"/>
  <c r="AO80" i="78" s="1"/>
  <c r="AQ42" i="78"/>
  <c r="AQ79" i="78" s="1"/>
  <c r="AP42" i="78"/>
  <c r="AP79" i="78" s="1"/>
  <c r="AO42" i="78"/>
  <c r="AO79" i="78" s="1"/>
  <c r="AO32" i="78"/>
  <c r="AO69" i="78" s="1"/>
  <c r="AO106" i="78" s="1"/>
  <c r="AO31" i="78"/>
  <c r="AO68" i="78" s="1"/>
  <c r="AO105" i="78" s="1"/>
  <c r="AO30" i="78"/>
  <c r="AO67" i="78" s="1"/>
  <c r="AO104" i="78" s="1"/>
  <c r="AO29" i="78"/>
  <c r="AO66" i="78" s="1"/>
  <c r="AO103" i="78" s="1"/>
  <c r="AP102" i="78"/>
  <c r="AO28" i="78"/>
  <c r="AO27" i="78"/>
  <c r="AO64" i="78" s="1"/>
  <c r="AO101" i="78" s="1"/>
  <c r="AO26" i="78"/>
  <c r="AO63" i="78" s="1"/>
  <c r="AO100" i="78" s="1"/>
  <c r="AO25" i="78"/>
  <c r="AO24" i="78"/>
  <c r="AO61" i="78" s="1"/>
  <c r="AO98" i="78" s="1"/>
  <c r="AO23" i="78"/>
  <c r="AO60" i="78" s="1"/>
  <c r="AO97" i="78" s="1"/>
  <c r="AO22" i="78"/>
  <c r="AO59" i="78" s="1"/>
  <c r="AO96" i="78" s="1"/>
  <c r="AO21" i="78"/>
  <c r="AO58" i="78" s="1"/>
  <c r="AO95" i="78" s="1"/>
  <c r="AO20" i="78"/>
  <c r="AO19" i="78"/>
  <c r="AO56" i="78" s="1"/>
  <c r="AO93" i="78" s="1"/>
  <c r="AO18" i="78"/>
  <c r="AO55" i="78" s="1"/>
  <c r="AO92" i="78" s="1"/>
  <c r="AO17" i="78"/>
  <c r="AO16" i="78"/>
  <c r="AO53" i="78" s="1"/>
  <c r="AO90" i="78" s="1"/>
  <c r="AO15" i="78"/>
  <c r="AO52" i="78" s="1"/>
  <c r="AO89" i="78" s="1"/>
  <c r="AO14" i="78"/>
  <c r="AO51" i="78" s="1"/>
  <c r="AO88" i="78" s="1"/>
  <c r="AO13" i="78"/>
  <c r="AO50" i="78" s="1"/>
  <c r="AO87" i="78" s="1"/>
  <c r="AO12" i="78"/>
  <c r="AO11" i="78"/>
  <c r="AO48" i="78" s="1"/>
  <c r="AO85" i="78" s="1"/>
  <c r="AO10" i="78"/>
  <c r="AO47" i="78" s="1"/>
  <c r="AO84" i="78" s="1"/>
  <c r="AO9" i="78"/>
  <c r="AO8" i="78"/>
  <c r="AO45" i="78" s="1"/>
  <c r="AO82" i="78" s="1"/>
  <c r="AF43" i="78"/>
  <c r="AF80" i="78" s="1"/>
  <c r="AE43" i="78"/>
  <c r="AE80" i="78" s="1"/>
  <c r="AD43" i="78"/>
  <c r="AD80" i="78" s="1"/>
  <c r="AF42" i="78"/>
  <c r="AF79" i="78" s="1"/>
  <c r="AE42" i="78"/>
  <c r="AE79" i="78" s="1"/>
  <c r="AD42" i="78"/>
  <c r="AD79" i="78" s="1"/>
  <c r="AD32" i="78"/>
  <c r="AD69" i="78" s="1"/>
  <c r="AD106" i="78" s="1"/>
  <c r="AD31" i="78"/>
  <c r="AD30" i="78"/>
  <c r="AD67" i="78" s="1"/>
  <c r="AD104" i="78" s="1"/>
  <c r="AD29" i="78"/>
  <c r="AD66" i="78" s="1"/>
  <c r="AD103" i="78" s="1"/>
  <c r="AD28" i="78"/>
  <c r="AD27" i="78"/>
  <c r="AD64" i="78" s="1"/>
  <c r="AD101" i="78" s="1"/>
  <c r="AD26" i="78"/>
  <c r="AD63" i="78" s="1"/>
  <c r="AD100" i="78" s="1"/>
  <c r="AD25" i="78"/>
  <c r="AD62" i="78" s="1"/>
  <c r="AD99" i="78" s="1"/>
  <c r="AD24" i="78"/>
  <c r="AD61" i="78" s="1"/>
  <c r="AD98" i="78" s="1"/>
  <c r="AD23" i="78"/>
  <c r="AD22" i="78"/>
  <c r="AD59" i="78" s="1"/>
  <c r="AD96" i="78" s="1"/>
  <c r="AD21" i="78"/>
  <c r="AD58" i="78" s="1"/>
  <c r="AD95" i="78" s="1"/>
  <c r="AD20" i="78"/>
  <c r="AD19" i="78"/>
  <c r="AD56" i="78" s="1"/>
  <c r="AD93" i="78" s="1"/>
  <c r="AD18" i="78"/>
  <c r="AD55" i="78" s="1"/>
  <c r="AD92" i="78" s="1"/>
  <c r="AD17" i="78"/>
  <c r="AD54" i="78" s="1"/>
  <c r="AD91" i="78" s="1"/>
  <c r="AD16" i="78"/>
  <c r="AD53" i="78" s="1"/>
  <c r="AD90" i="78" s="1"/>
  <c r="AD15" i="78"/>
  <c r="AD14" i="78"/>
  <c r="AD51" i="78" s="1"/>
  <c r="AD88" i="78" s="1"/>
  <c r="AD13" i="78"/>
  <c r="AD50" i="78" s="1"/>
  <c r="AD87" i="78" s="1"/>
  <c r="AD12" i="78"/>
  <c r="AD11" i="78"/>
  <c r="AD48" i="78" s="1"/>
  <c r="AD85" i="78" s="1"/>
  <c r="AD10" i="78"/>
  <c r="AD47" i="78" s="1"/>
  <c r="AD84" i="78" s="1"/>
  <c r="AD9" i="78"/>
  <c r="AD46" i="78" s="1"/>
  <c r="AD83" i="78" s="1"/>
  <c r="AD8" i="78"/>
  <c r="AD45" i="78" s="1"/>
  <c r="AD82" i="78" s="1"/>
  <c r="I106" i="49"/>
  <c r="I95" i="49"/>
  <c r="I84" i="49"/>
  <c r="I73" i="49"/>
  <c r="I62" i="49"/>
  <c r="I51" i="49"/>
  <c r="A267" i="49"/>
  <c r="G292" i="49"/>
  <c r="D292" i="49"/>
  <c r="F292" i="49" s="1"/>
  <c r="G291" i="49"/>
  <c r="D291" i="49"/>
  <c r="F291" i="49" s="1"/>
  <c r="G290" i="49"/>
  <c r="D290" i="49"/>
  <c r="F290" i="49" s="1"/>
  <c r="G289" i="49"/>
  <c r="D289" i="49"/>
  <c r="F289" i="49" s="1"/>
  <c r="G288" i="49"/>
  <c r="D288" i="49"/>
  <c r="F288" i="49" s="1"/>
  <c r="G287" i="49"/>
  <c r="D287" i="49"/>
  <c r="F287" i="49" s="1"/>
  <c r="G286" i="49"/>
  <c r="D286" i="49"/>
  <c r="F286" i="49" s="1"/>
  <c r="G285" i="49"/>
  <c r="D285" i="49"/>
  <c r="F285" i="49" s="1"/>
  <c r="G284" i="49"/>
  <c r="D284" i="49"/>
  <c r="F284" i="49" s="1"/>
  <c r="G283" i="49"/>
  <c r="D283" i="49"/>
  <c r="F283" i="49" s="1"/>
  <c r="G282" i="49"/>
  <c r="D282" i="49"/>
  <c r="F282" i="49" s="1"/>
  <c r="G281" i="49"/>
  <c r="D281" i="49"/>
  <c r="F281" i="49" s="1"/>
  <c r="G280" i="49"/>
  <c r="D280" i="49"/>
  <c r="F280" i="49" s="1"/>
  <c r="G279" i="49"/>
  <c r="D279" i="49"/>
  <c r="F279" i="49" s="1"/>
  <c r="G278" i="49"/>
  <c r="D278" i="49"/>
  <c r="F278" i="49" s="1"/>
  <c r="G277" i="49"/>
  <c r="D277" i="49"/>
  <c r="F277" i="49" s="1"/>
  <c r="G276" i="49"/>
  <c r="D276" i="49"/>
  <c r="F276" i="49" s="1"/>
  <c r="G275" i="49"/>
  <c r="D275" i="49"/>
  <c r="F275" i="49" s="1"/>
  <c r="G274" i="49"/>
  <c r="D274" i="49"/>
  <c r="F274" i="49" s="1"/>
  <c r="G273" i="49"/>
  <c r="D273" i="49"/>
  <c r="F273" i="49" s="1"/>
  <c r="G272" i="49"/>
  <c r="D272" i="49"/>
  <c r="F272" i="49" s="1"/>
  <c r="G271" i="49"/>
  <c r="D271" i="49"/>
  <c r="F271" i="49" s="1"/>
  <c r="G270" i="49"/>
  <c r="D270" i="49"/>
  <c r="F270" i="49" s="1"/>
  <c r="G269" i="49"/>
  <c r="D269" i="49"/>
  <c r="G268" i="49"/>
  <c r="D268" i="49"/>
  <c r="G245" i="49"/>
  <c r="A238" i="49"/>
  <c r="G263" i="49"/>
  <c r="D263" i="49"/>
  <c r="F263" i="49" s="1"/>
  <c r="G262" i="49"/>
  <c r="D262" i="49"/>
  <c r="F262" i="49" s="1"/>
  <c r="G261" i="49"/>
  <c r="D261" i="49"/>
  <c r="F261" i="49" s="1"/>
  <c r="G260" i="49"/>
  <c r="D260" i="49"/>
  <c r="F260" i="49" s="1"/>
  <c r="G259" i="49"/>
  <c r="D259" i="49"/>
  <c r="F259" i="49" s="1"/>
  <c r="G258" i="49"/>
  <c r="D258" i="49"/>
  <c r="F258" i="49" s="1"/>
  <c r="G257" i="49"/>
  <c r="D257" i="49"/>
  <c r="F257" i="49" s="1"/>
  <c r="G256" i="49"/>
  <c r="D256" i="49"/>
  <c r="F256" i="49" s="1"/>
  <c r="G255" i="49"/>
  <c r="D255" i="49"/>
  <c r="F255" i="49" s="1"/>
  <c r="G254" i="49"/>
  <c r="D254" i="49"/>
  <c r="F254" i="49" s="1"/>
  <c r="G253" i="49"/>
  <c r="D253" i="49"/>
  <c r="F253" i="49" s="1"/>
  <c r="G252" i="49"/>
  <c r="D252" i="49"/>
  <c r="F252" i="49" s="1"/>
  <c r="G251" i="49"/>
  <c r="D251" i="49"/>
  <c r="F251" i="49" s="1"/>
  <c r="G250" i="49"/>
  <c r="D250" i="49"/>
  <c r="F250" i="49" s="1"/>
  <c r="G249" i="49"/>
  <c r="D249" i="49"/>
  <c r="F249" i="49" s="1"/>
  <c r="G248" i="49"/>
  <c r="D248" i="49"/>
  <c r="F248" i="49" s="1"/>
  <c r="G247" i="49"/>
  <c r="D247" i="49"/>
  <c r="F247" i="49" s="1"/>
  <c r="G246" i="49"/>
  <c r="D246" i="49"/>
  <c r="F246" i="49" s="1"/>
  <c r="D245" i="49"/>
  <c r="F245" i="49" s="1"/>
  <c r="G244" i="49"/>
  <c r="D244" i="49"/>
  <c r="F244" i="49" s="1"/>
  <c r="G243" i="49"/>
  <c r="D243" i="49"/>
  <c r="F243" i="49" s="1"/>
  <c r="G242" i="49"/>
  <c r="D242" i="49"/>
  <c r="F242" i="49" s="1"/>
  <c r="G241" i="49"/>
  <c r="D241" i="49"/>
  <c r="F241" i="49" s="1"/>
  <c r="G240" i="49"/>
  <c r="D240" i="49"/>
  <c r="F240" i="49" s="1"/>
  <c r="G239" i="49"/>
  <c r="D239" i="49"/>
  <c r="A209" i="49"/>
  <c r="G234" i="49"/>
  <c r="D234" i="49"/>
  <c r="F234" i="49" s="1"/>
  <c r="G233" i="49"/>
  <c r="D233" i="49"/>
  <c r="F233" i="49" s="1"/>
  <c r="G232" i="49"/>
  <c r="D232" i="49"/>
  <c r="F232" i="49" s="1"/>
  <c r="G231" i="49"/>
  <c r="D231" i="49"/>
  <c r="F231" i="49" s="1"/>
  <c r="G230" i="49"/>
  <c r="D230" i="49"/>
  <c r="F230" i="49" s="1"/>
  <c r="G229" i="49"/>
  <c r="D229" i="49"/>
  <c r="F229" i="49" s="1"/>
  <c r="G228" i="49"/>
  <c r="D228" i="49"/>
  <c r="F228" i="49" s="1"/>
  <c r="G227" i="49"/>
  <c r="D227" i="49"/>
  <c r="F227" i="49" s="1"/>
  <c r="G226" i="49"/>
  <c r="D226" i="49"/>
  <c r="F226" i="49" s="1"/>
  <c r="G225" i="49"/>
  <c r="D225" i="49"/>
  <c r="F225" i="49" s="1"/>
  <c r="G224" i="49"/>
  <c r="D224" i="49"/>
  <c r="F224" i="49" s="1"/>
  <c r="G223" i="49"/>
  <c r="D223" i="49"/>
  <c r="F223" i="49" s="1"/>
  <c r="G222" i="49"/>
  <c r="D222" i="49"/>
  <c r="F222" i="49" s="1"/>
  <c r="G221" i="49"/>
  <c r="D221" i="49"/>
  <c r="F221" i="49" s="1"/>
  <c r="G220" i="49"/>
  <c r="D220" i="49"/>
  <c r="F220" i="49" s="1"/>
  <c r="G219" i="49"/>
  <c r="D219" i="49"/>
  <c r="F219" i="49" s="1"/>
  <c r="G218" i="49"/>
  <c r="D218" i="49"/>
  <c r="F218" i="49" s="1"/>
  <c r="G217" i="49"/>
  <c r="D217" i="49"/>
  <c r="F217" i="49" s="1"/>
  <c r="G216" i="49"/>
  <c r="D216" i="49"/>
  <c r="F216" i="49" s="1"/>
  <c r="G215" i="49"/>
  <c r="D215" i="49"/>
  <c r="F215" i="49" s="1"/>
  <c r="G214" i="49"/>
  <c r="D214" i="49"/>
  <c r="F214" i="49" s="1"/>
  <c r="G213" i="49"/>
  <c r="D213" i="49"/>
  <c r="F213" i="49" s="1"/>
  <c r="G212" i="49"/>
  <c r="D212" i="49"/>
  <c r="F212" i="49" s="1"/>
  <c r="G211" i="49"/>
  <c r="D211" i="49"/>
  <c r="G210" i="49"/>
  <c r="D210" i="49"/>
  <c r="A180" i="49"/>
  <c r="G205" i="49"/>
  <c r="D205" i="49"/>
  <c r="F205" i="49" s="1"/>
  <c r="G204" i="49"/>
  <c r="D204" i="49"/>
  <c r="F204" i="49" s="1"/>
  <c r="G203" i="49"/>
  <c r="D203" i="49"/>
  <c r="F203" i="49" s="1"/>
  <c r="G202" i="49"/>
  <c r="D202" i="49"/>
  <c r="F202" i="49" s="1"/>
  <c r="G201" i="49"/>
  <c r="D201" i="49"/>
  <c r="F201" i="49" s="1"/>
  <c r="G200" i="49"/>
  <c r="D200" i="49"/>
  <c r="F200" i="49" s="1"/>
  <c r="G199" i="49"/>
  <c r="D199" i="49"/>
  <c r="F199" i="49" s="1"/>
  <c r="G198" i="49"/>
  <c r="D198" i="49"/>
  <c r="F198" i="49" s="1"/>
  <c r="G197" i="49"/>
  <c r="D197" i="49"/>
  <c r="F197" i="49" s="1"/>
  <c r="G196" i="49"/>
  <c r="D196" i="49"/>
  <c r="F196" i="49" s="1"/>
  <c r="G195" i="49"/>
  <c r="D195" i="49"/>
  <c r="F195" i="49" s="1"/>
  <c r="G194" i="49"/>
  <c r="D194" i="49"/>
  <c r="F194" i="49" s="1"/>
  <c r="G193" i="49"/>
  <c r="D193" i="49"/>
  <c r="F193" i="49" s="1"/>
  <c r="G192" i="49"/>
  <c r="D192" i="49"/>
  <c r="F192" i="49" s="1"/>
  <c r="G191" i="49"/>
  <c r="D191" i="49"/>
  <c r="F191" i="49" s="1"/>
  <c r="G190" i="49"/>
  <c r="D190" i="49"/>
  <c r="F190" i="49" s="1"/>
  <c r="G189" i="49"/>
  <c r="D189" i="49"/>
  <c r="F189" i="49" s="1"/>
  <c r="G188" i="49"/>
  <c r="D188" i="49"/>
  <c r="F188" i="49" s="1"/>
  <c r="G187" i="49"/>
  <c r="D187" i="49"/>
  <c r="F187" i="49" s="1"/>
  <c r="G186" i="49"/>
  <c r="D186" i="49"/>
  <c r="F186" i="49" s="1"/>
  <c r="G185" i="49"/>
  <c r="D185" i="49"/>
  <c r="F185" i="49" s="1"/>
  <c r="G184" i="49"/>
  <c r="D184" i="49"/>
  <c r="F184" i="49" s="1"/>
  <c r="G183" i="49"/>
  <c r="D183" i="49"/>
  <c r="F183" i="49" s="1"/>
  <c r="G182" i="49"/>
  <c r="D182" i="49"/>
  <c r="G181" i="49"/>
  <c r="D181" i="49"/>
  <c r="G152" i="49"/>
  <c r="D152" i="49"/>
  <c r="A151" i="49"/>
  <c r="G176" i="49"/>
  <c r="D176" i="49"/>
  <c r="F176" i="49" s="1"/>
  <c r="G175" i="49"/>
  <c r="D175" i="49"/>
  <c r="F175" i="49" s="1"/>
  <c r="G174" i="49"/>
  <c r="D174" i="49"/>
  <c r="F174" i="49" s="1"/>
  <c r="G173" i="49"/>
  <c r="D173" i="49"/>
  <c r="F173" i="49" s="1"/>
  <c r="G172" i="49"/>
  <c r="D172" i="49"/>
  <c r="F172" i="49" s="1"/>
  <c r="G171" i="49"/>
  <c r="D171" i="49"/>
  <c r="F171" i="49" s="1"/>
  <c r="G170" i="49"/>
  <c r="D170" i="49"/>
  <c r="F170" i="49" s="1"/>
  <c r="G169" i="49"/>
  <c r="D169" i="49"/>
  <c r="F169" i="49" s="1"/>
  <c r="G168" i="49"/>
  <c r="D168" i="49"/>
  <c r="F168" i="49" s="1"/>
  <c r="G167" i="49"/>
  <c r="D167" i="49"/>
  <c r="F167" i="49" s="1"/>
  <c r="G166" i="49"/>
  <c r="D166" i="49"/>
  <c r="F166" i="49" s="1"/>
  <c r="G165" i="49"/>
  <c r="D165" i="49"/>
  <c r="F165" i="49" s="1"/>
  <c r="G164" i="49"/>
  <c r="D164" i="49"/>
  <c r="F164" i="49" s="1"/>
  <c r="G163" i="49"/>
  <c r="D163" i="49"/>
  <c r="F163" i="49" s="1"/>
  <c r="G162" i="49"/>
  <c r="D162" i="49"/>
  <c r="F162" i="49" s="1"/>
  <c r="G161" i="49"/>
  <c r="D161" i="49"/>
  <c r="F161" i="49" s="1"/>
  <c r="G160" i="49"/>
  <c r="D160" i="49"/>
  <c r="F160" i="49" s="1"/>
  <c r="G159" i="49"/>
  <c r="D159" i="49"/>
  <c r="F159" i="49" s="1"/>
  <c r="G158" i="49"/>
  <c r="D158" i="49"/>
  <c r="F158" i="49" s="1"/>
  <c r="G157" i="49"/>
  <c r="D157" i="49"/>
  <c r="F157" i="49" s="1"/>
  <c r="G156" i="49"/>
  <c r="D156" i="49"/>
  <c r="F156" i="49" s="1"/>
  <c r="G155" i="49"/>
  <c r="D155" i="49"/>
  <c r="F155" i="49" s="1"/>
  <c r="G154" i="49"/>
  <c r="D154" i="49"/>
  <c r="F154" i="49" s="1"/>
  <c r="G153" i="49"/>
  <c r="D153" i="49"/>
  <c r="S9" i="78"/>
  <c r="S46" i="78" s="1"/>
  <c r="S83" i="78" s="1"/>
  <c r="S10" i="78"/>
  <c r="S47" i="78" s="1"/>
  <c r="S84" i="78" s="1"/>
  <c r="S11" i="78"/>
  <c r="S48" i="78" s="1"/>
  <c r="S85" i="78" s="1"/>
  <c r="S12" i="78"/>
  <c r="S49" i="78" s="1"/>
  <c r="S86" i="78" s="1"/>
  <c r="S13" i="78"/>
  <c r="S50" i="78" s="1"/>
  <c r="S87" i="78" s="1"/>
  <c r="S14" i="78"/>
  <c r="S51" i="78" s="1"/>
  <c r="S88" i="78" s="1"/>
  <c r="S15" i="78"/>
  <c r="S52" i="78" s="1"/>
  <c r="S89" i="78" s="1"/>
  <c r="S16" i="78"/>
  <c r="S53" i="78" s="1"/>
  <c r="S90" i="78" s="1"/>
  <c r="S17" i="78"/>
  <c r="S54" i="78" s="1"/>
  <c r="S91" i="78" s="1"/>
  <c r="S18" i="78"/>
  <c r="S55" i="78" s="1"/>
  <c r="S92" i="78" s="1"/>
  <c r="S19" i="78"/>
  <c r="S56" i="78" s="1"/>
  <c r="S93" i="78" s="1"/>
  <c r="S20" i="78"/>
  <c r="S57" i="78" s="1"/>
  <c r="S94" i="78" s="1"/>
  <c r="S21" i="78"/>
  <c r="S58" i="78" s="1"/>
  <c r="S95" i="78" s="1"/>
  <c r="S22" i="78"/>
  <c r="S59" i="78" s="1"/>
  <c r="S96" i="78" s="1"/>
  <c r="S23" i="78"/>
  <c r="S60" i="78" s="1"/>
  <c r="S97" i="78" s="1"/>
  <c r="S24" i="78"/>
  <c r="S61" i="78" s="1"/>
  <c r="S98" i="78" s="1"/>
  <c r="S25" i="78"/>
  <c r="S62" i="78" s="1"/>
  <c r="S99" i="78" s="1"/>
  <c r="S26" i="78"/>
  <c r="S63" i="78" s="1"/>
  <c r="S100" i="78" s="1"/>
  <c r="S27" i="78"/>
  <c r="S64" i="78" s="1"/>
  <c r="S101" i="78" s="1"/>
  <c r="S28" i="78"/>
  <c r="S65" i="78" s="1"/>
  <c r="S102" i="78" s="1"/>
  <c r="S29" i="78"/>
  <c r="S66" i="78" s="1"/>
  <c r="S103" i="78" s="1"/>
  <c r="S30" i="78"/>
  <c r="S67" i="78" s="1"/>
  <c r="S104" i="78" s="1"/>
  <c r="S31" i="78"/>
  <c r="S68" i="78" s="1"/>
  <c r="S105" i="78" s="1"/>
  <c r="S32" i="78"/>
  <c r="S69" i="78" s="1"/>
  <c r="S106" i="78" s="1"/>
  <c r="T8" i="78"/>
  <c r="S8" i="78"/>
  <c r="S45" i="78" s="1"/>
  <c r="S82" i="78" s="1"/>
  <c r="F120" i="78"/>
  <c r="F121" i="78"/>
  <c r="F122" i="78"/>
  <c r="F123" i="78"/>
  <c r="F124" i="78"/>
  <c r="F125" i="78"/>
  <c r="F126" i="78"/>
  <c r="F127" i="78"/>
  <c r="F128" i="78"/>
  <c r="F129" i="78"/>
  <c r="F130" i="78"/>
  <c r="F131" i="78"/>
  <c r="F132" i="78"/>
  <c r="F133" i="78"/>
  <c r="F134" i="78"/>
  <c r="F135" i="78"/>
  <c r="F136" i="78"/>
  <c r="F137" i="78"/>
  <c r="F138" i="78"/>
  <c r="F139" i="78"/>
  <c r="F140" i="78"/>
  <c r="F141" i="78"/>
  <c r="F142" i="78"/>
  <c r="F143" i="78"/>
  <c r="F119" i="78"/>
  <c r="F117" i="78"/>
  <c r="H29" i="78"/>
  <c r="H66" i="78" s="1"/>
  <c r="H103" i="78" s="1"/>
  <c r="I8" i="78"/>
  <c r="H45" i="78"/>
  <c r="H82" i="78" s="1"/>
  <c r="H8" i="71"/>
  <c r="H9" i="71"/>
  <c r="H10" i="71"/>
  <c r="H11" i="71"/>
  <c r="H12" i="71"/>
  <c r="H13" i="71"/>
  <c r="H14" i="71"/>
  <c r="H15" i="71"/>
  <c r="H16" i="71"/>
  <c r="H17" i="71"/>
  <c r="H18" i="71"/>
  <c r="H19" i="71"/>
  <c r="H20" i="71"/>
  <c r="H21" i="71"/>
  <c r="H22" i="71"/>
  <c r="H23" i="71"/>
  <c r="H24" i="71"/>
  <c r="H25" i="71"/>
  <c r="H26" i="71"/>
  <c r="H27" i="71"/>
  <c r="H28" i="71"/>
  <c r="H29" i="71"/>
  <c r="H30" i="71"/>
  <c r="H31" i="71"/>
  <c r="H32" i="71"/>
  <c r="H9" i="78"/>
  <c r="H46" i="78" s="1"/>
  <c r="H83" i="78" s="1"/>
  <c r="H10" i="78"/>
  <c r="H47" i="78" s="1"/>
  <c r="H84" i="78" s="1"/>
  <c r="H11" i="78"/>
  <c r="H48" i="78" s="1"/>
  <c r="H85" i="78" s="1"/>
  <c r="H12" i="78"/>
  <c r="H49" i="78" s="1"/>
  <c r="H86" i="78" s="1"/>
  <c r="H13" i="78"/>
  <c r="H50" i="78" s="1"/>
  <c r="H87" i="78" s="1"/>
  <c r="H14" i="78"/>
  <c r="H51" i="78" s="1"/>
  <c r="H88" i="78" s="1"/>
  <c r="H15" i="78"/>
  <c r="H52" i="78" s="1"/>
  <c r="H89" i="78" s="1"/>
  <c r="H16" i="78"/>
  <c r="H53" i="78" s="1"/>
  <c r="H90" i="78" s="1"/>
  <c r="H17" i="78"/>
  <c r="H54" i="78" s="1"/>
  <c r="H91" i="78" s="1"/>
  <c r="H18" i="78"/>
  <c r="H55" i="78" s="1"/>
  <c r="H92" i="78" s="1"/>
  <c r="H19" i="78"/>
  <c r="H56" i="78" s="1"/>
  <c r="H93" i="78" s="1"/>
  <c r="H20" i="78"/>
  <c r="H57" i="78" s="1"/>
  <c r="H94" i="78" s="1"/>
  <c r="H21" i="78"/>
  <c r="H58" i="78" s="1"/>
  <c r="H95" i="78" s="1"/>
  <c r="H22" i="78"/>
  <c r="H59" i="78" s="1"/>
  <c r="H96" i="78" s="1"/>
  <c r="H23" i="78"/>
  <c r="H60" i="78" s="1"/>
  <c r="H97" i="78" s="1"/>
  <c r="H24" i="78"/>
  <c r="H61" i="78" s="1"/>
  <c r="H98" i="78" s="1"/>
  <c r="H25" i="78"/>
  <c r="H62" i="78" s="1"/>
  <c r="H99" i="78" s="1"/>
  <c r="H26" i="78"/>
  <c r="H63" i="78" s="1"/>
  <c r="H100" i="78" s="1"/>
  <c r="H27" i="78"/>
  <c r="H64" i="78" s="1"/>
  <c r="H101" i="78" s="1"/>
  <c r="H28" i="78"/>
  <c r="H65" i="78" s="1"/>
  <c r="H102" i="78" s="1"/>
  <c r="H30" i="78"/>
  <c r="H67" i="78" s="1"/>
  <c r="H104" i="78" s="1"/>
  <c r="H31" i="78"/>
  <c r="H68" i="78" s="1"/>
  <c r="H105" i="78" s="1"/>
  <c r="H32" i="78"/>
  <c r="H69" i="78" s="1"/>
  <c r="H106" i="78" s="1"/>
  <c r="H4" i="78"/>
  <c r="BV41" i="78" s="1"/>
  <c r="M5" i="76"/>
  <c r="M9" i="76"/>
  <c r="M15" i="76"/>
  <c r="F120" i="71"/>
  <c r="N83" i="75" s="1"/>
  <c r="F121" i="71"/>
  <c r="N84" i="75" s="1"/>
  <c r="F122" i="71"/>
  <c r="N85" i="75" s="1"/>
  <c r="F123" i="71"/>
  <c r="N86" i="75" s="1"/>
  <c r="F124" i="71"/>
  <c r="N87" i="75" s="1"/>
  <c r="F125" i="71"/>
  <c r="N88" i="75" s="1"/>
  <c r="F126" i="71"/>
  <c r="N89" i="75" s="1"/>
  <c r="F127" i="71"/>
  <c r="N90" i="75" s="1"/>
  <c r="F128" i="71"/>
  <c r="N91" i="75" s="1"/>
  <c r="F129" i="71"/>
  <c r="N92" i="75" s="1"/>
  <c r="F130" i="71"/>
  <c r="N93" i="75" s="1"/>
  <c r="F131" i="71"/>
  <c r="N94" i="75" s="1"/>
  <c r="F132" i="71"/>
  <c r="N95" i="75" s="1"/>
  <c r="F133" i="71"/>
  <c r="N96" i="75" s="1"/>
  <c r="F134" i="71"/>
  <c r="N97" i="75" s="1"/>
  <c r="F135" i="71"/>
  <c r="N98" i="75" s="1"/>
  <c r="F136" i="71"/>
  <c r="N99" i="75" s="1"/>
  <c r="F137" i="71"/>
  <c r="N100" i="75" s="1"/>
  <c r="F138" i="71"/>
  <c r="N101" i="75" s="1"/>
  <c r="F139" i="71"/>
  <c r="N102" i="75" s="1"/>
  <c r="F140" i="71"/>
  <c r="N103" i="75" s="1"/>
  <c r="F141" i="71"/>
  <c r="N104" i="75" s="1"/>
  <c r="F142" i="71"/>
  <c r="N105" i="75" s="1"/>
  <c r="F143" i="71"/>
  <c r="N106" i="75" s="1"/>
  <c r="F119" i="71"/>
  <c r="N82" i="75" s="1"/>
  <c r="F117" i="71"/>
  <c r="F83" i="71"/>
  <c r="F84" i="71"/>
  <c r="F85" i="71"/>
  <c r="F86" i="71"/>
  <c r="F87" i="71"/>
  <c r="F88" i="71"/>
  <c r="F89" i="71"/>
  <c r="F90" i="71"/>
  <c r="F91" i="71"/>
  <c r="F92" i="71"/>
  <c r="F93" i="71"/>
  <c r="F94" i="71"/>
  <c r="F95" i="71"/>
  <c r="F96" i="71"/>
  <c r="F97" i="71"/>
  <c r="F98" i="71"/>
  <c r="F99" i="71"/>
  <c r="F100" i="71"/>
  <c r="F101" i="71"/>
  <c r="F102" i="71"/>
  <c r="F103" i="71"/>
  <c r="F104" i="71"/>
  <c r="F105" i="71"/>
  <c r="F106" i="71"/>
  <c r="F82" i="71"/>
  <c r="F80" i="71"/>
  <c r="D207" i="49" l="1"/>
  <c r="D236" i="49"/>
  <c r="D294" i="49"/>
  <c r="D178" i="49"/>
  <c r="D265" i="49"/>
  <c r="AE35" i="78"/>
  <c r="AP82" i="78"/>
  <c r="AP35" i="78"/>
  <c r="I45" i="78"/>
  <c r="BA45" i="78"/>
  <c r="BA35" i="78"/>
  <c r="BL35" i="78"/>
  <c r="T82" i="78"/>
  <c r="BW82" i="78"/>
  <c r="BW35" i="78"/>
  <c r="CH82" i="78"/>
  <c r="CH35" i="78"/>
  <c r="CS45" i="78"/>
  <c r="CS35" i="78"/>
  <c r="F268" i="49"/>
  <c r="L107" i="49" a="1"/>
  <c r="F210" i="49"/>
  <c r="L85" i="49" a="1"/>
  <c r="L63" i="49" a="1"/>
  <c r="F239" i="49"/>
  <c r="F265" i="49" s="1"/>
  <c r="L96" i="49" a="1"/>
  <c r="F181" i="49"/>
  <c r="L74" i="49" a="1"/>
  <c r="AE56" i="78"/>
  <c r="AQ20" i="78"/>
  <c r="AQ57" i="78" s="1"/>
  <c r="AQ94" i="78" s="1"/>
  <c r="AQ28" i="78"/>
  <c r="AQ65" i="78" s="1"/>
  <c r="AQ102" i="78" s="1"/>
  <c r="BA66" i="78"/>
  <c r="AE101" i="78"/>
  <c r="BL96" i="78"/>
  <c r="H61" i="71"/>
  <c r="H98" i="71" s="1"/>
  <c r="P53" i="31"/>
  <c r="H49" i="71"/>
  <c r="H86" i="71" s="1"/>
  <c r="P41" i="31"/>
  <c r="H59" i="71"/>
  <c r="H96" i="71" s="1"/>
  <c r="P51" i="31"/>
  <c r="H47" i="71"/>
  <c r="H84" i="71" s="1"/>
  <c r="P39" i="31"/>
  <c r="H58" i="71"/>
  <c r="H95" i="71" s="1"/>
  <c r="P50" i="31"/>
  <c r="H46" i="71"/>
  <c r="H83" i="71" s="1"/>
  <c r="P38" i="31"/>
  <c r="H69" i="71"/>
  <c r="H106" i="71" s="1"/>
  <c r="P61" i="31"/>
  <c r="H57" i="71"/>
  <c r="H94" i="71" s="1"/>
  <c r="P49" i="31"/>
  <c r="H45" i="71"/>
  <c r="H82" i="71" s="1"/>
  <c r="P37" i="31"/>
  <c r="H48" i="71"/>
  <c r="H85" i="71" s="1"/>
  <c r="P40" i="31"/>
  <c r="H68" i="71"/>
  <c r="H105" i="71" s="1"/>
  <c r="P60" i="31"/>
  <c r="H56" i="71"/>
  <c r="H93" i="71" s="1"/>
  <c r="P48" i="31"/>
  <c r="H67" i="71"/>
  <c r="H104" i="71" s="1"/>
  <c r="P59" i="31"/>
  <c r="H55" i="71"/>
  <c r="H92" i="71" s="1"/>
  <c r="P47" i="31"/>
  <c r="H66" i="71"/>
  <c r="H103" i="71" s="1"/>
  <c r="P58" i="31"/>
  <c r="H54" i="71"/>
  <c r="H91" i="71" s="1"/>
  <c r="P46" i="31"/>
  <c r="H60" i="71"/>
  <c r="H97" i="71" s="1"/>
  <c r="P52" i="31"/>
  <c r="H65" i="71"/>
  <c r="H102" i="71" s="1"/>
  <c r="P57" i="31"/>
  <c r="H53" i="71"/>
  <c r="H90" i="71" s="1"/>
  <c r="P45" i="31"/>
  <c r="H64" i="71"/>
  <c r="H101" i="71" s="1"/>
  <c r="P56" i="31"/>
  <c r="H52" i="71"/>
  <c r="H89" i="71" s="1"/>
  <c r="P44" i="31"/>
  <c r="H63" i="71"/>
  <c r="H100" i="71" s="1"/>
  <c r="P55" i="31"/>
  <c r="H51" i="71"/>
  <c r="H88" i="71" s="1"/>
  <c r="P43" i="31"/>
  <c r="H62" i="71"/>
  <c r="H99" i="71" s="1"/>
  <c r="P54" i="31"/>
  <c r="H50" i="71"/>
  <c r="H87" i="71" s="1"/>
  <c r="P42" i="31"/>
  <c r="M26" i="76"/>
  <c r="CH84" i="78"/>
  <c r="CR45" i="78"/>
  <c r="CR82" i="78" s="1"/>
  <c r="BV78" i="78"/>
  <c r="AQ16" i="78"/>
  <c r="AQ53" i="78" s="1"/>
  <c r="AQ90" i="78" s="1"/>
  <c r="AF26" i="78"/>
  <c r="AF63" i="78" s="1"/>
  <c r="AF100" i="78" s="1"/>
  <c r="CI31" i="78"/>
  <c r="CI68" i="78" s="1"/>
  <c r="CI105" i="78" s="1"/>
  <c r="CT16" i="78"/>
  <c r="CT53" i="78" s="1"/>
  <c r="CT90" i="78" s="1"/>
  <c r="AF9" i="78"/>
  <c r="AF46" i="78" s="1"/>
  <c r="AF83" i="78" s="1"/>
  <c r="BX13" i="78"/>
  <c r="BX50" i="78" s="1"/>
  <c r="BX87" i="78" s="1"/>
  <c r="AZ78" i="78"/>
  <c r="CR63" i="78"/>
  <c r="CR100" i="78" s="1"/>
  <c r="CT24" i="78"/>
  <c r="CT61" i="78" s="1"/>
  <c r="CT98" i="78" s="1"/>
  <c r="AD41" i="78"/>
  <c r="CI26" i="78"/>
  <c r="CI63" i="78" s="1"/>
  <c r="CI100" i="78" s="1"/>
  <c r="CG41" i="78"/>
  <c r="CG78" i="78"/>
  <c r="BK41" i="78"/>
  <c r="CI21" i="78"/>
  <c r="CI58" i="78" s="1"/>
  <c r="CI95" i="78" s="1"/>
  <c r="BX10" i="78"/>
  <c r="BX47" i="78" s="1"/>
  <c r="BX84" i="78" s="1"/>
  <c r="AZ41" i="78"/>
  <c r="BK78" i="78"/>
  <c r="CG54" i="78"/>
  <c r="CG91" i="78" s="1"/>
  <c r="CR78" i="78"/>
  <c r="BB31" i="78"/>
  <c r="BB68" i="78" s="1"/>
  <c r="BB105" i="78" s="1"/>
  <c r="CR41" i="78"/>
  <c r="AD78" i="78"/>
  <c r="AO41" i="78"/>
  <c r="AO78" i="78"/>
  <c r="BX31" i="78"/>
  <c r="BX68" i="78" s="1"/>
  <c r="BX105" i="78" s="1"/>
  <c r="BX15" i="78"/>
  <c r="BX52" i="78" s="1"/>
  <c r="BX89" i="78" s="1"/>
  <c r="CS66" i="78"/>
  <c r="AP87" i="78"/>
  <c r="CT10" i="78"/>
  <c r="CT47" i="78" s="1"/>
  <c r="CT84" i="78" s="1"/>
  <c r="BA84" i="78"/>
  <c r="BA82" i="78"/>
  <c r="BA63" i="78"/>
  <c r="I82" i="78"/>
  <c r="BA102" i="78"/>
  <c r="CH59" i="78"/>
  <c r="CS49" i="78"/>
  <c r="AP45" i="78"/>
  <c r="CH49" i="78"/>
  <c r="CH92" i="78"/>
  <c r="BW57" i="78"/>
  <c r="BA90" i="78"/>
  <c r="BW83" i="78"/>
  <c r="BW100" i="78"/>
  <c r="CI10" i="78"/>
  <c r="CI47" i="78" s="1"/>
  <c r="CI84" i="78" s="1"/>
  <c r="BA55" i="78"/>
  <c r="T45" i="78"/>
  <c r="AE84" i="78"/>
  <c r="AQ25" i="78"/>
  <c r="AQ62" i="78" s="1"/>
  <c r="AQ99" i="78" s="1"/>
  <c r="BL102" i="78"/>
  <c r="CS105" i="78"/>
  <c r="U8" i="78"/>
  <c r="U45" i="78" s="1"/>
  <c r="U82" i="78" s="1"/>
  <c r="AF10" i="78"/>
  <c r="AF47" i="78" s="1"/>
  <c r="AF84" i="78" s="1"/>
  <c r="BB18" i="78"/>
  <c r="BB55" i="78" s="1"/>
  <c r="BB92" i="78" s="1"/>
  <c r="AP63" i="78"/>
  <c r="BB8" i="78"/>
  <c r="BB45" i="78" s="1"/>
  <c r="BB82" i="78" s="1"/>
  <c r="BL49" i="78"/>
  <c r="CI20" i="78"/>
  <c r="CI57" i="78" s="1"/>
  <c r="CI94" i="78" s="1"/>
  <c r="CS95" i="78"/>
  <c r="AQ26" i="78"/>
  <c r="AQ63" i="78" s="1"/>
  <c r="AQ100" i="78" s="1"/>
  <c r="BB9" i="78"/>
  <c r="BB46" i="78" s="1"/>
  <c r="BB83" i="78" s="1"/>
  <c r="BX19" i="78"/>
  <c r="BX56" i="78" s="1"/>
  <c r="BX93" i="78" s="1"/>
  <c r="CH65" i="78"/>
  <c r="AF18" i="78"/>
  <c r="AF55" i="78" s="1"/>
  <c r="AF92" i="78" s="1"/>
  <c r="CS90" i="78"/>
  <c r="F152" i="49"/>
  <c r="AE63" i="78"/>
  <c r="AE100" i="78"/>
  <c r="AP47" i="78"/>
  <c r="BA86" i="78"/>
  <c r="BL87" i="78"/>
  <c r="BL103" i="78"/>
  <c r="CS53" i="78"/>
  <c r="J8" i="78"/>
  <c r="J45" i="78" s="1"/>
  <c r="J82" i="78" s="1"/>
  <c r="AQ10" i="78"/>
  <c r="AQ47" i="78" s="1"/>
  <c r="AQ84" i="78" s="1"/>
  <c r="BM12" i="78"/>
  <c r="BM49" i="78" s="1"/>
  <c r="BM86" i="78" s="1"/>
  <c r="BW86" i="78"/>
  <c r="BX32" i="78"/>
  <c r="BX69" i="78" s="1"/>
  <c r="BX106" i="78" s="1"/>
  <c r="CI25" i="78"/>
  <c r="CI62" i="78" s="1"/>
  <c r="CI99" i="78" s="1"/>
  <c r="AE92" i="78"/>
  <c r="BB10" i="78"/>
  <c r="BB47" i="78" s="1"/>
  <c r="BB84" i="78" s="1"/>
  <c r="BA94" i="78"/>
  <c r="BW84" i="78"/>
  <c r="CI8" i="78"/>
  <c r="CI45" i="78" s="1"/>
  <c r="CI82" i="78" s="1"/>
  <c r="CT23" i="78"/>
  <c r="CT60" i="78" s="1"/>
  <c r="CT97" i="78" s="1"/>
  <c r="CS98" i="78"/>
  <c r="CS61" i="78"/>
  <c r="AQ18" i="78"/>
  <c r="AQ55" i="78" s="1"/>
  <c r="AQ92" i="78" s="1"/>
  <c r="AQ8" i="78"/>
  <c r="AQ45" i="78" s="1"/>
  <c r="AQ82" i="78" s="1"/>
  <c r="AQ13" i="78"/>
  <c r="AQ50" i="78" s="1"/>
  <c r="AQ87" i="78" s="1"/>
  <c r="AP103" i="78"/>
  <c r="BX16" i="78"/>
  <c r="BX53" i="78" s="1"/>
  <c r="BX90" i="78" s="1"/>
  <c r="BX28" i="78"/>
  <c r="BX65" i="78" s="1"/>
  <c r="BX102" i="78" s="1"/>
  <c r="CI9" i="78"/>
  <c r="CI46" i="78" s="1"/>
  <c r="CI83" i="78" s="1"/>
  <c r="CH105" i="78"/>
  <c r="CT18" i="78"/>
  <c r="CT55" i="78" s="1"/>
  <c r="CT92" i="78" s="1"/>
  <c r="CT31" i="78"/>
  <c r="CT68" i="78" s="1"/>
  <c r="CT105" i="78" s="1"/>
  <c r="AE48" i="78"/>
  <c r="AQ9" i="78"/>
  <c r="AQ46" i="78" s="1"/>
  <c r="AQ83" i="78" s="1"/>
  <c r="AP86" i="78"/>
  <c r="AP92" i="78"/>
  <c r="AQ23" i="78"/>
  <c r="AQ60" i="78" s="1"/>
  <c r="AQ97" i="78" s="1"/>
  <c r="AP60" i="78"/>
  <c r="BA50" i="78"/>
  <c r="BB32" i="78"/>
  <c r="BB69" i="78" s="1"/>
  <c r="BB106" i="78" s="1"/>
  <c r="BL83" i="78"/>
  <c r="BM20" i="78"/>
  <c r="BM57" i="78" s="1"/>
  <c r="BM94" i="78" s="1"/>
  <c r="BL99" i="78"/>
  <c r="BL51" i="78"/>
  <c r="BX12" i="78"/>
  <c r="BX49" i="78" s="1"/>
  <c r="BX86" i="78" s="1"/>
  <c r="BX17" i="78"/>
  <c r="BX54" i="78" s="1"/>
  <c r="BX91" i="78" s="1"/>
  <c r="BX26" i="78"/>
  <c r="BX63" i="78" s="1"/>
  <c r="BX100" i="78" s="1"/>
  <c r="CH88" i="78"/>
  <c r="CH104" i="78"/>
  <c r="CS89" i="78"/>
  <c r="BB24" i="78"/>
  <c r="BB61" i="78" s="1"/>
  <c r="BB98" i="78" s="1"/>
  <c r="BM17" i="78"/>
  <c r="BM54" i="78" s="1"/>
  <c r="BM91" i="78" s="1"/>
  <c r="BL54" i="78"/>
  <c r="BX23" i="78"/>
  <c r="BX60" i="78" s="1"/>
  <c r="BX97" i="78" s="1"/>
  <c r="BW60" i="78"/>
  <c r="BW68" i="78"/>
  <c r="CT17" i="78"/>
  <c r="CT54" i="78" s="1"/>
  <c r="CT91" i="78" s="1"/>
  <c r="AE104" i="78"/>
  <c r="AP105" i="78"/>
  <c r="BB25" i="78"/>
  <c r="BB62" i="78" s="1"/>
  <c r="BB99" i="78" s="1"/>
  <c r="BA68" i="78"/>
  <c r="BA95" i="78"/>
  <c r="BM22" i="78"/>
  <c r="BM59" i="78" s="1"/>
  <c r="BM96" i="78" s="1"/>
  <c r="BX9" i="78"/>
  <c r="BX46" i="78" s="1"/>
  <c r="BX83" i="78" s="1"/>
  <c r="BX18" i="78"/>
  <c r="BX55" i="78" s="1"/>
  <c r="BX92" i="78" s="1"/>
  <c r="BW102" i="78"/>
  <c r="BW89" i="78"/>
  <c r="BW105" i="78"/>
  <c r="CI27" i="78"/>
  <c r="CI64" i="78" s="1"/>
  <c r="CI101" i="78" s="1"/>
  <c r="CS60" i="78"/>
  <c r="CS82" i="78"/>
  <c r="BB16" i="78"/>
  <c r="BB53" i="78" s="1"/>
  <c r="BB90" i="78" s="1"/>
  <c r="AQ17" i="78"/>
  <c r="AQ54" i="78" s="1"/>
  <c r="AQ91" i="78" s="1"/>
  <c r="AP94" i="78"/>
  <c r="BB17" i="78"/>
  <c r="BB54" i="78" s="1"/>
  <c r="BB91" i="78" s="1"/>
  <c r="BB26" i="78"/>
  <c r="BB63" i="78" s="1"/>
  <c r="BB100" i="78" s="1"/>
  <c r="BA60" i="78"/>
  <c r="BM28" i="78"/>
  <c r="BM65" i="78" s="1"/>
  <c r="BM102" i="78" s="1"/>
  <c r="BL57" i="78"/>
  <c r="BX20" i="78"/>
  <c r="BX57" i="78" s="1"/>
  <c r="BX94" i="78" s="1"/>
  <c r="BX25" i="78"/>
  <c r="BX62" i="78" s="1"/>
  <c r="BX99" i="78" s="1"/>
  <c r="BW47" i="78"/>
  <c r="BW55" i="78"/>
  <c r="CI12" i="78"/>
  <c r="CI49" i="78" s="1"/>
  <c r="CI86" i="78" s="1"/>
  <c r="CI28" i="78"/>
  <c r="CI65" i="78" s="1"/>
  <c r="CI102" i="78" s="1"/>
  <c r="AE88" i="78"/>
  <c r="AQ31" i="78"/>
  <c r="AQ68" i="78" s="1"/>
  <c r="AQ105" i="78" s="1"/>
  <c r="CI18" i="78"/>
  <c r="CI55" i="78" s="1"/>
  <c r="CI92" i="78" s="1"/>
  <c r="CH63" i="78"/>
  <c r="AQ12" i="78"/>
  <c r="AQ49" i="78" s="1"/>
  <c r="AQ86" i="78" s="1"/>
  <c r="BA52" i="78"/>
  <c r="BM9" i="78"/>
  <c r="BM46" i="78" s="1"/>
  <c r="BM83" i="78" s="1"/>
  <c r="BM25" i="78"/>
  <c r="BM62" i="78" s="1"/>
  <c r="BM99" i="78" s="1"/>
  <c r="CI19" i="78"/>
  <c r="CI56" i="78" s="1"/>
  <c r="CI93" i="78" s="1"/>
  <c r="CT15" i="78"/>
  <c r="CT52" i="78" s="1"/>
  <c r="CT89" i="78" s="1"/>
  <c r="CT13" i="78"/>
  <c r="CT50" i="78" s="1"/>
  <c r="CT87" i="78" s="1"/>
  <c r="CT21" i="78"/>
  <c r="CT29" i="78"/>
  <c r="CT66" i="78" s="1"/>
  <c r="CT103" i="78" s="1"/>
  <c r="CS65" i="78"/>
  <c r="CT28" i="78"/>
  <c r="CT65" i="78" s="1"/>
  <c r="CT102" i="78" s="1"/>
  <c r="CT12" i="78"/>
  <c r="CT49" i="78" s="1"/>
  <c r="CT86" i="78" s="1"/>
  <c r="CS94" i="78"/>
  <c r="CT32" i="78"/>
  <c r="CT69" i="78" s="1"/>
  <c r="CT106" i="78" s="1"/>
  <c r="CS50" i="78"/>
  <c r="CT20" i="78"/>
  <c r="CT57" i="78" s="1"/>
  <c r="CT94" i="78" s="1"/>
  <c r="CI15" i="78"/>
  <c r="CI52" i="78" s="1"/>
  <c r="CI89" i="78" s="1"/>
  <c r="CI16" i="78"/>
  <c r="CI53" i="78" s="1"/>
  <c r="CI90" i="78" s="1"/>
  <c r="CI24" i="78"/>
  <c r="CI61" i="78" s="1"/>
  <c r="CI98" i="78" s="1"/>
  <c r="CH94" i="78"/>
  <c r="CH68" i="78"/>
  <c r="CH89" i="78"/>
  <c r="CH60" i="78"/>
  <c r="CI23" i="78"/>
  <c r="CI60" i="78" s="1"/>
  <c r="CI97" i="78" s="1"/>
  <c r="CI32" i="78"/>
  <c r="CI69" i="78" s="1"/>
  <c r="CI106" i="78" s="1"/>
  <c r="BW67" i="78"/>
  <c r="BW59" i="78"/>
  <c r="BW51" i="78"/>
  <c r="BM31" i="78"/>
  <c r="BM68" i="78" s="1"/>
  <c r="BM105" i="78" s="1"/>
  <c r="BM14" i="78"/>
  <c r="BM51" i="78" s="1"/>
  <c r="BM88" i="78" s="1"/>
  <c r="BM23" i="78"/>
  <c r="BM60" i="78" s="1"/>
  <c r="BM97" i="78" s="1"/>
  <c r="BL97" i="78"/>
  <c r="BL105" i="78"/>
  <c r="BM15" i="78"/>
  <c r="BM52" i="78" s="1"/>
  <c r="BM89" i="78" s="1"/>
  <c r="BL48" i="78"/>
  <c r="BL52" i="78"/>
  <c r="BA69" i="78"/>
  <c r="BB15" i="78"/>
  <c r="BB52" i="78" s="1"/>
  <c r="BB89" i="78" s="1"/>
  <c r="BB23" i="78"/>
  <c r="BB60" i="78" s="1"/>
  <c r="BB97" i="78" s="1"/>
  <c r="BA61" i="78"/>
  <c r="BB12" i="78"/>
  <c r="BB49" i="78" s="1"/>
  <c r="BB86" i="78" s="1"/>
  <c r="BB20" i="78"/>
  <c r="BB57" i="78" s="1"/>
  <c r="BB94" i="78" s="1"/>
  <c r="BB28" i="78"/>
  <c r="BB65" i="78" s="1"/>
  <c r="BB102" i="78" s="1"/>
  <c r="AQ32" i="78"/>
  <c r="AQ69" i="78" s="1"/>
  <c r="AQ106" i="78" s="1"/>
  <c r="AP90" i="78"/>
  <c r="AP58" i="78"/>
  <c r="AQ29" i="78"/>
  <c r="AQ66" i="78" s="1"/>
  <c r="AQ103" i="78" s="1"/>
  <c r="AP52" i="78"/>
  <c r="AP106" i="78"/>
  <c r="AQ24" i="78"/>
  <c r="AQ61" i="78" s="1"/>
  <c r="AQ98" i="78" s="1"/>
  <c r="AQ21" i="78"/>
  <c r="AQ58" i="78" s="1"/>
  <c r="AQ95" i="78" s="1"/>
  <c r="AP53" i="78"/>
  <c r="AP61" i="78"/>
  <c r="AQ15" i="78"/>
  <c r="AQ52" i="78" s="1"/>
  <c r="AQ89" i="78" s="1"/>
  <c r="AF30" i="78"/>
  <c r="AF67" i="78" s="1"/>
  <c r="AF104" i="78" s="1"/>
  <c r="AF15" i="78"/>
  <c r="AF52" i="78" s="1"/>
  <c r="AF89" i="78" s="1"/>
  <c r="AE52" i="78"/>
  <c r="AE60" i="78"/>
  <c r="AE68" i="78"/>
  <c r="AF23" i="78"/>
  <c r="AF60" i="78" s="1"/>
  <c r="AF97" i="78" s="1"/>
  <c r="AF31" i="78"/>
  <c r="AF68" i="78" s="1"/>
  <c r="AF105" i="78" s="1"/>
  <c r="AF12" i="78"/>
  <c r="AF49" i="78" s="1"/>
  <c r="AF86" i="78" s="1"/>
  <c r="AF20" i="78"/>
  <c r="AF57" i="78" s="1"/>
  <c r="AF94" i="78" s="1"/>
  <c r="AF28" i="78"/>
  <c r="AF65" i="78" s="1"/>
  <c r="AF102" i="78" s="1"/>
  <c r="AE96" i="78"/>
  <c r="AF14" i="78"/>
  <c r="AF51" i="78" s="1"/>
  <c r="AF88" i="78" s="1"/>
  <c r="AF22" i="78"/>
  <c r="AF59" i="78" s="1"/>
  <c r="AF96" i="78" s="1"/>
  <c r="CT19" i="78"/>
  <c r="CT56" i="78" s="1"/>
  <c r="CT93" i="78" s="1"/>
  <c r="CT14" i="78"/>
  <c r="CT51" i="78" s="1"/>
  <c r="CT88" i="78" s="1"/>
  <c r="CS85" i="78"/>
  <c r="CS93" i="78"/>
  <c r="CT9" i="78"/>
  <c r="CT46" i="78" s="1"/>
  <c r="CT83" i="78" s="1"/>
  <c r="CT25" i="78"/>
  <c r="CT62" i="78" s="1"/>
  <c r="CT99" i="78" s="1"/>
  <c r="CS96" i="78"/>
  <c r="CS104" i="78"/>
  <c r="CS51" i="78"/>
  <c r="CR54" i="78"/>
  <c r="CR91" i="78" s="1"/>
  <c r="CS46" i="78"/>
  <c r="CR49" i="78"/>
  <c r="CR86" i="78" s="1"/>
  <c r="CS54" i="78"/>
  <c r="CR57" i="78"/>
  <c r="CR94" i="78" s="1"/>
  <c r="CS62" i="78"/>
  <c r="CR65" i="78"/>
  <c r="CR102" i="78" s="1"/>
  <c r="CT11" i="78"/>
  <c r="CT48" i="78" s="1"/>
  <c r="CT85" i="78" s="1"/>
  <c r="CT27" i="78"/>
  <c r="CT64" i="78" s="1"/>
  <c r="CT101" i="78" s="1"/>
  <c r="CT22" i="78"/>
  <c r="CT59" i="78" s="1"/>
  <c r="CT96" i="78" s="1"/>
  <c r="CT30" i="78"/>
  <c r="CT67" i="78" s="1"/>
  <c r="CT104" i="78" s="1"/>
  <c r="CS101" i="78"/>
  <c r="CH95" i="78"/>
  <c r="CH90" i="78"/>
  <c r="CH98" i="78"/>
  <c r="CH106" i="78"/>
  <c r="CH85" i="78"/>
  <c r="CH93" i="78"/>
  <c r="CG45" i="78"/>
  <c r="CG82" i="78" s="1"/>
  <c r="CH50" i="78"/>
  <c r="CG53" i="78"/>
  <c r="CG90" i="78" s="1"/>
  <c r="CH58" i="78"/>
  <c r="CG61" i="78"/>
  <c r="CG98" i="78" s="1"/>
  <c r="CH66" i="78"/>
  <c r="CG69" i="78"/>
  <c r="CG106" i="78" s="1"/>
  <c r="CI13" i="78"/>
  <c r="CI50" i="78" s="1"/>
  <c r="CI87" i="78" s="1"/>
  <c r="CI29" i="78"/>
  <c r="CI66" i="78" s="1"/>
  <c r="CI103" i="78" s="1"/>
  <c r="CI11" i="78"/>
  <c r="CI48" i="78" s="1"/>
  <c r="CI85" i="78" s="1"/>
  <c r="CI22" i="78"/>
  <c r="CI59" i="78" s="1"/>
  <c r="CI96" i="78" s="1"/>
  <c r="CH45" i="78"/>
  <c r="CG56" i="78"/>
  <c r="CG93" i="78" s="1"/>
  <c r="CG64" i="78"/>
  <c r="CG101" i="78" s="1"/>
  <c r="CI14" i="78"/>
  <c r="CI51" i="78" s="1"/>
  <c r="CI88" i="78" s="1"/>
  <c r="CI30" i="78"/>
  <c r="CI67" i="78" s="1"/>
  <c r="CI104" i="78" s="1"/>
  <c r="CH101" i="78"/>
  <c r="BX21" i="78"/>
  <c r="BX58" i="78" s="1"/>
  <c r="BX95" i="78" s="1"/>
  <c r="BX29" i="78"/>
  <c r="BX66" i="78" s="1"/>
  <c r="BX103" i="78" s="1"/>
  <c r="BX8" i="78"/>
  <c r="BX45" i="78" s="1"/>
  <c r="BX82" i="78" s="1"/>
  <c r="BW87" i="78"/>
  <c r="BW103" i="78"/>
  <c r="BX30" i="78"/>
  <c r="BX67" i="78" s="1"/>
  <c r="BX104" i="78" s="1"/>
  <c r="BW93" i="78"/>
  <c r="BW50" i="78"/>
  <c r="BV53" i="78"/>
  <c r="BV90" i="78" s="1"/>
  <c r="BW58" i="78"/>
  <c r="BV61" i="78"/>
  <c r="BV98" i="78" s="1"/>
  <c r="BV69" i="78"/>
  <c r="BV106" i="78" s="1"/>
  <c r="BX11" i="78"/>
  <c r="BX48" i="78" s="1"/>
  <c r="BX85" i="78" s="1"/>
  <c r="BX27" i="78"/>
  <c r="BX64" i="78" s="1"/>
  <c r="BX101" i="78" s="1"/>
  <c r="BW90" i="78"/>
  <c r="BW98" i="78"/>
  <c r="BW106" i="78"/>
  <c r="BX14" i="78"/>
  <c r="BX51" i="78" s="1"/>
  <c r="BX88" i="78" s="1"/>
  <c r="BX22" i="78"/>
  <c r="BX59" i="78" s="1"/>
  <c r="BX96" i="78" s="1"/>
  <c r="BW45" i="78"/>
  <c r="BV56" i="78"/>
  <c r="BV93" i="78" s="1"/>
  <c r="BW85" i="78"/>
  <c r="BW101" i="78"/>
  <c r="BL61" i="78"/>
  <c r="BL98" i="78"/>
  <c r="BK46" i="78"/>
  <c r="BK83" i="78" s="1"/>
  <c r="BM18" i="78"/>
  <c r="BM55" i="78" s="1"/>
  <c r="BM92" i="78" s="1"/>
  <c r="BL92" i="78"/>
  <c r="BL56" i="78"/>
  <c r="BM10" i="78"/>
  <c r="BM47" i="78" s="1"/>
  <c r="BM84" i="78" s="1"/>
  <c r="BM13" i="78"/>
  <c r="BM50" i="78" s="1"/>
  <c r="BM87" i="78" s="1"/>
  <c r="BM16" i="78"/>
  <c r="BM53" i="78" s="1"/>
  <c r="BM90" i="78" s="1"/>
  <c r="BM19" i="78"/>
  <c r="BM56" i="78" s="1"/>
  <c r="BM93" i="78" s="1"/>
  <c r="BL69" i="78"/>
  <c r="BL106" i="78"/>
  <c r="BK62" i="78"/>
  <c r="BK99" i="78" s="1"/>
  <c r="BL84" i="78"/>
  <c r="BL100" i="78"/>
  <c r="BL45" i="78"/>
  <c r="BL82" i="78"/>
  <c r="BM26" i="78"/>
  <c r="BM63" i="78" s="1"/>
  <c r="BM100" i="78" s="1"/>
  <c r="BM29" i="78"/>
  <c r="BM66" i="78" s="1"/>
  <c r="BM103" i="78" s="1"/>
  <c r="BM32" i="78"/>
  <c r="BM69" i="78" s="1"/>
  <c r="BM106" i="78" s="1"/>
  <c r="BL67" i="78"/>
  <c r="BL95" i="78"/>
  <c r="BM21" i="78"/>
  <c r="BM58" i="78" s="1"/>
  <c r="BM95" i="78" s="1"/>
  <c r="BM24" i="78"/>
  <c r="BM61" i="78" s="1"/>
  <c r="BM98" i="78" s="1"/>
  <c r="BM27" i="78"/>
  <c r="BM64" i="78" s="1"/>
  <c r="BM101" i="78" s="1"/>
  <c r="BL64" i="78"/>
  <c r="BL53" i="78"/>
  <c r="BL90" i="78"/>
  <c r="BM8" i="78"/>
  <c r="BM45" i="78" s="1"/>
  <c r="BM82" i="78" s="1"/>
  <c r="BM11" i="78"/>
  <c r="BM48" i="78" s="1"/>
  <c r="BM85" i="78" s="1"/>
  <c r="BM30" i="78"/>
  <c r="BM67" i="78" s="1"/>
  <c r="BM104" i="78" s="1"/>
  <c r="BK54" i="78"/>
  <c r="BK91" i="78" s="1"/>
  <c r="BK59" i="78"/>
  <c r="BK96" i="78" s="1"/>
  <c r="BB11" i="78"/>
  <c r="BB48" i="78" s="1"/>
  <c r="BB85" i="78" s="1"/>
  <c r="BB19" i="78"/>
  <c r="BB56" i="78" s="1"/>
  <c r="BB93" i="78" s="1"/>
  <c r="AZ46" i="78"/>
  <c r="AZ83" i="78" s="1"/>
  <c r="BA51" i="78"/>
  <c r="AZ54" i="78"/>
  <c r="AZ91" i="78" s="1"/>
  <c r="BA59" i="78"/>
  <c r="AZ62" i="78"/>
  <c r="AZ99" i="78" s="1"/>
  <c r="BA67" i="78"/>
  <c r="BA105" i="78"/>
  <c r="BB13" i="78"/>
  <c r="BB50" i="78" s="1"/>
  <c r="BB87" i="78" s="1"/>
  <c r="BB21" i="78"/>
  <c r="BB58" i="78" s="1"/>
  <c r="BB95" i="78" s="1"/>
  <c r="BB29" i="78"/>
  <c r="BB66" i="78" s="1"/>
  <c r="BB103" i="78" s="1"/>
  <c r="BA46" i="78"/>
  <c r="AZ49" i="78"/>
  <c r="AZ86" i="78" s="1"/>
  <c r="BA54" i="78"/>
  <c r="AZ57" i="78"/>
  <c r="AZ94" i="78" s="1"/>
  <c r="BA62" i="78"/>
  <c r="AZ65" i="78"/>
  <c r="AZ102" i="78" s="1"/>
  <c r="BB14" i="78"/>
  <c r="BB51" i="78" s="1"/>
  <c r="BB88" i="78" s="1"/>
  <c r="BB22" i="78"/>
  <c r="BB59" i="78" s="1"/>
  <c r="BB96" i="78" s="1"/>
  <c r="BB30" i="78"/>
  <c r="BB67" i="78" s="1"/>
  <c r="BB104" i="78" s="1"/>
  <c r="BA85" i="78"/>
  <c r="BA93" i="78"/>
  <c r="BA101" i="78"/>
  <c r="BB27" i="78"/>
  <c r="BB64" i="78" s="1"/>
  <c r="BB101" i="78" s="1"/>
  <c r="AP101" i="78"/>
  <c r="AO46" i="78"/>
  <c r="AO83" i="78" s="1"/>
  <c r="AP51" i="78"/>
  <c r="AO54" i="78"/>
  <c r="AO91" i="78" s="1"/>
  <c r="AP59" i="78"/>
  <c r="AO62" i="78"/>
  <c r="AO99" i="78" s="1"/>
  <c r="AP67" i="78"/>
  <c r="AP46" i="78"/>
  <c r="AO49" i="78"/>
  <c r="AO86" i="78" s="1"/>
  <c r="AP54" i="78"/>
  <c r="AO57" i="78"/>
  <c r="AO94" i="78" s="1"/>
  <c r="AP62" i="78"/>
  <c r="AO65" i="78"/>
  <c r="AO102" i="78" s="1"/>
  <c r="AQ11" i="78"/>
  <c r="AQ48" i="78" s="1"/>
  <c r="AQ85" i="78" s="1"/>
  <c r="AQ14" i="78"/>
  <c r="AQ51" i="78" s="1"/>
  <c r="AQ88" i="78" s="1"/>
  <c r="AQ30" i="78"/>
  <c r="AQ67" i="78" s="1"/>
  <c r="AQ104" i="78" s="1"/>
  <c r="AQ19" i="78"/>
  <c r="AQ56" i="78" s="1"/>
  <c r="AQ93" i="78" s="1"/>
  <c r="AQ27" i="78"/>
  <c r="AQ64" i="78" s="1"/>
  <c r="AQ101" i="78" s="1"/>
  <c r="AQ22" i="78"/>
  <c r="AQ59" i="78" s="1"/>
  <c r="AQ96" i="78" s="1"/>
  <c r="AP85" i="78"/>
  <c r="AP93" i="78"/>
  <c r="AF13" i="78"/>
  <c r="AF50" i="78" s="1"/>
  <c r="AF87" i="78" s="1"/>
  <c r="AF21" i="78"/>
  <c r="AF58" i="78" s="1"/>
  <c r="AF95" i="78" s="1"/>
  <c r="AF29" i="78"/>
  <c r="AF66" i="78" s="1"/>
  <c r="AF103" i="78" s="1"/>
  <c r="AE46" i="78"/>
  <c r="AD49" i="78"/>
  <c r="AD86" i="78" s="1"/>
  <c r="AE54" i="78"/>
  <c r="AD57" i="78"/>
  <c r="AD94" i="78" s="1"/>
  <c r="AE62" i="78"/>
  <c r="AD65" i="78"/>
  <c r="AD102" i="78" s="1"/>
  <c r="AF8" i="78"/>
  <c r="AF45" i="78" s="1"/>
  <c r="AF82" i="78" s="1"/>
  <c r="AF16" i="78"/>
  <c r="AF53" i="78" s="1"/>
  <c r="AF90" i="78" s="1"/>
  <c r="AF24" i="78"/>
  <c r="AF61" i="78" s="1"/>
  <c r="AF98" i="78" s="1"/>
  <c r="AF32" i="78"/>
  <c r="AF69" i="78" s="1"/>
  <c r="AF106" i="78" s="1"/>
  <c r="AE49" i="78"/>
  <c r="AD52" i="78"/>
  <c r="AD89" i="78" s="1"/>
  <c r="AE57" i="78"/>
  <c r="AD60" i="78"/>
  <c r="AD97" i="78" s="1"/>
  <c r="AE65" i="78"/>
  <c r="AD68" i="78"/>
  <c r="AD105" i="78" s="1"/>
  <c r="AE87" i="78"/>
  <c r="AE95" i="78"/>
  <c r="AE103" i="78"/>
  <c r="AF11" i="78"/>
  <c r="AF48" i="78" s="1"/>
  <c r="AF85" i="78" s="1"/>
  <c r="AF19" i="78"/>
  <c r="AF56" i="78" s="1"/>
  <c r="AF93" i="78" s="1"/>
  <c r="AF27" i="78"/>
  <c r="AF64" i="78" s="1"/>
  <c r="AF101" i="78" s="1"/>
  <c r="AE82" i="78"/>
  <c r="AE90" i="78"/>
  <c r="AE98" i="78"/>
  <c r="AE106" i="78"/>
  <c r="AF17" i="78"/>
  <c r="AF54" i="78" s="1"/>
  <c r="AF91" i="78" s="1"/>
  <c r="AF25" i="78"/>
  <c r="AF62" i="78" s="1"/>
  <c r="AF99" i="78" s="1"/>
  <c r="AE45" i="78"/>
  <c r="AE83" i="78"/>
  <c r="F269" i="49"/>
  <c r="F211" i="49"/>
  <c r="F182" i="49"/>
  <c r="F153" i="49"/>
  <c r="F207" i="49" l="1"/>
  <c r="F178" i="49"/>
  <c r="F236" i="49"/>
  <c r="F294" i="49"/>
  <c r="L64" i="49"/>
  <c r="L63" i="49"/>
  <c r="L67" i="49"/>
  <c r="L70" i="49"/>
  <c r="L71" i="49"/>
  <c r="L69" i="49"/>
  <c r="L68" i="49"/>
  <c r="L66" i="49"/>
  <c r="L65" i="49"/>
  <c r="N63" i="49" a="1"/>
  <c r="L74" i="49"/>
  <c r="L82" i="49"/>
  <c r="L81" i="49"/>
  <c r="L76" i="49"/>
  <c r="L80" i="49"/>
  <c r="L79" i="49"/>
  <c r="L78" i="49"/>
  <c r="L75" i="49"/>
  <c r="L77" i="49"/>
  <c r="L85" i="49"/>
  <c r="L93" i="49"/>
  <c r="L91" i="49"/>
  <c r="L92" i="49"/>
  <c r="L90" i="49"/>
  <c r="L86" i="49"/>
  <c r="L89" i="49"/>
  <c r="L88" i="49"/>
  <c r="L87" i="49"/>
  <c r="N74" i="49" a="1"/>
  <c r="N85" i="49" a="1"/>
  <c r="L96" i="49"/>
  <c r="L102" i="49"/>
  <c r="L103" i="49"/>
  <c r="L101" i="49"/>
  <c r="L100" i="49"/>
  <c r="L99" i="49"/>
  <c r="L98" i="49"/>
  <c r="L97" i="49"/>
  <c r="L104" i="49"/>
  <c r="L108" i="49"/>
  <c r="L115" i="49"/>
  <c r="L111" i="49"/>
  <c r="L107" i="49"/>
  <c r="L114" i="49"/>
  <c r="L110" i="49"/>
  <c r="L113" i="49"/>
  <c r="L109" i="49"/>
  <c r="L112" i="49"/>
  <c r="N96" i="49" a="1"/>
  <c r="N107" i="49" a="1"/>
  <c r="M22" i="76"/>
  <c r="CT58" i="78"/>
  <c r="CT95" i="78" s="1"/>
  <c r="H4" i="71"/>
  <c r="M2" i="21"/>
  <c r="G127" i="49"/>
  <c r="A122" i="49"/>
  <c r="G147" i="49"/>
  <c r="D147" i="49"/>
  <c r="F147" i="49" s="1"/>
  <c r="G146" i="49"/>
  <c r="D146" i="49"/>
  <c r="F146" i="49" s="1"/>
  <c r="G145" i="49"/>
  <c r="D145" i="49"/>
  <c r="F145" i="49" s="1"/>
  <c r="G144" i="49"/>
  <c r="D144" i="49"/>
  <c r="F144" i="49" s="1"/>
  <c r="G143" i="49"/>
  <c r="D143" i="49"/>
  <c r="F143" i="49" s="1"/>
  <c r="G142" i="49"/>
  <c r="D142" i="49"/>
  <c r="F142" i="49" s="1"/>
  <c r="G141" i="49"/>
  <c r="D141" i="49"/>
  <c r="F141" i="49" s="1"/>
  <c r="G140" i="49"/>
  <c r="D140" i="49"/>
  <c r="F140" i="49" s="1"/>
  <c r="G139" i="49"/>
  <c r="D139" i="49"/>
  <c r="F139" i="49" s="1"/>
  <c r="G138" i="49"/>
  <c r="D138" i="49"/>
  <c r="F138" i="49" s="1"/>
  <c r="G137" i="49"/>
  <c r="D137" i="49"/>
  <c r="F137" i="49" s="1"/>
  <c r="G136" i="49"/>
  <c r="D136" i="49"/>
  <c r="F136" i="49" s="1"/>
  <c r="G135" i="49"/>
  <c r="D135" i="49"/>
  <c r="F135" i="49" s="1"/>
  <c r="G134" i="49"/>
  <c r="D134" i="49"/>
  <c r="F134" i="49" s="1"/>
  <c r="G133" i="49"/>
  <c r="D133" i="49"/>
  <c r="F133" i="49" s="1"/>
  <c r="G132" i="49"/>
  <c r="D132" i="49"/>
  <c r="F132" i="49" s="1"/>
  <c r="G131" i="49"/>
  <c r="D131" i="49"/>
  <c r="F131" i="49" s="1"/>
  <c r="G130" i="49"/>
  <c r="D130" i="49"/>
  <c r="F130" i="49" s="1"/>
  <c r="G129" i="49"/>
  <c r="D129" i="49"/>
  <c r="F129" i="49" s="1"/>
  <c r="G128" i="49"/>
  <c r="D128" i="49"/>
  <c r="F128" i="49" s="1"/>
  <c r="D127" i="49"/>
  <c r="F127" i="49" s="1"/>
  <c r="G126" i="49"/>
  <c r="D126" i="49"/>
  <c r="F126" i="49" s="1"/>
  <c r="G125" i="49"/>
  <c r="D125" i="49"/>
  <c r="F125" i="49" s="1"/>
  <c r="G124" i="49"/>
  <c r="D124" i="49"/>
  <c r="F124" i="49" s="1"/>
  <c r="G123" i="49"/>
  <c r="D123" i="49"/>
  <c r="I7" i="49"/>
  <c r="D149" i="49" l="1"/>
  <c r="N86" i="49"/>
  <c r="N85" i="49"/>
  <c r="N88" i="49"/>
  <c r="N92" i="49"/>
  <c r="N93" i="49"/>
  <c r="N90" i="49"/>
  <c r="N89" i="49"/>
  <c r="N91" i="49"/>
  <c r="N87" i="49"/>
  <c r="N74" i="49"/>
  <c r="N75" i="49"/>
  <c r="N76" i="49"/>
  <c r="N81" i="49"/>
  <c r="N77" i="49"/>
  <c r="N82" i="49"/>
  <c r="N79" i="49"/>
  <c r="N78" i="49"/>
  <c r="N80" i="49"/>
  <c r="N108" i="49"/>
  <c r="N107" i="49"/>
  <c r="N111" i="49"/>
  <c r="N114" i="49"/>
  <c r="N115" i="49"/>
  <c r="N109" i="49"/>
  <c r="N112" i="49"/>
  <c r="N110" i="49"/>
  <c r="N113" i="49"/>
  <c r="N96" i="49"/>
  <c r="N103" i="49"/>
  <c r="N102" i="49"/>
  <c r="N99" i="49"/>
  <c r="N97" i="49"/>
  <c r="N98" i="49"/>
  <c r="N104" i="49"/>
  <c r="N101" i="49"/>
  <c r="N100" i="49"/>
  <c r="F123" i="49"/>
  <c r="F149" i="49" s="1"/>
  <c r="L52" i="49" a="1"/>
  <c r="N63" i="49"/>
  <c r="N70" i="49"/>
  <c r="N68" i="49"/>
  <c r="N67" i="49"/>
  <c r="N66" i="49"/>
  <c r="N65" i="49"/>
  <c r="N64" i="49"/>
  <c r="N69" i="49"/>
  <c r="N71" i="49"/>
  <c r="S78" i="71"/>
  <c r="AD78" i="71"/>
  <c r="AD41" i="71"/>
  <c r="S41" i="71"/>
  <c r="M49" i="76"/>
  <c r="M82" i="76" s="1"/>
  <c r="N52" i="49" l="1" a="1"/>
  <c r="L53" i="49"/>
  <c r="L56" i="49"/>
  <c r="L55" i="49"/>
  <c r="L54" i="49"/>
  <c r="L58" i="49"/>
  <c r="L60" i="49"/>
  <c r="L59" i="49"/>
  <c r="L57" i="49"/>
  <c r="L52" i="49"/>
  <c r="M54" i="76"/>
  <c r="M59" i="76"/>
  <c r="M64" i="76"/>
  <c r="M74" i="76"/>
  <c r="M85" i="76"/>
  <c r="M90" i="76"/>
  <c r="M96" i="76"/>
  <c r="M53" i="76"/>
  <c r="M58" i="76"/>
  <c r="M63" i="76"/>
  <c r="M67" i="76"/>
  <c r="M77" i="76"/>
  <c r="M57" i="76"/>
  <c r="M66" i="76"/>
  <c r="M71" i="76"/>
  <c r="M76" i="76"/>
  <c r="M81" i="76"/>
  <c r="M93" i="76"/>
  <c r="M86" i="76"/>
  <c r="M60" i="76"/>
  <c r="M65" i="76"/>
  <c r="M70" i="76"/>
  <c r="M75" i="76"/>
  <c r="M80" i="76"/>
  <c r="M94" i="76"/>
  <c r="M89" i="76"/>
  <c r="M92" i="76"/>
  <c r="M62" i="76"/>
  <c r="M52" i="76"/>
  <c r="M56" i="76"/>
  <c r="M79" i="76"/>
  <c r="M88" i="76"/>
  <c r="M84" i="76"/>
  <c r="M73" i="76"/>
  <c r="M69" i="76"/>
  <c r="I13" i="49"/>
  <c r="I24" i="49" s="1"/>
  <c r="I35" i="49" s="1"/>
  <c r="I46" i="49" s="1"/>
  <c r="I57" i="49" s="1"/>
  <c r="I68" i="49" s="1"/>
  <c r="I79" i="49" s="1"/>
  <c r="I90" i="49" s="1"/>
  <c r="I101" i="49" s="1"/>
  <c r="I112" i="49" s="1"/>
  <c r="I14" i="49"/>
  <c r="I25" i="49" s="1"/>
  <c r="I36" i="49" s="1"/>
  <c r="I47" i="49" s="1"/>
  <c r="I58" i="49" s="1"/>
  <c r="I69" i="49" s="1"/>
  <c r="I80" i="49" s="1"/>
  <c r="I91" i="49" s="1"/>
  <c r="I102" i="49" s="1"/>
  <c r="I113" i="49" s="1"/>
  <c r="I15" i="49"/>
  <c r="I26" i="49" s="1"/>
  <c r="I37" i="49" s="1"/>
  <c r="I48" i="49" s="1"/>
  <c r="I59" i="49" s="1"/>
  <c r="I70" i="49" s="1"/>
  <c r="I81" i="49" s="1"/>
  <c r="I92" i="49" s="1"/>
  <c r="I103" i="49" s="1"/>
  <c r="I114" i="49" s="1"/>
  <c r="I16" i="49"/>
  <c r="I27" i="49" s="1"/>
  <c r="I38" i="49" s="1"/>
  <c r="I49" i="49" s="1"/>
  <c r="I60" i="49" s="1"/>
  <c r="I71" i="49" s="1"/>
  <c r="I82" i="49" s="1"/>
  <c r="I93" i="49" s="1"/>
  <c r="I104" i="49" s="1"/>
  <c r="I115" i="49" s="1"/>
  <c r="I9" i="49"/>
  <c r="I10" i="49"/>
  <c r="I11" i="49"/>
  <c r="I12" i="49"/>
  <c r="I8" i="49"/>
  <c r="B82" i="78"/>
  <c r="A8" i="49"/>
  <c r="A9" i="49"/>
  <c r="A10" i="49"/>
  <c r="A11" i="49"/>
  <c r="A12" i="49"/>
  <c r="A13" i="49"/>
  <c r="A14" i="49"/>
  <c r="A15" i="49"/>
  <c r="A16" i="49"/>
  <c r="A17" i="49"/>
  <c r="A18" i="49"/>
  <c r="A19" i="49"/>
  <c r="A20" i="49"/>
  <c r="A21" i="49"/>
  <c r="A22" i="49"/>
  <c r="A23" i="49"/>
  <c r="A24" i="49"/>
  <c r="A25" i="49"/>
  <c r="A26" i="49"/>
  <c r="A27" i="49"/>
  <c r="A28" i="49"/>
  <c r="A29" i="49"/>
  <c r="A30" i="49"/>
  <c r="A31" i="49"/>
  <c r="A7" i="49"/>
  <c r="CO143" i="78"/>
  <c r="CN143" i="78"/>
  <c r="CM143" i="78"/>
  <c r="CL143" i="78"/>
  <c r="CO142" i="78"/>
  <c r="CN142" i="78"/>
  <c r="CM142" i="78"/>
  <c r="CL142" i="78"/>
  <c r="CO141" i="78"/>
  <c r="CN141" i="78"/>
  <c r="CM141" i="78"/>
  <c r="CL141" i="78"/>
  <c r="CO140" i="78"/>
  <c r="CN140" i="78"/>
  <c r="CM140" i="78"/>
  <c r="CL140" i="78"/>
  <c r="CO139" i="78"/>
  <c r="CN139" i="78"/>
  <c r="CM139" i="78"/>
  <c r="CL139" i="78"/>
  <c r="CO138" i="78"/>
  <c r="CN138" i="78"/>
  <c r="CM138" i="78"/>
  <c r="CL138" i="78"/>
  <c r="CO137" i="78"/>
  <c r="CN137" i="78"/>
  <c r="CM137" i="78"/>
  <c r="CL137" i="78"/>
  <c r="CO136" i="78"/>
  <c r="CN136" i="78"/>
  <c r="CM136" i="78"/>
  <c r="CL136" i="78"/>
  <c r="CO135" i="78"/>
  <c r="CN135" i="78"/>
  <c r="CM135" i="78"/>
  <c r="CL135" i="78"/>
  <c r="CO134" i="78"/>
  <c r="CN134" i="78"/>
  <c r="CM134" i="78"/>
  <c r="CL134" i="78"/>
  <c r="CO133" i="78"/>
  <c r="CN133" i="78"/>
  <c r="CM133" i="78"/>
  <c r="CL133" i="78"/>
  <c r="CO132" i="78"/>
  <c r="CN132" i="78"/>
  <c r="CM132" i="78"/>
  <c r="CL132" i="78"/>
  <c r="CO131" i="78"/>
  <c r="CN131" i="78"/>
  <c r="CM131" i="78"/>
  <c r="CL131" i="78"/>
  <c r="CO130" i="78"/>
  <c r="CN130" i="78"/>
  <c r="CM130" i="78"/>
  <c r="CL130" i="78"/>
  <c r="CO129" i="78"/>
  <c r="CN129" i="78"/>
  <c r="CM129" i="78"/>
  <c r="CL129" i="78"/>
  <c r="CO128" i="78"/>
  <c r="CN128" i="78"/>
  <c r="CM128" i="78"/>
  <c r="CL128" i="78"/>
  <c r="CO127" i="78"/>
  <c r="CN127" i="78"/>
  <c r="CM127" i="78"/>
  <c r="CL127" i="78"/>
  <c r="CO126" i="78"/>
  <c r="CN126" i="78"/>
  <c r="CM126" i="78"/>
  <c r="CL126" i="78"/>
  <c r="CO125" i="78"/>
  <c r="CN125" i="78"/>
  <c r="CM125" i="78"/>
  <c r="CL125" i="78"/>
  <c r="CO124" i="78"/>
  <c r="CN124" i="78"/>
  <c r="CM124" i="78"/>
  <c r="CL124" i="78"/>
  <c r="CO123" i="78"/>
  <c r="CN123" i="78"/>
  <c r="CM123" i="78"/>
  <c r="CL123" i="78"/>
  <c r="CO122" i="78"/>
  <c r="CN122" i="78"/>
  <c r="CM122" i="78"/>
  <c r="CL122" i="78"/>
  <c r="CO121" i="78"/>
  <c r="CN121" i="78"/>
  <c r="CM121" i="78"/>
  <c r="CL121" i="78"/>
  <c r="CO120" i="78"/>
  <c r="CN120" i="78"/>
  <c r="CM120" i="78"/>
  <c r="CL120" i="78"/>
  <c r="CO119" i="78"/>
  <c r="CN119" i="78"/>
  <c r="CM119" i="78"/>
  <c r="CL119" i="78"/>
  <c r="CP67" i="78"/>
  <c r="CO63" i="78"/>
  <c r="CN47" i="78"/>
  <c r="CM72" i="78"/>
  <c r="CL48" i="78"/>
  <c r="CD143" i="78"/>
  <c r="CC143" i="78"/>
  <c r="CB143" i="78"/>
  <c r="CA143" i="78"/>
  <c r="CD142" i="78"/>
  <c r="CC142" i="78"/>
  <c r="CB142" i="78"/>
  <c r="CA142" i="78"/>
  <c r="CD141" i="78"/>
  <c r="CC141" i="78"/>
  <c r="CB141" i="78"/>
  <c r="CA141" i="78"/>
  <c r="CD140" i="78"/>
  <c r="CC140" i="78"/>
  <c r="CB140" i="78"/>
  <c r="CA140" i="78"/>
  <c r="CD139" i="78"/>
  <c r="CC139" i="78"/>
  <c r="CB139" i="78"/>
  <c r="CA139" i="78"/>
  <c r="CD138" i="78"/>
  <c r="CC138" i="78"/>
  <c r="CB138" i="78"/>
  <c r="CA138" i="78"/>
  <c r="CD137" i="78"/>
  <c r="CC137" i="78"/>
  <c r="CB137" i="78"/>
  <c r="CA137" i="78"/>
  <c r="CD136" i="78"/>
  <c r="CC136" i="78"/>
  <c r="CB136" i="78"/>
  <c r="CA136" i="78"/>
  <c r="CD135" i="78"/>
  <c r="CC135" i="78"/>
  <c r="CB135" i="78"/>
  <c r="CA135" i="78"/>
  <c r="CD134" i="78"/>
  <c r="CC134" i="78"/>
  <c r="CB134" i="78"/>
  <c r="CA134" i="78"/>
  <c r="CD133" i="78"/>
  <c r="CC133" i="78"/>
  <c r="CB133" i="78"/>
  <c r="CA133" i="78"/>
  <c r="CD132" i="78"/>
  <c r="CC132" i="78"/>
  <c r="CB132" i="78"/>
  <c r="CA132" i="78"/>
  <c r="CD131" i="78"/>
  <c r="CC131" i="78"/>
  <c r="CB131" i="78"/>
  <c r="CA131" i="78"/>
  <c r="CD130" i="78"/>
  <c r="CC130" i="78"/>
  <c r="CB130" i="78"/>
  <c r="CA130" i="78"/>
  <c r="CD129" i="78"/>
  <c r="CC129" i="78"/>
  <c r="CB129" i="78"/>
  <c r="CA129" i="78"/>
  <c r="CD128" i="78"/>
  <c r="CC128" i="78"/>
  <c r="CB128" i="78"/>
  <c r="CA128" i="78"/>
  <c r="CD127" i="78"/>
  <c r="CC127" i="78"/>
  <c r="CB127" i="78"/>
  <c r="CA127" i="78"/>
  <c r="CD126" i="78"/>
  <c r="CC126" i="78"/>
  <c r="CB126" i="78"/>
  <c r="CA126" i="78"/>
  <c r="CD125" i="78"/>
  <c r="CC125" i="78"/>
  <c r="CB125" i="78"/>
  <c r="CA125" i="78"/>
  <c r="CD124" i="78"/>
  <c r="CC124" i="78"/>
  <c r="CB124" i="78"/>
  <c r="CA124" i="78"/>
  <c r="CD123" i="78"/>
  <c r="CC123" i="78"/>
  <c r="CB123" i="78"/>
  <c r="CA123" i="78"/>
  <c r="CD122" i="78"/>
  <c r="CC122" i="78"/>
  <c r="CB122" i="78"/>
  <c r="CA122" i="78"/>
  <c r="CD121" i="78"/>
  <c r="CC121" i="78"/>
  <c r="CB121" i="78"/>
  <c r="CA121" i="78"/>
  <c r="CD120" i="78"/>
  <c r="CC120" i="78"/>
  <c r="CB120" i="78"/>
  <c r="CA120" i="78"/>
  <c r="CD119" i="78"/>
  <c r="CC119" i="78"/>
  <c r="CB119" i="78"/>
  <c r="CA119" i="78"/>
  <c r="CE68" i="78"/>
  <c r="CD69" i="78"/>
  <c r="CC51" i="78"/>
  <c r="CB62" i="78"/>
  <c r="CA47" i="78"/>
  <c r="BS143" i="78"/>
  <c r="BR143" i="78"/>
  <c r="BQ143" i="78"/>
  <c r="BP143" i="78"/>
  <c r="BS142" i="78"/>
  <c r="BR142" i="78"/>
  <c r="BQ142" i="78"/>
  <c r="BP142" i="78"/>
  <c r="BS141" i="78"/>
  <c r="BR141" i="78"/>
  <c r="BQ141" i="78"/>
  <c r="BP141" i="78"/>
  <c r="BS140" i="78"/>
  <c r="BR140" i="78"/>
  <c r="BQ140" i="78"/>
  <c r="BP140" i="78"/>
  <c r="BS139" i="78"/>
  <c r="BR139" i="78"/>
  <c r="BQ139" i="78"/>
  <c r="BP139" i="78"/>
  <c r="BS138" i="78"/>
  <c r="BR138" i="78"/>
  <c r="BQ138" i="78"/>
  <c r="BP138" i="78"/>
  <c r="BS137" i="78"/>
  <c r="BR137" i="78"/>
  <c r="BQ137" i="78"/>
  <c r="BP137" i="78"/>
  <c r="BS136" i="78"/>
  <c r="BR136" i="78"/>
  <c r="BQ136" i="78"/>
  <c r="BP136" i="78"/>
  <c r="BS135" i="78"/>
  <c r="BR135" i="78"/>
  <c r="BQ135" i="78"/>
  <c r="BP135" i="78"/>
  <c r="BS134" i="78"/>
  <c r="BR134" i="78"/>
  <c r="BQ134" i="78"/>
  <c r="BP134" i="78"/>
  <c r="BS133" i="78"/>
  <c r="BR133" i="78"/>
  <c r="BQ133" i="78"/>
  <c r="BP133" i="78"/>
  <c r="BS132" i="78"/>
  <c r="BR132" i="78"/>
  <c r="BQ132" i="78"/>
  <c r="BP132" i="78"/>
  <c r="BS131" i="78"/>
  <c r="BR131" i="78"/>
  <c r="BQ131" i="78"/>
  <c r="BP131" i="78"/>
  <c r="BS130" i="78"/>
  <c r="BR130" i="78"/>
  <c r="BQ130" i="78"/>
  <c r="BP130" i="78"/>
  <c r="BS129" i="78"/>
  <c r="BR129" i="78"/>
  <c r="BQ129" i="78"/>
  <c r="BP129" i="78"/>
  <c r="BS128" i="78"/>
  <c r="BR128" i="78"/>
  <c r="BQ128" i="78"/>
  <c r="BP128" i="78"/>
  <c r="BS127" i="78"/>
  <c r="BR127" i="78"/>
  <c r="BQ127" i="78"/>
  <c r="BP127" i="78"/>
  <c r="BS126" i="78"/>
  <c r="BR126" i="78"/>
  <c r="BQ126" i="78"/>
  <c r="BP126" i="78"/>
  <c r="BS125" i="78"/>
  <c r="BR125" i="78"/>
  <c r="BQ125" i="78"/>
  <c r="BP125" i="78"/>
  <c r="BS124" i="78"/>
  <c r="BR124" i="78"/>
  <c r="BQ124" i="78"/>
  <c r="BP124" i="78"/>
  <c r="BS123" i="78"/>
  <c r="BR123" i="78"/>
  <c r="BQ123" i="78"/>
  <c r="BP123" i="78"/>
  <c r="BS122" i="78"/>
  <c r="BR122" i="78"/>
  <c r="BQ122" i="78"/>
  <c r="BP122" i="78"/>
  <c r="BS121" i="78"/>
  <c r="BR121" i="78"/>
  <c r="BQ121" i="78"/>
  <c r="BP121" i="78"/>
  <c r="BS120" i="78"/>
  <c r="BR120" i="78"/>
  <c r="BQ120" i="78"/>
  <c r="BP120" i="78"/>
  <c r="BS119" i="78"/>
  <c r="BR119" i="78"/>
  <c r="BQ119" i="78"/>
  <c r="BP119" i="78"/>
  <c r="BT67" i="78"/>
  <c r="BS69" i="78"/>
  <c r="BR69" i="78"/>
  <c r="BQ72" i="78"/>
  <c r="BP48" i="78"/>
  <c r="BH143" i="78"/>
  <c r="BG143" i="78"/>
  <c r="BF143" i="78"/>
  <c r="BE143" i="78"/>
  <c r="BH142" i="78"/>
  <c r="BG142" i="78"/>
  <c r="BF142" i="78"/>
  <c r="BE142" i="78"/>
  <c r="BH141" i="78"/>
  <c r="BG141" i="78"/>
  <c r="BF141" i="78"/>
  <c r="BE141" i="78"/>
  <c r="BH140" i="78"/>
  <c r="BG140" i="78"/>
  <c r="BF140" i="78"/>
  <c r="BE140" i="78"/>
  <c r="BH139" i="78"/>
  <c r="BG139" i="78"/>
  <c r="BF139" i="78"/>
  <c r="BE139" i="78"/>
  <c r="BH138" i="78"/>
  <c r="BG138" i="78"/>
  <c r="BF138" i="78"/>
  <c r="BE138" i="78"/>
  <c r="BH137" i="78"/>
  <c r="BG137" i="78"/>
  <c r="BF137" i="78"/>
  <c r="BE137" i="78"/>
  <c r="BH136" i="78"/>
  <c r="BG136" i="78"/>
  <c r="BF136" i="78"/>
  <c r="BE136" i="78"/>
  <c r="BH135" i="78"/>
  <c r="BG135" i="78"/>
  <c r="BF135" i="78"/>
  <c r="BE135" i="78"/>
  <c r="BH134" i="78"/>
  <c r="BG134" i="78"/>
  <c r="BF134" i="78"/>
  <c r="BE134" i="78"/>
  <c r="BH133" i="78"/>
  <c r="BG133" i="78"/>
  <c r="BF133" i="78"/>
  <c r="BE133" i="78"/>
  <c r="BH132" i="78"/>
  <c r="BG132" i="78"/>
  <c r="BF132" i="78"/>
  <c r="BE132" i="78"/>
  <c r="BH131" i="78"/>
  <c r="BG131" i="78"/>
  <c r="BF131" i="78"/>
  <c r="BE131" i="78"/>
  <c r="BH130" i="78"/>
  <c r="BG130" i="78"/>
  <c r="BF130" i="78"/>
  <c r="BE130" i="78"/>
  <c r="BH129" i="78"/>
  <c r="BG129" i="78"/>
  <c r="BF129" i="78"/>
  <c r="BE129" i="78"/>
  <c r="BH128" i="78"/>
  <c r="BG128" i="78"/>
  <c r="BF128" i="78"/>
  <c r="BE128" i="78"/>
  <c r="BH127" i="78"/>
  <c r="BG127" i="78"/>
  <c r="BF127" i="78"/>
  <c r="BE127" i="78"/>
  <c r="BH126" i="78"/>
  <c r="BG126" i="78"/>
  <c r="BF126" i="78"/>
  <c r="BE126" i="78"/>
  <c r="BH125" i="78"/>
  <c r="BG125" i="78"/>
  <c r="BF125" i="78"/>
  <c r="BE125" i="78"/>
  <c r="BH124" i="78"/>
  <c r="BG124" i="78"/>
  <c r="BF124" i="78"/>
  <c r="BE124" i="78"/>
  <c r="BH123" i="78"/>
  <c r="BG123" i="78"/>
  <c r="BF123" i="78"/>
  <c r="BE123" i="78"/>
  <c r="BH122" i="78"/>
  <c r="BG122" i="78"/>
  <c r="BF122" i="78"/>
  <c r="BE122" i="78"/>
  <c r="BH121" i="78"/>
  <c r="BG121" i="78"/>
  <c r="BF121" i="78"/>
  <c r="BE121" i="78"/>
  <c r="BH120" i="78"/>
  <c r="BG120" i="78"/>
  <c r="BF120" i="78"/>
  <c r="BE120" i="78"/>
  <c r="BH119" i="78"/>
  <c r="BG119" i="78"/>
  <c r="BF119" i="78"/>
  <c r="BE119" i="78"/>
  <c r="BI67" i="78"/>
  <c r="BH68" i="78"/>
  <c r="BG63" i="78"/>
  <c r="BF69" i="78"/>
  <c r="BE63" i="78"/>
  <c r="AW143" i="78"/>
  <c r="AV143" i="78"/>
  <c r="AU143" i="78"/>
  <c r="AT143" i="78"/>
  <c r="AW142" i="78"/>
  <c r="AV142" i="78"/>
  <c r="AU142" i="78"/>
  <c r="AT142" i="78"/>
  <c r="AW141" i="78"/>
  <c r="AV141" i="78"/>
  <c r="AU141" i="78"/>
  <c r="AT141" i="78"/>
  <c r="AW140" i="78"/>
  <c r="AV140" i="78"/>
  <c r="AU140" i="78"/>
  <c r="AT140" i="78"/>
  <c r="AW139" i="78"/>
  <c r="AV139" i="78"/>
  <c r="AU139" i="78"/>
  <c r="AT139" i="78"/>
  <c r="AW138" i="78"/>
  <c r="AV138" i="78"/>
  <c r="AU138" i="78"/>
  <c r="AT138" i="78"/>
  <c r="AW137" i="78"/>
  <c r="AV137" i="78"/>
  <c r="AU137" i="78"/>
  <c r="AT137" i="78"/>
  <c r="AW136" i="78"/>
  <c r="AV136" i="78"/>
  <c r="AU136" i="78"/>
  <c r="AT136" i="78"/>
  <c r="AW135" i="78"/>
  <c r="AV135" i="78"/>
  <c r="AU135" i="78"/>
  <c r="AT135" i="78"/>
  <c r="AW134" i="78"/>
  <c r="AV134" i="78"/>
  <c r="AU134" i="78"/>
  <c r="AT134" i="78"/>
  <c r="AW133" i="78"/>
  <c r="AV133" i="78"/>
  <c r="AU133" i="78"/>
  <c r="AT133" i="78"/>
  <c r="AW132" i="78"/>
  <c r="AV132" i="78"/>
  <c r="AU132" i="78"/>
  <c r="AT132" i="78"/>
  <c r="AW131" i="78"/>
  <c r="AV131" i="78"/>
  <c r="AU131" i="78"/>
  <c r="AT131" i="78"/>
  <c r="AW130" i="78"/>
  <c r="AV130" i="78"/>
  <c r="AU130" i="78"/>
  <c r="AT130" i="78"/>
  <c r="AW129" i="78"/>
  <c r="AV129" i="78"/>
  <c r="AU129" i="78"/>
  <c r="AT129" i="78"/>
  <c r="AW128" i="78"/>
  <c r="AV128" i="78"/>
  <c r="AU128" i="78"/>
  <c r="AT128" i="78"/>
  <c r="AW127" i="78"/>
  <c r="AV127" i="78"/>
  <c r="AU127" i="78"/>
  <c r="AT127" i="78"/>
  <c r="AW126" i="78"/>
  <c r="AV126" i="78"/>
  <c r="AU126" i="78"/>
  <c r="AT126" i="78"/>
  <c r="AW125" i="78"/>
  <c r="AV125" i="78"/>
  <c r="AU125" i="78"/>
  <c r="AT125" i="78"/>
  <c r="AW124" i="78"/>
  <c r="AV124" i="78"/>
  <c r="AU124" i="78"/>
  <c r="AT124" i="78"/>
  <c r="AW123" i="78"/>
  <c r="AV123" i="78"/>
  <c r="AU123" i="78"/>
  <c r="AT123" i="78"/>
  <c r="AW122" i="78"/>
  <c r="AV122" i="78"/>
  <c r="AU122" i="78"/>
  <c r="AT122" i="78"/>
  <c r="AW121" i="78"/>
  <c r="AV121" i="78"/>
  <c r="AU121" i="78"/>
  <c r="AT121" i="78"/>
  <c r="AW120" i="78"/>
  <c r="AV120" i="78"/>
  <c r="AU120" i="78"/>
  <c r="AT120" i="78"/>
  <c r="AW119" i="78"/>
  <c r="AV119" i="78"/>
  <c r="AU119" i="78"/>
  <c r="AT119" i="78"/>
  <c r="AW63" i="78"/>
  <c r="AV45" i="78"/>
  <c r="AU72" i="78"/>
  <c r="AT62" i="78"/>
  <c r="AL143" i="78"/>
  <c r="AK143" i="78"/>
  <c r="AJ143" i="78"/>
  <c r="AI143" i="78"/>
  <c r="AL142" i="78"/>
  <c r="AK142" i="78"/>
  <c r="AJ142" i="78"/>
  <c r="AI142" i="78"/>
  <c r="AL141" i="78"/>
  <c r="AK141" i="78"/>
  <c r="AJ141" i="78"/>
  <c r="AI141" i="78"/>
  <c r="AL140" i="78"/>
  <c r="AK140" i="78"/>
  <c r="AJ140" i="78"/>
  <c r="AI140" i="78"/>
  <c r="AL139" i="78"/>
  <c r="AK139" i="78"/>
  <c r="AJ139" i="78"/>
  <c r="AI139" i="78"/>
  <c r="AL138" i="78"/>
  <c r="AK138" i="78"/>
  <c r="AJ138" i="78"/>
  <c r="AI138" i="78"/>
  <c r="AL137" i="78"/>
  <c r="AK137" i="78"/>
  <c r="AJ137" i="78"/>
  <c r="AI137" i="78"/>
  <c r="AL136" i="78"/>
  <c r="AK136" i="78"/>
  <c r="AJ136" i="78"/>
  <c r="AI136" i="78"/>
  <c r="AL135" i="78"/>
  <c r="AK135" i="78"/>
  <c r="AJ135" i="78"/>
  <c r="AI135" i="78"/>
  <c r="AL134" i="78"/>
  <c r="AK134" i="78"/>
  <c r="AJ134" i="78"/>
  <c r="AI134" i="78"/>
  <c r="AL133" i="78"/>
  <c r="AK133" i="78"/>
  <c r="AJ133" i="78"/>
  <c r="AI133" i="78"/>
  <c r="AL132" i="78"/>
  <c r="AK132" i="78"/>
  <c r="AJ132" i="78"/>
  <c r="AI132" i="78"/>
  <c r="AL131" i="78"/>
  <c r="AK131" i="78"/>
  <c r="AJ131" i="78"/>
  <c r="AI131" i="78"/>
  <c r="AL130" i="78"/>
  <c r="AK130" i="78"/>
  <c r="AJ130" i="78"/>
  <c r="AI130" i="78"/>
  <c r="AL129" i="78"/>
  <c r="AK129" i="78"/>
  <c r="AJ129" i="78"/>
  <c r="AI129" i="78"/>
  <c r="AL128" i="78"/>
  <c r="AK128" i="78"/>
  <c r="AJ128" i="78"/>
  <c r="AI128" i="78"/>
  <c r="AL127" i="78"/>
  <c r="AK127" i="78"/>
  <c r="AJ127" i="78"/>
  <c r="AI127" i="78"/>
  <c r="AL126" i="78"/>
  <c r="AK126" i="78"/>
  <c r="AJ126" i="78"/>
  <c r="AI126" i="78"/>
  <c r="AL125" i="78"/>
  <c r="AK125" i="78"/>
  <c r="AJ125" i="78"/>
  <c r="AI125" i="78"/>
  <c r="AL124" i="78"/>
  <c r="AK124" i="78"/>
  <c r="AJ124" i="78"/>
  <c r="AI124" i="78"/>
  <c r="AL123" i="78"/>
  <c r="AK123" i="78"/>
  <c r="AJ123" i="78"/>
  <c r="AI123" i="78"/>
  <c r="AL122" i="78"/>
  <c r="AK122" i="78"/>
  <c r="AJ122" i="78"/>
  <c r="AI122" i="78"/>
  <c r="AL121" i="78"/>
  <c r="AK121" i="78"/>
  <c r="AJ121" i="78"/>
  <c r="AI121" i="78"/>
  <c r="AL120" i="78"/>
  <c r="AK120" i="78"/>
  <c r="AJ120" i="78"/>
  <c r="AI120" i="78"/>
  <c r="AL119" i="78"/>
  <c r="AK119" i="78"/>
  <c r="AJ119" i="78"/>
  <c r="AI119" i="78"/>
  <c r="AM59" i="78"/>
  <c r="AL72" i="78"/>
  <c r="AK56" i="78"/>
  <c r="AJ52" i="78"/>
  <c r="AI66" i="78"/>
  <c r="N53" i="49" l="1"/>
  <c r="N55" i="49"/>
  <c r="N56" i="49"/>
  <c r="N54" i="49"/>
  <c r="N57" i="49"/>
  <c r="N60" i="49"/>
  <c r="N59" i="49"/>
  <c r="N58" i="49"/>
  <c r="N52" i="49"/>
  <c r="BR45" i="78"/>
  <c r="CP68" i="78"/>
  <c r="CP54" i="78"/>
  <c r="CP45" i="78"/>
  <c r="CP51" i="78"/>
  <c r="BT51" i="78"/>
  <c r="CB48" i="78"/>
  <c r="CD57" i="78"/>
  <c r="AW67" i="78"/>
  <c r="CP72" i="78"/>
  <c r="BR54" i="78"/>
  <c r="BT61" i="78"/>
  <c r="CD65" i="78"/>
  <c r="CP59" i="78"/>
  <c r="CP62" i="78"/>
  <c r="AM65" i="78"/>
  <c r="CB46" i="78"/>
  <c r="CD52" i="78"/>
  <c r="CO47" i="78"/>
  <c r="BI45" i="78"/>
  <c r="BT54" i="78"/>
  <c r="BS61" i="78"/>
  <c r="AU50" i="78"/>
  <c r="AW64" i="78"/>
  <c r="BS52" i="78"/>
  <c r="BS62" i="78"/>
  <c r="CD49" i="78"/>
  <c r="CO60" i="78"/>
  <c r="AW50" i="78"/>
  <c r="BT52" i="78"/>
  <c r="BT69" i="78"/>
  <c r="CB56" i="78"/>
  <c r="CO55" i="78"/>
  <c r="CP60" i="78"/>
  <c r="BT45" i="78"/>
  <c r="CN64" i="78"/>
  <c r="AM53" i="78"/>
  <c r="BR63" i="78"/>
  <c r="BT72" i="78"/>
  <c r="CN45" i="78"/>
  <c r="CE51" i="78"/>
  <c r="CE60" i="78"/>
  <c r="AI48" i="78"/>
  <c r="BH48" i="78"/>
  <c r="BH54" i="78"/>
  <c r="BI64" i="78"/>
  <c r="CE48" i="78"/>
  <c r="AJ48" i="78"/>
  <c r="AU47" i="78"/>
  <c r="AW57" i="78"/>
  <c r="AW68" i="78"/>
  <c r="BI54" i="78"/>
  <c r="BI59" i="78"/>
  <c r="CE45" i="78"/>
  <c r="CA66" i="78"/>
  <c r="BI55" i="78"/>
  <c r="AW65" i="78"/>
  <c r="BH46" i="78"/>
  <c r="BI51" i="78"/>
  <c r="BE67" i="78"/>
  <c r="CA50" i="78"/>
  <c r="CB54" i="78"/>
  <c r="CB63" i="78"/>
  <c r="CA68" i="78"/>
  <c r="CP53" i="78"/>
  <c r="CN56" i="78"/>
  <c r="AW52" i="78"/>
  <c r="CA63" i="78"/>
  <c r="CM56" i="78"/>
  <c r="AJ57" i="78"/>
  <c r="AW49" i="78"/>
  <c r="AW60" i="78"/>
  <c r="BI46" i="78"/>
  <c r="BI56" i="78"/>
  <c r="BT53" i="78"/>
  <c r="BT62" i="78"/>
  <c r="BS68" i="78"/>
  <c r="CB47" i="78"/>
  <c r="CE54" i="78"/>
  <c r="AV47" i="78"/>
  <c r="AM62" i="78"/>
  <c r="AW72" i="78"/>
  <c r="AI69" i="78"/>
  <c r="AM52" i="78"/>
  <c r="AM72" i="78"/>
  <c r="AW45" i="78"/>
  <c r="BT59" i="78"/>
  <c r="BT68" i="78"/>
  <c r="CD60" i="78"/>
  <c r="CM54" i="78"/>
  <c r="CO62" i="78"/>
  <c r="AK65" i="78"/>
  <c r="BF59" i="78"/>
  <c r="AL50" i="78"/>
  <c r="AK49" i="78"/>
  <c r="AI65" i="78"/>
  <c r="AU45" i="78"/>
  <c r="AU54" i="78"/>
  <c r="AU56" i="78"/>
  <c r="AU62" i="78"/>
  <c r="BF50" i="78"/>
  <c r="BF58" i="78"/>
  <c r="BF62" i="78"/>
  <c r="BF64" i="78"/>
  <c r="CE146" i="78"/>
  <c r="CG35" i="78"/>
  <c r="CI35" i="78" s="1"/>
  <c r="CI72" i="78" s="1"/>
  <c r="CI109" i="78" s="1"/>
  <c r="CE53" i="78"/>
  <c r="CE59" i="78"/>
  <c r="CE62" i="78"/>
  <c r="CM47" i="78"/>
  <c r="CM49" i="78"/>
  <c r="CL64" i="78"/>
  <c r="CN72" i="78"/>
  <c r="AM49" i="78"/>
  <c r="AL56" i="78"/>
  <c r="AL62" i="78"/>
  <c r="AJ65" i="78"/>
  <c r="AL68" i="78"/>
  <c r="AT47" i="78"/>
  <c r="AT52" i="78"/>
  <c r="AW54" i="78"/>
  <c r="AW56" i="78"/>
  <c r="AT60" i="78"/>
  <c r="AW62" i="78"/>
  <c r="BE146" i="78"/>
  <c r="BF48" i="78"/>
  <c r="BG50" i="78"/>
  <c r="BH62" i="78"/>
  <c r="BH64" i="78"/>
  <c r="BF67" i="78"/>
  <c r="BS45" i="78"/>
  <c r="BS47" i="78"/>
  <c r="BS54" i="78"/>
  <c r="BS63" i="78"/>
  <c r="BS72" i="78"/>
  <c r="CE56" i="78"/>
  <c r="CE65" i="78"/>
  <c r="CB68" i="78"/>
  <c r="CM62" i="78"/>
  <c r="CM64" i="78"/>
  <c r="CO72" i="78"/>
  <c r="AK53" i="78"/>
  <c r="AP109" i="78"/>
  <c r="AP72" i="78"/>
  <c r="BF54" i="78"/>
  <c r="AT55" i="78"/>
  <c r="CM46" i="78"/>
  <c r="AO35" i="78"/>
  <c r="AQ35" i="78" s="1"/>
  <c r="AQ72" i="78" s="1"/>
  <c r="AQ109" i="78" s="1"/>
  <c r="AM146" i="78"/>
  <c r="AL63" i="78"/>
  <c r="BA109" i="78"/>
  <c r="BA72" i="78"/>
  <c r="AU53" i="78"/>
  <c r="AU69" i="78"/>
  <c r="BQ46" i="78"/>
  <c r="BP49" i="78"/>
  <c r="BQ55" i="78"/>
  <c r="BR64" i="78"/>
  <c r="CA69" i="78"/>
  <c r="CN63" i="78"/>
  <c r="CS109" i="78"/>
  <c r="CS72" i="78"/>
  <c r="CM48" i="78"/>
  <c r="CN69" i="78"/>
  <c r="AM63" i="78"/>
  <c r="AU46" i="78"/>
  <c r="AU48" i="78"/>
  <c r="AT51" i="78"/>
  <c r="AW53" i="78"/>
  <c r="AV55" i="78"/>
  <c r="AW58" i="78"/>
  <c r="AW61" i="78"/>
  <c r="AW66" i="78"/>
  <c r="AW69" i="78"/>
  <c r="BI62" i="78"/>
  <c r="BI146" i="78"/>
  <c r="BK35" i="78"/>
  <c r="BM35" i="78" s="1"/>
  <c r="BM72" i="78" s="1"/>
  <c r="BM109" i="78" s="1"/>
  <c r="BH49" i="78"/>
  <c r="BF57" i="78"/>
  <c r="BF60" i="78"/>
  <c r="BH63" i="78"/>
  <c r="BF72" i="78"/>
  <c r="BR46" i="78"/>
  <c r="BQ49" i="78"/>
  <c r="BR55" i="78"/>
  <c r="BS60" i="78"/>
  <c r="CE46" i="78"/>
  <c r="CA55" i="78"/>
  <c r="CE61" i="78"/>
  <c r="CB64" i="78"/>
  <c r="CB67" i="78"/>
  <c r="CE69" i="78"/>
  <c r="CO46" i="78"/>
  <c r="CN48" i="78"/>
  <c r="CO52" i="78"/>
  <c r="CL55" i="78"/>
  <c r="CN61" i="78"/>
  <c r="CL63" i="78"/>
  <c r="CO69" i="78"/>
  <c r="AT65" i="78"/>
  <c r="AL60" i="78"/>
  <c r="BG69" i="78"/>
  <c r="BL72" i="78"/>
  <c r="BL109" i="78"/>
  <c r="AK57" i="78"/>
  <c r="AU63" i="78"/>
  <c r="BF49" i="78"/>
  <c r="BF65" i="78"/>
  <c r="AL48" i="78"/>
  <c r="AM57" i="78"/>
  <c r="AL66" i="78"/>
  <c r="AX53" i="78"/>
  <c r="AX146" i="78"/>
  <c r="AZ35" i="78"/>
  <c r="BB35" i="78" s="1"/>
  <c r="BB72" i="78" s="1"/>
  <c r="BB109" i="78" s="1"/>
  <c r="AV46" i="78"/>
  <c r="AW48" i="78"/>
  <c r="AU51" i="78"/>
  <c r="AT64" i="78"/>
  <c r="AT72" i="78"/>
  <c r="BH47" i="78"/>
  <c r="BF52" i="78"/>
  <c r="BG55" i="78"/>
  <c r="BH57" i="78"/>
  <c r="BI63" i="78"/>
  <c r="BF66" i="78"/>
  <c r="BH72" i="78"/>
  <c r="BV35" i="78"/>
  <c r="BX35" i="78" s="1"/>
  <c r="BX72" i="78" s="1"/>
  <c r="BX109" i="78" s="1"/>
  <c r="BT146" i="78"/>
  <c r="BS46" i="78"/>
  <c r="BS55" i="78"/>
  <c r="BT60" i="78"/>
  <c r="BP63" i="78"/>
  <c r="CC69" i="78"/>
  <c r="CH109" i="78"/>
  <c r="CH72" i="78"/>
  <c r="CE49" i="78"/>
  <c r="CE52" i="78"/>
  <c r="CB55" i="78"/>
  <c r="CA58" i="78"/>
  <c r="CE64" i="78"/>
  <c r="CE67" i="78"/>
  <c r="CP146" i="78"/>
  <c r="CR35" i="78"/>
  <c r="CT35" i="78" s="1"/>
  <c r="CP46" i="78"/>
  <c r="CP52" i="78"/>
  <c r="CM55" i="78"/>
  <c r="CL58" i="78"/>
  <c r="CO61" i="78"/>
  <c r="CM63" i="78"/>
  <c r="CL66" i="78"/>
  <c r="CP69" i="78"/>
  <c r="BF46" i="78"/>
  <c r="BF56" i="78"/>
  <c r="AT63" i="78"/>
  <c r="BF51" i="78"/>
  <c r="BQ64" i="78"/>
  <c r="AK48" i="78"/>
  <c r="AK69" i="78"/>
  <c r="AT46" i="78"/>
  <c r="AU55" i="78"/>
  <c r="AU61" i="78"/>
  <c r="BW72" i="78"/>
  <c r="BW109" i="78"/>
  <c r="CE57" i="78"/>
  <c r="CN46" i="78"/>
  <c r="CM65" i="78"/>
  <c r="AK51" i="78"/>
  <c r="AI61" i="78"/>
  <c r="AM69" i="78"/>
  <c r="AM45" i="78"/>
  <c r="AM51" i="78"/>
  <c r="AI56" i="78"/>
  <c r="AK61" i="78"/>
  <c r="AJ49" i="78"/>
  <c r="AJ56" i="78"/>
  <c r="AL58" i="78"/>
  <c r="AM61" i="78"/>
  <c r="AM67" i="78"/>
  <c r="AW46" i="78"/>
  <c r="AW51" i="78"/>
  <c r="AT54" i="78"/>
  <c r="AT56" i="78"/>
  <c r="AW59" i="78"/>
  <c r="AU64" i="78"/>
  <c r="AU67" i="78"/>
  <c r="BG45" i="78"/>
  <c r="BI47" i="78"/>
  <c r="BE50" i="78"/>
  <c r="BH52" i="78"/>
  <c r="BH55" i="78"/>
  <c r="BI72" i="78"/>
  <c r="BT46" i="78"/>
  <c r="BQ54" i="78"/>
  <c r="BQ63" i="78"/>
  <c r="BP66" i="78"/>
  <c r="CE72" i="78"/>
  <c r="CL49" i="78"/>
  <c r="CN55" i="78"/>
  <c r="CP61" i="78"/>
  <c r="CL57" i="78"/>
  <c r="CM69" i="78"/>
  <c r="CM61" i="78"/>
  <c r="CM53" i="78"/>
  <c r="CM45" i="78"/>
  <c r="CM58" i="78"/>
  <c r="CM50" i="78"/>
  <c r="CM68" i="78"/>
  <c r="CM60" i="78"/>
  <c r="CM52" i="78"/>
  <c r="CL146" i="78"/>
  <c r="CM67" i="78"/>
  <c r="CM59" i="78"/>
  <c r="CM51" i="78"/>
  <c r="CM66" i="78"/>
  <c r="CO45" i="78"/>
  <c r="CN54" i="78"/>
  <c r="CM57" i="78"/>
  <c r="CO68" i="78"/>
  <c r="CL72" i="78"/>
  <c r="CL62" i="78"/>
  <c r="CL54" i="78"/>
  <c r="CL46" i="78"/>
  <c r="CL59" i="78"/>
  <c r="CL51" i="78"/>
  <c r="CL69" i="78"/>
  <c r="CL61" i="78"/>
  <c r="CL53" i="78"/>
  <c r="CL45" i="78"/>
  <c r="CL68" i="78"/>
  <c r="CL60" i="78"/>
  <c r="CL52" i="78"/>
  <c r="CL67" i="78"/>
  <c r="CN68" i="78"/>
  <c r="CN60" i="78"/>
  <c r="CN52" i="78"/>
  <c r="CN57" i="78"/>
  <c r="CN49" i="78"/>
  <c r="CN67" i="78"/>
  <c r="CN59" i="78"/>
  <c r="CN51" i="78"/>
  <c r="CN66" i="78"/>
  <c r="CN58" i="78"/>
  <c r="CN50" i="78"/>
  <c r="CM146" i="78"/>
  <c r="CN65" i="78"/>
  <c r="CN53" i="78"/>
  <c r="CO54" i="78"/>
  <c r="CL65" i="78"/>
  <c r="CO67" i="78"/>
  <c r="CO59" i="78"/>
  <c r="CO51" i="78"/>
  <c r="CO56" i="78"/>
  <c r="CO48" i="78"/>
  <c r="CO66" i="78"/>
  <c r="CO58" i="78"/>
  <c r="CO50" i="78"/>
  <c r="CN146" i="78"/>
  <c r="CO65" i="78"/>
  <c r="CO57" i="78"/>
  <c r="CO49" i="78"/>
  <c r="CO64" i="78"/>
  <c r="CL47" i="78"/>
  <c r="CL50" i="78"/>
  <c r="CO53" i="78"/>
  <c r="CL56" i="78"/>
  <c r="CN62" i="78"/>
  <c r="CP48" i="78"/>
  <c r="CP56" i="78"/>
  <c r="CP64" i="78"/>
  <c r="CP49" i="78"/>
  <c r="CP57" i="78"/>
  <c r="CP65" i="78"/>
  <c r="CO146" i="78"/>
  <c r="CP47" i="78"/>
  <c r="CP55" i="78"/>
  <c r="CP63" i="78"/>
  <c r="CP50" i="78"/>
  <c r="CP58" i="78"/>
  <c r="CP66" i="78"/>
  <c r="CC59" i="78"/>
  <c r="CC72" i="78"/>
  <c r="CA72" i="78"/>
  <c r="CA62" i="78"/>
  <c r="CA54" i="78"/>
  <c r="CA46" i="78"/>
  <c r="CA67" i="78"/>
  <c r="CA59" i="78"/>
  <c r="CA51" i="78"/>
  <c r="CA49" i="78"/>
  <c r="CC50" i="78"/>
  <c r="CA57" i="78"/>
  <c r="CC58" i="78"/>
  <c r="CA65" i="78"/>
  <c r="CC66" i="78"/>
  <c r="CB69" i="78"/>
  <c r="CB61" i="78"/>
  <c r="CB53" i="78"/>
  <c r="CB45" i="78"/>
  <c r="CB66" i="78"/>
  <c r="CB58" i="78"/>
  <c r="CB50" i="78"/>
  <c r="CA146" i="78"/>
  <c r="CA48" i="78"/>
  <c r="CB49" i="78"/>
  <c r="CD50" i="78"/>
  <c r="CA56" i="78"/>
  <c r="CB57" i="78"/>
  <c r="CD58" i="78"/>
  <c r="CA64" i="78"/>
  <c r="CB65" i="78"/>
  <c r="CD66" i="78"/>
  <c r="CC68" i="78"/>
  <c r="CC60" i="78"/>
  <c r="CC52" i="78"/>
  <c r="CB146" i="78"/>
  <c r="CC65" i="78"/>
  <c r="CC57" i="78"/>
  <c r="CC49" i="78"/>
  <c r="CD67" i="78"/>
  <c r="CD59" i="78"/>
  <c r="CD51" i="78"/>
  <c r="CD146" i="78"/>
  <c r="CD64" i="78"/>
  <c r="CD56" i="78"/>
  <c r="CD48" i="78"/>
  <c r="CD72" i="78"/>
  <c r="CC48" i="78"/>
  <c r="CC56" i="78"/>
  <c r="CC64" i="78"/>
  <c r="CA45" i="78"/>
  <c r="CC46" i="78"/>
  <c r="CC47" i="78"/>
  <c r="CA53" i="78"/>
  <c r="CC54" i="78"/>
  <c r="CA61" i="78"/>
  <c r="CC62" i="78"/>
  <c r="CC63" i="78"/>
  <c r="CD68" i="78"/>
  <c r="CC45" i="78"/>
  <c r="CD46" i="78"/>
  <c r="CD47" i="78"/>
  <c r="CA52" i="78"/>
  <c r="CC53" i="78"/>
  <c r="CD54" i="78"/>
  <c r="CD55" i="78"/>
  <c r="CA60" i="78"/>
  <c r="CC61" i="78"/>
  <c r="CD62" i="78"/>
  <c r="CD63" i="78"/>
  <c r="CC55" i="78"/>
  <c r="CD45" i="78"/>
  <c r="CB51" i="78"/>
  <c r="CB52" i="78"/>
  <c r="CD53" i="78"/>
  <c r="CB59" i="78"/>
  <c r="CB60" i="78"/>
  <c r="CD61" i="78"/>
  <c r="CC67" i="78"/>
  <c r="CB72" i="78"/>
  <c r="CC146" i="78"/>
  <c r="CE47" i="78"/>
  <c r="CE55" i="78"/>
  <c r="CE63" i="78"/>
  <c r="CE50" i="78"/>
  <c r="CE58" i="78"/>
  <c r="CE66" i="78"/>
  <c r="BP57" i="78"/>
  <c r="BR68" i="78"/>
  <c r="BR60" i="78"/>
  <c r="BR52" i="78"/>
  <c r="BR67" i="78"/>
  <c r="BR59" i="78"/>
  <c r="BR51" i="78"/>
  <c r="BR49" i="78"/>
  <c r="BR66" i="78"/>
  <c r="BR58" i="78"/>
  <c r="BR50" i="78"/>
  <c r="BQ146" i="78"/>
  <c r="BR65" i="78"/>
  <c r="BR57" i="78"/>
  <c r="BQ48" i="78"/>
  <c r="BR53" i="78"/>
  <c r="BQ62" i="78"/>
  <c r="BP65" i="78"/>
  <c r="BS67" i="78"/>
  <c r="BS59" i="78"/>
  <c r="BS51" i="78"/>
  <c r="BS66" i="78"/>
  <c r="BS58" i="78"/>
  <c r="BS50" i="78"/>
  <c r="BS56" i="78"/>
  <c r="BS48" i="78"/>
  <c r="BR146" i="78"/>
  <c r="BS65" i="78"/>
  <c r="BS57" i="78"/>
  <c r="BS49" i="78"/>
  <c r="BS64" i="78"/>
  <c r="BP47" i="78"/>
  <c r="BR48" i="78"/>
  <c r="BP50" i="78"/>
  <c r="BS53" i="78"/>
  <c r="BP56" i="78"/>
  <c r="BR62" i="78"/>
  <c r="BQ65" i="78"/>
  <c r="BQ69" i="78"/>
  <c r="BQ61" i="78"/>
  <c r="BQ53" i="78"/>
  <c r="BQ45" i="78"/>
  <c r="BQ68" i="78"/>
  <c r="BQ60" i="78"/>
  <c r="BQ52" i="78"/>
  <c r="BQ50" i="78"/>
  <c r="BQ67" i="78"/>
  <c r="BQ59" i="78"/>
  <c r="BQ51" i="78"/>
  <c r="BQ66" i="78"/>
  <c r="BQ58" i="78"/>
  <c r="BP146" i="78"/>
  <c r="BQ57" i="78"/>
  <c r="BQ47" i="78"/>
  <c r="BQ56" i="78"/>
  <c r="BR61" i="78"/>
  <c r="BR72" i="78"/>
  <c r="BP72" i="78"/>
  <c r="BP62" i="78"/>
  <c r="BP54" i="78"/>
  <c r="BP46" i="78"/>
  <c r="BP69" i="78"/>
  <c r="BP61" i="78"/>
  <c r="BP53" i="78"/>
  <c r="BP45" i="78"/>
  <c r="BP51" i="78"/>
  <c r="BP68" i="78"/>
  <c r="BP60" i="78"/>
  <c r="BP52" i="78"/>
  <c r="BP67" i="78"/>
  <c r="BP59" i="78"/>
  <c r="BR47" i="78"/>
  <c r="BP55" i="78"/>
  <c r="BR56" i="78"/>
  <c r="BP58" i="78"/>
  <c r="BP64" i="78"/>
  <c r="BT55" i="78"/>
  <c r="BT63" i="78"/>
  <c r="BT48" i="78"/>
  <c r="BT56" i="78"/>
  <c r="BT64" i="78"/>
  <c r="BT47" i="78"/>
  <c r="BT49" i="78"/>
  <c r="BT57" i="78"/>
  <c r="BT65" i="78"/>
  <c r="BS146" i="78"/>
  <c r="BT50" i="78"/>
  <c r="BT58" i="78"/>
  <c r="BT66" i="78"/>
  <c r="BE58" i="78"/>
  <c r="BE47" i="78"/>
  <c r="BE51" i="78"/>
  <c r="BG56" i="78"/>
  <c r="BG65" i="78"/>
  <c r="BE68" i="78"/>
  <c r="BG47" i="78"/>
  <c r="BI48" i="78"/>
  <c r="BE55" i="78"/>
  <c r="BH56" i="78"/>
  <c r="BE59" i="78"/>
  <c r="BH60" i="78"/>
  <c r="BG64" i="78"/>
  <c r="BH65" i="78"/>
  <c r="BE66" i="78"/>
  <c r="BG53" i="78"/>
  <c r="BH67" i="78"/>
  <c r="BH59" i="78"/>
  <c r="BH51" i="78"/>
  <c r="BH66" i="78"/>
  <c r="BH58" i="78"/>
  <c r="BH50" i="78"/>
  <c r="BG146" i="78"/>
  <c r="BH69" i="78"/>
  <c r="BH61" i="78"/>
  <c r="BH53" i="78"/>
  <c r="BH45" i="78"/>
  <c r="BG49" i="78"/>
  <c r="BE52" i="78"/>
  <c r="BI53" i="78"/>
  <c r="BG61" i="78"/>
  <c r="BE65" i="78"/>
  <c r="BG66" i="78"/>
  <c r="BE72" i="78"/>
  <c r="BE62" i="78"/>
  <c r="BE54" i="78"/>
  <c r="BE46" i="78"/>
  <c r="BE69" i="78"/>
  <c r="BE61" i="78"/>
  <c r="BE53" i="78"/>
  <c r="BE45" i="78"/>
  <c r="BE64" i="78"/>
  <c r="BE56" i="78"/>
  <c r="BE48" i="78"/>
  <c r="BE49" i="78"/>
  <c r="BG68" i="78"/>
  <c r="BG60" i="78"/>
  <c r="BG52" i="78"/>
  <c r="BG67" i="78"/>
  <c r="BG59" i="78"/>
  <c r="BG51" i="78"/>
  <c r="BG72" i="78"/>
  <c r="BG62" i="78"/>
  <c r="BG54" i="78"/>
  <c r="BG46" i="78"/>
  <c r="BE57" i="78"/>
  <c r="BG58" i="78"/>
  <c r="BI66" i="78"/>
  <c r="BI58" i="78"/>
  <c r="BI50" i="78"/>
  <c r="BH146" i="78"/>
  <c r="BI65" i="78"/>
  <c r="BI57" i="78"/>
  <c r="BI49" i="78"/>
  <c r="BI68" i="78"/>
  <c r="BI60" i="78"/>
  <c r="BI52" i="78"/>
  <c r="BG48" i="78"/>
  <c r="BG57" i="78"/>
  <c r="BE60" i="78"/>
  <c r="BI61" i="78"/>
  <c r="BI69" i="78"/>
  <c r="BF146" i="78"/>
  <c r="BF47" i="78"/>
  <c r="BF55" i="78"/>
  <c r="BF63" i="78"/>
  <c r="BF68" i="78"/>
  <c r="BF45" i="78"/>
  <c r="BF53" i="78"/>
  <c r="BF61" i="78"/>
  <c r="AX66" i="78"/>
  <c r="AX67" i="78"/>
  <c r="AV67" i="78"/>
  <c r="AV59" i="78"/>
  <c r="AV51" i="78"/>
  <c r="AV146" i="78"/>
  <c r="AV64" i="78"/>
  <c r="AV56" i="78"/>
  <c r="AV48" i="78"/>
  <c r="AX50" i="78"/>
  <c r="AX51" i="78"/>
  <c r="AV57" i="78"/>
  <c r="AX60" i="78"/>
  <c r="AV66" i="78"/>
  <c r="AX58" i="78"/>
  <c r="AX59" i="78"/>
  <c r="AV65" i="78"/>
  <c r="AX68" i="78"/>
  <c r="AX48" i="78"/>
  <c r="AV54" i="78"/>
  <c r="AV63" i="78"/>
  <c r="AV72" i="78"/>
  <c r="AV52" i="78"/>
  <c r="AV62" i="78"/>
  <c r="AT69" i="78"/>
  <c r="AT61" i="78"/>
  <c r="AT53" i="78"/>
  <c r="AT45" i="78"/>
  <c r="AT66" i="78"/>
  <c r="AT58" i="78"/>
  <c r="AT50" i="78"/>
  <c r="AT49" i="78"/>
  <c r="AV50" i="78"/>
  <c r="AU58" i="78"/>
  <c r="AT59" i="78"/>
  <c r="AV60" i="78"/>
  <c r="AT68" i="78"/>
  <c r="AV69" i="78"/>
  <c r="AW146" i="78"/>
  <c r="AX65" i="78"/>
  <c r="AX57" i="78"/>
  <c r="AX49" i="78"/>
  <c r="AX72" i="78"/>
  <c r="AX62" i="78"/>
  <c r="AX54" i="78"/>
  <c r="AX46" i="78"/>
  <c r="AX69" i="78"/>
  <c r="AX47" i="78"/>
  <c r="AX56" i="78"/>
  <c r="AV53" i="78"/>
  <c r="AX55" i="78"/>
  <c r="AX64" i="78"/>
  <c r="AX45" i="78"/>
  <c r="AV61" i="78"/>
  <c r="AX63" i="78"/>
  <c r="AU68" i="78"/>
  <c r="AU60" i="78"/>
  <c r="AU52" i="78"/>
  <c r="AT146" i="78"/>
  <c r="AU65" i="78"/>
  <c r="AU57" i="78"/>
  <c r="AU49" i="78"/>
  <c r="AT48" i="78"/>
  <c r="AV49" i="78"/>
  <c r="AX52" i="78"/>
  <c r="AT57" i="78"/>
  <c r="AV58" i="78"/>
  <c r="AU59" i="78"/>
  <c r="AX61" i="78"/>
  <c r="AU66" i="78"/>
  <c r="AT67" i="78"/>
  <c r="AV68" i="78"/>
  <c r="AU146" i="78"/>
  <c r="AW47" i="78"/>
  <c r="AW55" i="78"/>
  <c r="AJ46" i="78"/>
  <c r="AJ55" i="78"/>
  <c r="AJ60" i="78"/>
  <c r="AJ64" i="78"/>
  <c r="AI45" i="78"/>
  <c r="AK47" i="78"/>
  <c r="AI53" i="78"/>
  <c r="AK55" i="78"/>
  <c r="AL67" i="78"/>
  <c r="AL59" i="78"/>
  <c r="AL51" i="78"/>
  <c r="AK146" i="78"/>
  <c r="AL65" i="78"/>
  <c r="AL57" i="78"/>
  <c r="AL49" i="78"/>
  <c r="AL69" i="78"/>
  <c r="AL61" i="78"/>
  <c r="AK45" i="78"/>
  <c r="AL46" i="78"/>
  <c r="AL47" i="78"/>
  <c r="AL54" i="78"/>
  <c r="AL55" i="78"/>
  <c r="AI59" i="78"/>
  <c r="AI63" i="78"/>
  <c r="AL64" i="78"/>
  <c r="AI67" i="78"/>
  <c r="AI47" i="78"/>
  <c r="AJ69" i="78"/>
  <c r="AJ61" i="78"/>
  <c r="AJ53" i="78"/>
  <c r="AJ45" i="78"/>
  <c r="AJ67" i="78"/>
  <c r="AJ59" i="78"/>
  <c r="AJ51" i="78"/>
  <c r="AJ63" i="78"/>
  <c r="AJ47" i="78"/>
  <c r="AJ54" i="78"/>
  <c r="AJ68" i="78"/>
  <c r="AK68" i="78"/>
  <c r="AK60" i="78"/>
  <c r="AK52" i="78"/>
  <c r="AK66" i="78"/>
  <c r="AK58" i="78"/>
  <c r="AK50" i="78"/>
  <c r="AJ146" i="78"/>
  <c r="AK72" i="78"/>
  <c r="AK62" i="78"/>
  <c r="AK46" i="78"/>
  <c r="AK54" i="78"/>
  <c r="AK64" i="78"/>
  <c r="AM66" i="78"/>
  <c r="AM58" i="78"/>
  <c r="AM50" i="78"/>
  <c r="AL146" i="78"/>
  <c r="AM64" i="78"/>
  <c r="AM56" i="78"/>
  <c r="AM48" i="78"/>
  <c r="AM68" i="78"/>
  <c r="AM60" i="78"/>
  <c r="AL45" i="78"/>
  <c r="AM46" i="78"/>
  <c r="AM47" i="78"/>
  <c r="AI51" i="78"/>
  <c r="AL52" i="78"/>
  <c r="AL53" i="78"/>
  <c r="AM54" i="78"/>
  <c r="AM55" i="78"/>
  <c r="AK59" i="78"/>
  <c r="AK63" i="78"/>
  <c r="AK67" i="78"/>
  <c r="AJ62" i="78"/>
  <c r="AJ72" i="78"/>
  <c r="AI72" i="78"/>
  <c r="AI62" i="78"/>
  <c r="AI54" i="78"/>
  <c r="AI46" i="78"/>
  <c r="AI68" i="78"/>
  <c r="AI60" i="78"/>
  <c r="AI52" i="78"/>
  <c r="AI64" i="78"/>
  <c r="AI55" i="78"/>
  <c r="AI50" i="78"/>
  <c r="AI58" i="78"/>
  <c r="AI49" i="78"/>
  <c r="AJ50" i="78"/>
  <c r="AI57" i="78"/>
  <c r="AJ58" i="78"/>
  <c r="AJ66" i="78"/>
  <c r="AI146" i="78"/>
  <c r="CG72" i="78" l="1"/>
  <c r="CG109" i="78" s="1"/>
  <c r="BV72" i="78"/>
  <c r="BV109" i="78" s="1"/>
  <c r="AO72" i="78"/>
  <c r="AO109" i="78" s="1"/>
  <c r="AZ72" i="78"/>
  <c r="AZ109" i="78" s="1"/>
  <c r="BK72" i="78"/>
  <c r="BK109" i="78" s="1"/>
  <c r="CR72" i="78"/>
  <c r="CR109" i="78" s="1"/>
  <c r="CT72" i="78"/>
  <c r="CT109" i="78" s="1"/>
  <c r="D99" i="52"/>
  <c r="B94" i="52"/>
  <c r="C94" i="52"/>
  <c r="D94" i="52"/>
  <c r="B95" i="52"/>
  <c r="C95" i="52"/>
  <c r="D95" i="52"/>
  <c r="B96" i="52"/>
  <c r="C96" i="52"/>
  <c r="D96" i="52"/>
  <c r="B97" i="52"/>
  <c r="C97" i="52"/>
  <c r="D97" i="52"/>
  <c r="B98" i="52"/>
  <c r="C98" i="52"/>
  <c r="D98" i="52"/>
  <c r="B99" i="52"/>
  <c r="C99" i="52"/>
  <c r="B100" i="52"/>
  <c r="C100" i="52"/>
  <c r="D100" i="52"/>
  <c r="B101" i="52"/>
  <c r="C101" i="52"/>
  <c r="D101" i="52"/>
  <c r="C93" i="52"/>
  <c r="D93" i="52"/>
  <c r="B93" i="52"/>
  <c r="AN92" i="52"/>
  <c r="AM92" i="52"/>
  <c r="AL92" i="52"/>
  <c r="AJ92" i="52"/>
  <c r="AI92" i="52"/>
  <c r="AH92" i="52"/>
  <c r="AF92" i="52"/>
  <c r="AE92" i="52"/>
  <c r="AD92" i="52"/>
  <c r="D76" i="52"/>
  <c r="D83" i="52"/>
  <c r="C83" i="52"/>
  <c r="B83" i="52"/>
  <c r="D82" i="52"/>
  <c r="C82" i="52"/>
  <c r="B82" i="52"/>
  <c r="D81" i="52"/>
  <c r="C81" i="52"/>
  <c r="B81" i="52"/>
  <c r="D80" i="52"/>
  <c r="C80" i="52"/>
  <c r="B80" i="52"/>
  <c r="D79" i="52"/>
  <c r="C79" i="52"/>
  <c r="B79" i="52"/>
  <c r="D78" i="52"/>
  <c r="C78" i="52"/>
  <c r="B78" i="52"/>
  <c r="D77" i="52"/>
  <c r="C77" i="52"/>
  <c r="B77" i="52"/>
  <c r="C76" i="52"/>
  <c r="B76" i="52"/>
  <c r="D75" i="52"/>
  <c r="C75" i="52"/>
  <c r="B75" i="52"/>
  <c r="D71" i="52"/>
  <c r="C71" i="52"/>
  <c r="B71" i="52"/>
  <c r="D70" i="52"/>
  <c r="C70" i="52"/>
  <c r="B70" i="52"/>
  <c r="D69" i="52"/>
  <c r="C69" i="52"/>
  <c r="B69" i="52"/>
  <c r="D68" i="52"/>
  <c r="C68" i="52"/>
  <c r="B68" i="52"/>
  <c r="D67" i="52"/>
  <c r="C67" i="52"/>
  <c r="B67" i="52"/>
  <c r="D66" i="52"/>
  <c r="C66" i="52"/>
  <c r="B66" i="52"/>
  <c r="D65" i="52"/>
  <c r="C65" i="52"/>
  <c r="B65" i="52"/>
  <c r="D64" i="52"/>
  <c r="C64" i="52"/>
  <c r="B64" i="52"/>
  <c r="D63" i="52"/>
  <c r="C63" i="52"/>
  <c r="B63" i="52"/>
  <c r="B52" i="52"/>
  <c r="C52" i="52"/>
  <c r="D52" i="52"/>
  <c r="B53" i="52"/>
  <c r="C53" i="52"/>
  <c r="D53" i="52"/>
  <c r="B54" i="52"/>
  <c r="C54" i="52"/>
  <c r="D54" i="52"/>
  <c r="B55" i="52"/>
  <c r="C55" i="52"/>
  <c r="D55" i="52"/>
  <c r="B56" i="52"/>
  <c r="C56" i="52"/>
  <c r="D56" i="52"/>
  <c r="B57" i="52"/>
  <c r="C57" i="52"/>
  <c r="D57" i="52"/>
  <c r="B58" i="52"/>
  <c r="C58" i="52"/>
  <c r="D58" i="52"/>
  <c r="B59" i="52"/>
  <c r="C59" i="52"/>
  <c r="D59" i="52"/>
  <c r="C51" i="52"/>
  <c r="D51" i="52"/>
  <c r="B51" i="52"/>
  <c r="AN74" i="52"/>
  <c r="AM74" i="52"/>
  <c r="AL74" i="52"/>
  <c r="AN62" i="52"/>
  <c r="AM62" i="52"/>
  <c r="AL62" i="52"/>
  <c r="AN50" i="52"/>
  <c r="AM50" i="52"/>
  <c r="AL50" i="52"/>
  <c r="AJ74" i="52"/>
  <c r="AI74" i="52"/>
  <c r="AH74" i="52"/>
  <c r="AJ62" i="52"/>
  <c r="AI62" i="52"/>
  <c r="AH62" i="52"/>
  <c r="AJ50" i="52"/>
  <c r="AI50" i="52"/>
  <c r="AH50" i="52"/>
  <c r="AF74" i="52"/>
  <c r="AE74" i="52"/>
  <c r="AD74" i="52"/>
  <c r="AF62" i="52"/>
  <c r="AE62" i="52"/>
  <c r="AD62" i="52"/>
  <c r="AF50" i="52"/>
  <c r="AE50" i="52"/>
  <c r="AD50" i="52"/>
  <c r="AD9" i="52"/>
  <c r="D41" i="52"/>
  <c r="C41" i="52"/>
  <c r="B41" i="52"/>
  <c r="D40" i="52"/>
  <c r="C40" i="52"/>
  <c r="B40" i="52"/>
  <c r="D39" i="52"/>
  <c r="C39" i="52"/>
  <c r="B39" i="52"/>
  <c r="D38" i="52"/>
  <c r="C38" i="52"/>
  <c r="B38" i="52"/>
  <c r="D37" i="52"/>
  <c r="C37" i="52"/>
  <c r="B37" i="52"/>
  <c r="D36" i="52"/>
  <c r="C36" i="52"/>
  <c r="B36" i="52"/>
  <c r="D35" i="52"/>
  <c r="C35" i="52"/>
  <c r="B35" i="52"/>
  <c r="D34" i="52"/>
  <c r="C34" i="52"/>
  <c r="B34" i="52"/>
  <c r="D33" i="52"/>
  <c r="C33" i="52"/>
  <c r="B33" i="52"/>
  <c r="B22" i="52"/>
  <c r="C22" i="52"/>
  <c r="D22" i="52"/>
  <c r="B23" i="52"/>
  <c r="C23" i="52"/>
  <c r="D23" i="52"/>
  <c r="B24" i="52"/>
  <c r="C24" i="52"/>
  <c r="D24" i="52"/>
  <c r="B25" i="52"/>
  <c r="C25" i="52"/>
  <c r="D25" i="52"/>
  <c r="B26" i="52"/>
  <c r="C26" i="52"/>
  <c r="D26" i="52"/>
  <c r="B27" i="52"/>
  <c r="C27" i="52"/>
  <c r="D27" i="52"/>
  <c r="B28" i="52"/>
  <c r="C28" i="52"/>
  <c r="D28" i="52"/>
  <c r="B29" i="52"/>
  <c r="C29" i="52"/>
  <c r="D29" i="52"/>
  <c r="C21" i="52"/>
  <c r="D21" i="52"/>
  <c r="AL4" i="52"/>
  <c r="AM88" i="52" s="1"/>
  <c r="AH4" i="52"/>
  <c r="AH46" i="52" s="1"/>
  <c r="AD4" i="52"/>
  <c r="AD88" i="52" s="1"/>
  <c r="AN32" i="52"/>
  <c r="AM32" i="52"/>
  <c r="AL32" i="52"/>
  <c r="AN20" i="52"/>
  <c r="AM20" i="52"/>
  <c r="AL20" i="52"/>
  <c r="AN17" i="52"/>
  <c r="AM17" i="52"/>
  <c r="AL17" i="52"/>
  <c r="AN16" i="52"/>
  <c r="AM16" i="52"/>
  <c r="AL16" i="52"/>
  <c r="AN15" i="52"/>
  <c r="AM15" i="52"/>
  <c r="AL15" i="52"/>
  <c r="AN14" i="52"/>
  <c r="AM14" i="52"/>
  <c r="AL14" i="52"/>
  <c r="AN13" i="52"/>
  <c r="AM13" i="52"/>
  <c r="AL13" i="52"/>
  <c r="AN12" i="52"/>
  <c r="AM12" i="52"/>
  <c r="AL12" i="52"/>
  <c r="AN11" i="52"/>
  <c r="AM11" i="52"/>
  <c r="AL11" i="52"/>
  <c r="AN10" i="52"/>
  <c r="AM10" i="52"/>
  <c r="AL10" i="52"/>
  <c r="AN9" i="52"/>
  <c r="AM9" i="52"/>
  <c r="AL9" i="52"/>
  <c r="AJ32" i="52"/>
  <c r="AI32" i="52"/>
  <c r="AH32" i="52"/>
  <c r="AJ20" i="52"/>
  <c r="AI20" i="52"/>
  <c r="AH20" i="52"/>
  <c r="AJ17" i="52"/>
  <c r="AI17" i="52"/>
  <c r="AH17" i="52"/>
  <c r="AJ16" i="52"/>
  <c r="AI16" i="52"/>
  <c r="AH16" i="52"/>
  <c r="AJ15" i="52"/>
  <c r="AI15" i="52"/>
  <c r="AH15" i="52"/>
  <c r="AJ14" i="52"/>
  <c r="AI14" i="52"/>
  <c r="AH14" i="52"/>
  <c r="AJ13" i="52"/>
  <c r="AI13" i="52"/>
  <c r="AH13" i="52"/>
  <c r="AJ12" i="52"/>
  <c r="AI12" i="52"/>
  <c r="AH12" i="52"/>
  <c r="AJ11" i="52"/>
  <c r="AI11" i="52"/>
  <c r="AH11" i="52"/>
  <c r="AJ10" i="52"/>
  <c r="AI10" i="52"/>
  <c r="AH10" i="52"/>
  <c r="AJ9" i="52"/>
  <c r="AI9" i="52"/>
  <c r="AH9" i="52"/>
  <c r="AF32" i="52"/>
  <c r="AE32" i="52"/>
  <c r="AD32" i="52"/>
  <c r="AF20" i="52"/>
  <c r="AE20" i="52"/>
  <c r="AD20" i="52"/>
  <c r="AF17" i="52"/>
  <c r="AE17" i="52"/>
  <c r="AD17" i="52"/>
  <c r="AF16" i="52"/>
  <c r="AE16" i="52"/>
  <c r="AD16" i="52"/>
  <c r="AF15" i="52"/>
  <c r="AE15" i="52"/>
  <c r="AD15" i="52"/>
  <c r="AF14" i="52"/>
  <c r="AE14" i="52"/>
  <c r="AD14" i="52"/>
  <c r="AF13" i="52"/>
  <c r="AE13" i="52"/>
  <c r="AD13" i="52"/>
  <c r="AF12" i="52"/>
  <c r="AE12" i="52"/>
  <c r="AD12" i="52"/>
  <c r="AF11" i="52"/>
  <c r="AE11" i="52"/>
  <c r="AD11" i="52"/>
  <c r="AF10" i="52"/>
  <c r="AE10" i="52"/>
  <c r="AD10" i="52"/>
  <c r="AF9" i="52"/>
  <c r="AE9" i="52"/>
  <c r="Z4" i="52"/>
  <c r="Z88" i="52" s="1"/>
  <c r="V4" i="52"/>
  <c r="V46" i="52" s="1"/>
  <c r="R4" i="52"/>
  <c r="R88" i="52" s="1"/>
  <c r="N5" i="52"/>
  <c r="Z5" i="52" s="1"/>
  <c r="AL5" i="52" s="1"/>
  <c r="N4" i="52"/>
  <c r="J4" i="52"/>
  <c r="F4" i="52"/>
  <c r="A35" i="78"/>
  <c r="A9" i="78"/>
  <c r="A10" i="78"/>
  <c r="A11" i="78"/>
  <c r="A12" i="78"/>
  <c r="A13" i="78"/>
  <c r="A14" i="78"/>
  <c r="A15" i="78"/>
  <c r="A16" i="78"/>
  <c r="A17" i="78"/>
  <c r="A18" i="78"/>
  <c r="A19" i="78"/>
  <c r="A20" i="78"/>
  <c r="A21" i="78"/>
  <c r="A22" i="78"/>
  <c r="A23" i="78"/>
  <c r="A24" i="78"/>
  <c r="A25" i="78"/>
  <c r="A26" i="78"/>
  <c r="A27" i="78"/>
  <c r="A28" i="78"/>
  <c r="A29" i="78"/>
  <c r="A30" i="78"/>
  <c r="A31" i="78"/>
  <c r="A32" i="78"/>
  <c r="A8" i="78"/>
  <c r="AB92" i="52"/>
  <c r="AA92" i="52"/>
  <c r="Z92" i="52"/>
  <c r="X92" i="52"/>
  <c r="W92" i="52"/>
  <c r="V92" i="52"/>
  <c r="T92" i="52"/>
  <c r="S92" i="52"/>
  <c r="R92" i="52"/>
  <c r="AB12" i="52"/>
  <c r="AB74" i="52"/>
  <c r="AA74" i="52"/>
  <c r="Z74" i="52"/>
  <c r="AB62" i="52"/>
  <c r="AA62" i="52"/>
  <c r="Z62" i="52"/>
  <c r="AB50" i="52"/>
  <c r="AA50" i="52"/>
  <c r="Z50" i="52"/>
  <c r="X74" i="52"/>
  <c r="W74" i="52"/>
  <c r="V74" i="52"/>
  <c r="X62" i="52"/>
  <c r="W62" i="52"/>
  <c r="V62" i="52"/>
  <c r="X50" i="52"/>
  <c r="W50" i="52"/>
  <c r="V50" i="52"/>
  <c r="T74" i="52"/>
  <c r="S74" i="52"/>
  <c r="R74" i="52"/>
  <c r="T62" i="52"/>
  <c r="S62" i="52"/>
  <c r="R62" i="52"/>
  <c r="T50" i="52"/>
  <c r="S50" i="52"/>
  <c r="R50" i="52"/>
  <c r="R14" i="52"/>
  <c r="AB32" i="52"/>
  <c r="AA32" i="52"/>
  <c r="Z32" i="52"/>
  <c r="AB20" i="52"/>
  <c r="AA20" i="52"/>
  <c r="Z20" i="52"/>
  <c r="AB17" i="52"/>
  <c r="AA17" i="52"/>
  <c r="Z17" i="52"/>
  <c r="AB16" i="52"/>
  <c r="AA16" i="52"/>
  <c r="Z16" i="52"/>
  <c r="AB15" i="52"/>
  <c r="AA15" i="52"/>
  <c r="Z15" i="52"/>
  <c r="AB14" i="52"/>
  <c r="AA14" i="52"/>
  <c r="Z14" i="52"/>
  <c r="AB13" i="52"/>
  <c r="AA13" i="52"/>
  <c r="Z13" i="52"/>
  <c r="AA12" i="52"/>
  <c r="Z12" i="52"/>
  <c r="AB11" i="52"/>
  <c r="AA11" i="52"/>
  <c r="Z11" i="52"/>
  <c r="AB10" i="52"/>
  <c r="AA10" i="52"/>
  <c r="Z10" i="52"/>
  <c r="AB9" i="52"/>
  <c r="AA9" i="52"/>
  <c r="Z9" i="52"/>
  <c r="X32" i="52"/>
  <c r="W32" i="52"/>
  <c r="V32" i="52"/>
  <c r="X20" i="52"/>
  <c r="W20" i="52"/>
  <c r="V20" i="52"/>
  <c r="X17" i="52"/>
  <c r="W17" i="52"/>
  <c r="V17" i="52"/>
  <c r="X16" i="52"/>
  <c r="W16" i="52"/>
  <c r="V16" i="52"/>
  <c r="X15" i="52"/>
  <c r="W15" i="52"/>
  <c r="V15" i="52"/>
  <c r="X14" i="52"/>
  <c r="W14" i="52"/>
  <c r="V14" i="52"/>
  <c r="X13" i="52"/>
  <c r="W13" i="52"/>
  <c r="V13" i="52"/>
  <c r="X12" i="52"/>
  <c r="W12" i="52"/>
  <c r="V12" i="52"/>
  <c r="X11" i="52"/>
  <c r="W11" i="52"/>
  <c r="V11" i="52"/>
  <c r="X10" i="52"/>
  <c r="W10" i="52"/>
  <c r="V10" i="52"/>
  <c r="X9" i="52"/>
  <c r="W9" i="52"/>
  <c r="V9" i="52"/>
  <c r="T32" i="52"/>
  <c r="S32" i="52"/>
  <c r="R32" i="52"/>
  <c r="T20" i="52"/>
  <c r="S20" i="52"/>
  <c r="R20" i="52"/>
  <c r="T17" i="52"/>
  <c r="S17" i="52"/>
  <c r="R17" i="52"/>
  <c r="T16" i="52"/>
  <c r="S16" i="52"/>
  <c r="R16" i="52"/>
  <c r="T15" i="52"/>
  <c r="S15" i="52"/>
  <c r="R15" i="52"/>
  <c r="T14" i="52"/>
  <c r="S14" i="52"/>
  <c r="T13" i="52"/>
  <c r="S13" i="52"/>
  <c r="R13" i="52"/>
  <c r="T12" i="52"/>
  <c r="S12" i="52"/>
  <c r="R12" i="52"/>
  <c r="T11" i="52"/>
  <c r="S11" i="52"/>
  <c r="R11" i="52"/>
  <c r="T10" i="52"/>
  <c r="S10" i="52"/>
  <c r="R10" i="52"/>
  <c r="T9" i="52"/>
  <c r="S9" i="52"/>
  <c r="R9" i="52"/>
  <c r="AL46" i="52" l="1"/>
  <c r="AD46" i="52"/>
  <c r="R46" i="52"/>
  <c r="Z46" i="52"/>
  <c r="AH88" i="52"/>
  <c r="B92" i="52"/>
  <c r="AA8" i="52"/>
  <c r="AN8" i="52"/>
  <c r="AJ8" i="52"/>
  <c r="AE8" i="52"/>
  <c r="B11" i="52"/>
  <c r="B50" i="52"/>
  <c r="AL8" i="52"/>
  <c r="AM8" i="52"/>
  <c r="AH8" i="52"/>
  <c r="AI8" i="52"/>
  <c r="AD8" i="52"/>
  <c r="AF8" i="52"/>
  <c r="B9" i="52"/>
  <c r="D11" i="52"/>
  <c r="V88" i="52"/>
  <c r="T8" i="52"/>
  <c r="AB8" i="52"/>
  <c r="Z8" i="52"/>
  <c r="V8" i="52"/>
  <c r="W8" i="52"/>
  <c r="X8" i="52"/>
  <c r="R8" i="52"/>
  <c r="S8" i="52"/>
  <c r="A13" i="44"/>
  <c r="A27" i="44" s="1"/>
  <c r="A41" i="44" s="1"/>
  <c r="A55" i="44" s="1"/>
  <c r="A12" i="44"/>
  <c r="A26" i="44" s="1"/>
  <c r="A40" i="44" s="1"/>
  <c r="A54" i="44" s="1"/>
  <c r="A8" i="44"/>
  <c r="A22" i="44" s="1"/>
  <c r="A36" i="44" s="1"/>
  <c r="A50" i="44" s="1"/>
  <c r="A9" i="44"/>
  <c r="A23" i="44" s="1"/>
  <c r="A37" i="44" s="1"/>
  <c r="A51" i="44" s="1"/>
  <c r="A10" i="44"/>
  <c r="A24" i="44" s="1"/>
  <c r="A38" i="44" s="1"/>
  <c r="A52" i="44" s="1"/>
  <c r="A11" i="44"/>
  <c r="A25" i="44" s="1"/>
  <c r="A39" i="44" s="1"/>
  <c r="A53" i="44" s="1"/>
  <c r="O15" i="76"/>
  <c r="P15" i="76"/>
  <c r="Q15" i="76"/>
  <c r="R15" i="76"/>
  <c r="S15" i="76"/>
  <c r="T15" i="76"/>
  <c r="U15" i="76"/>
  <c r="V15" i="76"/>
  <c r="W15" i="76"/>
  <c r="X15" i="76"/>
  <c r="Y15" i="76"/>
  <c r="Z15" i="76"/>
  <c r="AA15" i="76"/>
  <c r="AB15" i="76"/>
  <c r="AC15" i="76"/>
  <c r="AD15" i="76"/>
  <c r="N15" i="76"/>
  <c r="N9" i="76"/>
  <c r="O5" i="76"/>
  <c r="P5" i="76"/>
  <c r="Q5" i="76"/>
  <c r="R5" i="76"/>
  <c r="S5" i="76"/>
  <c r="T5" i="76"/>
  <c r="U5" i="76"/>
  <c r="V5" i="76"/>
  <c r="W5" i="76"/>
  <c r="X5" i="76"/>
  <c r="Y5" i="76"/>
  <c r="Z5" i="76"/>
  <c r="AA5" i="76"/>
  <c r="AB5" i="76"/>
  <c r="AC5" i="76"/>
  <c r="AD5" i="76"/>
  <c r="N5" i="76"/>
  <c r="B35" i="18" l="1"/>
  <c r="C35" i="18"/>
  <c r="D35" i="18"/>
  <c r="E35" i="18"/>
  <c r="F35" i="18"/>
  <c r="C36" i="18"/>
  <c r="D36" i="18"/>
  <c r="E36" i="18"/>
  <c r="F36" i="18"/>
  <c r="B29" i="18"/>
  <c r="C29" i="18"/>
  <c r="D29" i="18"/>
  <c r="E29" i="18"/>
  <c r="F29" i="18"/>
  <c r="B30" i="18"/>
  <c r="C30" i="18"/>
  <c r="D30" i="18"/>
  <c r="E30" i="18"/>
  <c r="F30" i="18"/>
  <c r="B31" i="18"/>
  <c r="C31" i="18"/>
  <c r="D31" i="18"/>
  <c r="E31" i="18"/>
  <c r="F31" i="18"/>
  <c r="B32" i="18"/>
  <c r="C32" i="18"/>
  <c r="D32" i="18"/>
  <c r="E32" i="18"/>
  <c r="F32" i="18"/>
  <c r="B18" i="18"/>
  <c r="C18" i="18"/>
  <c r="D18" i="18"/>
  <c r="E18" i="18"/>
  <c r="F18" i="18"/>
  <c r="B19" i="18"/>
  <c r="C19" i="18"/>
  <c r="D19" i="18"/>
  <c r="E19" i="18"/>
  <c r="F19" i="18"/>
  <c r="B20" i="18"/>
  <c r="C20" i="18"/>
  <c r="D20" i="18"/>
  <c r="E20" i="18"/>
  <c r="F20" i="18"/>
  <c r="B21" i="18"/>
  <c r="C21" i="18"/>
  <c r="D21" i="18"/>
  <c r="E21" i="18"/>
  <c r="F21" i="18"/>
  <c r="B22" i="18"/>
  <c r="C22" i="18"/>
  <c r="D22" i="18"/>
  <c r="E22" i="18"/>
  <c r="F22" i="18"/>
  <c r="B12" i="18"/>
  <c r="C12" i="18"/>
  <c r="D12" i="18"/>
  <c r="E12" i="18"/>
  <c r="F12" i="18"/>
  <c r="B13" i="18"/>
  <c r="C13" i="18"/>
  <c r="D13" i="18"/>
  <c r="E13" i="18"/>
  <c r="F13" i="18"/>
  <c r="B14" i="18"/>
  <c r="C14" i="18"/>
  <c r="D14" i="18"/>
  <c r="E14" i="18"/>
  <c r="F14" i="18"/>
  <c r="B15" i="18"/>
  <c r="C15" i="18"/>
  <c r="D15" i="18"/>
  <c r="E15" i="18"/>
  <c r="F15" i="18"/>
  <c r="B9" i="18"/>
  <c r="C9" i="18"/>
  <c r="D9" i="18"/>
  <c r="E9" i="18"/>
  <c r="F9" i="18"/>
  <c r="C8" i="18"/>
  <c r="D8" i="18"/>
  <c r="E8" i="18"/>
  <c r="F8" i="18"/>
  <c r="B8" i="18"/>
  <c r="F180" i="71"/>
  <c r="B180" i="71"/>
  <c r="B80" i="16"/>
  <c r="B106" i="71"/>
  <c r="A35" i="71"/>
  <c r="A180" i="71" s="1"/>
  <c r="A9" i="71"/>
  <c r="A10" i="71"/>
  <c r="A11" i="71"/>
  <c r="A12" i="71"/>
  <c r="A13" i="71"/>
  <c r="A158" i="71" s="1"/>
  <c r="A14" i="71"/>
  <c r="A15" i="71"/>
  <c r="A160" i="71" s="1"/>
  <c r="A16" i="71"/>
  <c r="A17" i="71"/>
  <c r="A18" i="71"/>
  <c r="A19" i="71"/>
  <c r="A164" i="71" s="1"/>
  <c r="A20" i="71"/>
  <c r="A21" i="71"/>
  <c r="A22" i="71"/>
  <c r="A167" i="71" s="1"/>
  <c r="A23" i="71"/>
  <c r="A24" i="71"/>
  <c r="A25" i="71"/>
  <c r="A26" i="71"/>
  <c r="A27" i="71"/>
  <c r="A28" i="71"/>
  <c r="A29" i="71"/>
  <c r="A30" i="71"/>
  <c r="A31" i="71"/>
  <c r="A32" i="71"/>
  <c r="A8" i="18"/>
  <c r="L53" i="76" s="1"/>
  <c r="A28" i="12"/>
  <c r="A21" i="12"/>
  <c r="A48" i="12" s="1"/>
  <c r="A22" i="12"/>
  <c r="A49" i="12" s="1"/>
  <c r="A23" i="12"/>
  <c r="A50" i="12" s="1"/>
  <c r="A24" i="12"/>
  <c r="A51" i="12" s="1"/>
  <c r="A25" i="12"/>
  <c r="A52" i="12" s="1"/>
  <c r="A26" i="12"/>
  <c r="A53" i="12" s="1"/>
  <c r="A6" i="12"/>
  <c r="A7" i="12"/>
  <c r="A8" i="12"/>
  <c r="A9" i="12"/>
  <c r="A10" i="12"/>
  <c r="A11" i="12"/>
  <c r="A11" i="15" s="1"/>
  <c r="A93" i="15" s="1"/>
  <c r="A12" i="12"/>
  <c r="A13" i="12"/>
  <c r="A21" i="15" s="1"/>
  <c r="A103" i="15" s="1"/>
  <c r="A14" i="12"/>
  <c r="A22" i="15" s="1"/>
  <c r="A104" i="15" s="1"/>
  <c r="A15" i="12"/>
  <c r="A23" i="15" s="1"/>
  <c r="A105" i="15" s="1"/>
  <c r="A16" i="12"/>
  <c r="A26" i="15" s="1"/>
  <c r="A108" i="15" s="1"/>
  <c r="A17" i="12"/>
  <c r="A27" i="15" s="1"/>
  <c r="A109" i="15" s="1"/>
  <c r="A18" i="12"/>
  <c r="A28" i="15" s="1"/>
  <c r="A110" i="15" s="1"/>
  <c r="A19" i="12"/>
  <c r="A29" i="15" s="1"/>
  <c r="A111" i="15" s="1"/>
  <c r="A20" i="12"/>
  <c r="A47" i="12" s="1"/>
  <c r="A5" i="12"/>
  <c r="A35" i="18" l="1"/>
  <c r="A170" i="71"/>
  <c r="A21" i="18"/>
  <c r="A162" i="71"/>
  <c r="A9" i="18"/>
  <c r="L54" i="76" s="1"/>
  <c r="A154" i="71"/>
  <c r="A177" i="71"/>
  <c r="A32" i="18"/>
  <c r="A169" i="71"/>
  <c r="A20" i="18"/>
  <c r="A161" i="71"/>
  <c r="A176" i="71"/>
  <c r="A31" i="18"/>
  <c r="A168" i="71"/>
  <c r="A15" i="18"/>
  <c r="A175" i="71"/>
  <c r="A18" i="18"/>
  <c r="A159" i="71"/>
  <c r="A19" i="18"/>
  <c r="A30" i="18"/>
  <c r="A174" i="71"/>
  <c r="A29" i="18"/>
  <c r="A166" i="71"/>
  <c r="A173" i="71"/>
  <c r="A26" i="18"/>
  <c r="A165" i="71"/>
  <c r="A14" i="18"/>
  <c r="A157" i="71"/>
  <c r="A172" i="71"/>
  <c r="A13" i="18"/>
  <c r="A156" i="71"/>
  <c r="A36" i="18"/>
  <c r="A171" i="71"/>
  <c r="A22" i="18"/>
  <c r="A163" i="71"/>
  <c r="A12" i="18"/>
  <c r="A155" i="71"/>
  <c r="L22" i="18"/>
  <c r="X4" i="106"/>
  <c r="J9" i="18"/>
  <c r="H8" i="16"/>
  <c r="N153" i="75" s="1"/>
  <c r="Z4" i="106"/>
  <c r="Y4" i="106"/>
  <c r="AB4" i="106"/>
  <c r="AC4" i="106"/>
  <c r="AA4" i="106"/>
  <c r="A72" i="15"/>
  <c r="L18" i="19" s="1"/>
  <c r="L27" i="21"/>
  <c r="A60" i="18"/>
  <c r="L50" i="75"/>
  <c r="L6" i="76"/>
  <c r="A54" i="15"/>
  <c r="L36" i="19" s="1"/>
  <c r="L9" i="21"/>
  <c r="A36" i="15"/>
  <c r="A118" i="15" s="1"/>
  <c r="A38" i="15"/>
  <c r="A120" i="15" s="1"/>
  <c r="A37" i="15"/>
  <c r="A119" i="15" s="1"/>
  <c r="A32" i="15"/>
  <c r="A114" i="15" s="1"/>
  <c r="A111" i="12"/>
  <c r="A33" i="15"/>
  <c r="A115" i="15" s="1"/>
  <c r="A31" i="15"/>
  <c r="A113" i="15" s="1"/>
  <c r="A30" i="15"/>
  <c r="A112" i="15" s="1"/>
  <c r="L30" i="18"/>
  <c r="L41" i="18"/>
  <c r="L9" i="18"/>
  <c r="L19" i="18"/>
  <c r="L13" i="18"/>
  <c r="L32" i="18"/>
  <c r="L48" i="18"/>
  <c r="L49" i="18"/>
  <c r="L12" i="18"/>
  <c r="L31" i="18"/>
  <c r="K8" i="18"/>
  <c r="L8" i="18"/>
  <c r="L15" i="18"/>
  <c r="L18" i="18"/>
  <c r="L36" i="18"/>
  <c r="L45" i="18"/>
  <c r="L21" i="18"/>
  <c r="L29" i="18"/>
  <c r="L40" i="18"/>
  <c r="L14" i="18"/>
  <c r="L35" i="18"/>
  <c r="L44" i="18"/>
  <c r="F64" i="16"/>
  <c r="N3" i="107" s="1"/>
  <c r="L20" i="18"/>
  <c r="I8" i="18"/>
  <c r="I9" i="18"/>
  <c r="K9" i="18"/>
  <c r="H8" i="18"/>
  <c r="J8" i="18"/>
  <c r="H9" i="18"/>
  <c r="B86" i="16"/>
  <c r="A106" i="12"/>
  <c r="A107" i="12"/>
  <c r="A108" i="12"/>
  <c r="A109" i="12"/>
  <c r="A110" i="12"/>
  <c r="A83" i="12"/>
  <c r="A79" i="12"/>
  <c r="A80" i="12"/>
  <c r="A81" i="12"/>
  <c r="A82" i="12"/>
  <c r="A84" i="12"/>
  <c r="F37" i="15"/>
  <c r="F23" i="15"/>
  <c r="F29" i="15"/>
  <c r="F28" i="15"/>
  <c r="F32" i="15"/>
  <c r="F27" i="15"/>
  <c r="F26" i="15"/>
  <c r="F36" i="15"/>
  <c r="F22" i="15"/>
  <c r="F30" i="15"/>
  <c r="F11" i="15"/>
  <c r="F33" i="15"/>
  <c r="F38" i="15"/>
  <c r="F31" i="15"/>
  <c r="F21" i="15"/>
  <c r="E29" i="15"/>
  <c r="E32" i="15"/>
  <c r="E38" i="15"/>
  <c r="E26" i="15"/>
  <c r="E36" i="15"/>
  <c r="E30" i="15"/>
  <c r="E11" i="15"/>
  <c r="E33" i="15"/>
  <c r="E28" i="15"/>
  <c r="E27" i="15"/>
  <c r="E37" i="15"/>
  <c r="E23" i="15"/>
  <c r="E22" i="15"/>
  <c r="E31" i="15"/>
  <c r="E21" i="15"/>
  <c r="D30" i="15"/>
  <c r="D28" i="15"/>
  <c r="D37" i="15"/>
  <c r="D23" i="15"/>
  <c r="D11" i="15"/>
  <c r="D32" i="15"/>
  <c r="D26" i="15"/>
  <c r="D36" i="15"/>
  <c r="D22" i="15"/>
  <c r="D29" i="15"/>
  <c r="D27" i="15"/>
  <c r="D38" i="15"/>
  <c r="D31" i="15"/>
  <c r="D21" i="15"/>
  <c r="C30" i="15"/>
  <c r="C29" i="15"/>
  <c r="C11" i="15"/>
  <c r="C33" i="15"/>
  <c r="C28" i="15"/>
  <c r="C32" i="15"/>
  <c r="C27" i="15"/>
  <c r="C38" i="15"/>
  <c r="C26" i="15"/>
  <c r="C37" i="15"/>
  <c r="C23" i="15"/>
  <c r="C36" i="15"/>
  <c r="C22" i="15"/>
  <c r="C31" i="15"/>
  <c r="C21" i="15"/>
  <c r="B37" i="15"/>
  <c r="B23" i="15"/>
  <c r="B36" i="15"/>
  <c r="B22" i="15"/>
  <c r="B31" i="15"/>
  <c r="B21" i="15"/>
  <c r="B30" i="15"/>
  <c r="B29" i="15"/>
  <c r="B11" i="15"/>
  <c r="B33" i="15"/>
  <c r="B28" i="15"/>
  <c r="B32" i="15"/>
  <c r="B27" i="15"/>
  <c r="B38" i="15"/>
  <c r="B26" i="15"/>
  <c r="F45" i="11"/>
  <c r="F46" i="11"/>
  <c r="L7" i="76" l="1"/>
  <c r="A61" i="18"/>
  <c r="L49" i="75"/>
  <c r="L28" i="76"/>
  <c r="L75" i="76"/>
  <c r="L29" i="76"/>
  <c r="L76" i="76"/>
  <c r="L47" i="76"/>
  <c r="L94" i="76"/>
  <c r="L34" i="76"/>
  <c r="L81" i="76"/>
  <c r="L24" i="76"/>
  <c r="L71" i="76"/>
  <c r="L17" i="76"/>
  <c r="L64" i="76"/>
  <c r="L46" i="76"/>
  <c r="L93" i="76"/>
  <c r="L20" i="76"/>
  <c r="L67" i="76"/>
  <c r="L11" i="76"/>
  <c r="L58" i="76"/>
  <c r="L39" i="76"/>
  <c r="L86" i="76"/>
  <c r="L16" i="76"/>
  <c r="L63" i="76"/>
  <c r="L12" i="76"/>
  <c r="L59" i="76"/>
  <c r="L18" i="76"/>
  <c r="L65" i="76"/>
  <c r="L19" i="76"/>
  <c r="L66" i="76"/>
  <c r="L42" i="76"/>
  <c r="L89" i="76"/>
  <c r="L10" i="76"/>
  <c r="L57" i="76"/>
  <c r="L38" i="76"/>
  <c r="L85" i="76"/>
  <c r="L27" i="76"/>
  <c r="L74" i="76"/>
  <c r="L43" i="76"/>
  <c r="L90" i="76"/>
  <c r="L13" i="76"/>
  <c r="L60" i="76"/>
  <c r="L30" i="76"/>
  <c r="L77" i="76"/>
  <c r="L33" i="76"/>
  <c r="L80" i="76"/>
  <c r="H26" i="16"/>
  <c r="X8" i="106"/>
  <c r="Z11" i="106"/>
  <c r="X5" i="106"/>
  <c r="X6" i="106"/>
  <c r="Z9" i="106"/>
  <c r="Z8" i="106"/>
  <c r="Z6" i="106"/>
  <c r="X11" i="106"/>
  <c r="Z5" i="106"/>
  <c r="AA11" i="106"/>
  <c r="AC11" i="106"/>
  <c r="AB5" i="106"/>
  <c r="Y5" i="106"/>
  <c r="AB7" i="106"/>
  <c r="Y7" i="106"/>
  <c r="X12" i="106"/>
  <c r="AB8" i="106"/>
  <c r="Y8" i="106"/>
  <c r="AC12" i="106"/>
  <c r="AA12" i="106"/>
  <c r="Y9" i="106"/>
  <c r="AB9" i="106"/>
  <c r="AC5" i="106"/>
  <c r="AA5" i="106"/>
  <c r="AB10" i="106"/>
  <c r="Y10" i="106"/>
  <c r="AA6" i="106"/>
  <c r="AC6" i="106"/>
  <c r="AB6" i="106"/>
  <c r="Y6" i="106"/>
  <c r="X7" i="106"/>
  <c r="AB11" i="106"/>
  <c r="Y11" i="106"/>
  <c r="AC7" i="106"/>
  <c r="AA7" i="106"/>
  <c r="Y12" i="106"/>
  <c r="AB12" i="106"/>
  <c r="AA8" i="106"/>
  <c r="AC8" i="106"/>
  <c r="X9" i="106"/>
  <c r="Z7" i="106"/>
  <c r="AA9" i="106"/>
  <c r="AC9" i="106"/>
  <c r="Z12" i="106"/>
  <c r="X10" i="106"/>
  <c r="Z10" i="106"/>
  <c r="AA10" i="106"/>
  <c r="AC10" i="106"/>
  <c r="A73" i="15"/>
  <c r="L17" i="19" s="1"/>
  <c r="L28" i="21"/>
  <c r="L29" i="21"/>
  <c r="A74" i="15"/>
  <c r="L16" i="19" s="1"/>
  <c r="L31" i="21"/>
  <c r="A76" i="15"/>
  <c r="L14" i="19" s="1"/>
  <c r="L30" i="21"/>
  <c r="A75" i="15"/>
  <c r="L15" i="19" s="1"/>
  <c r="H11" i="15"/>
  <c r="H31" i="15"/>
  <c r="K31" i="15"/>
  <c r="L22" i="15"/>
  <c r="F47" i="11"/>
  <c r="L38" i="15"/>
  <c r="I11" i="15"/>
  <c r="K33" i="15"/>
  <c r="L28" i="15"/>
  <c r="J30" i="15"/>
  <c r="J29" i="15"/>
  <c r="K11" i="15"/>
  <c r="L11" i="15"/>
  <c r="F69" i="16"/>
  <c r="N8" i="107" s="1"/>
  <c r="H13" i="16"/>
  <c r="H30" i="15"/>
  <c r="I31" i="15"/>
  <c r="I32" i="15"/>
  <c r="K30" i="15"/>
  <c r="L30" i="15"/>
  <c r="L29" i="15"/>
  <c r="H32" i="15"/>
  <c r="H14" i="16"/>
  <c r="F70" i="16"/>
  <c r="N9" i="107" s="1"/>
  <c r="F48" i="11"/>
  <c r="L21" i="15"/>
  <c r="H15" i="16"/>
  <c r="F71" i="16"/>
  <c r="N10" i="107" s="1"/>
  <c r="K32" i="15"/>
  <c r="L32" i="15"/>
  <c r="F49" i="11"/>
  <c r="C111" i="12"/>
  <c r="D33" i="15"/>
  <c r="J33" i="15" s="1"/>
  <c r="F50" i="11"/>
  <c r="I29" i="15"/>
  <c r="I30" i="15"/>
  <c r="L36" i="15"/>
  <c r="L23" i="15"/>
  <c r="K29" i="15"/>
  <c r="H9" i="16"/>
  <c r="F65" i="16"/>
  <c r="N4" i="107" s="1"/>
  <c r="L26" i="15"/>
  <c r="L37" i="15"/>
  <c r="D82" i="16"/>
  <c r="H10" i="16"/>
  <c r="F66" i="16"/>
  <c r="N5" i="107" s="1"/>
  <c r="L31" i="15"/>
  <c r="J11" i="15"/>
  <c r="H16" i="16"/>
  <c r="F72" i="16"/>
  <c r="N11" i="107" s="1"/>
  <c r="J31" i="15"/>
  <c r="J32" i="15"/>
  <c r="L27" i="15"/>
  <c r="H33" i="15"/>
  <c r="H11" i="16"/>
  <c r="F67" i="16"/>
  <c r="N6" i="107" s="1"/>
  <c r="H29" i="15"/>
  <c r="F68" i="16"/>
  <c r="N7" i="107" s="1"/>
  <c r="H12" i="16"/>
  <c r="B18" i="16"/>
  <c r="B51" i="18" s="1"/>
  <c r="D108" i="12"/>
  <c r="B111" i="12"/>
  <c r="C109" i="12"/>
  <c r="D107" i="12"/>
  <c r="B106" i="12"/>
  <c r="E109" i="12"/>
  <c r="C108" i="12"/>
  <c r="E108" i="12"/>
  <c r="E107" i="12"/>
  <c r="B109" i="12"/>
  <c r="D106" i="12"/>
  <c r="D111" i="12"/>
  <c r="D110" i="12"/>
  <c r="B108" i="12"/>
  <c r="E106" i="12"/>
  <c r="D109" i="12"/>
  <c r="B107" i="12"/>
  <c r="C107" i="12"/>
  <c r="E111" i="12"/>
  <c r="E110" i="12"/>
  <c r="B110" i="12"/>
  <c r="C106" i="12"/>
  <c r="C110" i="12"/>
  <c r="B35" i="12"/>
  <c r="E28" i="12"/>
  <c r="E32" i="12" s="1"/>
  <c r="F28" i="12"/>
  <c r="C28" i="12"/>
  <c r="D28" i="12"/>
  <c r="F32" i="12" l="1"/>
  <c r="F113" i="12"/>
  <c r="D32" i="12"/>
  <c r="F86" i="12"/>
  <c r="X18" i="106"/>
  <c r="H31" i="16"/>
  <c r="N158" i="75"/>
  <c r="H28" i="16"/>
  <c r="N155" i="75"/>
  <c r="H32" i="16"/>
  <c r="N159" i="75"/>
  <c r="H30" i="16"/>
  <c r="N157" i="75"/>
  <c r="H33" i="16"/>
  <c r="N160" i="75"/>
  <c r="H29" i="16"/>
  <c r="N156" i="75"/>
  <c r="P7" i="31"/>
  <c r="N161" i="75"/>
  <c r="H27" i="16"/>
  <c r="N154" i="75"/>
  <c r="X19" i="106"/>
  <c r="H18" i="16"/>
  <c r="N163" i="75" s="1"/>
  <c r="L33" i="15"/>
  <c r="H34" i="16"/>
  <c r="I33" i="15"/>
  <c r="H61" i="18"/>
  <c r="H60" i="18"/>
  <c r="C32" i="12"/>
  <c r="B113" i="12"/>
  <c r="E39" i="12"/>
  <c r="E49" i="12"/>
  <c r="E34" i="12"/>
  <c r="E48" i="12"/>
  <c r="F48" i="12"/>
  <c r="C39" i="12"/>
  <c r="D40" i="12"/>
  <c r="C44" i="12"/>
  <c r="B40" i="12"/>
  <c r="B34" i="12"/>
  <c r="B33" i="12"/>
  <c r="E37" i="12"/>
  <c r="B38" i="12"/>
  <c r="F34" i="12"/>
  <c r="B51" i="12"/>
  <c r="B43" i="12"/>
  <c r="B37" i="12"/>
  <c r="F44" i="12"/>
  <c r="F50" i="12"/>
  <c r="C50" i="12"/>
  <c r="E44" i="12"/>
  <c r="C43" i="12"/>
  <c r="E46" i="12"/>
  <c r="F40" i="12"/>
  <c r="C42" i="12"/>
  <c r="D47" i="12"/>
  <c r="B42" i="12"/>
  <c r="F36" i="12"/>
  <c r="E43" i="12"/>
  <c r="F45" i="12"/>
  <c r="E38" i="12"/>
  <c r="F41" i="12"/>
  <c r="B47" i="12"/>
  <c r="E36" i="12"/>
  <c r="E50" i="12"/>
  <c r="F38" i="12"/>
  <c r="E33" i="12"/>
  <c r="F39" i="12"/>
  <c r="B44" i="12"/>
  <c r="D33" i="12"/>
  <c r="B49" i="12"/>
  <c r="F47" i="12"/>
  <c r="E53" i="12"/>
  <c r="C38" i="12"/>
  <c r="C40" i="12"/>
  <c r="D43" i="12"/>
  <c r="B46" i="12"/>
  <c r="E42" i="12"/>
  <c r="D41" i="12"/>
  <c r="C33" i="12"/>
  <c r="C34" i="12"/>
  <c r="D36" i="12"/>
  <c r="D37" i="12"/>
  <c r="C46" i="12"/>
  <c r="D53" i="12"/>
  <c r="D49" i="12"/>
  <c r="D38" i="12"/>
  <c r="D52" i="12"/>
  <c r="F35" i="12"/>
  <c r="C51" i="12"/>
  <c r="E45" i="12"/>
  <c r="B53" i="12"/>
  <c r="D34" i="12"/>
  <c r="E35" i="12"/>
  <c r="E47" i="12"/>
  <c r="B39" i="12"/>
  <c r="C47" i="12"/>
  <c r="F42" i="12"/>
  <c r="C35" i="12"/>
  <c r="C37" i="12"/>
  <c r="F52" i="12"/>
  <c r="F33" i="12"/>
  <c r="C53" i="12"/>
  <c r="D48" i="12"/>
  <c r="F37" i="12"/>
  <c r="C41" i="12"/>
  <c r="E40" i="12"/>
  <c r="F49" i="12"/>
  <c r="D44" i="12"/>
  <c r="D45" i="12"/>
  <c r="E41" i="12"/>
  <c r="B36" i="12"/>
  <c r="C36" i="12"/>
  <c r="F51" i="12"/>
  <c r="C48" i="12"/>
  <c r="B50" i="12"/>
  <c r="D35" i="12"/>
  <c r="D42" i="12"/>
  <c r="D46" i="12"/>
  <c r="F43" i="12"/>
  <c r="F46" i="12"/>
  <c r="C52" i="12"/>
  <c r="E52" i="12"/>
  <c r="B41" i="12"/>
  <c r="D50" i="12"/>
  <c r="B48" i="12"/>
  <c r="C45" i="12"/>
  <c r="D51" i="12"/>
  <c r="D39" i="12"/>
  <c r="F53" i="12"/>
  <c r="C49" i="12"/>
  <c r="E51" i="12"/>
  <c r="B45" i="12"/>
  <c r="B52" i="12"/>
  <c r="Y18" i="106" l="1"/>
  <c r="A27" i="5"/>
  <c r="A28" i="5"/>
  <c r="A29" i="5"/>
  <c r="A30" i="5"/>
  <c r="A31" i="5"/>
  <c r="A26" i="5"/>
  <c r="B25" i="5" a="1"/>
  <c r="D25" i="5" s="1"/>
  <c r="A24" i="5"/>
  <c r="Y19" i="106" l="1"/>
  <c r="Z18" i="106"/>
  <c r="H25" i="5"/>
  <c r="G25" i="5"/>
  <c r="F25" i="5"/>
  <c r="E25" i="5"/>
  <c r="C25" i="5"/>
  <c r="J25" i="5"/>
  <c r="B25" i="5"/>
  <c r="I25" i="5"/>
  <c r="A4" i="5" l="1"/>
  <c r="A5" i="5"/>
  <c r="A6" i="5"/>
  <c r="A7" i="5"/>
  <c r="A8" i="5"/>
  <c r="A3" i="5"/>
  <c r="K9" i="80" l="1"/>
  <c r="K10" i="80"/>
  <c r="K11" i="80"/>
  <c r="K14" i="80"/>
  <c r="L14" i="80" s="1"/>
  <c r="K15" i="80"/>
  <c r="K16" i="80"/>
  <c r="K17" i="80"/>
  <c r="K18" i="80"/>
  <c r="K19" i="80"/>
  <c r="K20" i="80"/>
  <c r="K21" i="80"/>
  <c r="K22" i="80"/>
  <c r="K23" i="80"/>
  <c r="K24" i="80"/>
  <c r="K25" i="80"/>
  <c r="K26" i="80"/>
  <c r="K27" i="80"/>
  <c r="K28" i="80"/>
  <c r="K29" i="80"/>
  <c r="K30" i="80"/>
  <c r="K31" i="80"/>
  <c r="K32" i="80"/>
  <c r="Y140" i="78" l="1"/>
  <c r="Y143" i="78"/>
  <c r="Y142" i="78"/>
  <c r="Y141" i="78"/>
  <c r="Y139" i="78"/>
  <c r="Y138" i="78"/>
  <c r="Y137" i="78"/>
  <c r="Y136" i="78"/>
  <c r="Y135" i="78"/>
  <c r="Y134" i="78"/>
  <c r="Y133" i="78"/>
  <c r="Y132" i="78"/>
  <c r="Y131" i="78"/>
  <c r="Y130" i="78"/>
  <c r="Y129" i="78"/>
  <c r="Y128" i="78"/>
  <c r="Y127" i="78"/>
  <c r="Y126" i="78"/>
  <c r="Y125" i="78"/>
  <c r="Y124" i="78"/>
  <c r="Y123" i="78"/>
  <c r="Y122" i="78"/>
  <c r="Y121" i="78"/>
  <c r="Y120" i="78"/>
  <c r="Y119" i="78"/>
  <c r="N143" i="78"/>
  <c r="N142" i="78"/>
  <c r="N141" i="78"/>
  <c r="N140" i="78"/>
  <c r="N139" i="78"/>
  <c r="N138" i="78"/>
  <c r="N137" i="78"/>
  <c r="N136" i="78"/>
  <c r="N135" i="78"/>
  <c r="N134" i="78"/>
  <c r="N133" i="78"/>
  <c r="N132" i="78"/>
  <c r="N131" i="78"/>
  <c r="N130" i="78"/>
  <c r="N129" i="78"/>
  <c r="N128" i="78"/>
  <c r="N127" i="78"/>
  <c r="N126" i="78"/>
  <c r="N125" i="78"/>
  <c r="N124" i="78"/>
  <c r="N123" i="78"/>
  <c r="N122" i="78"/>
  <c r="N121" i="78"/>
  <c r="N120" i="78"/>
  <c r="N119" i="78"/>
  <c r="C120" i="78"/>
  <c r="C121" i="78"/>
  <c r="C122" i="78"/>
  <c r="C123" i="78"/>
  <c r="C124" i="78"/>
  <c r="C125" i="78"/>
  <c r="C126" i="78"/>
  <c r="C127" i="78"/>
  <c r="C128" i="78"/>
  <c r="C129" i="78"/>
  <c r="C130" i="78"/>
  <c r="C131" i="78"/>
  <c r="C132" i="78"/>
  <c r="C133" i="78"/>
  <c r="C134" i="78"/>
  <c r="C135" i="78"/>
  <c r="C136" i="78"/>
  <c r="C137" i="78"/>
  <c r="C138" i="78"/>
  <c r="C139" i="78"/>
  <c r="C140" i="78"/>
  <c r="C141" i="78"/>
  <c r="C142" i="78"/>
  <c r="C143" i="78"/>
  <c r="C119" i="78"/>
  <c r="C117" i="78"/>
  <c r="F83" i="78"/>
  <c r="F84" i="78"/>
  <c r="F85" i="78"/>
  <c r="F86" i="78"/>
  <c r="F87" i="78"/>
  <c r="F88" i="78"/>
  <c r="F89" i="78"/>
  <c r="F90" i="78"/>
  <c r="F91" i="78"/>
  <c r="F92" i="78"/>
  <c r="F93" i="78"/>
  <c r="F94" i="78"/>
  <c r="F95" i="78"/>
  <c r="F96" i="78"/>
  <c r="F97" i="78"/>
  <c r="F98" i="78"/>
  <c r="F99" i="78"/>
  <c r="F100" i="78"/>
  <c r="F101" i="78"/>
  <c r="F102" i="78"/>
  <c r="F103" i="78"/>
  <c r="F104" i="78"/>
  <c r="F105" i="78"/>
  <c r="F106" i="78"/>
  <c r="F82" i="78"/>
  <c r="F80" i="78"/>
  <c r="C83" i="78"/>
  <c r="C84" i="78"/>
  <c r="C85" i="78"/>
  <c r="C86" i="78"/>
  <c r="C87" i="78"/>
  <c r="C88" i="78"/>
  <c r="C89" i="78"/>
  <c r="C90" i="78"/>
  <c r="C91" i="78"/>
  <c r="C92" i="78"/>
  <c r="C93" i="78"/>
  <c r="C94" i="78"/>
  <c r="C95" i="78"/>
  <c r="C96" i="78"/>
  <c r="C97" i="78"/>
  <c r="C98" i="78"/>
  <c r="C99" i="78"/>
  <c r="C100" i="78"/>
  <c r="C101" i="78"/>
  <c r="C102" i="78"/>
  <c r="C103" i="78"/>
  <c r="C104" i="78"/>
  <c r="C105" i="78"/>
  <c r="C106" i="78"/>
  <c r="C82" i="78"/>
  <c r="C80" i="78"/>
  <c r="C120" i="71" l="1"/>
  <c r="C121" i="71"/>
  <c r="C122" i="71"/>
  <c r="C123" i="71"/>
  <c r="C124" i="71"/>
  <c r="C125" i="71"/>
  <c r="C126" i="71"/>
  <c r="C127" i="71"/>
  <c r="C128" i="71"/>
  <c r="C129" i="71"/>
  <c r="C130" i="71"/>
  <c r="C131" i="71"/>
  <c r="C132" i="71"/>
  <c r="C133" i="71"/>
  <c r="C134" i="71"/>
  <c r="C135" i="71"/>
  <c r="C136" i="71"/>
  <c r="C137" i="71"/>
  <c r="C138" i="71"/>
  <c r="C139" i="71"/>
  <c r="C140" i="71"/>
  <c r="C141" i="71"/>
  <c r="C142" i="71"/>
  <c r="C143" i="71"/>
  <c r="C119" i="71"/>
  <c r="C117" i="71"/>
  <c r="C83" i="71"/>
  <c r="C84" i="71"/>
  <c r="C85" i="71"/>
  <c r="C86" i="71"/>
  <c r="C87" i="71"/>
  <c r="C88" i="71"/>
  <c r="C89" i="71"/>
  <c r="C90" i="71"/>
  <c r="C91" i="71"/>
  <c r="C92" i="71"/>
  <c r="C93" i="71"/>
  <c r="C94" i="71"/>
  <c r="C95" i="71"/>
  <c r="C96" i="71"/>
  <c r="C97" i="71"/>
  <c r="C98" i="71"/>
  <c r="C99" i="71"/>
  <c r="C100" i="71"/>
  <c r="C101" i="71"/>
  <c r="C102" i="71"/>
  <c r="C103" i="71"/>
  <c r="C104" i="71"/>
  <c r="C105" i="71"/>
  <c r="C106" i="71"/>
  <c r="C82" i="71"/>
  <c r="C80" i="71"/>
  <c r="I17" i="15"/>
  <c r="C4" i="13" l="1"/>
  <c r="G40" i="49" l="1"/>
  <c r="D40" i="49"/>
  <c r="F40" i="49" l="1"/>
  <c r="F9" i="52" l="1"/>
  <c r="K10" i="79" l="1"/>
  <c r="K11" i="79"/>
  <c r="K12" i="79"/>
  <c r="K13" i="79"/>
  <c r="K14" i="79"/>
  <c r="K15" i="79"/>
  <c r="K16" i="79"/>
  <c r="K17" i="79"/>
  <c r="K18" i="79"/>
  <c r="K19" i="79"/>
  <c r="K20" i="79"/>
  <c r="K21" i="79"/>
  <c r="K22" i="79"/>
  <c r="K23" i="79"/>
  <c r="K24" i="79"/>
  <c r="K25" i="79"/>
  <c r="K26" i="79"/>
  <c r="K27" i="79"/>
  <c r="K28" i="79"/>
  <c r="K29" i="79"/>
  <c r="X29" i="79" s="1"/>
  <c r="K30" i="79"/>
  <c r="K31" i="79"/>
  <c r="K32" i="79"/>
  <c r="K35" i="79" l="1"/>
  <c r="AE16" i="79"/>
  <c r="AF16" i="79"/>
  <c r="Z16" i="79"/>
  <c r="Y16" i="79"/>
  <c r="AG16" i="79"/>
  <c r="AA16" i="79"/>
  <c r="AB16" i="79"/>
  <c r="AC16" i="79"/>
  <c r="AD16" i="79"/>
  <c r="AF15" i="79"/>
  <c r="AB15" i="79"/>
  <c r="Y15" i="79"/>
  <c r="AG15" i="79"/>
  <c r="AC15" i="79"/>
  <c r="Z15" i="79"/>
  <c r="AA15" i="79"/>
  <c r="AD15" i="79"/>
  <c r="AE15" i="79"/>
  <c r="Y14" i="79"/>
  <c r="AG14" i="79"/>
  <c r="AB14" i="79"/>
  <c r="Z14" i="79"/>
  <c r="AC14" i="79"/>
  <c r="AA14" i="79"/>
  <c r="AE14" i="79"/>
  <c r="AF14" i="79"/>
  <c r="AD14" i="79"/>
  <c r="AE24" i="79"/>
  <c r="Z24" i="79"/>
  <c r="AA24" i="79"/>
  <c r="AB24" i="79"/>
  <c r="AF24" i="79"/>
  <c r="Y24" i="79"/>
  <c r="AG24" i="79"/>
  <c r="AC24" i="79"/>
  <c r="AD24" i="79"/>
  <c r="AF23" i="79"/>
  <c r="Y23" i="79"/>
  <c r="AG23" i="79"/>
  <c r="AB23" i="79"/>
  <c r="Z23" i="79"/>
  <c r="AA23" i="79"/>
  <c r="AC23" i="79"/>
  <c r="AD23" i="79"/>
  <c r="AE23" i="79"/>
  <c r="Z29" i="79"/>
  <c r="AC29" i="79"/>
  <c r="AA29" i="79"/>
  <c r="AD29" i="79"/>
  <c r="AB29" i="79"/>
  <c r="AF29" i="79"/>
  <c r="Y29" i="79"/>
  <c r="AG29" i="79"/>
  <c r="AE29" i="79"/>
  <c r="AA12" i="79"/>
  <c r="AB12" i="79"/>
  <c r="AD12" i="79"/>
  <c r="AC12" i="79"/>
  <c r="AE12" i="79"/>
  <c r="AF12" i="79"/>
  <c r="Y12" i="79"/>
  <c r="AG12" i="79"/>
  <c r="Z12" i="79"/>
  <c r="AB19" i="79"/>
  <c r="AF19" i="79"/>
  <c r="AC19" i="79"/>
  <c r="AE19" i="79"/>
  <c r="Y19" i="79"/>
  <c r="AD19" i="79"/>
  <c r="AG19" i="79"/>
  <c r="Z19" i="79"/>
  <c r="AA19" i="79"/>
  <c r="AB11" i="79"/>
  <c r="AC11" i="79"/>
  <c r="AF11" i="79"/>
  <c r="AG11" i="79"/>
  <c r="AD11" i="79"/>
  <c r="AE11" i="79"/>
  <c r="Z11" i="79"/>
  <c r="AA11" i="79"/>
  <c r="Y11" i="79"/>
  <c r="AE32" i="79"/>
  <c r="Z32" i="79"/>
  <c r="AF32" i="79"/>
  <c r="AA32" i="79"/>
  <c r="AB32" i="79"/>
  <c r="Y32" i="79"/>
  <c r="AG32" i="79"/>
  <c r="AC32" i="79"/>
  <c r="AD32" i="79"/>
  <c r="AF31" i="79"/>
  <c r="Y31" i="79"/>
  <c r="AG31" i="79"/>
  <c r="Z31" i="79"/>
  <c r="AA31" i="79"/>
  <c r="AB31" i="79"/>
  <c r="AC31" i="79"/>
  <c r="AD31" i="79"/>
  <c r="AE31" i="79"/>
  <c r="Y30" i="79"/>
  <c r="AG30" i="79"/>
  <c r="AC30" i="79"/>
  <c r="AD30" i="79"/>
  <c r="Z30" i="79"/>
  <c r="AB30" i="79"/>
  <c r="AA30" i="79"/>
  <c r="AE30" i="79"/>
  <c r="AF30" i="79"/>
  <c r="Z13" i="79"/>
  <c r="AD13" i="79"/>
  <c r="AE13" i="79"/>
  <c r="AA13" i="79"/>
  <c r="AB13" i="79"/>
  <c r="AC13" i="79"/>
  <c r="AF13" i="79"/>
  <c r="Y13" i="79"/>
  <c r="AG13" i="79"/>
  <c r="AA28" i="79"/>
  <c r="AE28" i="79"/>
  <c r="AB28" i="79"/>
  <c r="AF28" i="79"/>
  <c r="AC28" i="79"/>
  <c r="AD28" i="79"/>
  <c r="Y28" i="79"/>
  <c r="AG28" i="79"/>
  <c r="Z28" i="79"/>
  <c r="AB27" i="79"/>
  <c r="Y27" i="79"/>
  <c r="AC27" i="79"/>
  <c r="AE27" i="79"/>
  <c r="AD27" i="79"/>
  <c r="AF27" i="79"/>
  <c r="AG27" i="79"/>
  <c r="Z27" i="79"/>
  <c r="AA27" i="79"/>
  <c r="AC26" i="79"/>
  <c r="AF26" i="79"/>
  <c r="AG26" i="79"/>
  <c r="AD26" i="79"/>
  <c r="Y26" i="79"/>
  <c r="Z26" i="79"/>
  <c r="AE26" i="79"/>
  <c r="AA26" i="79"/>
  <c r="AB26" i="79"/>
  <c r="AC18" i="79"/>
  <c r="AF18" i="79"/>
  <c r="Y18" i="79"/>
  <c r="AD18" i="79"/>
  <c r="AE18" i="79"/>
  <c r="AG18" i="79"/>
  <c r="AA18" i="79"/>
  <c r="AB18" i="79"/>
  <c r="Z18" i="79"/>
  <c r="AC10" i="79"/>
  <c r="AF10" i="79"/>
  <c r="AG10" i="79"/>
  <c r="Z10" i="79"/>
  <c r="AD10" i="79"/>
  <c r="AE10" i="79"/>
  <c r="Y10" i="79"/>
  <c r="AA10" i="79"/>
  <c r="AB10" i="79"/>
  <c r="Y22" i="79"/>
  <c r="AG22" i="79"/>
  <c r="AC22" i="79"/>
  <c r="Z22" i="79"/>
  <c r="AB22" i="79"/>
  <c r="AD22" i="79"/>
  <c r="AA22" i="79"/>
  <c r="AE22" i="79"/>
  <c r="AF22" i="79"/>
  <c r="Z21" i="79"/>
  <c r="AC21" i="79"/>
  <c r="AA21" i="79"/>
  <c r="AB21" i="79"/>
  <c r="AD21" i="79"/>
  <c r="AF21" i="79"/>
  <c r="Y21" i="79"/>
  <c r="AG21" i="79"/>
  <c r="AE21" i="79"/>
  <c r="AA20" i="79"/>
  <c r="AF20" i="79"/>
  <c r="AB20" i="79"/>
  <c r="AE20" i="79"/>
  <c r="AC20" i="79"/>
  <c r="AD20" i="79"/>
  <c r="Y20" i="79"/>
  <c r="AG20" i="79"/>
  <c r="Z20" i="79"/>
  <c r="AD25" i="79"/>
  <c r="AE25" i="79"/>
  <c r="Y25" i="79"/>
  <c r="AF25" i="79"/>
  <c r="AG25" i="79"/>
  <c r="Z25" i="79"/>
  <c r="AB25" i="79"/>
  <c r="AC25" i="79"/>
  <c r="AA25" i="79"/>
  <c r="AD17" i="79"/>
  <c r="Y17" i="79"/>
  <c r="AA17" i="79"/>
  <c r="AE17" i="79"/>
  <c r="Z17" i="79"/>
  <c r="AF17" i="79"/>
  <c r="AG17" i="79"/>
  <c r="AB17" i="79"/>
  <c r="AC17" i="79"/>
  <c r="AD9" i="79"/>
  <c r="AE9" i="79"/>
  <c r="Z9" i="79"/>
  <c r="AF9" i="79"/>
  <c r="Y9" i="79"/>
  <c r="AG9" i="79"/>
  <c r="AA9" i="79"/>
  <c r="AB9" i="79"/>
  <c r="AC9" i="79"/>
  <c r="I9" i="71"/>
  <c r="I20" i="71"/>
  <c r="X35" i="79" l="1"/>
  <c r="V33" i="79"/>
  <c r="I46" i="71"/>
  <c r="I83" i="71"/>
  <c r="J9" i="71"/>
  <c r="Q38" i="31" s="1"/>
  <c r="I8" i="71"/>
  <c r="I94" i="71"/>
  <c r="I57" i="71"/>
  <c r="T9" i="78"/>
  <c r="T10" i="78"/>
  <c r="T11" i="78"/>
  <c r="T12" i="78"/>
  <c r="T13" i="78"/>
  <c r="T14" i="78"/>
  <c r="T15" i="78"/>
  <c r="T16" i="78"/>
  <c r="T17" i="78"/>
  <c r="T18" i="78"/>
  <c r="T19" i="78"/>
  <c r="T20" i="78"/>
  <c r="T21" i="78"/>
  <c r="T22" i="78"/>
  <c r="T23" i="78"/>
  <c r="T24" i="78"/>
  <c r="T25" i="78"/>
  <c r="T26" i="78"/>
  <c r="T27" i="78"/>
  <c r="T28" i="78"/>
  <c r="T29" i="78"/>
  <c r="T30" i="78"/>
  <c r="T31" i="78"/>
  <c r="T32" i="78"/>
  <c r="I9" i="78"/>
  <c r="I10" i="78"/>
  <c r="I11" i="78"/>
  <c r="I12" i="78"/>
  <c r="I13" i="78"/>
  <c r="I14" i="78"/>
  <c r="I15" i="78"/>
  <c r="I16" i="78"/>
  <c r="I17" i="78"/>
  <c r="I18" i="78"/>
  <c r="I19" i="78"/>
  <c r="I20" i="78"/>
  <c r="I21" i="78"/>
  <c r="I22" i="78"/>
  <c r="I23" i="78"/>
  <c r="I24" i="78"/>
  <c r="I25" i="78"/>
  <c r="I26" i="78"/>
  <c r="I27" i="78"/>
  <c r="I28" i="78"/>
  <c r="I29" i="78"/>
  <c r="I30" i="78"/>
  <c r="I31" i="78"/>
  <c r="I32" i="78"/>
  <c r="T35" i="78" l="1"/>
  <c r="I35" i="78"/>
  <c r="I72" i="78" s="1"/>
  <c r="E33" i="49"/>
  <c r="I45" i="71"/>
  <c r="I82" i="71"/>
  <c r="J8" i="71"/>
  <c r="I60" i="78"/>
  <c r="I97" i="78"/>
  <c r="T105" i="78"/>
  <c r="T68" i="78"/>
  <c r="T52" i="78"/>
  <c r="T89" i="78"/>
  <c r="I59" i="78"/>
  <c r="I96" i="78"/>
  <c r="T104" i="78"/>
  <c r="T67" i="78"/>
  <c r="T88" i="78"/>
  <c r="T51" i="78"/>
  <c r="I103" i="78"/>
  <c r="I66" i="78"/>
  <c r="T66" i="78"/>
  <c r="T103" i="78"/>
  <c r="T87" i="78"/>
  <c r="T50" i="78"/>
  <c r="I57" i="78"/>
  <c r="I94" i="78"/>
  <c r="T65" i="78"/>
  <c r="T102" i="78"/>
  <c r="T86" i="78"/>
  <c r="T49" i="78"/>
  <c r="I101" i="78"/>
  <c r="I64" i="78"/>
  <c r="T101" i="78"/>
  <c r="T64" i="78"/>
  <c r="T85" i="78"/>
  <c r="T48" i="78"/>
  <c r="I105" i="78"/>
  <c r="I68" i="78"/>
  <c r="I89" i="78"/>
  <c r="I52" i="78"/>
  <c r="T97" i="78"/>
  <c r="T60" i="78"/>
  <c r="I67" i="78"/>
  <c r="I104" i="78"/>
  <c r="I51" i="78"/>
  <c r="I88" i="78"/>
  <c r="T59" i="78"/>
  <c r="T96" i="78"/>
  <c r="I95" i="78"/>
  <c r="I58" i="78"/>
  <c r="I87" i="78"/>
  <c r="I50" i="78"/>
  <c r="T58" i="78"/>
  <c r="T95" i="78"/>
  <c r="I102" i="78"/>
  <c r="I65" i="78"/>
  <c r="I86" i="78"/>
  <c r="I49" i="78"/>
  <c r="T94" i="78"/>
  <c r="T57" i="78"/>
  <c r="I93" i="78"/>
  <c r="I56" i="78"/>
  <c r="I85" i="78"/>
  <c r="I48" i="78"/>
  <c r="T93" i="78"/>
  <c r="T56" i="78"/>
  <c r="I100" i="78"/>
  <c r="I63" i="78"/>
  <c r="I55" i="78"/>
  <c r="I92" i="78"/>
  <c r="I84" i="78"/>
  <c r="I47" i="78"/>
  <c r="T100" i="78"/>
  <c r="T63" i="78"/>
  <c r="T55" i="78"/>
  <c r="T92" i="78"/>
  <c r="T84" i="78"/>
  <c r="T47" i="78"/>
  <c r="I99" i="78"/>
  <c r="I62" i="78"/>
  <c r="I54" i="78"/>
  <c r="I91" i="78"/>
  <c r="I46" i="78"/>
  <c r="I83" i="78"/>
  <c r="T62" i="78"/>
  <c r="T99" i="78"/>
  <c r="T91" i="78"/>
  <c r="T54" i="78"/>
  <c r="T83" i="78"/>
  <c r="T46" i="78"/>
  <c r="I106" i="78"/>
  <c r="I69" i="78"/>
  <c r="I98" i="78"/>
  <c r="I61" i="78"/>
  <c r="I90" i="78"/>
  <c r="I53" i="78"/>
  <c r="T69" i="78"/>
  <c r="T106" i="78"/>
  <c r="T98" i="78"/>
  <c r="T61" i="78"/>
  <c r="T90" i="78"/>
  <c r="T53" i="78"/>
  <c r="S4" i="78"/>
  <c r="AD4" i="78" s="1"/>
  <c r="AO4" i="78" s="1"/>
  <c r="AZ4" i="78" s="1"/>
  <c r="BK4" i="78" s="1"/>
  <c r="BV4" i="78" s="1"/>
  <c r="CG4" i="78" s="1"/>
  <c r="CR4" i="78" s="1"/>
  <c r="G35" i="49"/>
  <c r="G64" i="49"/>
  <c r="G151" i="49" s="1"/>
  <c r="G238" i="49" s="1"/>
  <c r="G93" i="49"/>
  <c r="G180" i="49" s="1"/>
  <c r="G267" i="49" s="1"/>
  <c r="I70" i="71" l="1"/>
  <c r="G122" i="49"/>
  <c r="G209" i="49" s="1"/>
  <c r="V35" i="49"/>
  <c r="B33" i="49"/>
  <c r="J45" i="71"/>
  <c r="J82" i="71" s="1"/>
  <c r="Q37" i="31"/>
  <c r="A93" i="49"/>
  <c r="A64" i="49"/>
  <c r="A35" i="49"/>
  <c r="G118" i="49"/>
  <c r="G117" i="49"/>
  <c r="G116" i="49"/>
  <c r="G115" i="49"/>
  <c r="G114" i="49"/>
  <c r="G113" i="49"/>
  <c r="G112" i="49"/>
  <c r="G111" i="49"/>
  <c r="G110" i="49"/>
  <c r="G109" i="49"/>
  <c r="G108" i="49"/>
  <c r="G107" i="49"/>
  <c r="G106" i="49"/>
  <c r="G105" i="49"/>
  <c r="G104" i="49"/>
  <c r="G103" i="49"/>
  <c r="G102" i="49"/>
  <c r="G101" i="49"/>
  <c r="G100" i="49"/>
  <c r="G99" i="49"/>
  <c r="G98" i="49"/>
  <c r="G97" i="49"/>
  <c r="G96" i="49"/>
  <c r="G95" i="49"/>
  <c r="G94" i="49"/>
  <c r="G89" i="49"/>
  <c r="G88" i="49"/>
  <c r="G87" i="49"/>
  <c r="G86" i="49"/>
  <c r="G85" i="49"/>
  <c r="G84" i="49"/>
  <c r="G83" i="49"/>
  <c r="G82" i="49"/>
  <c r="G81" i="49"/>
  <c r="G80" i="49"/>
  <c r="G79" i="49"/>
  <c r="G78" i="49"/>
  <c r="G77" i="49"/>
  <c r="G76" i="49"/>
  <c r="G75" i="49"/>
  <c r="G74" i="49"/>
  <c r="G73" i="49"/>
  <c r="G72" i="49"/>
  <c r="G71" i="49"/>
  <c r="G70" i="49"/>
  <c r="G69" i="49"/>
  <c r="G68" i="49"/>
  <c r="G67" i="49"/>
  <c r="G66" i="49"/>
  <c r="G65" i="49"/>
  <c r="G62" i="49"/>
  <c r="G60" i="49"/>
  <c r="G59" i="49"/>
  <c r="G58" i="49"/>
  <c r="G57" i="49"/>
  <c r="G56" i="49"/>
  <c r="G55" i="49"/>
  <c r="G54" i="49"/>
  <c r="G53" i="49"/>
  <c r="G52" i="49"/>
  <c r="G51" i="49"/>
  <c r="G50" i="49"/>
  <c r="G49" i="49"/>
  <c r="G48" i="49"/>
  <c r="G47" i="49"/>
  <c r="G46" i="49"/>
  <c r="G45" i="49"/>
  <c r="G44" i="49"/>
  <c r="G43" i="49"/>
  <c r="G42" i="49"/>
  <c r="G41" i="49"/>
  <c r="G39" i="49"/>
  <c r="G38" i="49"/>
  <c r="G37" i="49"/>
  <c r="G36" i="49"/>
  <c r="A6" i="49"/>
  <c r="I10" i="71"/>
  <c r="I13" i="71"/>
  <c r="I14" i="71"/>
  <c r="I15" i="71"/>
  <c r="I18" i="71"/>
  <c r="I22" i="71"/>
  <c r="I23" i="71"/>
  <c r="I26" i="71"/>
  <c r="I29" i="71"/>
  <c r="I30" i="71"/>
  <c r="I31" i="71"/>
  <c r="J70" i="71" l="1"/>
  <c r="J107" i="71" s="1"/>
  <c r="Q62" i="31"/>
  <c r="I96" i="71"/>
  <c r="I59" i="71"/>
  <c r="I55" i="71"/>
  <c r="I92" i="71"/>
  <c r="I89" i="71"/>
  <c r="I52" i="71"/>
  <c r="I88" i="71"/>
  <c r="I51" i="71"/>
  <c r="I87" i="71"/>
  <c r="I50" i="71"/>
  <c r="I103" i="71"/>
  <c r="I66" i="71"/>
  <c r="I47" i="71"/>
  <c r="I84" i="71"/>
  <c r="I68" i="71"/>
  <c r="I105" i="71"/>
  <c r="I104" i="71"/>
  <c r="I67" i="71"/>
  <c r="I63" i="71"/>
  <c r="I100" i="71"/>
  <c r="I60" i="71"/>
  <c r="I97" i="71"/>
  <c r="G27" i="49"/>
  <c r="I28" i="71"/>
  <c r="G19" i="49"/>
  <c r="G11" i="49"/>
  <c r="I12" i="71"/>
  <c r="G26" i="49"/>
  <c r="I27" i="71"/>
  <c r="G24" i="49"/>
  <c r="I25" i="71"/>
  <c r="G16" i="49"/>
  <c r="I17" i="71"/>
  <c r="G8" i="49"/>
  <c r="G10" i="49"/>
  <c r="I11" i="71"/>
  <c r="I32" i="71"/>
  <c r="G23" i="49"/>
  <c r="I24" i="71"/>
  <c r="G15" i="49"/>
  <c r="I16" i="71"/>
  <c r="G20" i="49"/>
  <c r="I21" i="71"/>
  <c r="G18" i="49"/>
  <c r="I19" i="71"/>
  <c r="G28" i="49"/>
  <c r="G12" i="49"/>
  <c r="G14" i="49"/>
  <c r="G29" i="49"/>
  <c r="G25" i="49"/>
  <c r="G21" i="49"/>
  <c r="G17" i="49"/>
  <c r="G13" i="49"/>
  <c r="G9" i="49"/>
  <c r="G30" i="49"/>
  <c r="G22" i="49"/>
  <c r="I8" i="16" l="1" a="1"/>
  <c r="I10" i="16" s="1"/>
  <c r="I35" i="71"/>
  <c r="I61" i="71"/>
  <c r="I98" i="71"/>
  <c r="I65" i="71"/>
  <c r="I102" i="71"/>
  <c r="I99" i="71"/>
  <c r="I62" i="71"/>
  <c r="I93" i="71"/>
  <c r="I56" i="71"/>
  <c r="I69" i="71"/>
  <c r="I106" i="71"/>
  <c r="I101" i="71"/>
  <c r="I64" i="71"/>
  <c r="I53" i="71"/>
  <c r="I90" i="71"/>
  <c r="I91" i="71"/>
  <c r="I54" i="71"/>
  <c r="I95" i="71"/>
  <c r="I58" i="71"/>
  <c r="I85" i="71"/>
  <c r="I48" i="71"/>
  <c r="I86" i="71"/>
  <c r="I49" i="71"/>
  <c r="I14" i="16" l="1"/>
  <c r="I11" i="16"/>
  <c r="I29" i="16" s="1"/>
  <c r="I13" i="16"/>
  <c r="I31" i="16" s="1"/>
  <c r="I15" i="16"/>
  <c r="I8" i="16"/>
  <c r="J8" i="16" s="1"/>
  <c r="I12" i="16"/>
  <c r="I30" i="16" s="1"/>
  <c r="I9" i="16"/>
  <c r="I27" i="16" s="1"/>
  <c r="I16" i="16"/>
  <c r="I72" i="71"/>
  <c r="I109" i="71"/>
  <c r="I32" i="16"/>
  <c r="I28" i="16"/>
  <c r="A72" i="83"/>
  <c r="A52" i="83"/>
  <c r="A53" i="83"/>
  <c r="A54" i="83"/>
  <c r="A55" i="83"/>
  <c r="A56" i="83"/>
  <c r="A57" i="83"/>
  <c r="A58" i="83"/>
  <c r="A59" i="83"/>
  <c r="A60" i="83"/>
  <c r="A61" i="83"/>
  <c r="A62" i="83"/>
  <c r="A63" i="83"/>
  <c r="A64" i="83"/>
  <c r="A65" i="83"/>
  <c r="A66" i="83"/>
  <c r="A67" i="83"/>
  <c r="A68" i="83"/>
  <c r="A69" i="83"/>
  <c r="A70" i="83"/>
  <c r="A71" i="83"/>
  <c r="A7" i="83"/>
  <c r="A8" i="83"/>
  <c r="A9" i="83"/>
  <c r="A10" i="83"/>
  <c r="A11" i="83"/>
  <c r="A12" i="83"/>
  <c r="A13" i="83"/>
  <c r="A14" i="83"/>
  <c r="A15" i="83"/>
  <c r="A16" i="83"/>
  <c r="A17" i="83"/>
  <c r="A18" i="83"/>
  <c r="A19" i="83"/>
  <c r="A20" i="83"/>
  <c r="A21" i="83"/>
  <c r="A22" i="83"/>
  <c r="A23" i="83"/>
  <c r="A24" i="83"/>
  <c r="A25" i="83"/>
  <c r="A26" i="83"/>
  <c r="A27" i="83"/>
  <c r="A28" i="83"/>
  <c r="A29" i="83"/>
  <c r="A30" i="83"/>
  <c r="A31" i="83"/>
  <c r="A32" i="83"/>
  <c r="A33" i="83"/>
  <c r="A34" i="83"/>
  <c r="A35" i="83"/>
  <c r="A36" i="83"/>
  <c r="A37" i="83"/>
  <c r="A38" i="83"/>
  <c r="A39" i="83"/>
  <c r="A40" i="83"/>
  <c r="A41" i="83"/>
  <c r="A42" i="83"/>
  <c r="A43" i="83"/>
  <c r="A44" i="83"/>
  <c r="A45" i="83"/>
  <c r="A46" i="83"/>
  <c r="A47" i="83"/>
  <c r="A48" i="83"/>
  <c r="A49" i="83"/>
  <c r="A50" i="83"/>
  <c r="A51" i="83"/>
  <c r="A6" i="83"/>
  <c r="I26" i="16" l="1"/>
  <c r="J16" i="16"/>
  <c r="I34" i="16"/>
  <c r="I33" i="16"/>
  <c r="AM4" i="21"/>
  <c r="O2" i="21" s="1"/>
  <c r="A197" i="21" l="1"/>
  <c r="A167" i="21"/>
  <c r="A137" i="21"/>
  <c r="A107" i="21"/>
  <c r="A77" i="21"/>
  <c r="A47" i="21"/>
  <c r="A1" i="21"/>
  <c r="J34" i="16"/>
  <c r="Q7" i="31"/>
  <c r="F35" i="11"/>
  <c r="F39" i="11"/>
  <c r="F36" i="11"/>
  <c r="F37" i="11"/>
  <c r="F38" i="11"/>
  <c r="F34" i="11"/>
  <c r="S5" i="11" s="1"/>
  <c r="R5" i="11"/>
  <c r="F33" i="11"/>
  <c r="S4" i="11" s="1"/>
  <c r="R6" i="11"/>
  <c r="R8" i="11"/>
  <c r="R9" i="11"/>
  <c r="F44" i="11"/>
  <c r="R10" i="11"/>
  <c r="B33" i="11"/>
  <c r="R4" i="11"/>
  <c r="N260" i="21" s="1"/>
  <c r="B39" i="11"/>
  <c r="B34" i="11"/>
  <c r="B35" i="11"/>
  <c r="B36" i="11"/>
  <c r="B38" i="11"/>
  <c r="B37" i="11"/>
  <c r="E80" i="12"/>
  <c r="E83" i="12"/>
  <c r="E82" i="12"/>
  <c r="E79" i="12"/>
  <c r="E84" i="12"/>
  <c r="E81" i="12"/>
  <c r="D80" i="12"/>
  <c r="D82" i="12"/>
  <c r="D79" i="12"/>
  <c r="D84" i="12"/>
  <c r="D81" i="12"/>
  <c r="D83" i="12"/>
  <c r="C82" i="12"/>
  <c r="C80" i="12"/>
  <c r="C79" i="12"/>
  <c r="C84" i="12"/>
  <c r="C81" i="12"/>
  <c r="C83" i="12"/>
  <c r="B83" i="12"/>
  <c r="B82" i="12"/>
  <c r="B79" i="12"/>
  <c r="B84" i="12"/>
  <c r="B63" i="12"/>
  <c r="B81" i="12"/>
  <c r="B80" i="12"/>
  <c r="B86" i="12"/>
  <c r="C44" i="11"/>
  <c r="C33" i="11"/>
  <c r="C89" i="12"/>
  <c r="C61" i="12"/>
  <c r="C97" i="12"/>
  <c r="C71" i="12"/>
  <c r="C63" i="12"/>
  <c r="C91" i="12"/>
  <c r="C67" i="12" l="1"/>
  <c r="C78" i="12"/>
  <c r="C96" i="12"/>
  <c r="C100" i="12"/>
  <c r="C75" i="12"/>
  <c r="C92" i="12"/>
  <c r="C72" i="12"/>
  <c r="C95" i="12"/>
  <c r="C103" i="12"/>
  <c r="C99" i="12"/>
  <c r="C68" i="12"/>
  <c r="C104" i="12"/>
  <c r="C69" i="12"/>
  <c r="C66" i="12"/>
  <c r="C101" i="12"/>
  <c r="C105" i="12"/>
  <c r="C65" i="12"/>
  <c r="C76" i="12"/>
  <c r="C93" i="12"/>
  <c r="C94" i="12"/>
  <c r="C102" i="12"/>
  <c r="C98" i="12"/>
  <c r="C77" i="12"/>
  <c r="C64" i="12"/>
  <c r="C90" i="12"/>
  <c r="C70" i="12"/>
  <c r="C46" i="11" l="1"/>
  <c r="C35" i="11"/>
  <c r="C45" i="11"/>
  <c r="C34" i="11"/>
  <c r="C48" i="11"/>
  <c r="C37" i="11"/>
  <c r="C39" i="11"/>
  <c r="C49" i="11"/>
  <c r="C38" i="11"/>
  <c r="C47" i="11"/>
  <c r="C36" i="11"/>
  <c r="C50" i="11"/>
  <c r="A94" i="60" l="1"/>
  <c r="A88" i="60"/>
  <c r="A89" i="60"/>
  <c r="A90" i="60"/>
  <c r="A91" i="60"/>
  <c r="A92" i="60"/>
  <c r="A87" i="60"/>
  <c r="A77" i="60"/>
  <c r="A61" i="60"/>
  <c r="A62" i="60"/>
  <c r="A63" i="60"/>
  <c r="A64" i="60"/>
  <c r="A65" i="60"/>
  <c r="A66" i="60"/>
  <c r="A67" i="60"/>
  <c r="A68" i="60"/>
  <c r="A69" i="60"/>
  <c r="A70" i="60"/>
  <c r="A71" i="60"/>
  <c r="A72" i="60"/>
  <c r="A73" i="60"/>
  <c r="A74" i="60"/>
  <c r="A75" i="60"/>
  <c r="A60" i="60"/>
  <c r="A50" i="60"/>
  <c r="A9" i="60"/>
  <c r="A10" i="60"/>
  <c r="A11" i="60"/>
  <c r="A12" i="60"/>
  <c r="A13" i="60"/>
  <c r="A14" i="60"/>
  <c r="A15" i="60"/>
  <c r="A16" i="60"/>
  <c r="A17" i="60"/>
  <c r="A18" i="60"/>
  <c r="A19" i="60"/>
  <c r="A20" i="60"/>
  <c r="A21" i="60"/>
  <c r="A22" i="60"/>
  <c r="A23" i="60"/>
  <c r="A24" i="60"/>
  <c r="A25" i="60"/>
  <c r="A26" i="60"/>
  <c r="A27" i="60"/>
  <c r="A28" i="60"/>
  <c r="A29" i="60"/>
  <c r="A30" i="60"/>
  <c r="A31" i="60"/>
  <c r="A32" i="60"/>
  <c r="A33" i="60"/>
  <c r="A34" i="60"/>
  <c r="A35" i="60"/>
  <c r="A36" i="60"/>
  <c r="A37" i="60"/>
  <c r="A38" i="60"/>
  <c r="A39" i="60"/>
  <c r="A40" i="60"/>
  <c r="A41" i="60"/>
  <c r="A42" i="60"/>
  <c r="A43" i="60"/>
  <c r="A44" i="60"/>
  <c r="A45" i="60"/>
  <c r="A46" i="60"/>
  <c r="A47" i="60"/>
  <c r="A48" i="60"/>
  <c r="A8" i="60"/>
  <c r="A91" i="52" l="1"/>
  <c r="A73" i="52"/>
  <c r="A61" i="52"/>
  <c r="A49" i="52"/>
  <c r="A31" i="52"/>
  <c r="A19" i="52"/>
  <c r="A7" i="52"/>
  <c r="A14" i="11" l="1"/>
  <c r="A8" i="11"/>
  <c r="A9" i="11"/>
  <c r="A10" i="11"/>
  <c r="A11" i="11"/>
  <c r="A12" i="11"/>
  <c r="A7" i="11"/>
  <c r="AQ49" i="93" l="1"/>
  <c r="Y49" i="93"/>
  <c r="A49" i="93"/>
  <c r="AQ1" i="93"/>
  <c r="Y1" i="93"/>
  <c r="A1" i="93"/>
  <c r="F3" i="83" l="1"/>
  <c r="BH83" i="93" l="1"/>
  <c r="BG83" i="93"/>
  <c r="BF83" i="93"/>
  <c r="BE83" i="93"/>
  <c r="BD83" i="93"/>
  <c r="BB83" i="93"/>
  <c r="BA83" i="93"/>
  <c r="AZ83" i="93"/>
  <c r="AY83" i="93"/>
  <c r="AX83" i="93"/>
  <c r="AV83" i="93"/>
  <c r="AU83" i="93"/>
  <c r="AT83" i="93"/>
  <c r="AS83" i="93"/>
  <c r="AR83" i="93"/>
  <c r="AP83" i="93"/>
  <c r="AO83" i="93"/>
  <c r="AN83" i="93"/>
  <c r="AM83" i="93"/>
  <c r="AL83" i="93"/>
  <c r="AJ83" i="93"/>
  <c r="AI83" i="93"/>
  <c r="AH83" i="93"/>
  <c r="AG83" i="93"/>
  <c r="AF83" i="93"/>
  <c r="AD83" i="93"/>
  <c r="AC83" i="93"/>
  <c r="AB83" i="93"/>
  <c r="AA83" i="93"/>
  <c r="Z83" i="93"/>
  <c r="X83" i="93"/>
  <c r="W83" i="93"/>
  <c r="V83" i="93"/>
  <c r="U83" i="93"/>
  <c r="T83" i="93"/>
  <c r="R83" i="93"/>
  <c r="Q83" i="93"/>
  <c r="P83" i="93"/>
  <c r="O83" i="93"/>
  <c r="N83" i="93"/>
  <c r="L83" i="93"/>
  <c r="K83" i="93"/>
  <c r="J83" i="93"/>
  <c r="I83" i="93"/>
  <c r="H83" i="93"/>
  <c r="F83" i="93"/>
  <c r="E83" i="93"/>
  <c r="D83" i="93"/>
  <c r="C83" i="93"/>
  <c r="B83" i="93"/>
  <c r="BH69" i="93"/>
  <c r="BG69" i="93"/>
  <c r="BF69" i="93"/>
  <c r="BE69" i="93"/>
  <c r="BD69" i="93"/>
  <c r="BB69" i="93"/>
  <c r="BA69" i="93"/>
  <c r="AZ69" i="93"/>
  <c r="AY69" i="93"/>
  <c r="AX69" i="93"/>
  <c r="AV69" i="93"/>
  <c r="AU69" i="93"/>
  <c r="AT69" i="93"/>
  <c r="AS69" i="93"/>
  <c r="AR69" i="93"/>
  <c r="AP69" i="93"/>
  <c r="AO69" i="93"/>
  <c r="AN69" i="93"/>
  <c r="AM69" i="93"/>
  <c r="AL69" i="93"/>
  <c r="AJ69" i="93"/>
  <c r="AI69" i="93"/>
  <c r="AH69" i="93"/>
  <c r="AG69" i="93"/>
  <c r="AF69" i="93"/>
  <c r="AD69" i="93"/>
  <c r="AC69" i="93"/>
  <c r="AB69" i="93"/>
  <c r="AA69" i="93"/>
  <c r="Z69" i="93"/>
  <c r="X69" i="93"/>
  <c r="W69" i="93"/>
  <c r="V69" i="93"/>
  <c r="U69" i="93"/>
  <c r="T69" i="93"/>
  <c r="R69" i="93"/>
  <c r="Q69" i="93"/>
  <c r="P69" i="93"/>
  <c r="O69" i="93"/>
  <c r="N69" i="93"/>
  <c r="L69" i="93"/>
  <c r="K69" i="93"/>
  <c r="J69" i="93"/>
  <c r="I69" i="93"/>
  <c r="H69" i="93"/>
  <c r="F69" i="93"/>
  <c r="E69" i="93"/>
  <c r="D69" i="93"/>
  <c r="C69" i="93"/>
  <c r="B69" i="93"/>
  <c r="BH66" i="93"/>
  <c r="BG66" i="93"/>
  <c r="BF66" i="93"/>
  <c r="BE66" i="93"/>
  <c r="BD66" i="93"/>
  <c r="BB66" i="93"/>
  <c r="BA66" i="93"/>
  <c r="AZ66" i="93"/>
  <c r="AY66" i="93"/>
  <c r="AX66" i="93"/>
  <c r="AV66" i="93"/>
  <c r="AU66" i="93"/>
  <c r="AT66" i="93"/>
  <c r="AS66" i="93"/>
  <c r="AR66" i="93"/>
  <c r="AP66" i="93"/>
  <c r="AO66" i="93"/>
  <c r="AN66" i="93"/>
  <c r="AM66" i="93"/>
  <c r="AL66" i="93"/>
  <c r="AJ66" i="93"/>
  <c r="AI66" i="93"/>
  <c r="AH66" i="93"/>
  <c r="AG66" i="93"/>
  <c r="AF66" i="93"/>
  <c r="AD66" i="93"/>
  <c r="AC66" i="93"/>
  <c r="AB66" i="93"/>
  <c r="AA66" i="93"/>
  <c r="Z66" i="93"/>
  <c r="X66" i="93"/>
  <c r="W66" i="93"/>
  <c r="V66" i="93"/>
  <c r="U66" i="93"/>
  <c r="T66" i="93"/>
  <c r="R66" i="93"/>
  <c r="Q66" i="93"/>
  <c r="P66" i="93"/>
  <c r="O66" i="93"/>
  <c r="N66" i="93"/>
  <c r="L66" i="93"/>
  <c r="K66" i="93"/>
  <c r="J66" i="93"/>
  <c r="I66" i="93"/>
  <c r="H66" i="93"/>
  <c r="F66" i="93"/>
  <c r="E66" i="93"/>
  <c r="D66" i="93"/>
  <c r="C66" i="93"/>
  <c r="B66" i="93"/>
  <c r="A66" i="93"/>
  <c r="BH65" i="93"/>
  <c r="BG65" i="93"/>
  <c r="BF65" i="93"/>
  <c r="BE65" i="93"/>
  <c r="BD65" i="93"/>
  <c r="BB65" i="93"/>
  <c r="BA65" i="93"/>
  <c r="AZ65" i="93"/>
  <c r="AY65" i="93"/>
  <c r="AX65" i="93"/>
  <c r="AV65" i="93"/>
  <c r="AU65" i="93"/>
  <c r="AT65" i="93"/>
  <c r="AS65" i="93"/>
  <c r="AR65" i="93"/>
  <c r="AP65" i="93"/>
  <c r="AO65" i="93"/>
  <c r="AN65" i="93"/>
  <c r="AM65" i="93"/>
  <c r="AL65" i="93"/>
  <c r="AJ65" i="93"/>
  <c r="AI65" i="93"/>
  <c r="AH65" i="93"/>
  <c r="AG65" i="93"/>
  <c r="AF65" i="93"/>
  <c r="AD65" i="93"/>
  <c r="AC65" i="93"/>
  <c r="AB65" i="93"/>
  <c r="AA65" i="93"/>
  <c r="Z65" i="93"/>
  <c r="X65" i="93"/>
  <c r="W65" i="93"/>
  <c r="V65" i="93"/>
  <c r="U65" i="93"/>
  <c r="T65" i="93"/>
  <c r="R65" i="93"/>
  <c r="Q65" i="93"/>
  <c r="P65" i="93"/>
  <c r="O65" i="93"/>
  <c r="N65" i="93"/>
  <c r="L65" i="93"/>
  <c r="K65" i="93"/>
  <c r="J65" i="93"/>
  <c r="I65" i="93"/>
  <c r="H65" i="93"/>
  <c r="F65" i="93"/>
  <c r="E65" i="93"/>
  <c r="D65" i="93"/>
  <c r="C65" i="93"/>
  <c r="B65" i="93"/>
  <c r="BH64" i="93"/>
  <c r="BG64" i="93"/>
  <c r="BF64" i="93"/>
  <c r="BE64" i="93"/>
  <c r="BD64" i="93"/>
  <c r="BB64" i="93"/>
  <c r="BA64" i="93"/>
  <c r="AZ64" i="93"/>
  <c r="AY64" i="93"/>
  <c r="AX64" i="93"/>
  <c r="AV64" i="93"/>
  <c r="AU64" i="93"/>
  <c r="AT64" i="93"/>
  <c r="AS64" i="93"/>
  <c r="AR64" i="93"/>
  <c r="AP64" i="93"/>
  <c r="AO64" i="93"/>
  <c r="AN64" i="93"/>
  <c r="AM64" i="93"/>
  <c r="AL64" i="93"/>
  <c r="AJ64" i="93"/>
  <c r="AI64" i="93"/>
  <c r="AH64" i="93"/>
  <c r="AG64" i="93"/>
  <c r="AF64" i="93"/>
  <c r="AD64" i="93"/>
  <c r="AC64" i="93"/>
  <c r="AB64" i="93"/>
  <c r="AA64" i="93"/>
  <c r="Z64" i="93"/>
  <c r="X64" i="93"/>
  <c r="W64" i="93"/>
  <c r="V64" i="93"/>
  <c r="U64" i="93"/>
  <c r="T64" i="93"/>
  <c r="R64" i="93"/>
  <c r="Q64" i="93"/>
  <c r="P64" i="93"/>
  <c r="O64" i="93"/>
  <c r="N64" i="93"/>
  <c r="L64" i="93"/>
  <c r="K64" i="93"/>
  <c r="J64" i="93"/>
  <c r="I64" i="93"/>
  <c r="H64" i="93"/>
  <c r="F64" i="93"/>
  <c r="E64" i="93"/>
  <c r="D64" i="93"/>
  <c r="C64" i="93"/>
  <c r="B64" i="93"/>
  <c r="BH63" i="93"/>
  <c r="BG63" i="93"/>
  <c r="BF63" i="93"/>
  <c r="BE63" i="93"/>
  <c r="BD63" i="93"/>
  <c r="BB63" i="93"/>
  <c r="BA63" i="93"/>
  <c r="AZ63" i="93"/>
  <c r="AY63" i="93"/>
  <c r="AX63" i="93"/>
  <c r="AV63" i="93"/>
  <c r="AU63" i="93"/>
  <c r="AT63" i="93"/>
  <c r="AS63" i="93"/>
  <c r="AR63" i="93"/>
  <c r="AP63" i="93"/>
  <c r="AO63" i="93"/>
  <c r="AN63" i="93"/>
  <c r="AM63" i="93"/>
  <c r="AL63" i="93"/>
  <c r="AJ63" i="93"/>
  <c r="AI63" i="93"/>
  <c r="AH63" i="93"/>
  <c r="AG63" i="93"/>
  <c r="AF63" i="93"/>
  <c r="AD63" i="93"/>
  <c r="AC63" i="93"/>
  <c r="AB63" i="93"/>
  <c r="AA63" i="93"/>
  <c r="Z63" i="93"/>
  <c r="X63" i="93"/>
  <c r="W63" i="93"/>
  <c r="V63" i="93"/>
  <c r="U63" i="93"/>
  <c r="T63" i="93"/>
  <c r="R63" i="93"/>
  <c r="Q63" i="93"/>
  <c r="P63" i="93"/>
  <c r="O63" i="93"/>
  <c r="N63" i="93"/>
  <c r="L63" i="93"/>
  <c r="K63" i="93"/>
  <c r="J63" i="93"/>
  <c r="I63" i="93"/>
  <c r="H63" i="93"/>
  <c r="F63" i="93"/>
  <c r="E63" i="93"/>
  <c r="D63" i="93"/>
  <c r="C63" i="93"/>
  <c r="B63" i="93"/>
  <c r="A63" i="93"/>
  <c r="BH62" i="93"/>
  <c r="BG62" i="93"/>
  <c r="BF62" i="93"/>
  <c r="BE62" i="93"/>
  <c r="BD62" i="93"/>
  <c r="BB62" i="93"/>
  <c r="BA62" i="93"/>
  <c r="AZ62" i="93"/>
  <c r="AY62" i="93"/>
  <c r="AX62" i="93"/>
  <c r="AV62" i="93"/>
  <c r="AU62" i="93"/>
  <c r="AT62" i="93"/>
  <c r="AS62" i="93"/>
  <c r="AR62" i="93"/>
  <c r="AP62" i="93"/>
  <c r="AO62" i="93"/>
  <c r="AN62" i="93"/>
  <c r="AM62" i="93"/>
  <c r="AL62" i="93"/>
  <c r="AJ62" i="93"/>
  <c r="AI62" i="93"/>
  <c r="AH62" i="93"/>
  <c r="AG62" i="93"/>
  <c r="AF62" i="93"/>
  <c r="AD62" i="93"/>
  <c r="AC62" i="93"/>
  <c r="AB62" i="93"/>
  <c r="AA62" i="93"/>
  <c r="Z62" i="93"/>
  <c r="X62" i="93"/>
  <c r="W62" i="93"/>
  <c r="V62" i="93"/>
  <c r="U62" i="93"/>
  <c r="T62" i="93"/>
  <c r="R62" i="93"/>
  <c r="Q62" i="93"/>
  <c r="P62" i="93"/>
  <c r="O62" i="93"/>
  <c r="N62" i="93"/>
  <c r="L62" i="93"/>
  <c r="K62" i="93"/>
  <c r="J62" i="93"/>
  <c r="I62" i="93"/>
  <c r="H62" i="93"/>
  <c r="F62" i="93"/>
  <c r="E62" i="93"/>
  <c r="D62" i="93"/>
  <c r="C62" i="93"/>
  <c r="B62" i="93"/>
  <c r="BH61" i="93"/>
  <c r="BG61" i="93"/>
  <c r="BF61" i="93"/>
  <c r="BE61" i="93"/>
  <c r="BD61" i="93"/>
  <c r="BB61" i="93"/>
  <c r="BA61" i="93"/>
  <c r="AZ61" i="93"/>
  <c r="AY61" i="93"/>
  <c r="AX61" i="93"/>
  <c r="AV61" i="93"/>
  <c r="AU61" i="93"/>
  <c r="AT61" i="93"/>
  <c r="AS61" i="93"/>
  <c r="AR61" i="93"/>
  <c r="AP61" i="93"/>
  <c r="AO61" i="93"/>
  <c r="AN61" i="93"/>
  <c r="AM61" i="93"/>
  <c r="AL61" i="93"/>
  <c r="AJ61" i="93"/>
  <c r="AI61" i="93"/>
  <c r="AH61" i="93"/>
  <c r="AG61" i="93"/>
  <c r="AF61" i="93"/>
  <c r="AD61" i="93"/>
  <c r="AC61" i="93"/>
  <c r="AB61" i="93"/>
  <c r="AA61" i="93"/>
  <c r="Z61" i="93"/>
  <c r="X61" i="93"/>
  <c r="W61" i="93"/>
  <c r="V61" i="93"/>
  <c r="U61" i="93"/>
  <c r="T61" i="93"/>
  <c r="R61" i="93"/>
  <c r="Q61" i="93"/>
  <c r="P61" i="93"/>
  <c r="O61" i="93"/>
  <c r="N61" i="93"/>
  <c r="L61" i="93"/>
  <c r="K61" i="93"/>
  <c r="J61" i="93"/>
  <c r="I61" i="93"/>
  <c r="H61" i="93"/>
  <c r="F61" i="93"/>
  <c r="E61" i="93"/>
  <c r="D61" i="93"/>
  <c r="C61" i="93"/>
  <c r="B61" i="93"/>
  <c r="BH60" i="93"/>
  <c r="BG60" i="93"/>
  <c r="BF60" i="93"/>
  <c r="BE60" i="93"/>
  <c r="BD60" i="93"/>
  <c r="BB60" i="93"/>
  <c r="BA60" i="93"/>
  <c r="AZ60" i="93"/>
  <c r="AY60" i="93"/>
  <c r="AX60" i="93"/>
  <c r="AV60" i="93"/>
  <c r="AU60" i="93"/>
  <c r="AT60" i="93"/>
  <c r="AS60" i="93"/>
  <c r="AR60" i="93"/>
  <c r="AP60" i="93"/>
  <c r="AO60" i="93"/>
  <c r="AN60" i="93"/>
  <c r="AM60" i="93"/>
  <c r="AL60" i="93"/>
  <c r="AJ60" i="93"/>
  <c r="AI60" i="93"/>
  <c r="AH60" i="93"/>
  <c r="AG60" i="93"/>
  <c r="AF60" i="93"/>
  <c r="AD60" i="93"/>
  <c r="AC60" i="93"/>
  <c r="AB60" i="93"/>
  <c r="AA60" i="93"/>
  <c r="Z60" i="93"/>
  <c r="X60" i="93"/>
  <c r="W60" i="93"/>
  <c r="V60" i="93"/>
  <c r="U60" i="93"/>
  <c r="T60" i="93"/>
  <c r="R60" i="93"/>
  <c r="Q60" i="93"/>
  <c r="P60" i="93"/>
  <c r="O60" i="93"/>
  <c r="N60" i="93"/>
  <c r="L60" i="93"/>
  <c r="K60" i="93"/>
  <c r="J60" i="93"/>
  <c r="I60" i="93"/>
  <c r="H60" i="93"/>
  <c r="F60" i="93"/>
  <c r="E60" i="93"/>
  <c r="D60" i="93"/>
  <c r="C60" i="93"/>
  <c r="B60" i="93"/>
  <c r="A60" i="93"/>
  <c r="BH59" i="93"/>
  <c r="BG59" i="93"/>
  <c r="BF59" i="93"/>
  <c r="BE59" i="93"/>
  <c r="BD59" i="93"/>
  <c r="BB59" i="93"/>
  <c r="BA59" i="93"/>
  <c r="AZ59" i="93"/>
  <c r="AY59" i="93"/>
  <c r="AX59" i="93"/>
  <c r="AV59" i="93"/>
  <c r="AU59" i="93"/>
  <c r="AT59" i="93"/>
  <c r="AS59" i="93"/>
  <c r="AR59" i="93"/>
  <c r="AP59" i="93"/>
  <c r="AO59" i="93"/>
  <c r="AN59" i="93"/>
  <c r="AM59" i="93"/>
  <c r="AL59" i="93"/>
  <c r="AJ59" i="93"/>
  <c r="AI59" i="93"/>
  <c r="AH59" i="93"/>
  <c r="AG59" i="93"/>
  <c r="AF59" i="93"/>
  <c r="AD59" i="93"/>
  <c r="AC59" i="93"/>
  <c r="AB59" i="93"/>
  <c r="AA59" i="93"/>
  <c r="Z59" i="93"/>
  <c r="X59" i="93"/>
  <c r="W59" i="93"/>
  <c r="V59" i="93"/>
  <c r="U59" i="93"/>
  <c r="T59" i="93"/>
  <c r="R59" i="93"/>
  <c r="Q59" i="93"/>
  <c r="P59" i="93"/>
  <c r="O59" i="93"/>
  <c r="N59" i="93"/>
  <c r="L59" i="93"/>
  <c r="K59" i="93"/>
  <c r="J59" i="93"/>
  <c r="I59" i="93"/>
  <c r="H59" i="93"/>
  <c r="F59" i="93"/>
  <c r="E59" i="93"/>
  <c r="D59" i="93"/>
  <c r="C59" i="93"/>
  <c r="B59" i="93"/>
  <c r="BH58" i="93"/>
  <c r="BG58" i="93"/>
  <c r="BF58" i="93"/>
  <c r="BE58" i="93"/>
  <c r="BD58" i="93"/>
  <c r="BB58" i="93"/>
  <c r="BA58" i="93"/>
  <c r="AZ58" i="93"/>
  <c r="AY58" i="93"/>
  <c r="AX58" i="93"/>
  <c r="AV58" i="93"/>
  <c r="AU58" i="93"/>
  <c r="AT58" i="93"/>
  <c r="AS58" i="93"/>
  <c r="AR58" i="93"/>
  <c r="AP58" i="93"/>
  <c r="AO58" i="93"/>
  <c r="AN58" i="93"/>
  <c r="AM58" i="93"/>
  <c r="AL58" i="93"/>
  <c r="AJ58" i="93"/>
  <c r="AI58" i="93"/>
  <c r="AH58" i="93"/>
  <c r="AG58" i="93"/>
  <c r="AF58" i="93"/>
  <c r="AD58" i="93"/>
  <c r="AC58" i="93"/>
  <c r="AB58" i="93"/>
  <c r="AA58" i="93"/>
  <c r="Z58" i="93"/>
  <c r="X58" i="93"/>
  <c r="W58" i="93"/>
  <c r="V58" i="93"/>
  <c r="U58" i="93"/>
  <c r="T58" i="93"/>
  <c r="R58" i="93"/>
  <c r="Q58" i="93"/>
  <c r="P58" i="93"/>
  <c r="O58" i="93"/>
  <c r="N58" i="93"/>
  <c r="L58" i="93"/>
  <c r="K58" i="93"/>
  <c r="J58" i="93"/>
  <c r="I58" i="93"/>
  <c r="H58" i="93"/>
  <c r="F58" i="93"/>
  <c r="E58" i="93"/>
  <c r="D58" i="93"/>
  <c r="C58" i="93"/>
  <c r="B58" i="93"/>
  <c r="A58" i="93"/>
  <c r="BH57" i="93"/>
  <c r="BG57" i="93"/>
  <c r="BF57" i="93"/>
  <c r="BE57" i="93"/>
  <c r="BD57" i="93"/>
  <c r="BB57" i="93"/>
  <c r="BA57" i="93"/>
  <c r="AZ57" i="93"/>
  <c r="AY57" i="93"/>
  <c r="AX57" i="93"/>
  <c r="AV57" i="93"/>
  <c r="AU57" i="93"/>
  <c r="AT57" i="93"/>
  <c r="AS57" i="93"/>
  <c r="AR57" i="93"/>
  <c r="AP57" i="93"/>
  <c r="AO57" i="93"/>
  <c r="AN57" i="93"/>
  <c r="AM57" i="93"/>
  <c r="AL57" i="93"/>
  <c r="AJ57" i="93"/>
  <c r="AI57" i="93"/>
  <c r="AH57" i="93"/>
  <c r="AG57" i="93"/>
  <c r="AF57" i="93"/>
  <c r="AD57" i="93"/>
  <c r="AC57" i="93"/>
  <c r="AB57" i="93"/>
  <c r="AA57" i="93"/>
  <c r="Z57" i="93"/>
  <c r="X57" i="93"/>
  <c r="W57" i="93"/>
  <c r="V57" i="93"/>
  <c r="U57" i="93"/>
  <c r="T57" i="93"/>
  <c r="R57" i="93"/>
  <c r="Q57" i="93"/>
  <c r="P57" i="93"/>
  <c r="O57" i="93"/>
  <c r="N57" i="93"/>
  <c r="L57" i="93"/>
  <c r="K57" i="93"/>
  <c r="J57" i="93"/>
  <c r="I57" i="93"/>
  <c r="H57" i="93"/>
  <c r="F57" i="93"/>
  <c r="E57" i="93"/>
  <c r="D57" i="93"/>
  <c r="C57" i="93"/>
  <c r="B57" i="93"/>
  <c r="A57" i="93"/>
  <c r="BH56" i="93"/>
  <c r="BG56" i="93"/>
  <c r="BF56" i="93"/>
  <c r="BE56" i="93"/>
  <c r="BD56" i="93"/>
  <c r="BB56" i="93"/>
  <c r="BA56" i="93"/>
  <c r="AZ56" i="93"/>
  <c r="AY56" i="93"/>
  <c r="AX56" i="93"/>
  <c r="AV56" i="93"/>
  <c r="AU56" i="93"/>
  <c r="AT56" i="93"/>
  <c r="AS56" i="93"/>
  <c r="AR56" i="93"/>
  <c r="AP56" i="93"/>
  <c r="AO56" i="93"/>
  <c r="AN56" i="93"/>
  <c r="AM56" i="93"/>
  <c r="AL56" i="93"/>
  <c r="AJ56" i="93"/>
  <c r="AI56" i="93"/>
  <c r="AH56" i="93"/>
  <c r="AG56" i="93"/>
  <c r="AF56" i="93"/>
  <c r="AD56" i="93"/>
  <c r="AC56" i="93"/>
  <c r="AB56" i="93"/>
  <c r="AA56" i="93"/>
  <c r="Z56" i="93"/>
  <c r="X56" i="93"/>
  <c r="W56" i="93"/>
  <c r="V56" i="93"/>
  <c r="U56" i="93"/>
  <c r="T56" i="93"/>
  <c r="R56" i="93"/>
  <c r="Q56" i="93"/>
  <c r="P56" i="93"/>
  <c r="O56" i="93"/>
  <c r="N56" i="93"/>
  <c r="L56" i="93"/>
  <c r="K56" i="93"/>
  <c r="J56" i="93"/>
  <c r="I56" i="93"/>
  <c r="H56" i="93"/>
  <c r="F56" i="93"/>
  <c r="E56" i="93"/>
  <c r="D56" i="93"/>
  <c r="C56" i="93"/>
  <c r="B56" i="93"/>
  <c r="A55" i="93"/>
  <c r="BH53" i="93"/>
  <c r="BG53" i="93"/>
  <c r="BF53" i="93"/>
  <c r="BE53" i="93"/>
  <c r="BD53" i="93"/>
  <c r="BB53" i="93"/>
  <c r="BA53" i="93"/>
  <c r="AZ53" i="93"/>
  <c r="AY53" i="93"/>
  <c r="AX53" i="93"/>
  <c r="AP53" i="93"/>
  <c r="AO53" i="93"/>
  <c r="AN53" i="93"/>
  <c r="AM53" i="93"/>
  <c r="AL53" i="93"/>
  <c r="AJ53" i="93"/>
  <c r="AI53" i="93"/>
  <c r="AH53" i="93"/>
  <c r="AG53" i="93"/>
  <c r="AF53" i="93"/>
  <c r="X53" i="93"/>
  <c r="W53" i="93"/>
  <c r="V53" i="93"/>
  <c r="U53" i="93"/>
  <c r="T53" i="93"/>
  <c r="R53" i="93"/>
  <c r="Q53" i="93"/>
  <c r="P53" i="93"/>
  <c r="O53" i="93"/>
  <c r="N53" i="93"/>
  <c r="L53" i="93"/>
  <c r="K53" i="93"/>
  <c r="J53" i="93"/>
  <c r="I53" i="93"/>
  <c r="H53" i="93"/>
  <c r="BD51" i="93"/>
  <c r="AX51" i="93"/>
  <c r="AR51" i="93"/>
  <c r="N51" i="93"/>
  <c r="H51" i="93"/>
  <c r="B51" i="93"/>
  <c r="BH50" i="93"/>
  <c r="AP50" i="93"/>
  <c r="AQ46" i="93"/>
  <c r="AQ94" i="93" s="1"/>
  <c r="Y46" i="93"/>
  <c r="Y94" i="93" s="1"/>
  <c r="A46" i="93"/>
  <c r="A94" i="93" s="1"/>
  <c r="Y44" i="93"/>
  <c r="Y92" i="93" s="1"/>
  <c r="AQ43" i="93"/>
  <c r="AQ91" i="93" s="1"/>
  <c r="Y43" i="93"/>
  <c r="Y91" i="93" s="1"/>
  <c r="A43" i="93"/>
  <c r="A91" i="93" s="1"/>
  <c r="AQ41" i="93"/>
  <c r="AQ89" i="93" s="1"/>
  <c r="AQ40" i="93"/>
  <c r="AQ88" i="93" s="1"/>
  <c r="Y40" i="93"/>
  <c r="Y88" i="93" s="1"/>
  <c r="A40" i="93"/>
  <c r="A88" i="93" s="1"/>
  <c r="A39" i="93"/>
  <c r="A87" i="93" s="1"/>
  <c r="AQ38" i="93"/>
  <c r="AQ86" i="93" s="1"/>
  <c r="Y38" i="93"/>
  <c r="Y86" i="93" s="1"/>
  <c r="A38" i="93"/>
  <c r="A86" i="93" s="1"/>
  <c r="A36" i="93"/>
  <c r="A84" i="93" s="1"/>
  <c r="BH35" i="93"/>
  <c r="BG35" i="93"/>
  <c r="BF35" i="93"/>
  <c r="BE35" i="93"/>
  <c r="BD35" i="93"/>
  <c r="BB35" i="93"/>
  <c r="BA35" i="93"/>
  <c r="AZ35" i="93"/>
  <c r="AY35" i="93"/>
  <c r="AX35" i="93"/>
  <c r="AV35" i="93"/>
  <c r="AU35" i="93"/>
  <c r="AT35" i="93"/>
  <c r="AS35" i="93"/>
  <c r="AR35" i="93"/>
  <c r="AQ35" i="93"/>
  <c r="AQ83" i="93" s="1"/>
  <c r="AP35" i="93"/>
  <c r="AO35" i="93"/>
  <c r="AN35" i="93"/>
  <c r="AM35" i="93"/>
  <c r="AL35" i="93"/>
  <c r="AJ35" i="93"/>
  <c r="AI35" i="93"/>
  <c r="AH35" i="93"/>
  <c r="AG35" i="93"/>
  <c r="AF35" i="93"/>
  <c r="AD35" i="93"/>
  <c r="AC35" i="93"/>
  <c r="AB35" i="93"/>
  <c r="AA35" i="93"/>
  <c r="Z35" i="93"/>
  <c r="Y35" i="93"/>
  <c r="Y83" i="93" s="1"/>
  <c r="X35" i="93"/>
  <c r="W35" i="93"/>
  <c r="V35" i="93"/>
  <c r="U35" i="93"/>
  <c r="T35" i="93"/>
  <c r="R35" i="93"/>
  <c r="Q35" i="93"/>
  <c r="P35" i="93"/>
  <c r="O35" i="93"/>
  <c r="N35" i="93"/>
  <c r="L35" i="93"/>
  <c r="K35" i="93"/>
  <c r="J35" i="93"/>
  <c r="I35" i="93"/>
  <c r="H35" i="93"/>
  <c r="F35" i="93"/>
  <c r="E35" i="93"/>
  <c r="D35" i="93"/>
  <c r="C35" i="93"/>
  <c r="B35" i="93"/>
  <c r="A35" i="93"/>
  <c r="A83" i="93" s="1"/>
  <c r="Y34" i="93"/>
  <c r="Y82" i="93" s="1"/>
  <c r="Y32" i="93"/>
  <c r="Y80" i="93" s="1"/>
  <c r="A32" i="93"/>
  <c r="AQ32" i="93" s="1"/>
  <c r="AQ80" i="93" s="1"/>
  <c r="Y30" i="93"/>
  <c r="Y78" i="93" s="1"/>
  <c r="Y29" i="93"/>
  <c r="Y77" i="93" s="1"/>
  <c r="A29" i="93"/>
  <c r="A77" i="93" s="1"/>
  <c r="Y26" i="93"/>
  <c r="Y74" i="93" s="1"/>
  <c r="A26" i="93"/>
  <c r="A74" i="93" s="1"/>
  <c r="Y25" i="93"/>
  <c r="Y73" i="93" s="1"/>
  <c r="A25" i="93"/>
  <c r="Y24" i="93"/>
  <c r="Y72" i="93" s="1"/>
  <c r="A24" i="93"/>
  <c r="AQ24" i="93" s="1"/>
  <c r="AQ72" i="93" s="1"/>
  <c r="Y22" i="93"/>
  <c r="Y70" i="93" s="1"/>
  <c r="BH21" i="93"/>
  <c r="BG21" i="93"/>
  <c r="BF21" i="93"/>
  <c r="BE21" i="93"/>
  <c r="BD21" i="93"/>
  <c r="BB21" i="93"/>
  <c r="BA21" i="93"/>
  <c r="AZ21" i="93"/>
  <c r="AY21" i="93"/>
  <c r="AX21" i="93"/>
  <c r="AV21" i="93"/>
  <c r="AU21" i="93"/>
  <c r="AT21" i="93"/>
  <c r="AS21" i="93"/>
  <c r="AR21" i="93"/>
  <c r="AP21" i="93"/>
  <c r="AO21" i="93"/>
  <c r="AN21" i="93"/>
  <c r="AM21" i="93"/>
  <c r="AL21" i="93"/>
  <c r="AJ21" i="93"/>
  <c r="AJ7" i="93" s="1"/>
  <c r="AI21" i="93"/>
  <c r="AH21" i="93"/>
  <c r="AG21" i="93"/>
  <c r="AF21" i="93"/>
  <c r="AD21" i="93"/>
  <c r="AC21" i="93"/>
  <c r="AB21" i="93"/>
  <c r="AA21" i="93"/>
  <c r="AA7" i="93" s="1"/>
  <c r="Z21" i="93"/>
  <c r="Y21" i="93"/>
  <c r="Y69" i="93" s="1"/>
  <c r="X21" i="93"/>
  <c r="W21" i="93"/>
  <c r="W7" i="93" s="1"/>
  <c r="V21" i="93"/>
  <c r="U21" i="93"/>
  <c r="T21" i="93"/>
  <c r="R21" i="93"/>
  <c r="R7" i="93" s="1"/>
  <c r="Q21" i="93"/>
  <c r="P21" i="93"/>
  <c r="O21" i="93"/>
  <c r="N21" i="93"/>
  <c r="N7" i="93" s="1"/>
  <c r="L21" i="93"/>
  <c r="K21" i="93"/>
  <c r="J21" i="93"/>
  <c r="I21" i="93"/>
  <c r="I7" i="93" s="1"/>
  <c r="H21" i="93"/>
  <c r="F21" i="93"/>
  <c r="E21" i="93"/>
  <c r="D21" i="93"/>
  <c r="C21" i="93"/>
  <c r="B21" i="93"/>
  <c r="A21" i="93"/>
  <c r="AQ21" i="93" s="1"/>
  <c r="AQ69" i="93" s="1"/>
  <c r="AQ20" i="93"/>
  <c r="AQ68" i="93" s="1"/>
  <c r="Y20" i="93"/>
  <c r="Y68" i="93" s="1"/>
  <c r="A68" i="93"/>
  <c r="BH18" i="93"/>
  <c r="BG18" i="93"/>
  <c r="BF18" i="93"/>
  <c r="BE18" i="93"/>
  <c r="BD18" i="93"/>
  <c r="BB18" i="93"/>
  <c r="BA18" i="93"/>
  <c r="AZ18" i="93"/>
  <c r="AY18" i="93"/>
  <c r="AX18" i="93"/>
  <c r="AV18" i="93"/>
  <c r="AU18" i="93"/>
  <c r="AT18" i="93"/>
  <c r="AS18" i="93"/>
  <c r="AR18" i="93"/>
  <c r="AQ18" i="93"/>
  <c r="AQ66" i="93" s="1"/>
  <c r="AP18" i="93"/>
  <c r="AO18" i="93"/>
  <c r="AN18" i="93"/>
  <c r="AM18" i="93"/>
  <c r="AL18" i="93"/>
  <c r="AJ18" i="93"/>
  <c r="AI18" i="93"/>
  <c r="AH18" i="93"/>
  <c r="AG18" i="93"/>
  <c r="AF18" i="93"/>
  <c r="AD18" i="93"/>
  <c r="AC18" i="93"/>
  <c r="AB18" i="93"/>
  <c r="AA18" i="93"/>
  <c r="Z18" i="93"/>
  <c r="Y18" i="93"/>
  <c r="Y66" i="93" s="1"/>
  <c r="X18" i="93"/>
  <c r="W18" i="93"/>
  <c r="V18" i="93"/>
  <c r="U18" i="93"/>
  <c r="T18" i="93"/>
  <c r="R18" i="93"/>
  <c r="Q18" i="93"/>
  <c r="P18" i="93"/>
  <c r="O18" i="93"/>
  <c r="N18" i="93"/>
  <c r="L18" i="93"/>
  <c r="K18" i="93"/>
  <c r="J18" i="93"/>
  <c r="I18" i="93"/>
  <c r="H18" i="93"/>
  <c r="F18" i="93"/>
  <c r="E18" i="93"/>
  <c r="D18" i="93"/>
  <c r="C18" i="93"/>
  <c r="B18" i="93"/>
  <c r="BH17" i="93"/>
  <c r="BG17" i="93"/>
  <c r="BF17" i="93"/>
  <c r="BE17" i="93"/>
  <c r="BD17" i="93"/>
  <c r="BB17" i="93"/>
  <c r="BA17" i="93"/>
  <c r="AZ17" i="93"/>
  <c r="AY17" i="93"/>
  <c r="AX17" i="93"/>
  <c r="AV17" i="93"/>
  <c r="AU17" i="93"/>
  <c r="AT17" i="93"/>
  <c r="AS17" i="93"/>
  <c r="AR17" i="93"/>
  <c r="AP17" i="93"/>
  <c r="AO17" i="93"/>
  <c r="AN17" i="93"/>
  <c r="AM17" i="93"/>
  <c r="AL17" i="93"/>
  <c r="AJ17" i="93"/>
  <c r="AI17" i="93"/>
  <c r="AH17" i="93"/>
  <c r="AG17" i="93"/>
  <c r="AF17" i="93"/>
  <c r="AD17" i="93"/>
  <c r="AC17" i="93"/>
  <c r="AB17" i="93"/>
  <c r="AA17" i="93"/>
  <c r="Z17" i="93"/>
  <c r="X17" i="93"/>
  <c r="W17" i="93"/>
  <c r="V17" i="93"/>
  <c r="U17" i="93"/>
  <c r="T17" i="93"/>
  <c r="R17" i="93"/>
  <c r="Q17" i="93"/>
  <c r="P17" i="93"/>
  <c r="O17" i="93"/>
  <c r="N17" i="93"/>
  <c r="L17" i="93"/>
  <c r="K17" i="93"/>
  <c r="J17" i="93"/>
  <c r="I17" i="93"/>
  <c r="H17" i="93"/>
  <c r="F17" i="93"/>
  <c r="E17" i="93"/>
  <c r="D17" i="93"/>
  <c r="C17" i="93"/>
  <c r="B17" i="93"/>
  <c r="BH16" i="93"/>
  <c r="BG16" i="93"/>
  <c r="BF16" i="93"/>
  <c r="BE16" i="93"/>
  <c r="BD16" i="93"/>
  <c r="BB16" i="93"/>
  <c r="BA16" i="93"/>
  <c r="AZ16" i="93"/>
  <c r="AY16" i="93"/>
  <c r="AX16" i="93"/>
  <c r="AV16" i="93"/>
  <c r="AU16" i="93"/>
  <c r="AT16" i="93"/>
  <c r="AS16" i="93"/>
  <c r="AR16" i="93"/>
  <c r="AQ16" i="93"/>
  <c r="AQ64" i="93" s="1"/>
  <c r="AP16" i="93"/>
  <c r="AO16" i="93"/>
  <c r="AN16" i="93"/>
  <c r="AM16" i="93"/>
  <c r="AL16" i="93"/>
  <c r="AJ16" i="93"/>
  <c r="AI16" i="93"/>
  <c r="AH16" i="93"/>
  <c r="AG16" i="93"/>
  <c r="AF16" i="93"/>
  <c r="AD16" i="93"/>
  <c r="AC16" i="93"/>
  <c r="AB16" i="93"/>
  <c r="AA16" i="93"/>
  <c r="Z16" i="93"/>
  <c r="Y16" i="93"/>
  <c r="Y64" i="93" s="1"/>
  <c r="X16" i="93"/>
  <c r="W16" i="93"/>
  <c r="V16" i="93"/>
  <c r="U16" i="93"/>
  <c r="T16" i="93"/>
  <c r="R16" i="93"/>
  <c r="Q16" i="93"/>
  <c r="P16" i="93"/>
  <c r="O16" i="93"/>
  <c r="N16" i="93"/>
  <c r="L16" i="93"/>
  <c r="K16" i="93"/>
  <c r="J16" i="93"/>
  <c r="I16" i="93"/>
  <c r="H16" i="93"/>
  <c r="F16" i="93"/>
  <c r="E16" i="93"/>
  <c r="D16" i="93"/>
  <c r="C16" i="93"/>
  <c r="B16" i="93"/>
  <c r="A44" i="93"/>
  <c r="A92" i="93" s="1"/>
  <c r="BH15" i="93"/>
  <c r="BG15" i="93"/>
  <c r="BF15" i="93"/>
  <c r="BE15" i="93"/>
  <c r="BD15" i="93"/>
  <c r="BB15" i="93"/>
  <c r="BA15" i="93"/>
  <c r="AZ15" i="93"/>
  <c r="AY15" i="93"/>
  <c r="AX15" i="93"/>
  <c r="AV15" i="93"/>
  <c r="AU15" i="93"/>
  <c r="AT15" i="93"/>
  <c r="AS15" i="93"/>
  <c r="AR15" i="93"/>
  <c r="AQ15" i="93"/>
  <c r="AQ63" i="93" s="1"/>
  <c r="AP15" i="93"/>
  <c r="AO15" i="93"/>
  <c r="AN15" i="93"/>
  <c r="AM15" i="93"/>
  <c r="AL15" i="93"/>
  <c r="AJ15" i="93"/>
  <c r="AI15" i="93"/>
  <c r="AH15" i="93"/>
  <c r="AG15" i="93"/>
  <c r="AF15" i="93"/>
  <c r="AD15" i="93"/>
  <c r="AC15" i="93"/>
  <c r="AB15" i="93"/>
  <c r="AA15" i="93"/>
  <c r="Z15" i="93"/>
  <c r="Y15" i="93"/>
  <c r="Y63" i="93" s="1"/>
  <c r="X15" i="93"/>
  <c r="W15" i="93"/>
  <c r="V15" i="93"/>
  <c r="U15" i="93"/>
  <c r="T15" i="93"/>
  <c r="R15" i="93"/>
  <c r="Q15" i="93"/>
  <c r="P15" i="93"/>
  <c r="O15" i="93"/>
  <c r="N15" i="93"/>
  <c r="L15" i="93"/>
  <c r="K15" i="93"/>
  <c r="J15" i="93"/>
  <c r="I15" i="93"/>
  <c r="H15" i="93"/>
  <c r="F15" i="93"/>
  <c r="E15" i="93"/>
  <c r="D15" i="93"/>
  <c r="C15" i="93"/>
  <c r="B15" i="93"/>
  <c r="BH14" i="93"/>
  <c r="BG14" i="93"/>
  <c r="BF14" i="93"/>
  <c r="BE14" i="93"/>
  <c r="BD14" i="93"/>
  <c r="BB14" i="93"/>
  <c r="BA14" i="93"/>
  <c r="AZ14" i="93"/>
  <c r="AY14" i="93"/>
  <c r="AX14" i="93"/>
  <c r="AV14" i="93"/>
  <c r="AU14" i="93"/>
  <c r="AT14" i="93"/>
  <c r="AS14" i="93"/>
  <c r="AR14" i="93"/>
  <c r="AP14" i="93"/>
  <c r="AO14" i="93"/>
  <c r="AN14" i="93"/>
  <c r="AM14" i="93"/>
  <c r="AL14" i="93"/>
  <c r="AJ14" i="93"/>
  <c r="AI14" i="93"/>
  <c r="AH14" i="93"/>
  <c r="AG14" i="93"/>
  <c r="AF14" i="93"/>
  <c r="AD14" i="93"/>
  <c r="AC14" i="93"/>
  <c r="AB14" i="93"/>
  <c r="AA14" i="93"/>
  <c r="Z14" i="93"/>
  <c r="X14" i="93"/>
  <c r="W14" i="93"/>
  <c r="V14" i="93"/>
  <c r="U14" i="93"/>
  <c r="T14" i="93"/>
  <c r="R14" i="93"/>
  <c r="Q14" i="93"/>
  <c r="P14" i="93"/>
  <c r="O14" i="93"/>
  <c r="N14" i="93"/>
  <c r="L14" i="93"/>
  <c r="K14" i="93"/>
  <c r="J14" i="93"/>
  <c r="I14" i="93"/>
  <c r="H14" i="93"/>
  <c r="F14" i="93"/>
  <c r="E14" i="93"/>
  <c r="D14" i="93"/>
  <c r="C14" i="93"/>
  <c r="B14" i="93"/>
  <c r="A62" i="93"/>
  <c r="BH13" i="93"/>
  <c r="BG13" i="93"/>
  <c r="BF13" i="93"/>
  <c r="BE13" i="93"/>
  <c r="BD13" i="93"/>
  <c r="BB13" i="93"/>
  <c r="BA13" i="93"/>
  <c r="AZ13" i="93"/>
  <c r="AY13" i="93"/>
  <c r="AX13" i="93"/>
  <c r="AV13" i="93"/>
  <c r="AU13" i="93"/>
  <c r="AT13" i="93"/>
  <c r="AS13" i="93"/>
  <c r="AR13" i="93"/>
  <c r="AP13" i="93"/>
  <c r="AO13" i="93"/>
  <c r="AN13" i="93"/>
  <c r="AM13" i="93"/>
  <c r="AL13" i="93"/>
  <c r="AJ13" i="93"/>
  <c r="AI13" i="93"/>
  <c r="AH13" i="93"/>
  <c r="AG13" i="93"/>
  <c r="AF13" i="93"/>
  <c r="AD13" i="93"/>
  <c r="AC13" i="93"/>
  <c r="AB13" i="93"/>
  <c r="AA13" i="93"/>
  <c r="Z13" i="93"/>
  <c r="X13" i="93"/>
  <c r="W13" i="93"/>
  <c r="V13" i="93"/>
  <c r="U13" i="93"/>
  <c r="T13" i="93"/>
  <c r="R13" i="93"/>
  <c r="Q13" i="93"/>
  <c r="P13" i="93"/>
  <c r="O13" i="93"/>
  <c r="N13" i="93"/>
  <c r="L13" i="93"/>
  <c r="K13" i="93"/>
  <c r="J13" i="93"/>
  <c r="I13" i="93"/>
  <c r="H13" i="93"/>
  <c r="F13" i="93"/>
  <c r="E13" i="93"/>
  <c r="D13" i="93"/>
  <c r="C13" i="93"/>
  <c r="B13" i="93"/>
  <c r="BH12" i="93"/>
  <c r="BG12" i="93"/>
  <c r="BF12" i="93"/>
  <c r="BE12" i="93"/>
  <c r="BD12" i="93"/>
  <c r="BB12" i="93"/>
  <c r="BA12" i="93"/>
  <c r="AZ12" i="93"/>
  <c r="AY12" i="93"/>
  <c r="AX12" i="93"/>
  <c r="AV12" i="93"/>
  <c r="AU12" i="93"/>
  <c r="AT12" i="93"/>
  <c r="AS12" i="93"/>
  <c r="AR12" i="93"/>
  <c r="AQ12" i="93"/>
  <c r="AQ60" i="93" s="1"/>
  <c r="AP12" i="93"/>
  <c r="AO12" i="93"/>
  <c r="AN12" i="93"/>
  <c r="AM12" i="93"/>
  <c r="AL12" i="93"/>
  <c r="AJ12" i="93"/>
  <c r="AI12" i="93"/>
  <c r="AH12" i="93"/>
  <c r="AG12" i="93"/>
  <c r="AF12" i="93"/>
  <c r="AD12" i="93"/>
  <c r="AC12" i="93"/>
  <c r="AB12" i="93"/>
  <c r="AA12" i="93"/>
  <c r="Z12" i="93"/>
  <c r="Y12" i="93"/>
  <c r="Y60" i="93" s="1"/>
  <c r="X12" i="93"/>
  <c r="W12" i="93"/>
  <c r="V12" i="93"/>
  <c r="U12" i="93"/>
  <c r="T12" i="93"/>
  <c r="R12" i="93"/>
  <c r="Q12" i="93"/>
  <c r="P12" i="93"/>
  <c r="O12" i="93"/>
  <c r="N12" i="93"/>
  <c r="L12" i="93"/>
  <c r="K12" i="93"/>
  <c r="J12" i="93"/>
  <c r="I12" i="93"/>
  <c r="H12" i="93"/>
  <c r="F12" i="93"/>
  <c r="E12" i="93"/>
  <c r="D12" i="93"/>
  <c r="C12" i="93"/>
  <c r="B12" i="93"/>
  <c r="BH11" i="93"/>
  <c r="BG11" i="93"/>
  <c r="BF11" i="93"/>
  <c r="BE11" i="93"/>
  <c r="BD11" i="93"/>
  <c r="BB11" i="93"/>
  <c r="BA11" i="93"/>
  <c r="AZ11" i="93"/>
  <c r="AY11" i="93"/>
  <c r="AX11" i="93"/>
  <c r="AV11" i="93"/>
  <c r="AU11" i="93"/>
  <c r="AT11" i="93"/>
  <c r="AS11" i="93"/>
  <c r="AR11" i="93"/>
  <c r="AP11" i="93"/>
  <c r="AO11" i="93"/>
  <c r="AN11" i="93"/>
  <c r="AM11" i="93"/>
  <c r="AL11" i="93"/>
  <c r="AJ11" i="93"/>
  <c r="AI11" i="93"/>
  <c r="AH11" i="93"/>
  <c r="AG11" i="93"/>
  <c r="AF11" i="93"/>
  <c r="AD11" i="93"/>
  <c r="AC11" i="93"/>
  <c r="AB11" i="93"/>
  <c r="AA11" i="93"/>
  <c r="Z11" i="93"/>
  <c r="X11" i="93"/>
  <c r="W11" i="93"/>
  <c r="V11" i="93"/>
  <c r="U11" i="93"/>
  <c r="T11" i="93"/>
  <c r="R11" i="93"/>
  <c r="Q11" i="93"/>
  <c r="P11" i="93"/>
  <c r="O11" i="93"/>
  <c r="N11" i="93"/>
  <c r="L11" i="93"/>
  <c r="K11" i="93"/>
  <c r="J11" i="93"/>
  <c r="I11" i="93"/>
  <c r="H11" i="93"/>
  <c r="F11" i="93"/>
  <c r="E11" i="93"/>
  <c r="D11" i="93"/>
  <c r="C11" i="93"/>
  <c r="B11" i="93"/>
  <c r="AQ11" i="93"/>
  <c r="AQ59" i="93" s="1"/>
  <c r="BH10" i="93"/>
  <c r="BG10" i="93"/>
  <c r="BF10" i="93"/>
  <c r="BE10" i="93"/>
  <c r="BD10" i="93"/>
  <c r="BB10" i="93"/>
  <c r="BA10" i="93"/>
  <c r="AZ10" i="93"/>
  <c r="AY10" i="93"/>
  <c r="AX10" i="93"/>
  <c r="AV10" i="93"/>
  <c r="AU10" i="93"/>
  <c r="AT10" i="93"/>
  <c r="AS10" i="93"/>
  <c r="AR10" i="93"/>
  <c r="AQ10" i="93"/>
  <c r="AQ58" i="93" s="1"/>
  <c r="AP10" i="93"/>
  <c r="AO10" i="93"/>
  <c r="AN10" i="93"/>
  <c r="AM10" i="93"/>
  <c r="AL10" i="93"/>
  <c r="AJ10" i="93"/>
  <c r="AI10" i="93"/>
  <c r="AH10" i="93"/>
  <c r="AG10" i="93"/>
  <c r="AF10" i="93"/>
  <c r="AD10" i="93"/>
  <c r="AC10" i="93"/>
  <c r="AB10" i="93"/>
  <c r="AA10" i="93"/>
  <c r="Z10" i="93"/>
  <c r="Y10" i="93"/>
  <c r="Y58" i="93" s="1"/>
  <c r="X10" i="93"/>
  <c r="W10" i="93"/>
  <c r="V10" i="93"/>
  <c r="U10" i="93"/>
  <c r="T10" i="93"/>
  <c r="R10" i="93"/>
  <c r="Q10" i="93"/>
  <c r="P10" i="93"/>
  <c r="O10" i="93"/>
  <c r="N10" i="93"/>
  <c r="L10" i="93"/>
  <c r="K10" i="93"/>
  <c r="J10" i="93"/>
  <c r="I10" i="93"/>
  <c r="H10" i="93"/>
  <c r="F10" i="93"/>
  <c r="E10" i="93"/>
  <c r="D10" i="93"/>
  <c r="C10" i="93"/>
  <c r="B10" i="93"/>
  <c r="BH9" i="93"/>
  <c r="BG9" i="93"/>
  <c r="BF9" i="93"/>
  <c r="BE9" i="93"/>
  <c r="BD9" i="93"/>
  <c r="BB9" i="93"/>
  <c r="BA9" i="93"/>
  <c r="AZ9" i="93"/>
  <c r="AY9" i="93"/>
  <c r="AX9" i="93"/>
  <c r="AV9" i="93"/>
  <c r="AU9" i="93"/>
  <c r="AT9" i="93"/>
  <c r="AS9" i="93"/>
  <c r="AR9" i="93"/>
  <c r="AP9" i="93"/>
  <c r="AO9" i="93"/>
  <c r="AN9" i="93"/>
  <c r="AM9" i="93"/>
  <c r="AL9" i="93"/>
  <c r="AJ9" i="93"/>
  <c r="AI9" i="93"/>
  <c r="AH9" i="93"/>
  <c r="AG9" i="93"/>
  <c r="AF9" i="93"/>
  <c r="AD9" i="93"/>
  <c r="AC9" i="93"/>
  <c r="AB9" i="93"/>
  <c r="AA9" i="93"/>
  <c r="Z9" i="93"/>
  <c r="X9" i="93"/>
  <c r="W9" i="93"/>
  <c r="V9" i="93"/>
  <c r="U9" i="93"/>
  <c r="T9" i="93"/>
  <c r="R9" i="93"/>
  <c r="Q9" i="93"/>
  <c r="P9" i="93"/>
  <c r="O9" i="93"/>
  <c r="N9" i="93"/>
  <c r="L9" i="93"/>
  <c r="K9" i="93"/>
  <c r="J9" i="93"/>
  <c r="I9" i="93"/>
  <c r="H9" i="93"/>
  <c r="F9" i="93"/>
  <c r="E9" i="93"/>
  <c r="D9" i="93"/>
  <c r="C9" i="93"/>
  <c r="B9" i="93"/>
  <c r="BH8" i="93"/>
  <c r="BG8" i="93"/>
  <c r="BF8" i="93"/>
  <c r="BE8" i="93"/>
  <c r="BD8" i="93"/>
  <c r="BB8" i="93"/>
  <c r="BA8" i="93"/>
  <c r="AZ8" i="93"/>
  <c r="AY8" i="93"/>
  <c r="AX8" i="93"/>
  <c r="AV8" i="93"/>
  <c r="AU8" i="93"/>
  <c r="AT8" i="93"/>
  <c r="AS8" i="93"/>
  <c r="AR8" i="93"/>
  <c r="AQ8" i="93"/>
  <c r="AQ56" i="93" s="1"/>
  <c r="AP8" i="93"/>
  <c r="AO8" i="93"/>
  <c r="AN8" i="93"/>
  <c r="AM8" i="93"/>
  <c r="AL8" i="93"/>
  <c r="AJ8" i="93"/>
  <c r="AI8" i="93"/>
  <c r="AH8" i="93"/>
  <c r="AG8" i="93"/>
  <c r="AF8" i="93"/>
  <c r="AD8" i="93"/>
  <c r="AC8" i="93"/>
  <c r="AB8" i="93"/>
  <c r="AA8" i="93"/>
  <c r="Z8" i="93"/>
  <c r="Y8" i="93"/>
  <c r="Y56" i="93" s="1"/>
  <c r="X8" i="93"/>
  <c r="W8" i="93"/>
  <c r="V8" i="93"/>
  <c r="U8" i="93"/>
  <c r="T8" i="93"/>
  <c r="R8" i="93"/>
  <c r="Q8" i="93"/>
  <c r="P8" i="93"/>
  <c r="O8" i="93"/>
  <c r="N8" i="93"/>
  <c r="L8" i="93"/>
  <c r="K8" i="93"/>
  <c r="J8" i="93"/>
  <c r="I8" i="93"/>
  <c r="H8" i="93"/>
  <c r="F8" i="93"/>
  <c r="E8" i="93"/>
  <c r="D8" i="93"/>
  <c r="C8" i="93"/>
  <c r="B8" i="93"/>
  <c r="AQ7" i="93"/>
  <c r="AQ55" i="93" s="1"/>
  <c r="Y7" i="93"/>
  <c r="Y55" i="93" s="1"/>
  <c r="BH5" i="93"/>
  <c r="BG5" i="93"/>
  <c r="BF5" i="93"/>
  <c r="BE5" i="93"/>
  <c r="BD5" i="93"/>
  <c r="BB5" i="93"/>
  <c r="BA5" i="93"/>
  <c r="AZ5" i="93"/>
  <c r="AY5" i="93"/>
  <c r="AX5" i="93"/>
  <c r="AP5" i="93"/>
  <c r="AO5" i="93"/>
  <c r="AN5" i="93"/>
  <c r="AM5" i="93"/>
  <c r="AL5" i="93"/>
  <c r="AJ5" i="93"/>
  <c r="AI5" i="93"/>
  <c r="AH5" i="93"/>
  <c r="AG5" i="93"/>
  <c r="AF5" i="93"/>
  <c r="X5" i="93"/>
  <c r="W5" i="93"/>
  <c r="V5" i="93"/>
  <c r="U5" i="93"/>
  <c r="T5" i="93"/>
  <c r="R5" i="93"/>
  <c r="Q5" i="93"/>
  <c r="P5" i="93"/>
  <c r="O5" i="93"/>
  <c r="N5" i="93"/>
  <c r="L5" i="93"/>
  <c r="K5" i="93"/>
  <c r="J5" i="93"/>
  <c r="I5" i="93"/>
  <c r="H5" i="93"/>
  <c r="AL51" i="93"/>
  <c r="AF51" i="93"/>
  <c r="Z51" i="93"/>
  <c r="T51" i="93"/>
  <c r="D55" i="93" l="1"/>
  <c r="W55" i="93"/>
  <c r="AG55" i="93"/>
  <c r="AZ55" i="93"/>
  <c r="H7" i="93"/>
  <c r="N55" i="93"/>
  <c r="AP55" i="93"/>
  <c r="AU7" i="93"/>
  <c r="AH55" i="93"/>
  <c r="AR55" i="93"/>
  <c r="BA55" i="93"/>
  <c r="AR7" i="93"/>
  <c r="B55" i="93"/>
  <c r="K55" i="93"/>
  <c r="U55" i="93"/>
  <c r="AN55" i="93"/>
  <c r="AX55" i="93"/>
  <c r="BG55" i="93"/>
  <c r="Z7" i="93"/>
  <c r="AS7" i="93"/>
  <c r="BB7" i="93"/>
  <c r="C55" i="93"/>
  <c r="L55" i="93"/>
  <c r="V55" i="93"/>
  <c r="AF55" i="93"/>
  <c r="AO55" i="93"/>
  <c r="AY55" i="93"/>
  <c r="BH55" i="93"/>
  <c r="R55" i="93"/>
  <c r="B7" i="93"/>
  <c r="K7" i="93"/>
  <c r="U7" i="93"/>
  <c r="AC7" i="93"/>
  <c r="AM7" i="93"/>
  <c r="BF55" i="93"/>
  <c r="AZ7" i="93"/>
  <c r="E55" i="93"/>
  <c r="O55" i="93"/>
  <c r="X55" i="93"/>
  <c r="AF7" i="93"/>
  <c r="AT7" i="93"/>
  <c r="BD7" i="93"/>
  <c r="F55" i="93"/>
  <c r="P55" i="93"/>
  <c r="Z55" i="93"/>
  <c r="AI55" i="93"/>
  <c r="AS55" i="93"/>
  <c r="BB55" i="93"/>
  <c r="J55" i="93"/>
  <c r="AV55" i="93"/>
  <c r="J7" i="93"/>
  <c r="T7" i="93"/>
  <c r="AB7" i="93"/>
  <c r="AL7" i="93"/>
  <c r="BE7" i="93"/>
  <c r="Q7" i="93"/>
  <c r="AI7" i="93"/>
  <c r="BA7" i="93"/>
  <c r="P7" i="93"/>
  <c r="H55" i="93"/>
  <c r="Q55" i="93"/>
  <c r="AA55" i="93"/>
  <c r="AJ55" i="93"/>
  <c r="AX7" i="93"/>
  <c r="BG7" i="93"/>
  <c r="AU55" i="93"/>
  <c r="BE55" i="93"/>
  <c r="F7" i="93"/>
  <c r="AH7" i="93"/>
  <c r="D7" i="93"/>
  <c r="AO7" i="93"/>
  <c r="T55" i="93"/>
  <c r="AC55" i="93"/>
  <c r="AM55" i="93"/>
  <c r="AT55" i="93"/>
  <c r="BD55" i="93"/>
  <c r="A80" i="93"/>
  <c r="I55" i="93"/>
  <c r="AB55" i="93"/>
  <c r="AL55" i="93"/>
  <c r="A69" i="93"/>
  <c r="O7" i="93"/>
  <c r="AY7" i="93"/>
  <c r="AQ26" i="93"/>
  <c r="AQ74" i="93" s="1"/>
  <c r="X7" i="93"/>
  <c r="BH7" i="93"/>
  <c r="C7" i="93"/>
  <c r="L7" i="93"/>
  <c r="V7" i="93"/>
  <c r="AD7" i="93"/>
  <c r="AN7" i="93"/>
  <c r="AV7" i="93"/>
  <c r="BF7" i="93"/>
  <c r="A72" i="93"/>
  <c r="E7" i="93"/>
  <c r="AG7" i="93"/>
  <c r="AP7" i="93"/>
  <c r="AD55" i="93"/>
  <c r="AQ29" i="93"/>
  <c r="AQ77" i="93" s="1"/>
  <c r="A54" i="93"/>
  <c r="AQ6" i="93"/>
  <c r="AQ54" i="93" s="1"/>
  <c r="Y6" i="93"/>
  <c r="Y54" i="93" s="1"/>
  <c r="Y37" i="93"/>
  <c r="Y85" i="93" s="1"/>
  <c r="A37" i="93"/>
  <c r="A85" i="93" s="1"/>
  <c r="Y23" i="93"/>
  <c r="Y71" i="93" s="1"/>
  <c r="A23" i="93"/>
  <c r="AQ9" i="93"/>
  <c r="AQ57" i="93" s="1"/>
  <c r="Y9" i="93"/>
  <c r="Y57" i="93" s="1"/>
  <c r="AQ37" i="93"/>
  <c r="AQ85" i="93" s="1"/>
  <c r="A61" i="93"/>
  <c r="A41" i="93"/>
  <c r="A89" i="93" s="1"/>
  <c r="Y27" i="93"/>
  <c r="Y75" i="93" s="1"/>
  <c r="Y41" i="93"/>
  <c r="Y89" i="93" s="1"/>
  <c r="AQ13" i="93"/>
  <c r="AQ61" i="93" s="1"/>
  <c r="Y13" i="93"/>
  <c r="Y61" i="93" s="1"/>
  <c r="A27" i="93"/>
  <c r="Y45" i="93"/>
  <c r="Y93" i="93" s="1"/>
  <c r="A45" i="93"/>
  <c r="A93" i="93" s="1"/>
  <c r="Y31" i="93"/>
  <c r="Y79" i="93" s="1"/>
  <c r="A31" i="93"/>
  <c r="AQ17" i="93"/>
  <c r="AQ65" i="93" s="1"/>
  <c r="Y17" i="93"/>
  <c r="Y65" i="93" s="1"/>
  <c r="AQ45" i="93"/>
  <c r="AQ93" i="93" s="1"/>
  <c r="A65" i="93"/>
  <c r="A56" i="93"/>
  <c r="AQ36" i="93"/>
  <c r="AQ84" i="93" s="1"/>
  <c r="A22" i="93"/>
  <c r="AQ42" i="93"/>
  <c r="AQ90" i="93" s="1"/>
  <c r="Y42" i="93"/>
  <c r="Y90" i="93" s="1"/>
  <c r="AQ14" i="93"/>
  <c r="AQ62" i="93" s="1"/>
  <c r="Y14" i="93"/>
  <c r="Y62" i="93" s="1"/>
  <c r="A42" i="93"/>
  <c r="A90" i="93" s="1"/>
  <c r="Y28" i="93"/>
  <c r="Y76" i="93" s="1"/>
  <c r="A64" i="93"/>
  <c r="AQ44" i="93"/>
  <c r="AQ92" i="93" s="1"/>
  <c r="A30" i="93"/>
  <c r="A28" i="93"/>
  <c r="A82" i="93"/>
  <c r="AQ34" i="93"/>
  <c r="AQ82" i="93" s="1"/>
  <c r="Y36" i="93"/>
  <c r="Y84" i="93" s="1"/>
  <c r="A73" i="93"/>
  <c r="AQ25" i="93"/>
  <c r="AQ73" i="93" s="1"/>
  <c r="Y39" i="93"/>
  <c r="Y87" i="93" s="1"/>
  <c r="A59" i="93"/>
  <c r="AQ39" i="93"/>
  <c r="AQ87" i="93" s="1"/>
  <c r="Y11" i="93"/>
  <c r="Y59" i="93" s="1"/>
  <c r="AQ31" i="93" l="1"/>
  <c r="AQ79" i="93" s="1"/>
  <c r="A79" i="93"/>
  <c r="A76" i="93"/>
  <c r="AQ28" i="93"/>
  <c r="AQ76" i="93" s="1"/>
  <c r="A78" i="93"/>
  <c r="AQ30" i="93"/>
  <c r="AQ78" i="93" s="1"/>
  <c r="A75" i="93"/>
  <c r="AQ27" i="93"/>
  <c r="AQ75" i="93" s="1"/>
  <c r="AQ23" i="93"/>
  <c r="AQ71" i="93" s="1"/>
  <c r="A71" i="93"/>
  <c r="A70" i="93"/>
  <c r="AQ22" i="93"/>
  <c r="AQ70" i="93" s="1"/>
  <c r="N6" i="78" l="1"/>
  <c r="O6" i="78"/>
  <c r="N107" i="78" s="1"/>
  <c r="P6" i="78"/>
  <c r="Q6" i="78"/>
  <c r="M6" i="78"/>
  <c r="L1" i="78" s="1"/>
  <c r="P107" i="78" l="1"/>
  <c r="Q107" i="78"/>
  <c r="AA6" i="78"/>
  <c r="O107" i="78"/>
  <c r="M107" i="78"/>
  <c r="Q117" i="78"/>
  <c r="AB6" i="78"/>
  <c r="Q103" i="78"/>
  <c r="Q95" i="78"/>
  <c r="Q87" i="78"/>
  <c r="Q102" i="78"/>
  <c r="Q94" i="78"/>
  <c r="Q86" i="78"/>
  <c r="Q99" i="78"/>
  <c r="Q91" i="78"/>
  <c r="Q83" i="78"/>
  <c r="Q105" i="78"/>
  <c r="Q92" i="78"/>
  <c r="Q104" i="78"/>
  <c r="Q90" i="78"/>
  <c r="Q101" i="78"/>
  <c r="Q89" i="78"/>
  <c r="Q98" i="78"/>
  <c r="Q85" i="78"/>
  <c r="Q97" i="78"/>
  <c r="Q84" i="78"/>
  <c r="Q106" i="78"/>
  <c r="Q93" i="78"/>
  <c r="Q100" i="78"/>
  <c r="Q96" i="78"/>
  <c r="Q88" i="78"/>
  <c r="Q82" i="78"/>
  <c r="Z6" i="78"/>
  <c r="N104" i="78"/>
  <c r="N96" i="78"/>
  <c r="N88" i="78"/>
  <c r="N103" i="78"/>
  <c r="N95" i="78"/>
  <c r="N87" i="78"/>
  <c r="N100" i="78"/>
  <c r="N92" i="78"/>
  <c r="N84" i="78"/>
  <c r="N94" i="78"/>
  <c r="N82" i="78"/>
  <c r="N91" i="78"/>
  <c r="N106" i="78"/>
  <c r="N93" i="78"/>
  <c r="N105" i="78"/>
  <c r="N101" i="78"/>
  <c r="N89" i="78"/>
  <c r="N99" i="78"/>
  <c r="N86" i="78"/>
  <c r="N102" i="78"/>
  <c r="N97" i="78"/>
  <c r="N98" i="78"/>
  <c r="N90" i="78"/>
  <c r="N85" i="78"/>
  <c r="N83" i="78"/>
  <c r="Y6" i="78"/>
  <c r="N80" i="78"/>
  <c r="N117" i="78"/>
  <c r="Q80" i="78"/>
  <c r="X6" i="78"/>
  <c r="W1" i="78" s="1"/>
  <c r="Y107" i="78" l="1"/>
  <c r="AL6" i="78"/>
  <c r="Z107" i="78"/>
  <c r="AJ6" i="78"/>
  <c r="X107" i="78"/>
  <c r="AM6" i="78"/>
  <c r="AL105" i="78" s="1"/>
  <c r="AA107" i="78"/>
  <c r="AB107" i="78"/>
  <c r="AI6" i="78"/>
  <c r="AK6" i="78"/>
  <c r="AB117" i="78"/>
  <c r="Y80" i="78"/>
  <c r="AB80" i="78"/>
  <c r="Y117" i="78"/>
  <c r="Y101" i="78"/>
  <c r="Y93" i="78"/>
  <c r="Y85" i="78"/>
  <c r="Y100" i="78"/>
  <c r="Y92" i="78"/>
  <c r="Y84" i="78"/>
  <c r="Y105" i="78"/>
  <c r="Y97" i="78"/>
  <c r="Y89" i="78"/>
  <c r="Y103" i="78"/>
  <c r="Y90" i="78"/>
  <c r="Y102" i="78"/>
  <c r="Y88" i="78"/>
  <c r="Y99" i="78"/>
  <c r="Y87" i="78"/>
  <c r="Y96" i="78"/>
  <c r="Y83" i="78"/>
  <c r="Y95" i="78"/>
  <c r="Y82" i="78"/>
  <c r="Y94" i="78"/>
  <c r="Y86" i="78"/>
  <c r="Y91" i="78"/>
  <c r="Y104" i="78"/>
  <c r="Y106" i="78"/>
  <c r="Y98" i="78"/>
  <c r="AB101" i="78"/>
  <c r="AB93" i="78"/>
  <c r="AB85" i="78"/>
  <c r="AB83" i="78"/>
  <c r="AB100" i="78"/>
  <c r="AB92" i="78"/>
  <c r="AB84" i="78"/>
  <c r="AB105" i="78"/>
  <c r="AB97" i="78"/>
  <c r="AB89" i="78"/>
  <c r="AB102" i="78"/>
  <c r="AB88" i="78"/>
  <c r="AB99" i="78"/>
  <c r="AB87" i="78"/>
  <c r="AB98" i="78"/>
  <c r="AB86" i="78"/>
  <c r="AB95" i="78"/>
  <c r="AB106" i="78"/>
  <c r="AB94" i="78"/>
  <c r="AB96" i="78"/>
  <c r="AB91" i="78"/>
  <c r="AB90" i="78"/>
  <c r="AB82" i="78"/>
  <c r="AB103" i="78"/>
  <c r="AB104" i="78"/>
  <c r="M8" i="79"/>
  <c r="H35" i="78"/>
  <c r="B46" i="78"/>
  <c r="AL86" i="78" l="1"/>
  <c r="AI101" i="78"/>
  <c r="AI87" i="78"/>
  <c r="AI82" i="78"/>
  <c r="AI86" i="78"/>
  <c r="AM109" i="78"/>
  <c r="AM105" i="78"/>
  <c r="AM90" i="78"/>
  <c r="AI99" i="78"/>
  <c r="AI105" i="78"/>
  <c r="AI92" i="78"/>
  <c r="AM86" i="78"/>
  <c r="AI94" i="78"/>
  <c r="AM95" i="78"/>
  <c r="AM80" i="78"/>
  <c r="AI117" i="78"/>
  <c r="AM99" i="78"/>
  <c r="AI88" i="78"/>
  <c r="AM98" i="78"/>
  <c r="AI91" i="78"/>
  <c r="AJ43" i="78"/>
  <c r="AI109" i="78"/>
  <c r="AI89" i="78"/>
  <c r="AI90" i="78"/>
  <c r="AT6" i="78"/>
  <c r="AM94" i="78"/>
  <c r="AI100" i="78"/>
  <c r="AI97" i="78"/>
  <c r="AM103" i="78"/>
  <c r="AI43" i="78"/>
  <c r="AM88" i="78"/>
  <c r="AI93" i="78"/>
  <c r="AM82" i="78"/>
  <c r="AU6" i="78"/>
  <c r="AT107" i="78" s="1"/>
  <c r="AI83" i="78"/>
  <c r="AM85" i="78"/>
  <c r="AI84" i="78"/>
  <c r="AI80" i="78"/>
  <c r="AI104" i="78"/>
  <c r="AM97" i="78"/>
  <c r="AI102" i="78"/>
  <c r="AI96" i="78"/>
  <c r="AM93" i="78"/>
  <c r="AM104" i="78"/>
  <c r="AM89" i="78"/>
  <c r="AI107" i="78"/>
  <c r="AI95" i="78"/>
  <c r="AI85" i="78"/>
  <c r="AM91" i="78"/>
  <c r="AM87" i="78"/>
  <c r="AM43" i="78"/>
  <c r="AI106" i="78"/>
  <c r="AI103" i="78"/>
  <c r="AM106" i="78"/>
  <c r="AM101" i="78"/>
  <c r="AX6" i="78"/>
  <c r="AI98" i="78"/>
  <c r="AM102" i="78"/>
  <c r="AM96" i="78"/>
  <c r="AL94" i="78"/>
  <c r="AM83" i="78"/>
  <c r="AM84" i="78"/>
  <c r="AL103" i="78"/>
  <c r="AL106" i="78"/>
  <c r="AM92" i="78"/>
  <c r="AL93" i="78"/>
  <c r="AL80" i="78"/>
  <c r="AL96" i="78"/>
  <c r="AL100" i="78"/>
  <c r="AL99" i="78"/>
  <c r="AM100" i="78"/>
  <c r="AL84" i="78"/>
  <c r="AL102" i="78"/>
  <c r="AL98" i="78"/>
  <c r="AL91" i="78"/>
  <c r="AL90" i="78"/>
  <c r="AL109" i="78"/>
  <c r="AL87" i="78"/>
  <c r="AL97" i="78"/>
  <c r="AL101" i="78"/>
  <c r="AL117" i="78"/>
  <c r="AL95" i="78"/>
  <c r="AL82" i="78"/>
  <c r="AL85" i="78"/>
  <c r="AL89" i="78"/>
  <c r="AL104" i="78"/>
  <c r="AL92" i="78"/>
  <c r="AL107" i="78"/>
  <c r="AM107" i="78"/>
  <c r="AM117" i="78"/>
  <c r="AJ107" i="78"/>
  <c r="AL83" i="78"/>
  <c r="AL88" i="78"/>
  <c r="AK107" i="78"/>
  <c r="AL43" i="78"/>
  <c r="AW6" i="78"/>
  <c r="AW117" i="78" s="1"/>
  <c r="AH1" i="78"/>
  <c r="AH38" i="78" s="1"/>
  <c r="AK93" i="78"/>
  <c r="AK87" i="78"/>
  <c r="AJ106" i="78"/>
  <c r="AJ102" i="78"/>
  <c r="AJ93" i="78"/>
  <c r="AJ103" i="78"/>
  <c r="AK43" i="78"/>
  <c r="AK102" i="78"/>
  <c r="AJ99" i="78"/>
  <c r="AJ86" i="78"/>
  <c r="AK85" i="78"/>
  <c r="AK117" i="78"/>
  <c r="AJ109" i="78"/>
  <c r="AK96" i="78"/>
  <c r="AK88" i="78"/>
  <c r="AJ100" i="78"/>
  <c r="AJ89" i="78"/>
  <c r="AJ87" i="78"/>
  <c r="AK94" i="78"/>
  <c r="AK105" i="78"/>
  <c r="AJ83" i="78"/>
  <c r="AK92" i="78"/>
  <c r="AJ117" i="78"/>
  <c r="AK91" i="78"/>
  <c r="AV6" i="78"/>
  <c r="AJ98" i="78"/>
  <c r="AK89" i="78"/>
  <c r="AJ96" i="78"/>
  <c r="AJ97" i="78"/>
  <c r="AK80" i="78"/>
  <c r="AK97" i="78"/>
  <c r="F146" i="78"/>
  <c r="Q146" i="78"/>
  <c r="S35" i="78"/>
  <c r="S72" i="78" s="1"/>
  <c r="S109" i="78" s="1"/>
  <c r="AJ101" i="78"/>
  <c r="AJ88" i="78"/>
  <c r="AJ105" i="78"/>
  <c r="AJ94" i="78"/>
  <c r="AJ90" i="78"/>
  <c r="AK103" i="78"/>
  <c r="AK106" i="78"/>
  <c r="AK100" i="78"/>
  <c r="AK99" i="78"/>
  <c r="H72" i="78"/>
  <c r="H109" i="78" s="1"/>
  <c r="I109" i="78"/>
  <c r="AE109" i="78"/>
  <c r="AE72" i="78"/>
  <c r="AD35" i="78"/>
  <c r="AF35" i="78" s="1"/>
  <c r="AF72" i="78" s="1"/>
  <c r="AF109" i="78" s="1"/>
  <c r="AB146" i="78"/>
  <c r="AJ84" i="78"/>
  <c r="AK98" i="78"/>
  <c r="AK104" i="78"/>
  <c r="AK101" i="78"/>
  <c r="AK95" i="78"/>
  <c r="AJ80" i="78"/>
  <c r="AJ91" i="78"/>
  <c r="AJ85" i="78"/>
  <c r="AK82" i="78"/>
  <c r="AK109" i="78"/>
  <c r="AK86" i="78"/>
  <c r="AJ104" i="78"/>
  <c r="AJ92" i="78"/>
  <c r="AJ82" i="78"/>
  <c r="AJ95" i="78"/>
  <c r="AK90" i="78"/>
  <c r="AK84" i="78"/>
  <c r="AK83" i="78"/>
  <c r="AW103" i="78"/>
  <c r="BF6" i="78"/>
  <c r="AU43" i="78"/>
  <c r="AX106" i="78"/>
  <c r="AX101" i="78"/>
  <c r="BE6" i="78"/>
  <c r="AT43" i="78"/>
  <c r="AT100" i="78"/>
  <c r="AT90" i="78"/>
  <c r="AT84" i="78"/>
  <c r="AT101" i="78"/>
  <c r="AT109" i="78"/>
  <c r="AT104" i="78"/>
  <c r="AT93" i="78"/>
  <c r="AT82" i="78"/>
  <c r="AT102" i="78"/>
  <c r="AT91" i="78"/>
  <c r="AT97" i="78"/>
  <c r="AT83" i="78"/>
  <c r="AT92" i="78"/>
  <c r="AT94" i="78"/>
  <c r="AT99" i="78"/>
  <c r="AT96" i="78"/>
  <c r="AT88" i="78"/>
  <c r="AT85" i="78"/>
  <c r="AT103" i="78"/>
  <c r="AT95" i="78"/>
  <c r="AT106" i="78"/>
  <c r="AT87" i="78"/>
  <c r="AT105" i="78"/>
  <c r="AT117" i="78"/>
  <c r="AT98" i="78"/>
  <c r="AT86" i="78"/>
  <c r="AT89" i="78"/>
  <c r="AT80" i="78"/>
  <c r="C146" i="78"/>
  <c r="AB109" i="78"/>
  <c r="F109" i="78"/>
  <c r="C109" i="78"/>
  <c r="Y146" i="78"/>
  <c r="N109" i="78"/>
  <c r="Q109" i="78"/>
  <c r="Y109" i="78"/>
  <c r="N146" i="78"/>
  <c r="P17" i="52"/>
  <c r="O17" i="52"/>
  <c r="N17" i="52"/>
  <c r="P16" i="52"/>
  <c r="O16" i="52"/>
  <c r="N16" i="52"/>
  <c r="P15" i="52"/>
  <c r="O15" i="52"/>
  <c r="N15" i="52"/>
  <c r="P14" i="52"/>
  <c r="O14" i="52"/>
  <c r="N14" i="52"/>
  <c r="P13" i="52"/>
  <c r="O13" i="52"/>
  <c r="N13" i="52"/>
  <c r="P12" i="52"/>
  <c r="O12" i="52"/>
  <c r="N12" i="52"/>
  <c r="P11" i="52"/>
  <c r="O11" i="52"/>
  <c r="N11" i="52"/>
  <c r="P10" i="52"/>
  <c r="O10" i="52"/>
  <c r="N10" i="52"/>
  <c r="P9" i="52"/>
  <c r="O9" i="52"/>
  <c r="N9" i="52"/>
  <c r="L17" i="52"/>
  <c r="K17" i="52"/>
  <c r="J17" i="52"/>
  <c r="L16" i="52"/>
  <c r="K16" i="52"/>
  <c r="J16" i="52"/>
  <c r="L15" i="52"/>
  <c r="K15" i="52"/>
  <c r="J15" i="52"/>
  <c r="L14" i="52"/>
  <c r="K14" i="52"/>
  <c r="J14" i="52"/>
  <c r="L13" i="52"/>
  <c r="K13" i="52"/>
  <c r="J13" i="52"/>
  <c r="L12" i="52"/>
  <c r="K12" i="52"/>
  <c r="J12" i="52"/>
  <c r="L11" i="52"/>
  <c r="K11" i="52"/>
  <c r="J11" i="52"/>
  <c r="L10" i="52"/>
  <c r="K10" i="52"/>
  <c r="J10" i="52"/>
  <c r="L9" i="52"/>
  <c r="K9" i="52"/>
  <c r="J9" i="52"/>
  <c r="H17" i="52"/>
  <c r="G17" i="52"/>
  <c r="F17" i="52"/>
  <c r="H16" i="52"/>
  <c r="G16" i="52"/>
  <c r="F16" i="52"/>
  <c r="H15" i="52"/>
  <c r="G15" i="52"/>
  <c r="F15" i="52"/>
  <c r="H14" i="52"/>
  <c r="G14" i="52"/>
  <c r="F14" i="52"/>
  <c r="H13" i="52"/>
  <c r="G13" i="52"/>
  <c r="F13" i="52"/>
  <c r="H12" i="52"/>
  <c r="G12" i="52"/>
  <c r="F12" i="52"/>
  <c r="H11" i="52"/>
  <c r="G11" i="52"/>
  <c r="F11" i="52"/>
  <c r="H10" i="52"/>
  <c r="G10" i="52"/>
  <c r="F10" i="52"/>
  <c r="H9" i="52"/>
  <c r="G9" i="52"/>
  <c r="P92" i="52"/>
  <c r="O92" i="52"/>
  <c r="N92" i="52"/>
  <c r="L92" i="52"/>
  <c r="K92" i="52"/>
  <c r="J92" i="52"/>
  <c r="H92" i="52"/>
  <c r="G92" i="52"/>
  <c r="F92" i="52"/>
  <c r="P74" i="52"/>
  <c r="O74" i="52"/>
  <c r="N74" i="52"/>
  <c r="L74" i="52"/>
  <c r="K74" i="52"/>
  <c r="J74" i="52"/>
  <c r="H74" i="52"/>
  <c r="G74" i="52"/>
  <c r="F74" i="52"/>
  <c r="P62" i="52"/>
  <c r="O62" i="52"/>
  <c r="N62" i="52"/>
  <c r="L62" i="52"/>
  <c r="K62" i="52"/>
  <c r="J62" i="52"/>
  <c r="H62" i="52"/>
  <c r="G62" i="52"/>
  <c r="F62" i="52"/>
  <c r="P50" i="52"/>
  <c r="O50" i="52"/>
  <c r="N50" i="52"/>
  <c r="L50" i="52"/>
  <c r="K50" i="52"/>
  <c r="J50" i="52"/>
  <c r="H50" i="52"/>
  <c r="G50" i="52"/>
  <c r="F50" i="52"/>
  <c r="P32" i="52"/>
  <c r="O32" i="52"/>
  <c r="N32" i="52"/>
  <c r="L32" i="52"/>
  <c r="K32" i="52"/>
  <c r="J32" i="52"/>
  <c r="H32" i="52"/>
  <c r="G32" i="52"/>
  <c r="F32" i="52"/>
  <c r="P20" i="52"/>
  <c r="O20" i="52"/>
  <c r="N20" i="52"/>
  <c r="L20" i="52"/>
  <c r="K20" i="52"/>
  <c r="J20" i="52"/>
  <c r="H20" i="52"/>
  <c r="G20" i="52"/>
  <c r="F20" i="52"/>
  <c r="O26" i="76"/>
  <c r="P26" i="76"/>
  <c r="Q26" i="76"/>
  <c r="R26" i="76"/>
  <c r="S26" i="76"/>
  <c r="T26" i="76"/>
  <c r="U26" i="76"/>
  <c r="V26" i="76"/>
  <c r="W26" i="76"/>
  <c r="X26" i="76"/>
  <c r="Y26" i="76"/>
  <c r="Z26" i="76"/>
  <c r="AA26" i="76"/>
  <c r="AB26" i="76"/>
  <c r="AC26" i="76"/>
  <c r="AD26" i="76"/>
  <c r="N26" i="76"/>
  <c r="AB22" i="76"/>
  <c r="AC22" i="76"/>
  <c r="O9" i="76"/>
  <c r="P9" i="76"/>
  <c r="Q9" i="76"/>
  <c r="R9" i="76"/>
  <c r="S9" i="76"/>
  <c r="T9" i="76"/>
  <c r="U9" i="76"/>
  <c r="V9" i="76"/>
  <c r="W9" i="76"/>
  <c r="X9" i="76"/>
  <c r="Y9" i="76"/>
  <c r="Z9" i="76"/>
  <c r="AA9" i="76"/>
  <c r="AB9" i="76"/>
  <c r="AC9" i="76"/>
  <c r="AD9" i="76"/>
  <c r="AS1" i="78" l="1"/>
  <c r="AX86" i="78"/>
  <c r="AX94" i="78"/>
  <c r="AX105" i="78"/>
  <c r="AX103" i="78"/>
  <c r="AX83" i="78"/>
  <c r="AX92" i="78"/>
  <c r="AX99" i="78"/>
  <c r="AX88" i="78"/>
  <c r="AW100" i="78"/>
  <c r="AW89" i="78"/>
  <c r="AX97" i="78"/>
  <c r="AX93" i="78"/>
  <c r="AX104" i="78"/>
  <c r="AX98" i="78"/>
  <c r="AX109" i="78"/>
  <c r="AW105" i="78"/>
  <c r="AX85" i="78"/>
  <c r="AX90" i="78"/>
  <c r="AX82" i="78"/>
  <c r="AX100" i="78"/>
  <c r="AW102" i="78"/>
  <c r="AW104" i="78"/>
  <c r="AX87" i="78"/>
  <c r="AX91" i="78"/>
  <c r="AX84" i="78"/>
  <c r="AX95" i="78"/>
  <c r="AX43" i="78"/>
  <c r="AW92" i="78"/>
  <c r="AW99" i="78"/>
  <c r="AX102" i="78"/>
  <c r="AX89" i="78"/>
  <c r="BI6" i="78"/>
  <c r="BD1" i="78" s="1"/>
  <c r="AW90" i="78"/>
  <c r="AX96" i="78"/>
  <c r="AX80" i="78"/>
  <c r="AW96" i="78"/>
  <c r="AW86" i="78"/>
  <c r="AX107" i="78"/>
  <c r="AW87" i="78"/>
  <c r="AW82" i="78"/>
  <c r="AW98" i="78"/>
  <c r="AW97" i="78"/>
  <c r="AW88" i="78"/>
  <c r="AW84" i="78"/>
  <c r="AW94" i="78"/>
  <c r="AW109" i="78"/>
  <c r="AW93" i="78"/>
  <c r="AW80" i="78"/>
  <c r="AW106" i="78"/>
  <c r="AW101" i="78"/>
  <c r="AW83" i="78"/>
  <c r="AW95" i="78"/>
  <c r="AW85" i="78"/>
  <c r="AH75" i="78"/>
  <c r="AH112" i="78"/>
  <c r="BI107" i="78"/>
  <c r="AV107" i="78"/>
  <c r="BH6" i="78"/>
  <c r="BH92" i="78" s="1"/>
  <c r="AW43" i="78"/>
  <c r="AW107" i="78"/>
  <c r="AW91" i="78"/>
  <c r="BE107" i="78"/>
  <c r="AX117" i="78"/>
  <c r="AU107" i="78"/>
  <c r="U22" i="76"/>
  <c r="U49" i="76" s="1"/>
  <c r="U82" i="76" s="1"/>
  <c r="T22" i="76"/>
  <c r="T49" i="76" s="1"/>
  <c r="V22" i="76"/>
  <c r="S22" i="76"/>
  <c r="AD22" i="76"/>
  <c r="AD49" i="76" s="1"/>
  <c r="AD82" i="76" s="1"/>
  <c r="Q22" i="76"/>
  <c r="Q49" i="76" s="1"/>
  <c r="Z22" i="76"/>
  <c r="N22" i="76"/>
  <c r="O22" i="76"/>
  <c r="O49" i="76" s="1"/>
  <c r="O82" i="76" s="1"/>
  <c r="Y22" i="76"/>
  <c r="Y49" i="76" s="1"/>
  <c r="R22" i="76"/>
  <c r="R49" i="76" s="1"/>
  <c r="AA22" i="76"/>
  <c r="X22" i="76"/>
  <c r="X49" i="76" s="1"/>
  <c r="X82" i="76" s="1"/>
  <c r="P22" i="76"/>
  <c r="W22" i="76"/>
  <c r="W49" i="76" s="1"/>
  <c r="W82" i="76" s="1"/>
  <c r="AV95" i="78"/>
  <c r="AV91" i="78"/>
  <c r="AU104" i="78"/>
  <c r="AU101" i="78"/>
  <c r="AV117" i="78"/>
  <c r="AU88" i="78"/>
  <c r="AU96" i="78"/>
  <c r="BG6" i="78"/>
  <c r="AV96" i="78"/>
  <c r="AU103" i="78"/>
  <c r="AV94" i="78"/>
  <c r="AU105" i="78"/>
  <c r="AV97" i="78"/>
  <c r="AV103" i="78"/>
  <c r="AU87" i="78"/>
  <c r="AU100" i="78"/>
  <c r="AU80" i="78"/>
  <c r="AV90" i="78"/>
  <c r="AV101" i="78"/>
  <c r="AU90" i="78"/>
  <c r="AU92" i="78"/>
  <c r="AU89" i="78"/>
  <c r="AV88" i="78"/>
  <c r="AV80" i="78"/>
  <c r="AU86" i="78"/>
  <c r="AV43" i="78"/>
  <c r="AV105" i="78"/>
  <c r="AV84" i="78"/>
  <c r="AV83" i="78"/>
  <c r="AU98" i="78"/>
  <c r="AU106" i="78"/>
  <c r="AU95" i="78"/>
  <c r="AU85" i="78"/>
  <c r="AV98" i="78"/>
  <c r="AV86" i="78"/>
  <c r="AV92" i="78"/>
  <c r="AV100" i="78"/>
  <c r="AU117" i="78"/>
  <c r="AU91" i="78"/>
  <c r="AU83" i="78"/>
  <c r="AV82" i="78"/>
  <c r="AV109" i="78"/>
  <c r="AV102" i="78"/>
  <c r="AU94" i="78"/>
  <c r="AU97" i="78"/>
  <c r="AU99" i="78"/>
  <c r="AV93" i="78"/>
  <c r="AV85" i="78"/>
  <c r="AV99" i="78"/>
  <c r="AU82" i="78"/>
  <c r="AU102" i="78"/>
  <c r="AU109" i="78"/>
  <c r="AU84" i="78"/>
  <c r="AU93" i="78"/>
  <c r="AV106" i="78"/>
  <c r="AV89" i="78"/>
  <c r="AV87" i="78"/>
  <c r="AV104" i="78"/>
  <c r="AB49" i="76"/>
  <c r="AD72" i="78"/>
  <c r="AD109" i="78" s="1"/>
  <c r="V8" i="79"/>
  <c r="AD35" i="79"/>
  <c r="Z35" i="79"/>
  <c r="AE35" i="79"/>
  <c r="Y35" i="79"/>
  <c r="AF35" i="79"/>
  <c r="AG35" i="79"/>
  <c r="AB35" i="79"/>
  <c r="AC35" i="79"/>
  <c r="AA35" i="79"/>
  <c r="BT6" i="78"/>
  <c r="BI43" i="78"/>
  <c r="BQ6" i="78"/>
  <c r="BI97" i="78"/>
  <c r="BI83" i="78"/>
  <c r="BI103" i="78"/>
  <c r="BI94" i="78"/>
  <c r="BI90" i="78"/>
  <c r="BI92" i="78"/>
  <c r="BI91" i="78"/>
  <c r="BI99" i="78"/>
  <c r="BI93" i="78"/>
  <c r="BI106" i="78"/>
  <c r="BI109" i="78"/>
  <c r="BI100" i="78"/>
  <c r="BF43" i="78"/>
  <c r="BI96" i="78"/>
  <c r="BI89" i="78"/>
  <c r="BI80" i="78"/>
  <c r="BI104" i="78"/>
  <c r="BI95" i="78"/>
  <c r="BI86" i="78"/>
  <c r="BI82" i="78"/>
  <c r="BI87" i="78"/>
  <c r="BI101" i="78"/>
  <c r="BI88" i="78"/>
  <c r="BI102" i="78"/>
  <c r="BI98" i="78"/>
  <c r="BI84" i="78"/>
  <c r="BI85" i="78"/>
  <c r="BI105" i="78"/>
  <c r="BE117" i="78"/>
  <c r="BE85" i="78"/>
  <c r="BE98" i="78"/>
  <c r="BE105" i="78"/>
  <c r="BE103" i="78"/>
  <c r="BE95" i="78"/>
  <c r="BE88" i="78"/>
  <c r="BE87" i="78"/>
  <c r="BE43" i="78"/>
  <c r="BE106" i="78"/>
  <c r="BE90" i="78"/>
  <c r="BE97" i="78"/>
  <c r="BE104" i="78"/>
  <c r="BE101" i="78"/>
  <c r="BE93" i="78"/>
  <c r="BE89" i="78"/>
  <c r="BP6" i="78"/>
  <c r="BE96" i="78"/>
  <c r="BE80" i="78"/>
  <c r="BE82" i="78"/>
  <c r="BE100" i="78"/>
  <c r="BE84" i="78"/>
  <c r="BE109" i="78"/>
  <c r="BE102" i="78"/>
  <c r="BE92" i="78"/>
  <c r="BE99" i="78"/>
  <c r="BE83" i="78"/>
  <c r="BE86" i="78"/>
  <c r="BE94" i="78"/>
  <c r="BE91" i="78"/>
  <c r="AS112" i="78"/>
  <c r="AS75" i="78"/>
  <c r="AS38" i="78"/>
  <c r="AC49" i="76"/>
  <c r="B20" i="52"/>
  <c r="F8" i="52"/>
  <c r="C13" i="52"/>
  <c r="C14" i="52"/>
  <c r="C9" i="52"/>
  <c r="B12" i="52"/>
  <c r="C17" i="52"/>
  <c r="D20" i="52"/>
  <c r="B15" i="52"/>
  <c r="C16" i="52"/>
  <c r="B32" i="52"/>
  <c r="B17" i="52"/>
  <c r="C10" i="52"/>
  <c r="D13" i="52"/>
  <c r="C50" i="52"/>
  <c r="C11" i="52"/>
  <c r="B14" i="52"/>
  <c r="D16" i="52"/>
  <c r="C32" i="52"/>
  <c r="D14" i="52"/>
  <c r="D9" i="52"/>
  <c r="C12" i="52"/>
  <c r="D17" i="52"/>
  <c r="D74" i="52"/>
  <c r="B10" i="52"/>
  <c r="D12" i="52"/>
  <c r="C15" i="52"/>
  <c r="D10" i="52"/>
  <c r="B16" i="52"/>
  <c r="B13" i="52"/>
  <c r="D15" i="52"/>
  <c r="D62" i="52"/>
  <c r="D50" i="52"/>
  <c r="C62" i="52"/>
  <c r="B74" i="52"/>
  <c r="D92" i="52"/>
  <c r="C20" i="52"/>
  <c r="D32" i="52"/>
  <c r="B62" i="52"/>
  <c r="C74" i="52"/>
  <c r="C92" i="52"/>
  <c r="O8" i="52"/>
  <c r="AG11" i="21"/>
  <c r="AG38" i="21" s="1"/>
  <c r="AF11" i="21"/>
  <c r="AF38" i="21" s="1"/>
  <c r="AE11" i="21"/>
  <c r="AE38" i="21" s="1"/>
  <c r="AC11" i="21"/>
  <c r="AC38" i="21" s="1"/>
  <c r="AB11" i="21"/>
  <c r="AB38" i="21" s="1"/>
  <c r="AA11" i="21"/>
  <c r="AA38" i="21" s="1"/>
  <c r="Z11" i="21"/>
  <c r="Z38" i="21" s="1"/>
  <c r="Y11" i="21"/>
  <c r="Y38" i="21" s="1"/>
  <c r="X11" i="21"/>
  <c r="X38" i="21" s="1"/>
  <c r="W11" i="21"/>
  <c r="W38" i="21" s="1"/>
  <c r="V11" i="21"/>
  <c r="V38" i="21" s="1"/>
  <c r="U11" i="21"/>
  <c r="U38" i="21" s="1"/>
  <c r="T11" i="21"/>
  <c r="T38" i="21" s="1"/>
  <c r="S11" i="21"/>
  <c r="S38" i="21" s="1"/>
  <c r="R11" i="21"/>
  <c r="R38" i="21" s="1"/>
  <c r="C180" i="71"/>
  <c r="E180" i="71"/>
  <c r="BH89" i="78" l="1"/>
  <c r="BH99" i="78"/>
  <c r="BH96" i="78"/>
  <c r="BH88" i="78"/>
  <c r="BH93" i="78"/>
  <c r="BH109" i="78"/>
  <c r="BH100" i="78"/>
  <c r="BH97" i="78"/>
  <c r="BH117" i="78"/>
  <c r="BH85" i="78"/>
  <c r="BH104" i="78"/>
  <c r="BH91" i="78"/>
  <c r="BH106" i="78"/>
  <c r="BH105" i="78"/>
  <c r="BH80" i="78"/>
  <c r="BH102" i="78"/>
  <c r="BH90" i="78"/>
  <c r="BH103" i="78"/>
  <c r="BH82" i="78"/>
  <c r="BH94" i="78"/>
  <c r="BH84" i="78"/>
  <c r="BH83" i="78"/>
  <c r="BH95" i="78"/>
  <c r="BH86" i="78"/>
  <c r="BI117" i="78"/>
  <c r="BF107" i="78"/>
  <c r="BT107" i="78"/>
  <c r="BG107" i="78"/>
  <c r="BS6" i="78"/>
  <c r="BH43" i="78"/>
  <c r="BH87" i="78"/>
  <c r="BH107" i="78"/>
  <c r="BP107" i="78"/>
  <c r="BH101" i="78"/>
  <c r="BH98" i="78"/>
  <c r="BO1" i="78"/>
  <c r="AB73" i="76"/>
  <c r="AB82" i="76"/>
  <c r="Q73" i="76"/>
  <c r="Q82" i="76"/>
  <c r="AC69" i="76"/>
  <c r="AC82" i="76"/>
  <c r="T73" i="76"/>
  <c r="T82" i="76"/>
  <c r="R73" i="76"/>
  <c r="R82" i="76"/>
  <c r="Y73" i="76"/>
  <c r="Y82" i="76"/>
  <c r="D180" i="71"/>
  <c r="H180" i="71" s="1"/>
  <c r="M7" i="75" s="1"/>
  <c r="T56" i="76"/>
  <c r="AC73" i="76"/>
  <c r="AB56" i="76"/>
  <c r="AD65" i="76"/>
  <c r="AD70" i="76"/>
  <c r="AD80" i="76"/>
  <c r="AD60" i="76"/>
  <c r="AD75" i="76"/>
  <c r="AD74" i="76"/>
  <c r="AD54" i="76"/>
  <c r="AD59" i="76"/>
  <c r="AD64" i="76"/>
  <c r="AD53" i="76"/>
  <c r="AD58" i="76"/>
  <c r="AD63" i="76"/>
  <c r="AD67" i="76"/>
  <c r="AD77" i="76"/>
  <c r="AD89" i="76"/>
  <c r="AD94" i="76"/>
  <c r="AD57" i="76"/>
  <c r="AD66" i="76"/>
  <c r="AD81" i="76"/>
  <c r="AD85" i="76"/>
  <c r="AD71" i="76"/>
  <c r="AD93" i="76"/>
  <c r="AD86" i="76"/>
  <c r="AD96" i="76"/>
  <c r="AD76" i="76"/>
  <c r="AD90" i="76"/>
  <c r="AD79" i="76"/>
  <c r="AD88" i="76"/>
  <c r="AD84" i="76"/>
  <c r="AD92" i="76"/>
  <c r="AD62" i="76"/>
  <c r="AD52" i="76"/>
  <c r="AB60" i="76"/>
  <c r="AB65" i="76"/>
  <c r="AB70" i="76"/>
  <c r="AB75" i="76"/>
  <c r="AB80" i="76"/>
  <c r="AB86" i="76"/>
  <c r="AB54" i="76"/>
  <c r="AB59" i="76"/>
  <c r="AB64" i="76"/>
  <c r="AB74" i="76"/>
  <c r="AB53" i="76"/>
  <c r="AB58" i="76"/>
  <c r="AB63" i="76"/>
  <c r="AB67" i="76"/>
  <c r="AB77" i="76"/>
  <c r="AB89" i="76"/>
  <c r="AB94" i="76"/>
  <c r="AB66" i="76"/>
  <c r="AB71" i="76"/>
  <c r="AB57" i="76"/>
  <c r="AB76" i="76"/>
  <c r="AB81" i="76"/>
  <c r="AB85" i="76"/>
  <c r="AB93" i="76"/>
  <c r="AB96" i="76"/>
  <c r="AB90" i="76"/>
  <c r="AB62" i="76"/>
  <c r="AB88" i="76"/>
  <c r="AB84" i="76"/>
  <c r="AB79" i="76"/>
  <c r="AB52" i="76"/>
  <c r="AB92" i="76"/>
  <c r="AD56" i="76"/>
  <c r="R75" i="76"/>
  <c r="R60" i="76"/>
  <c r="R65" i="76"/>
  <c r="R70" i="76"/>
  <c r="R80" i="76"/>
  <c r="R74" i="76"/>
  <c r="R54" i="76"/>
  <c r="R59" i="76"/>
  <c r="R64" i="76"/>
  <c r="R53" i="76"/>
  <c r="R58" i="76"/>
  <c r="R63" i="76"/>
  <c r="R67" i="76"/>
  <c r="R77" i="76"/>
  <c r="R89" i="76"/>
  <c r="R94" i="76"/>
  <c r="R57" i="76"/>
  <c r="R66" i="76"/>
  <c r="R71" i="76"/>
  <c r="R86" i="76"/>
  <c r="R85" i="76"/>
  <c r="R96" i="76"/>
  <c r="R90" i="76"/>
  <c r="R76" i="76"/>
  <c r="R81" i="76"/>
  <c r="R93" i="76"/>
  <c r="R79" i="76"/>
  <c r="R52" i="76"/>
  <c r="R84" i="76"/>
  <c r="R62" i="76"/>
  <c r="R88" i="76"/>
  <c r="R92" i="76"/>
  <c r="R69" i="76"/>
  <c r="Q69" i="76"/>
  <c r="X67" i="76"/>
  <c r="X53" i="76"/>
  <c r="X58" i="76"/>
  <c r="X63" i="76"/>
  <c r="X77" i="76"/>
  <c r="X76" i="76"/>
  <c r="X81" i="76"/>
  <c r="X57" i="76"/>
  <c r="X66" i="76"/>
  <c r="X71" i="76"/>
  <c r="X60" i="76"/>
  <c r="X65" i="76"/>
  <c r="X70" i="76"/>
  <c r="X75" i="76"/>
  <c r="X80" i="76"/>
  <c r="X86" i="76"/>
  <c r="X54" i="76"/>
  <c r="X59" i="76"/>
  <c r="X64" i="76"/>
  <c r="X93" i="76"/>
  <c r="X96" i="76"/>
  <c r="X74" i="76"/>
  <c r="X90" i="76"/>
  <c r="X85" i="76"/>
  <c r="X94" i="76"/>
  <c r="X89" i="76"/>
  <c r="X88" i="76"/>
  <c r="X84" i="76"/>
  <c r="X92" i="76"/>
  <c r="X79" i="76"/>
  <c r="X52" i="76"/>
  <c r="X62" i="76"/>
  <c r="O54" i="76"/>
  <c r="O59" i="76"/>
  <c r="O64" i="76"/>
  <c r="O74" i="76"/>
  <c r="O85" i="76"/>
  <c r="O53" i="76"/>
  <c r="O67" i="76"/>
  <c r="O58" i="76"/>
  <c r="O63" i="76"/>
  <c r="O77" i="76"/>
  <c r="O57" i="76"/>
  <c r="O66" i="76"/>
  <c r="O71" i="76"/>
  <c r="O76" i="76"/>
  <c r="O81" i="76"/>
  <c r="O93" i="76"/>
  <c r="O60" i="76"/>
  <c r="O65" i="76"/>
  <c r="O70" i="76"/>
  <c r="O86" i="76"/>
  <c r="O96" i="76"/>
  <c r="O90" i="76"/>
  <c r="O75" i="76"/>
  <c r="O89" i="76"/>
  <c r="O80" i="76"/>
  <c r="O94" i="76"/>
  <c r="O92" i="76"/>
  <c r="O84" i="76"/>
  <c r="O79" i="76"/>
  <c r="O52" i="76"/>
  <c r="O62" i="76"/>
  <c r="O88" i="76"/>
  <c r="Y69" i="76"/>
  <c r="AD73" i="76"/>
  <c r="R56" i="76"/>
  <c r="AD69" i="76"/>
  <c r="Y54" i="76"/>
  <c r="Y59" i="76"/>
  <c r="Y64" i="76"/>
  <c r="Y74" i="76"/>
  <c r="Y85" i="76"/>
  <c r="Y90" i="76"/>
  <c r="Y96" i="76"/>
  <c r="Y53" i="76"/>
  <c r="Y58" i="76"/>
  <c r="Y63" i="76"/>
  <c r="Y67" i="76"/>
  <c r="Y77" i="76"/>
  <c r="Y57" i="76"/>
  <c r="Y66" i="76"/>
  <c r="Y71" i="76"/>
  <c r="Y76" i="76"/>
  <c r="Y81" i="76"/>
  <c r="Y93" i="76"/>
  <c r="Y70" i="76"/>
  <c r="Y75" i="76"/>
  <c r="Y60" i="76"/>
  <c r="Y65" i="76"/>
  <c r="Y89" i="76"/>
  <c r="Y86" i="76"/>
  <c r="Y80" i="76"/>
  <c r="Y94" i="76"/>
  <c r="Y88" i="76"/>
  <c r="Y79" i="76"/>
  <c r="Y92" i="76"/>
  <c r="Y62" i="76"/>
  <c r="Y84" i="76"/>
  <c r="Y52" i="76"/>
  <c r="Z49" i="76"/>
  <c r="Z82" i="76" s="1"/>
  <c r="X73" i="76"/>
  <c r="O73" i="76"/>
  <c r="X56" i="76"/>
  <c r="T69" i="76"/>
  <c r="U71" i="76"/>
  <c r="U76" i="76"/>
  <c r="U81" i="76"/>
  <c r="U57" i="76"/>
  <c r="U66" i="76"/>
  <c r="U65" i="76"/>
  <c r="U70" i="76"/>
  <c r="U80" i="76"/>
  <c r="U60" i="76"/>
  <c r="U75" i="76"/>
  <c r="U54" i="76"/>
  <c r="U59" i="76"/>
  <c r="U64" i="76"/>
  <c r="U74" i="76"/>
  <c r="U85" i="76"/>
  <c r="U90" i="76"/>
  <c r="U96" i="76"/>
  <c r="U53" i="76"/>
  <c r="U58" i="76"/>
  <c r="U63" i="76"/>
  <c r="U67" i="76"/>
  <c r="U77" i="76"/>
  <c r="U93" i="76"/>
  <c r="U94" i="76"/>
  <c r="U86" i="76"/>
  <c r="U89" i="76"/>
  <c r="U62" i="76"/>
  <c r="U88" i="76"/>
  <c r="U92" i="76"/>
  <c r="U84" i="76"/>
  <c r="U52" i="76"/>
  <c r="U79" i="76"/>
  <c r="AA49" i="76"/>
  <c r="X69" i="76"/>
  <c r="O69" i="76"/>
  <c r="Q60" i="76"/>
  <c r="Q65" i="76"/>
  <c r="Q70" i="76"/>
  <c r="Q75" i="76"/>
  <c r="Q80" i="76"/>
  <c r="Q86" i="76"/>
  <c r="Q54" i="76"/>
  <c r="Q59" i="76"/>
  <c r="Q64" i="76"/>
  <c r="Q74" i="76"/>
  <c r="Q85" i="76"/>
  <c r="Q90" i="76"/>
  <c r="Q96" i="76"/>
  <c r="Q53" i="76"/>
  <c r="Q58" i="76"/>
  <c r="Q63" i="76"/>
  <c r="Q67" i="76"/>
  <c r="Q77" i="76"/>
  <c r="Q89" i="76"/>
  <c r="Q94" i="76"/>
  <c r="Q57" i="76"/>
  <c r="Q66" i="76"/>
  <c r="Q71" i="76"/>
  <c r="Q76" i="76"/>
  <c r="Q81" i="76"/>
  <c r="Q93" i="76"/>
  <c r="Q62" i="76"/>
  <c r="Q84" i="76"/>
  <c r="Q88" i="76"/>
  <c r="Q92" i="76"/>
  <c r="Q79" i="76"/>
  <c r="Q52" i="76"/>
  <c r="AC60" i="76"/>
  <c r="AC65" i="76"/>
  <c r="AC70" i="76"/>
  <c r="AC75" i="76"/>
  <c r="AC80" i="76"/>
  <c r="AC86" i="76"/>
  <c r="AC54" i="76"/>
  <c r="AC59" i="76"/>
  <c r="AC64" i="76"/>
  <c r="AC74" i="76"/>
  <c r="AC85" i="76"/>
  <c r="AC90" i="76"/>
  <c r="AC96" i="76"/>
  <c r="AC53" i="76"/>
  <c r="AC58" i="76"/>
  <c r="AC63" i="76"/>
  <c r="AC67" i="76"/>
  <c r="AC77" i="76"/>
  <c r="AC89" i="76"/>
  <c r="AC94" i="76"/>
  <c r="AC57" i="76"/>
  <c r="AC66" i="76"/>
  <c r="AC71" i="76"/>
  <c r="AC76" i="76"/>
  <c r="AC81" i="76"/>
  <c r="AC93" i="76"/>
  <c r="AC88" i="76"/>
  <c r="AC92" i="76"/>
  <c r="AC84" i="76"/>
  <c r="AC79" i="76"/>
  <c r="AC62" i="76"/>
  <c r="AC52" i="76"/>
  <c r="Q56" i="76"/>
  <c r="U56" i="76"/>
  <c r="U73" i="76"/>
  <c r="W53" i="76"/>
  <c r="W58" i="76"/>
  <c r="W63" i="76"/>
  <c r="W67" i="76"/>
  <c r="W77" i="76"/>
  <c r="W89" i="76"/>
  <c r="W94" i="76"/>
  <c r="W57" i="76"/>
  <c r="W66" i="76"/>
  <c r="W71" i="76"/>
  <c r="W76" i="76"/>
  <c r="W81" i="76"/>
  <c r="W93" i="76"/>
  <c r="W60" i="76"/>
  <c r="W65" i="76"/>
  <c r="W70" i="76"/>
  <c r="W75" i="76"/>
  <c r="W80" i="76"/>
  <c r="W86" i="76"/>
  <c r="W54" i="76"/>
  <c r="W59" i="76"/>
  <c r="W64" i="76"/>
  <c r="W74" i="76"/>
  <c r="W85" i="76"/>
  <c r="W90" i="76"/>
  <c r="W96" i="76"/>
  <c r="W62" i="76"/>
  <c r="W52" i="76"/>
  <c r="W88" i="76"/>
  <c r="W84" i="76"/>
  <c r="W79" i="76"/>
  <c r="W92" i="76"/>
  <c r="Y56" i="76"/>
  <c r="T57" i="76"/>
  <c r="T66" i="76"/>
  <c r="T71" i="76"/>
  <c r="T76" i="76"/>
  <c r="T81" i="76"/>
  <c r="T93" i="76"/>
  <c r="T60" i="76"/>
  <c r="T65" i="76"/>
  <c r="T70" i="76"/>
  <c r="T75" i="76"/>
  <c r="T80" i="76"/>
  <c r="T86" i="76"/>
  <c r="T54" i="76"/>
  <c r="T59" i="76"/>
  <c r="T64" i="76"/>
  <c r="T74" i="76"/>
  <c r="T85" i="76"/>
  <c r="T90" i="76"/>
  <c r="T96" i="76"/>
  <c r="T53" i="76"/>
  <c r="T58" i="76"/>
  <c r="T63" i="76"/>
  <c r="T67" i="76"/>
  <c r="T77" i="76"/>
  <c r="T89" i="76"/>
  <c r="T94" i="76"/>
  <c r="T84" i="76"/>
  <c r="T52" i="76"/>
  <c r="T88" i="76"/>
  <c r="T79" i="76"/>
  <c r="T62" i="76"/>
  <c r="T92" i="76"/>
  <c r="W73" i="76"/>
  <c r="AC56" i="76"/>
  <c r="W56" i="76"/>
  <c r="U69" i="76"/>
  <c r="S49" i="76"/>
  <c r="S82" i="76" s="1"/>
  <c r="P49" i="76"/>
  <c r="P82" i="76" s="1"/>
  <c r="V49" i="76"/>
  <c r="V82" i="76" s="1"/>
  <c r="W69" i="76"/>
  <c r="N49" i="76"/>
  <c r="AB69" i="76"/>
  <c r="O56" i="76"/>
  <c r="BF109" i="78"/>
  <c r="BG93" i="78"/>
  <c r="BG43" i="78"/>
  <c r="BF99" i="78"/>
  <c r="BF101" i="78"/>
  <c r="BG100" i="78"/>
  <c r="BF80" i="78"/>
  <c r="BG97" i="78"/>
  <c r="BF92" i="78"/>
  <c r="BF117" i="78"/>
  <c r="BF91" i="78"/>
  <c r="BF104" i="78"/>
  <c r="BG82" i="78"/>
  <c r="BG99" i="78"/>
  <c r="BG84" i="78"/>
  <c r="BF83" i="78"/>
  <c r="BG90" i="78"/>
  <c r="BG94" i="78"/>
  <c r="BG103" i="78"/>
  <c r="BF90" i="78"/>
  <c r="BG101" i="78"/>
  <c r="BF100" i="78"/>
  <c r="BF105" i="78"/>
  <c r="BF93" i="78"/>
  <c r="BF82" i="78"/>
  <c r="BF87" i="78"/>
  <c r="BF88" i="78"/>
  <c r="BG88" i="78"/>
  <c r="BG80" i="78"/>
  <c r="BG86" i="78"/>
  <c r="BF106" i="78"/>
  <c r="BF84" i="78"/>
  <c r="BF94" i="78"/>
  <c r="BG89" i="78"/>
  <c r="BG104" i="78"/>
  <c r="BG92" i="78"/>
  <c r="BR6" i="78"/>
  <c r="BF97" i="78"/>
  <c r="BG109" i="78"/>
  <c r="BG105" i="78"/>
  <c r="BF103" i="78"/>
  <c r="BF102" i="78"/>
  <c r="BG117" i="78"/>
  <c r="BG83" i="78"/>
  <c r="BG87" i="78"/>
  <c r="BG85" i="78"/>
  <c r="BF89" i="78"/>
  <c r="BF95" i="78"/>
  <c r="BG106" i="78"/>
  <c r="BG102" i="78"/>
  <c r="BF98" i="78"/>
  <c r="BF96" i="78"/>
  <c r="BF86" i="78"/>
  <c r="BF85" i="78"/>
  <c r="BG98" i="78"/>
  <c r="BG95" i="78"/>
  <c r="BG96" i="78"/>
  <c r="BG91" i="78"/>
  <c r="BS106" i="78"/>
  <c r="BS82" i="78"/>
  <c r="BS95" i="78"/>
  <c r="BS93" i="78"/>
  <c r="BS96" i="78"/>
  <c r="BS105" i="78"/>
  <c r="F109" i="71"/>
  <c r="F146" i="71"/>
  <c r="N109" i="75" s="1"/>
  <c r="B146" i="71"/>
  <c r="CE6" i="78"/>
  <c r="BT43" i="78"/>
  <c r="CB6" i="78"/>
  <c r="BT106" i="78"/>
  <c r="BT84" i="78"/>
  <c r="BT97" i="78"/>
  <c r="BT83" i="78"/>
  <c r="BT103" i="78"/>
  <c r="BT92" i="78"/>
  <c r="BQ43" i="78"/>
  <c r="BT91" i="78"/>
  <c r="BT90" i="78"/>
  <c r="BT89" i="78"/>
  <c r="BT109" i="78"/>
  <c r="BT88" i="78"/>
  <c r="BT94" i="78"/>
  <c r="BT93" i="78"/>
  <c r="BT87" i="78"/>
  <c r="BT85" i="78"/>
  <c r="BT95" i="78"/>
  <c r="BT86" i="78"/>
  <c r="BT82" i="78"/>
  <c r="BT98" i="78"/>
  <c r="BT100" i="78"/>
  <c r="BT105" i="78"/>
  <c r="BT96" i="78"/>
  <c r="BT102" i="78"/>
  <c r="BT99" i="78"/>
  <c r="BT80" i="78"/>
  <c r="BT104" i="78"/>
  <c r="BT101" i="78"/>
  <c r="BD75" i="78"/>
  <c r="BD112" i="78"/>
  <c r="BD38" i="78"/>
  <c r="BP117" i="78"/>
  <c r="BP104" i="78"/>
  <c r="BP93" i="78"/>
  <c r="BP102" i="78"/>
  <c r="CA6" i="78"/>
  <c r="BP96" i="78"/>
  <c r="BP88" i="78"/>
  <c r="BP85" i="78"/>
  <c r="BP95" i="78"/>
  <c r="BP87" i="78"/>
  <c r="BP103" i="78"/>
  <c r="BP80" i="78"/>
  <c r="BP105" i="78"/>
  <c r="BP97" i="78"/>
  <c r="BP94" i="78"/>
  <c r="BP89" i="78"/>
  <c r="BP86" i="78"/>
  <c r="BP101" i="78"/>
  <c r="BP106" i="78"/>
  <c r="BP109" i="78"/>
  <c r="BP100" i="78"/>
  <c r="BP91" i="78"/>
  <c r="BP99" i="78"/>
  <c r="BP82" i="78"/>
  <c r="BP83" i="78"/>
  <c r="BP84" i="78"/>
  <c r="BP92" i="78"/>
  <c r="BP43" i="78"/>
  <c r="BP90" i="78"/>
  <c r="BP98" i="78"/>
  <c r="B8" i="52"/>
  <c r="C146" i="71"/>
  <c r="C109" i="71"/>
  <c r="P8" i="52"/>
  <c r="N8" i="52"/>
  <c r="L8" i="52"/>
  <c r="K8" i="52"/>
  <c r="J8" i="52"/>
  <c r="H8" i="52"/>
  <c r="G8" i="52"/>
  <c r="I180" i="71" l="1"/>
  <c r="N7" i="75" s="1"/>
  <c r="BZ1" i="78"/>
  <c r="BR107" i="78"/>
  <c r="BS43" i="78"/>
  <c r="CD6" i="78"/>
  <c r="CD80" i="78" s="1"/>
  <c r="BS89" i="78"/>
  <c r="BS99" i="78"/>
  <c r="BS98" i="78"/>
  <c r="BS102" i="78"/>
  <c r="BS117" i="78"/>
  <c r="BS94" i="78"/>
  <c r="BS80" i="78"/>
  <c r="BS97" i="78"/>
  <c r="BS92" i="78"/>
  <c r="BS107" i="78"/>
  <c r="CE107" i="78"/>
  <c r="CA107" i="78"/>
  <c r="BS90" i="78"/>
  <c r="BS83" i="78"/>
  <c r="BS103" i="78"/>
  <c r="BS84" i="78"/>
  <c r="BR109" i="78"/>
  <c r="BQ107" i="78"/>
  <c r="BS109" i="78"/>
  <c r="BS100" i="78"/>
  <c r="BS101" i="78"/>
  <c r="BS86" i="78"/>
  <c r="BS88" i="78"/>
  <c r="BS85" i="78"/>
  <c r="BS104" i="78"/>
  <c r="BS91" i="78"/>
  <c r="BS87" i="78"/>
  <c r="AA69" i="76"/>
  <c r="AA82" i="76"/>
  <c r="N69" i="76"/>
  <c r="N82" i="76"/>
  <c r="H109" i="71"/>
  <c r="P64" i="31"/>
  <c r="V53" i="76"/>
  <c r="V58" i="76"/>
  <c r="V63" i="76"/>
  <c r="V67" i="76"/>
  <c r="V77" i="76"/>
  <c r="V89" i="76"/>
  <c r="V94" i="76"/>
  <c r="V57" i="76"/>
  <c r="V66" i="76"/>
  <c r="V71" i="76"/>
  <c r="V76" i="76"/>
  <c r="V60" i="76"/>
  <c r="V65" i="76"/>
  <c r="V70" i="76"/>
  <c r="V75" i="76"/>
  <c r="V80" i="76"/>
  <c r="V86" i="76"/>
  <c r="V64" i="76"/>
  <c r="V54" i="76"/>
  <c r="V59" i="76"/>
  <c r="V74" i="76"/>
  <c r="V85" i="76"/>
  <c r="V81" i="76"/>
  <c r="V93" i="76"/>
  <c r="V90" i="76"/>
  <c r="V96" i="76"/>
  <c r="V79" i="76"/>
  <c r="V92" i="76"/>
  <c r="V52" i="76"/>
  <c r="V62" i="76"/>
  <c r="V84" i="76"/>
  <c r="V88" i="76"/>
  <c r="V56" i="76"/>
  <c r="V73" i="76"/>
  <c r="P60" i="76"/>
  <c r="P65" i="76"/>
  <c r="P70" i="76"/>
  <c r="P75" i="76"/>
  <c r="P80" i="76"/>
  <c r="P86" i="76"/>
  <c r="P54" i="76"/>
  <c r="P59" i="76"/>
  <c r="P64" i="76"/>
  <c r="P74" i="76"/>
  <c r="P53" i="76"/>
  <c r="P58" i="76"/>
  <c r="P63" i="76"/>
  <c r="P67" i="76"/>
  <c r="P77" i="76"/>
  <c r="P89" i="76"/>
  <c r="P94" i="76"/>
  <c r="P81" i="76"/>
  <c r="P57" i="76"/>
  <c r="P66" i="76"/>
  <c r="P71" i="76"/>
  <c r="P96" i="76"/>
  <c r="P85" i="76"/>
  <c r="P90" i="76"/>
  <c r="P76" i="76"/>
  <c r="P93" i="76"/>
  <c r="P84" i="76"/>
  <c r="P79" i="76"/>
  <c r="P52" i="76"/>
  <c r="P88" i="76"/>
  <c r="P92" i="76"/>
  <c r="P62" i="76"/>
  <c r="P73" i="76"/>
  <c r="P56" i="76"/>
  <c r="P69" i="76"/>
  <c r="S57" i="76"/>
  <c r="S66" i="76"/>
  <c r="S71" i="76"/>
  <c r="S76" i="76"/>
  <c r="S81" i="76"/>
  <c r="S93" i="76"/>
  <c r="S60" i="76"/>
  <c r="S65" i="76"/>
  <c r="S70" i="76"/>
  <c r="S75" i="76"/>
  <c r="S54" i="76"/>
  <c r="S59" i="76"/>
  <c r="S64" i="76"/>
  <c r="S74" i="76"/>
  <c r="S85" i="76"/>
  <c r="S90" i="76"/>
  <c r="S96" i="76"/>
  <c r="S53" i="76"/>
  <c r="S77" i="76"/>
  <c r="S58" i="76"/>
  <c r="S63" i="76"/>
  <c r="S67" i="76"/>
  <c r="S89" i="76"/>
  <c r="S86" i="76"/>
  <c r="S80" i="76"/>
  <c r="S94" i="76"/>
  <c r="S88" i="76"/>
  <c r="S84" i="76"/>
  <c r="S62" i="76"/>
  <c r="S92" i="76"/>
  <c r="S79" i="76"/>
  <c r="S52" i="76"/>
  <c r="S56" i="76"/>
  <c r="S73" i="76"/>
  <c r="S69" i="76"/>
  <c r="AA64" i="76"/>
  <c r="AA74" i="76"/>
  <c r="AA54" i="76"/>
  <c r="AA59" i="76"/>
  <c r="AA77" i="76"/>
  <c r="AA53" i="76"/>
  <c r="AA58" i="76"/>
  <c r="AA63" i="76"/>
  <c r="AA67" i="76"/>
  <c r="AA57" i="76"/>
  <c r="AA66" i="76"/>
  <c r="AA71" i="76"/>
  <c r="AA76" i="76"/>
  <c r="AA81" i="76"/>
  <c r="AA93" i="76"/>
  <c r="AA60" i="76"/>
  <c r="AA65" i="76"/>
  <c r="AA94" i="76"/>
  <c r="AA70" i="76"/>
  <c r="AA89" i="76"/>
  <c r="AA96" i="76"/>
  <c r="AA86" i="76"/>
  <c r="AA75" i="76"/>
  <c r="AA80" i="76"/>
  <c r="AA90" i="76"/>
  <c r="AA85" i="76"/>
  <c r="AA79" i="76"/>
  <c r="AA84" i="76"/>
  <c r="AA92" i="76"/>
  <c r="AA62" i="76"/>
  <c r="AA52" i="76"/>
  <c r="AA88" i="76"/>
  <c r="AA73" i="76"/>
  <c r="AA56" i="76"/>
  <c r="N54" i="76"/>
  <c r="N59" i="76"/>
  <c r="N64" i="76"/>
  <c r="N74" i="76"/>
  <c r="N85" i="76"/>
  <c r="N90" i="76"/>
  <c r="N96" i="76"/>
  <c r="N53" i="76"/>
  <c r="N58" i="76"/>
  <c r="N63" i="76"/>
  <c r="N67" i="76"/>
  <c r="N77" i="76"/>
  <c r="N89" i="76"/>
  <c r="N94" i="76"/>
  <c r="N57" i="76"/>
  <c r="N66" i="76"/>
  <c r="N71" i="76"/>
  <c r="N76" i="76"/>
  <c r="N81" i="76"/>
  <c r="N93" i="76"/>
  <c r="N60" i="76"/>
  <c r="N65" i="76"/>
  <c r="N70" i="76"/>
  <c r="N75" i="76"/>
  <c r="N80" i="76"/>
  <c r="N86" i="76"/>
  <c r="N56" i="76"/>
  <c r="N84" i="76"/>
  <c r="N52" i="76"/>
  <c r="N92" i="76"/>
  <c r="N62" i="76"/>
  <c r="N79" i="76"/>
  <c r="N88" i="76"/>
  <c r="N73" i="76"/>
  <c r="Z54" i="76"/>
  <c r="Z59" i="76"/>
  <c r="Z64" i="76"/>
  <c r="Z74" i="76"/>
  <c r="Z85" i="76"/>
  <c r="Z90" i="76"/>
  <c r="Z96" i="76"/>
  <c r="Z53" i="76"/>
  <c r="Z58" i="76"/>
  <c r="Z63" i="76"/>
  <c r="Z67" i="76"/>
  <c r="Z77" i="76"/>
  <c r="Z89" i="76"/>
  <c r="Z94" i="76"/>
  <c r="Z57" i="76"/>
  <c r="Z66" i="76"/>
  <c r="Z71" i="76"/>
  <c r="Z76" i="76"/>
  <c r="Z81" i="76"/>
  <c r="Z93" i="76"/>
  <c r="Z60" i="76"/>
  <c r="Z65" i="76"/>
  <c r="Z70" i="76"/>
  <c r="Z75" i="76"/>
  <c r="Z80" i="76"/>
  <c r="Z86" i="76"/>
  <c r="Z84" i="76"/>
  <c r="Z92" i="76"/>
  <c r="Z88" i="76"/>
  <c r="Z62" i="76"/>
  <c r="Z79" i="76"/>
  <c r="Z52" i="76"/>
  <c r="Z73" i="76"/>
  <c r="Z56" i="76"/>
  <c r="V69" i="76"/>
  <c r="Z69" i="76"/>
  <c r="BQ85" i="78"/>
  <c r="BQ96" i="78"/>
  <c r="BR99" i="78"/>
  <c r="BQ95" i="78"/>
  <c r="BR86" i="78"/>
  <c r="BQ99" i="78"/>
  <c r="BR95" i="78"/>
  <c r="BQ102" i="78"/>
  <c r="BR89" i="78"/>
  <c r="BR92" i="78"/>
  <c r="BQ89" i="78"/>
  <c r="BQ97" i="78"/>
  <c r="BQ101" i="78"/>
  <c r="BR101" i="78"/>
  <c r="BQ83" i="78"/>
  <c r="BQ93" i="78"/>
  <c r="BR85" i="78"/>
  <c r="BR104" i="78"/>
  <c r="BQ106" i="78"/>
  <c r="BR102" i="78"/>
  <c r="BR87" i="78"/>
  <c r="BQ82" i="78"/>
  <c r="BQ90" i="78"/>
  <c r="BQ87" i="78"/>
  <c r="BR105" i="78"/>
  <c r="CC6" i="78"/>
  <c r="BQ104" i="78"/>
  <c r="BQ88" i="78"/>
  <c r="BQ91" i="78"/>
  <c r="BQ94" i="78"/>
  <c r="BR100" i="78"/>
  <c r="BR103" i="78"/>
  <c r="BR83" i="78"/>
  <c r="BR98" i="78"/>
  <c r="BR88" i="78"/>
  <c r="BQ92" i="78"/>
  <c r="BQ117" i="78"/>
  <c r="BQ103" i="78"/>
  <c r="BQ86" i="78"/>
  <c r="BR91" i="78"/>
  <c r="BR117" i="78"/>
  <c r="BR94" i="78"/>
  <c r="BR106" i="78"/>
  <c r="BR90" i="78"/>
  <c r="BQ100" i="78"/>
  <c r="BQ105" i="78"/>
  <c r="BQ98" i="78"/>
  <c r="BR97" i="78"/>
  <c r="BR43" i="78"/>
  <c r="BR96" i="78"/>
  <c r="BR93" i="78"/>
  <c r="BT117" i="78"/>
  <c r="BQ80" i="78"/>
  <c r="BQ84" i="78"/>
  <c r="BQ109" i="78"/>
  <c r="BR80" i="78"/>
  <c r="BR84" i="78"/>
  <c r="BR82" i="78"/>
  <c r="CD89" i="78"/>
  <c r="CD86" i="78"/>
  <c r="CD117" i="78"/>
  <c r="CD109" i="78"/>
  <c r="CD84" i="78"/>
  <c r="CD99" i="78"/>
  <c r="CD104" i="78"/>
  <c r="CD106" i="78"/>
  <c r="CD95" i="78"/>
  <c r="CD93" i="78"/>
  <c r="CD105" i="78"/>
  <c r="CD85" i="78"/>
  <c r="CD83" i="78"/>
  <c r="CD100" i="78"/>
  <c r="CD102" i="78"/>
  <c r="CD101" i="78"/>
  <c r="CD96" i="78"/>
  <c r="CD98" i="78"/>
  <c r="CD97" i="78"/>
  <c r="CD87" i="78"/>
  <c r="CD91" i="78"/>
  <c r="CD103" i="78"/>
  <c r="CD92" i="78"/>
  <c r="CD88" i="78"/>
  <c r="CD82" i="78"/>
  <c r="CD94" i="78"/>
  <c r="CD90" i="78"/>
  <c r="CE43" i="78"/>
  <c r="CP6" i="78"/>
  <c r="CB43" i="78"/>
  <c r="CM6" i="78"/>
  <c r="CE105" i="78"/>
  <c r="CE98" i="78"/>
  <c r="CE84" i="78"/>
  <c r="CE87" i="78"/>
  <c r="CE99" i="78"/>
  <c r="CE101" i="78"/>
  <c r="CE82" i="78"/>
  <c r="CE106" i="78"/>
  <c r="CE104" i="78"/>
  <c r="CE95" i="78"/>
  <c r="CE85" i="78"/>
  <c r="CE109" i="78"/>
  <c r="CE96" i="78"/>
  <c r="CE89" i="78"/>
  <c r="CE94" i="78"/>
  <c r="CE97" i="78"/>
  <c r="CE86" i="78"/>
  <c r="CE100" i="78"/>
  <c r="CE102" i="78"/>
  <c r="CE80" i="78"/>
  <c r="CE92" i="78"/>
  <c r="CE90" i="78"/>
  <c r="CE103" i="78"/>
  <c r="CE93" i="78"/>
  <c r="CE83" i="78"/>
  <c r="CE88" i="78"/>
  <c r="CE91" i="78"/>
  <c r="BO38" i="78"/>
  <c r="BO75" i="78"/>
  <c r="BO112" i="78"/>
  <c r="CA83" i="78"/>
  <c r="CA85" i="78"/>
  <c r="CL6" i="78"/>
  <c r="CA101" i="78"/>
  <c r="CA93" i="78"/>
  <c r="CA82" i="78"/>
  <c r="CA43" i="78"/>
  <c r="CA80" i="78"/>
  <c r="CA98" i="78"/>
  <c r="CA103" i="78"/>
  <c r="CA92" i="78"/>
  <c r="CA102" i="78"/>
  <c r="CA104" i="78"/>
  <c r="CA94" i="78"/>
  <c r="CA88" i="78"/>
  <c r="CA100" i="78"/>
  <c r="CA109" i="78"/>
  <c r="CA89" i="78"/>
  <c r="CA96" i="78"/>
  <c r="CA84" i="78"/>
  <c r="CA117" i="78"/>
  <c r="CA95" i="78"/>
  <c r="CA86" i="78"/>
  <c r="CA99" i="78"/>
  <c r="CA87" i="78"/>
  <c r="CA97" i="78"/>
  <c r="CA91" i="78"/>
  <c r="CA90" i="78"/>
  <c r="CA106" i="78"/>
  <c r="CA105" i="78"/>
  <c r="C8" i="52"/>
  <c r="D8" i="52"/>
  <c r="CD107" i="78" l="1"/>
  <c r="CL107" i="78"/>
  <c r="CP43" i="78"/>
  <c r="CP107" i="78"/>
  <c r="CC80" i="78"/>
  <c r="CB107" i="78"/>
  <c r="CC107" i="78"/>
  <c r="CO6" i="78"/>
  <c r="CO94" i="78" s="1"/>
  <c r="CD43" i="78"/>
  <c r="CE117" i="78"/>
  <c r="CK1" i="78"/>
  <c r="CB87" i="78"/>
  <c r="CB109" i="78"/>
  <c r="CB98" i="78"/>
  <c r="CC83" i="78"/>
  <c r="CC92" i="78"/>
  <c r="CC95" i="78"/>
  <c r="CC86" i="78"/>
  <c r="CC97" i="78"/>
  <c r="CB106" i="78"/>
  <c r="CB96" i="78"/>
  <c r="CC106" i="78"/>
  <c r="CN6" i="78"/>
  <c r="CC109" i="78"/>
  <c r="CB100" i="78"/>
  <c r="CC102" i="78"/>
  <c r="CB90" i="78"/>
  <c r="CB83" i="78"/>
  <c r="CC98" i="78"/>
  <c r="CB97" i="78"/>
  <c r="CB84" i="78"/>
  <c r="CB92" i="78"/>
  <c r="CB89" i="78"/>
  <c r="CC104" i="78"/>
  <c r="CB94" i="78"/>
  <c r="CB95" i="78"/>
  <c r="CB101" i="78"/>
  <c r="CC117" i="78"/>
  <c r="CC82" i="78"/>
  <c r="CC100" i="78"/>
  <c r="CB88" i="78"/>
  <c r="CB99" i="78"/>
  <c r="CC96" i="78"/>
  <c r="CC94" i="78"/>
  <c r="CC103" i="78"/>
  <c r="CC84" i="78"/>
  <c r="CB82" i="78"/>
  <c r="CB91" i="78"/>
  <c r="CB103" i="78"/>
  <c r="CB93" i="78"/>
  <c r="CC101" i="78"/>
  <c r="CC85" i="78"/>
  <c r="CC87" i="78"/>
  <c r="CC99" i="78"/>
  <c r="CB86" i="78"/>
  <c r="CB85" i="78"/>
  <c r="CC89" i="78"/>
  <c r="CC93" i="78"/>
  <c r="CC90" i="78"/>
  <c r="CC91" i="78"/>
  <c r="CB117" i="78"/>
  <c r="CB102" i="78"/>
  <c r="CB80" i="78"/>
  <c r="CB104" i="78"/>
  <c r="CB105" i="78"/>
  <c r="CC88" i="78"/>
  <c r="CC105" i="78"/>
  <c r="CC43" i="78"/>
  <c r="CO90" i="78"/>
  <c r="CO83" i="78"/>
  <c r="CO106" i="78"/>
  <c r="CO109" i="78"/>
  <c r="CO97" i="78"/>
  <c r="CO117" i="78"/>
  <c r="CP84" i="78"/>
  <c r="CP89" i="78"/>
  <c r="CP80" i="78"/>
  <c r="CP98" i="78"/>
  <c r="CP97" i="78"/>
  <c r="CP106" i="78"/>
  <c r="CP96" i="78"/>
  <c r="CP94" i="78"/>
  <c r="CP95" i="78"/>
  <c r="CP92" i="78"/>
  <c r="CP83" i="78"/>
  <c r="CP105" i="78"/>
  <c r="CP109" i="78"/>
  <c r="CP88" i="78"/>
  <c r="CP86" i="78"/>
  <c r="CP91" i="78"/>
  <c r="CP82" i="78"/>
  <c r="CP90" i="78"/>
  <c r="CP101" i="78"/>
  <c r="CP87" i="78"/>
  <c r="CM43" i="78"/>
  <c r="CP93" i="78"/>
  <c r="CP104" i="78"/>
  <c r="CP102" i="78"/>
  <c r="CP100" i="78"/>
  <c r="CP99" i="78"/>
  <c r="CP103" i="78"/>
  <c r="CP85" i="78"/>
  <c r="CL117" i="78"/>
  <c r="CL89" i="78"/>
  <c r="CL105" i="78"/>
  <c r="CL80" i="78"/>
  <c r="CL104" i="78"/>
  <c r="CL102" i="78"/>
  <c r="CL85" i="78"/>
  <c r="CL88" i="78"/>
  <c r="CL87" i="78"/>
  <c r="CL95" i="78"/>
  <c r="CL97" i="78"/>
  <c r="CL103" i="78"/>
  <c r="CL96" i="78"/>
  <c r="CL93" i="78"/>
  <c r="CL86" i="78"/>
  <c r="CL94" i="78"/>
  <c r="CL101" i="78"/>
  <c r="CL109" i="78"/>
  <c r="CL84" i="78"/>
  <c r="CL83" i="78"/>
  <c r="CL43" i="78"/>
  <c r="CL82" i="78"/>
  <c r="CL92" i="78"/>
  <c r="CL106" i="78"/>
  <c r="CL90" i="78"/>
  <c r="CL98" i="78"/>
  <c r="CL100" i="78"/>
  <c r="CL91" i="78"/>
  <c r="CL99" i="78"/>
  <c r="BZ38" i="78"/>
  <c r="BZ75" i="78"/>
  <c r="BZ112" i="78"/>
  <c r="I40" i="18"/>
  <c r="CN107" i="78" l="1"/>
  <c r="CO43" i="78"/>
  <c r="CO85" i="78"/>
  <c r="CO98" i="78"/>
  <c r="CO104" i="78"/>
  <c r="CO103" i="78"/>
  <c r="CP117" i="78"/>
  <c r="CM107" i="78"/>
  <c r="CO84" i="78"/>
  <c r="CO100" i="78"/>
  <c r="CO92" i="78"/>
  <c r="CO88" i="78"/>
  <c r="CO96" i="78"/>
  <c r="CO101" i="78"/>
  <c r="CO89" i="78"/>
  <c r="CO86" i="78"/>
  <c r="CO102" i="78"/>
  <c r="CO82" i="78"/>
  <c r="CO99" i="78"/>
  <c r="CO80" i="78"/>
  <c r="CO93" i="78"/>
  <c r="CO105" i="78"/>
  <c r="CO107" i="78"/>
  <c r="CO91" i="78"/>
  <c r="CO87" i="78"/>
  <c r="CO95" i="78"/>
  <c r="CM93" i="78"/>
  <c r="CN88" i="78"/>
  <c r="CN103" i="78"/>
  <c r="CM95" i="78"/>
  <c r="CN82" i="78"/>
  <c r="CM105" i="78"/>
  <c r="CM86" i="78"/>
  <c r="CN100" i="78"/>
  <c r="CM99" i="78"/>
  <c r="CM90" i="78"/>
  <c r="CN93" i="78"/>
  <c r="CN105" i="78"/>
  <c r="CM83" i="78"/>
  <c r="CM98" i="78"/>
  <c r="CN90" i="78"/>
  <c r="CN84" i="78"/>
  <c r="CM89" i="78"/>
  <c r="CM109" i="78"/>
  <c r="CN104" i="78"/>
  <c r="CN95" i="78"/>
  <c r="CM106" i="78"/>
  <c r="CN98" i="78"/>
  <c r="CN87" i="78"/>
  <c r="CM102" i="78"/>
  <c r="CM117" i="78"/>
  <c r="CN86" i="78"/>
  <c r="CN97" i="78"/>
  <c r="CM100" i="78"/>
  <c r="CM82" i="78"/>
  <c r="CM101" i="78"/>
  <c r="CM85" i="78"/>
  <c r="CN94" i="78"/>
  <c r="CN80" i="78"/>
  <c r="CN96" i="78"/>
  <c r="CM97" i="78"/>
  <c r="CM88" i="78"/>
  <c r="CM92" i="78"/>
  <c r="CN117" i="78"/>
  <c r="CN89" i="78"/>
  <c r="CN91" i="78"/>
  <c r="CN109" i="78"/>
  <c r="CM80" i="78"/>
  <c r="CM104" i="78"/>
  <c r="CM91" i="78"/>
  <c r="CM94" i="78"/>
  <c r="CM103" i="78"/>
  <c r="CN92" i="78"/>
  <c r="CN106" i="78"/>
  <c r="CN83" i="78"/>
  <c r="CN102" i="78"/>
  <c r="CM84" i="78"/>
  <c r="CM87" i="78"/>
  <c r="CM96" i="78"/>
  <c r="CN85" i="78"/>
  <c r="CN99" i="78"/>
  <c r="CN43" i="78"/>
  <c r="CN101" i="78"/>
  <c r="CK112" i="78"/>
  <c r="CK38" i="78"/>
  <c r="CK75" i="78"/>
  <c r="I41" i="18"/>
  <c r="H41" i="18"/>
  <c r="K40" i="18"/>
  <c r="J41" i="18"/>
  <c r="K41" i="18"/>
  <c r="J40" i="18"/>
  <c r="R10" i="80" l="1"/>
  <c r="R12" i="80"/>
  <c r="R13" i="80"/>
  <c r="R14" i="80"/>
  <c r="R15" i="80"/>
  <c r="R16" i="80"/>
  <c r="R17" i="80"/>
  <c r="R18" i="80"/>
  <c r="R19" i="80"/>
  <c r="R20" i="80"/>
  <c r="R21" i="80"/>
  <c r="R22" i="80"/>
  <c r="R23" i="80"/>
  <c r="R24" i="80"/>
  <c r="R25" i="80"/>
  <c r="R26" i="80"/>
  <c r="R27" i="80"/>
  <c r="R28" i="80"/>
  <c r="R29" i="80"/>
  <c r="R30" i="80"/>
  <c r="R31" i="80"/>
  <c r="R32" i="80"/>
  <c r="R9" i="80"/>
  <c r="I9" i="80"/>
  <c r="I10" i="80"/>
  <c r="I12" i="80"/>
  <c r="I13" i="80"/>
  <c r="I14" i="80"/>
  <c r="I15" i="80"/>
  <c r="I16" i="80"/>
  <c r="I17" i="80"/>
  <c r="I18" i="80"/>
  <c r="I19" i="80"/>
  <c r="I20" i="80"/>
  <c r="I21" i="80"/>
  <c r="I22" i="80"/>
  <c r="I23" i="80"/>
  <c r="I24" i="80"/>
  <c r="I25" i="80"/>
  <c r="I26" i="80"/>
  <c r="I27" i="80"/>
  <c r="I28" i="80"/>
  <c r="I29" i="80"/>
  <c r="I30" i="80"/>
  <c r="I31" i="80"/>
  <c r="I32" i="80"/>
  <c r="F35" i="80"/>
  <c r="F32" i="80"/>
  <c r="F31" i="80"/>
  <c r="F30" i="80"/>
  <c r="F29" i="80"/>
  <c r="F28" i="80"/>
  <c r="F27" i="80"/>
  <c r="F26" i="80"/>
  <c r="F25" i="80"/>
  <c r="F24" i="80"/>
  <c r="F23" i="80"/>
  <c r="F22" i="80"/>
  <c r="F21" i="80"/>
  <c r="F20" i="80"/>
  <c r="F19" i="80"/>
  <c r="F18" i="80"/>
  <c r="F17" i="80"/>
  <c r="F16" i="80"/>
  <c r="F15" i="80"/>
  <c r="F14" i="80"/>
  <c r="F13" i="80"/>
  <c r="F12" i="80"/>
  <c r="F11" i="80"/>
  <c r="F10" i="80"/>
  <c r="F8" i="80"/>
  <c r="C10" i="80"/>
  <c r="C11" i="80"/>
  <c r="C12" i="80"/>
  <c r="C13" i="80"/>
  <c r="C14" i="80"/>
  <c r="C15" i="80"/>
  <c r="C16" i="80"/>
  <c r="C17" i="80"/>
  <c r="C18" i="80"/>
  <c r="C19" i="80"/>
  <c r="C20" i="80"/>
  <c r="C21" i="80"/>
  <c r="C22" i="80"/>
  <c r="C23" i="80"/>
  <c r="C24" i="80"/>
  <c r="C25" i="80"/>
  <c r="C26" i="80"/>
  <c r="C27" i="80"/>
  <c r="C28" i="80"/>
  <c r="C29" i="80"/>
  <c r="C30" i="80"/>
  <c r="C31" i="80"/>
  <c r="C32" i="80"/>
  <c r="L10" i="80" l="1"/>
  <c r="L11" i="80"/>
  <c r="L12" i="80"/>
  <c r="L13" i="80"/>
  <c r="L15" i="80"/>
  <c r="L16" i="80"/>
  <c r="L17" i="80"/>
  <c r="L18" i="80"/>
  <c r="L19" i="80"/>
  <c r="L20" i="80"/>
  <c r="L21" i="80"/>
  <c r="L23" i="80"/>
  <c r="L24" i="80"/>
  <c r="L25" i="80"/>
  <c r="L26" i="80"/>
  <c r="L27" i="80"/>
  <c r="L28" i="80"/>
  <c r="L29" i="80"/>
  <c r="L31" i="80"/>
  <c r="L32" i="80"/>
  <c r="L9" i="80"/>
  <c r="H32" i="80"/>
  <c r="H31" i="80"/>
  <c r="H30" i="80"/>
  <c r="H29" i="80"/>
  <c r="H28" i="80"/>
  <c r="N28" i="80" s="1"/>
  <c r="H27" i="80"/>
  <c r="H26" i="80"/>
  <c r="N26" i="80" s="1"/>
  <c r="O26" i="80" s="1"/>
  <c r="H25" i="80"/>
  <c r="H24" i="80"/>
  <c r="H23" i="80"/>
  <c r="H22" i="80"/>
  <c r="H21" i="80"/>
  <c r="H20" i="80"/>
  <c r="H19" i="80"/>
  <c r="H18" i="80"/>
  <c r="H17" i="80"/>
  <c r="H16" i="80"/>
  <c r="H15" i="80"/>
  <c r="H14" i="80"/>
  <c r="H13" i="80"/>
  <c r="N13" i="80" s="1"/>
  <c r="O13" i="80" s="1"/>
  <c r="H12" i="80"/>
  <c r="H10" i="80"/>
  <c r="H9" i="80"/>
  <c r="N32" i="80" l="1"/>
  <c r="O32" i="80" s="1"/>
  <c r="N18" i="80"/>
  <c r="O18" i="80" s="1"/>
  <c r="N10" i="80"/>
  <c r="O10" i="80" s="1"/>
  <c r="O28" i="80"/>
  <c r="N21" i="80"/>
  <c r="O21" i="80" s="1"/>
  <c r="N29" i="80"/>
  <c r="O29" i="80" s="1"/>
  <c r="N24" i="80"/>
  <c r="O24" i="80" s="1"/>
  <c r="N20" i="80"/>
  <c r="O20" i="80" s="1"/>
  <c r="N16" i="80"/>
  <c r="O16" i="80" s="1"/>
  <c r="N12" i="80"/>
  <c r="O12" i="80" s="1"/>
  <c r="N9" i="80"/>
  <c r="O9" i="80" s="1"/>
  <c r="N17" i="80"/>
  <c r="O17" i="80" s="1"/>
  <c r="N25" i="80"/>
  <c r="O25" i="80" s="1"/>
  <c r="N22" i="80"/>
  <c r="O22" i="80" s="1"/>
  <c r="L22" i="80"/>
  <c r="N30" i="80"/>
  <c r="O30" i="80" s="1"/>
  <c r="L30" i="80"/>
  <c r="N14" i="80"/>
  <c r="O14" i="80" s="1"/>
  <c r="N31" i="80"/>
  <c r="O31" i="80" s="1"/>
  <c r="N23" i="80"/>
  <c r="O23" i="80" s="1"/>
  <c r="N15" i="80"/>
  <c r="O15" i="80" s="1"/>
  <c r="N27" i="80"/>
  <c r="O27" i="80" s="1"/>
  <c r="N11" i="80"/>
  <c r="O11" i="80" s="1"/>
  <c r="N19" i="80"/>
  <c r="O19" i="80" s="1"/>
  <c r="H23" i="16" l="1"/>
  <c r="H24" i="16"/>
  <c r="H43" i="16"/>
  <c r="H44" i="16"/>
  <c r="W35" i="78" l="1"/>
  <c r="AS35" i="78" s="1"/>
  <c r="W24" i="78"/>
  <c r="AS24" i="78" s="1"/>
  <c r="BO24" i="78" s="1"/>
  <c r="CK24" i="78" s="1"/>
  <c r="W9" i="78"/>
  <c r="AS9" i="78" s="1"/>
  <c r="BO9" i="78" s="1"/>
  <c r="CK9" i="78" s="1"/>
  <c r="W10" i="78"/>
  <c r="AS10" i="78" s="1"/>
  <c r="BO10" i="78" s="1"/>
  <c r="CK10" i="78" s="1"/>
  <c r="L11" i="78"/>
  <c r="AH11" i="78" s="1"/>
  <c r="BD11" i="78" s="1"/>
  <c r="BZ11" i="78" s="1"/>
  <c r="L12" i="78"/>
  <c r="AH12" i="78" s="1"/>
  <c r="BD12" i="78" s="1"/>
  <c r="BZ12" i="78" s="1"/>
  <c r="L13" i="78"/>
  <c r="AH13" i="78" s="1"/>
  <c r="BD13" i="78" s="1"/>
  <c r="BZ13" i="78" s="1"/>
  <c r="L14" i="78"/>
  <c r="AH14" i="78" s="1"/>
  <c r="BD14" i="78" s="1"/>
  <c r="BZ14" i="78" s="1"/>
  <c r="L15" i="78"/>
  <c r="AH15" i="78" s="1"/>
  <c r="BD15" i="78" s="1"/>
  <c r="BZ15" i="78" s="1"/>
  <c r="W16" i="78"/>
  <c r="AS16" i="78" s="1"/>
  <c r="BO16" i="78" s="1"/>
  <c r="CK16" i="78" s="1"/>
  <c r="W17" i="78"/>
  <c r="AS17" i="78" s="1"/>
  <c r="BO17" i="78" s="1"/>
  <c r="CK17" i="78" s="1"/>
  <c r="W18" i="78"/>
  <c r="AS18" i="78" s="1"/>
  <c r="BO18" i="78" s="1"/>
  <c r="CK18" i="78" s="1"/>
  <c r="L19" i="78"/>
  <c r="AH19" i="78" s="1"/>
  <c r="BD19" i="78" s="1"/>
  <c r="BZ19" i="78" s="1"/>
  <c r="L20" i="78"/>
  <c r="AH20" i="78" s="1"/>
  <c r="BD20" i="78" s="1"/>
  <c r="BZ20" i="78" s="1"/>
  <c r="L21" i="78"/>
  <c r="AH21" i="78" s="1"/>
  <c r="BD21" i="78" s="1"/>
  <c r="BZ21" i="78" s="1"/>
  <c r="L22" i="78"/>
  <c r="AH22" i="78" s="1"/>
  <c r="BD22" i="78" s="1"/>
  <c r="BZ22" i="78" s="1"/>
  <c r="L23" i="78"/>
  <c r="AH23" i="78" s="1"/>
  <c r="BD23" i="78" s="1"/>
  <c r="BZ23" i="78" s="1"/>
  <c r="W25" i="78"/>
  <c r="AS25" i="78" s="1"/>
  <c r="BO25" i="78" s="1"/>
  <c r="CK25" i="78" s="1"/>
  <c r="W26" i="78"/>
  <c r="AS26" i="78" s="1"/>
  <c r="BO26" i="78" s="1"/>
  <c r="CK26" i="78" s="1"/>
  <c r="W27" i="78"/>
  <c r="AS27" i="78" s="1"/>
  <c r="BO27" i="78" s="1"/>
  <c r="CK27" i="78" s="1"/>
  <c r="L28" i="78"/>
  <c r="AH28" i="78" s="1"/>
  <c r="BD28" i="78" s="1"/>
  <c r="BZ28" i="78" s="1"/>
  <c r="L29" i="78"/>
  <c r="AH29" i="78" s="1"/>
  <c r="BD29" i="78" s="1"/>
  <c r="BZ29" i="78" s="1"/>
  <c r="L30" i="78"/>
  <c r="AH30" i="78" s="1"/>
  <c r="BD30" i="78" s="1"/>
  <c r="BZ30" i="78" s="1"/>
  <c r="L31" i="78"/>
  <c r="AH31" i="78" s="1"/>
  <c r="BD31" i="78" s="1"/>
  <c r="BZ31" i="78" s="1"/>
  <c r="W32" i="78"/>
  <c r="AS32" i="78" s="1"/>
  <c r="BO32" i="78" s="1"/>
  <c r="CK32" i="78" s="1"/>
  <c r="W8" i="78"/>
  <c r="AS8" i="78" s="1"/>
  <c r="BO8" i="78" s="1"/>
  <c r="CK8" i="78" s="1"/>
  <c r="BO35" i="78" l="1"/>
  <c r="AS72" i="78"/>
  <c r="AS109" i="78"/>
  <c r="AS146" i="78"/>
  <c r="L27" i="78"/>
  <c r="AH27" i="78" s="1"/>
  <c r="BD27" i="78" s="1"/>
  <c r="BZ27" i="78" s="1"/>
  <c r="L18" i="78"/>
  <c r="AH18" i="78" s="1"/>
  <c r="BD18" i="78" s="1"/>
  <c r="BZ18" i="78" s="1"/>
  <c r="W29" i="78"/>
  <c r="AS29" i="78" s="1"/>
  <c r="BO29" i="78" s="1"/>
  <c r="CK29" i="78" s="1"/>
  <c r="L10" i="78"/>
  <c r="AH10" i="78" s="1"/>
  <c r="BD10" i="78" s="1"/>
  <c r="BZ10" i="78" s="1"/>
  <c r="W28" i="78"/>
  <c r="AS28" i="78" s="1"/>
  <c r="BO28" i="78" s="1"/>
  <c r="CK28" i="78" s="1"/>
  <c r="W19" i="78"/>
  <c r="AS19" i="78" s="1"/>
  <c r="BO19" i="78" s="1"/>
  <c r="CK19" i="78" s="1"/>
  <c r="W13" i="78"/>
  <c r="AS13" i="78" s="1"/>
  <c r="BO13" i="78" s="1"/>
  <c r="CK13" i="78" s="1"/>
  <c r="W11" i="78"/>
  <c r="AS11" i="78" s="1"/>
  <c r="BO11" i="78" s="1"/>
  <c r="CK11" i="78" s="1"/>
  <c r="L9" i="78"/>
  <c r="AH9" i="78" s="1"/>
  <c r="BD9" i="78" s="1"/>
  <c r="BZ9" i="78" s="1"/>
  <c r="L26" i="78"/>
  <c r="AH26" i="78" s="1"/>
  <c r="BD26" i="78" s="1"/>
  <c r="BZ26" i="78" s="1"/>
  <c r="W21" i="78"/>
  <c r="AS21" i="78" s="1"/>
  <c r="BO21" i="78" s="1"/>
  <c r="CK21" i="78" s="1"/>
  <c r="W20" i="78"/>
  <c r="AS20" i="78" s="1"/>
  <c r="BO20" i="78" s="1"/>
  <c r="CK20" i="78" s="1"/>
  <c r="L17" i="78"/>
  <c r="AH17" i="78" s="1"/>
  <c r="BD17" i="78" s="1"/>
  <c r="BZ17" i="78" s="1"/>
  <c r="W12" i="78"/>
  <c r="AS12" i="78" s="1"/>
  <c r="BO12" i="78" s="1"/>
  <c r="CK12" i="78" s="1"/>
  <c r="W31" i="78"/>
  <c r="AS31" i="78" s="1"/>
  <c r="BO31" i="78" s="1"/>
  <c r="CK31" i="78" s="1"/>
  <c r="W23" i="78"/>
  <c r="AS23" i="78" s="1"/>
  <c r="BO23" i="78" s="1"/>
  <c r="CK23" i="78" s="1"/>
  <c r="W15" i="78"/>
  <c r="AS15" i="78" s="1"/>
  <c r="BO15" i="78" s="1"/>
  <c r="CK15" i="78" s="1"/>
  <c r="W30" i="78"/>
  <c r="AS30" i="78" s="1"/>
  <c r="BO30" i="78" s="1"/>
  <c r="CK30" i="78" s="1"/>
  <c r="W22" i="78"/>
  <c r="AS22" i="78" s="1"/>
  <c r="BO22" i="78" s="1"/>
  <c r="CK22" i="78" s="1"/>
  <c r="W14" i="78"/>
  <c r="AS14" i="78" s="1"/>
  <c r="BO14" i="78" s="1"/>
  <c r="CK14" i="78" s="1"/>
  <c r="L8" i="78"/>
  <c r="AH8" i="78" s="1"/>
  <c r="BD8" i="78" s="1"/>
  <c r="BZ8" i="78" s="1"/>
  <c r="L25" i="78"/>
  <c r="AH25" i="78" s="1"/>
  <c r="BD25" i="78" s="1"/>
  <c r="BZ25" i="78" s="1"/>
  <c r="L32" i="78"/>
  <c r="AH32" i="78" s="1"/>
  <c r="BD32" i="78" s="1"/>
  <c r="BZ32" i="78" s="1"/>
  <c r="L24" i="78"/>
  <c r="AH24" i="78" s="1"/>
  <c r="BD24" i="78" s="1"/>
  <c r="BZ24" i="78" s="1"/>
  <c r="L16" i="78"/>
  <c r="AH16" i="78" s="1"/>
  <c r="BD16" i="78" s="1"/>
  <c r="BZ16" i="78" s="1"/>
  <c r="L35" i="78"/>
  <c r="AH35" i="78" s="1"/>
  <c r="AH109" i="78" l="1"/>
  <c r="AH72" i="78"/>
  <c r="BD35" i="78"/>
  <c r="AH146" i="78"/>
  <c r="BO72" i="78"/>
  <c r="BO146" i="78"/>
  <c r="CK35" i="78"/>
  <c r="BO109" i="78"/>
  <c r="C6" i="16"/>
  <c r="D6" i="16"/>
  <c r="A477" i="76" s="1"/>
  <c r="E6" i="16"/>
  <c r="F6" i="16"/>
  <c r="B6" i="16"/>
  <c r="L1" i="16" l="1"/>
  <c r="L39" i="16" s="1"/>
  <c r="A1" i="16"/>
  <c r="M152" i="75"/>
  <c r="H80" i="16"/>
  <c r="M51" i="75" s="1"/>
  <c r="AE54" i="16"/>
  <c r="T52" i="16"/>
  <c r="T51" i="16"/>
  <c r="AE53" i="16"/>
  <c r="U53" i="16"/>
  <c r="AE51" i="16"/>
  <c r="AD51" i="16"/>
  <c r="AD47" i="16"/>
  <c r="AF47" i="16"/>
  <c r="T46" i="16"/>
  <c r="AE48" i="16"/>
  <c r="AF52" i="16"/>
  <c r="AF53" i="16"/>
  <c r="T50" i="16"/>
  <c r="AE47" i="16"/>
  <c r="U54" i="16"/>
  <c r="T48" i="16"/>
  <c r="U51" i="16"/>
  <c r="S47" i="16"/>
  <c r="AD46" i="16"/>
  <c r="T53" i="16"/>
  <c r="T54" i="16"/>
  <c r="S51" i="16"/>
  <c r="U49" i="16"/>
  <c r="U47" i="16"/>
  <c r="S46" i="16"/>
  <c r="AE52" i="16"/>
  <c r="AE50" i="16"/>
  <c r="U50" i="16"/>
  <c r="AF50" i="16"/>
  <c r="S49" i="16"/>
  <c r="T47" i="16"/>
  <c r="U48" i="16"/>
  <c r="AE49" i="16"/>
  <c r="T49" i="16"/>
  <c r="AD49" i="16"/>
  <c r="AE46" i="16"/>
  <c r="U56" i="16"/>
  <c r="U46" i="16"/>
  <c r="AD53" i="16"/>
  <c r="AD52" i="16"/>
  <c r="AF48" i="16"/>
  <c r="AE56" i="16"/>
  <c r="S48" i="16"/>
  <c r="S53" i="16"/>
  <c r="AF51" i="16"/>
  <c r="S52" i="16"/>
  <c r="S50" i="16"/>
  <c r="AD48" i="16"/>
  <c r="AD54" i="16"/>
  <c r="AF46" i="16"/>
  <c r="AF49" i="16"/>
  <c r="S54" i="16"/>
  <c r="AD50" i="16"/>
  <c r="U52" i="16"/>
  <c r="T56" i="16"/>
  <c r="AF54" i="16"/>
  <c r="AF56" i="16"/>
  <c r="AD56" i="16"/>
  <c r="S56" i="16"/>
  <c r="AA3" i="106"/>
  <c r="Y3" i="106"/>
  <c r="AB3" i="106"/>
  <c r="X3" i="106"/>
  <c r="W1" i="106" s="1"/>
  <c r="Z3" i="106"/>
  <c r="AC3" i="106"/>
  <c r="X1" i="106" s="1"/>
  <c r="CK72" i="78"/>
  <c r="CK146" i="78"/>
  <c r="CK109" i="78"/>
  <c r="BD72" i="78"/>
  <c r="BZ35" i="78"/>
  <c r="BD146" i="78"/>
  <c r="BD109" i="78"/>
  <c r="H79" i="16"/>
  <c r="H47" i="16"/>
  <c r="F50" i="16"/>
  <c r="F52" i="16"/>
  <c r="F54" i="16"/>
  <c r="H46" i="16"/>
  <c r="H48" i="16"/>
  <c r="F51" i="16"/>
  <c r="H49" i="16"/>
  <c r="H50" i="16"/>
  <c r="H51" i="16"/>
  <c r="F47" i="16"/>
  <c r="I81" i="16" s="1"/>
  <c r="N47" i="75" s="1"/>
  <c r="H52" i="16"/>
  <c r="F53" i="16"/>
  <c r="H53" i="16"/>
  <c r="F48" i="16"/>
  <c r="F46" i="16"/>
  <c r="I80" i="16" s="1"/>
  <c r="N51" i="75" s="1"/>
  <c r="F49" i="16"/>
  <c r="H54" i="16"/>
  <c r="I46" i="16"/>
  <c r="J54" i="16"/>
  <c r="I53" i="16"/>
  <c r="H82" i="16"/>
  <c r="M41" i="75" s="1"/>
  <c r="H84" i="16"/>
  <c r="M30" i="75" s="1"/>
  <c r="H85" i="16"/>
  <c r="M24" i="75" s="1"/>
  <c r="H83" i="16"/>
  <c r="M34" i="75" s="1"/>
  <c r="F62" i="16"/>
  <c r="N1" i="107" s="1"/>
  <c r="A1" i="107" s="1"/>
  <c r="H87" i="16"/>
  <c r="M15" i="75" s="1"/>
  <c r="H81" i="16"/>
  <c r="M47" i="75" s="1"/>
  <c r="H88" i="16"/>
  <c r="M11" i="75" s="1"/>
  <c r="F44" i="16"/>
  <c r="I79" i="16" s="1"/>
  <c r="H86" i="16"/>
  <c r="M19" i="75" s="1"/>
  <c r="H4" i="16"/>
  <c r="N152" i="75" s="1"/>
  <c r="C44" i="16"/>
  <c r="C62" i="16"/>
  <c r="A1" i="106" l="1"/>
  <c r="A150" i="75"/>
  <c r="P4" i="31"/>
  <c r="A1" i="31" s="1"/>
  <c r="P35" i="31"/>
  <c r="A34" i="31" s="1"/>
  <c r="BZ109" i="78"/>
  <c r="BZ72" i="78"/>
  <c r="BZ146" i="78"/>
  <c r="H42" i="16"/>
  <c r="H22" i="16"/>
  <c r="E65" i="16" l="1"/>
  <c r="B46" i="16"/>
  <c r="C72" i="16" l="1"/>
  <c r="C54" i="16"/>
  <c r="C69" i="16"/>
  <c r="C64" i="16"/>
  <c r="C46" i="16"/>
  <c r="C68" i="16"/>
  <c r="C50" i="16"/>
  <c r="C67" i="16"/>
  <c r="C49" i="16"/>
  <c r="C65" i="16"/>
  <c r="C47" i="16"/>
  <c r="C66" i="16"/>
  <c r="C48" i="16"/>
  <c r="C71" i="16"/>
  <c r="C53" i="16"/>
  <c r="C70" i="16"/>
  <c r="C52" i="16"/>
  <c r="C51" i="16"/>
  <c r="F18" i="16"/>
  <c r="F14" i="11"/>
  <c r="E14" i="11"/>
  <c r="D14" i="11"/>
  <c r="C14" i="11"/>
  <c r="D18" i="16"/>
  <c r="M163" i="75" s="1"/>
  <c r="E18" i="16"/>
  <c r="C18" i="16"/>
  <c r="Q40" i="80"/>
  <c r="E40" i="80"/>
  <c r="B41" i="80"/>
  <c r="B40" i="80"/>
  <c r="H27" i="11" l="1"/>
  <c r="I27" i="11"/>
  <c r="AB14" i="106"/>
  <c r="Y14" i="106"/>
  <c r="C51" i="18"/>
  <c r="I61" i="18" s="1"/>
  <c r="X14" i="106"/>
  <c r="AC14" i="106"/>
  <c r="AA14" i="106"/>
  <c r="E51" i="18"/>
  <c r="K61" i="18" s="1"/>
  <c r="Z14" i="106"/>
  <c r="F52" i="11"/>
  <c r="F41" i="11"/>
  <c r="D33" i="16"/>
  <c r="H36" i="16"/>
  <c r="H56" i="16" s="1"/>
  <c r="D51" i="18"/>
  <c r="H90" i="16"/>
  <c r="F74" i="16"/>
  <c r="N13" i="107" s="1"/>
  <c r="F51" i="18"/>
  <c r="F56" i="16"/>
  <c r="C86" i="12"/>
  <c r="C113" i="12"/>
  <c r="C74" i="16"/>
  <c r="C56" i="16"/>
  <c r="C52" i="11"/>
  <c r="C41" i="11"/>
  <c r="I60" i="18" l="1"/>
  <c r="J12" i="11"/>
  <c r="J25" i="11" s="1"/>
  <c r="K60" i="18"/>
  <c r="L51" i="18"/>
  <c r="L61" i="18"/>
  <c r="L60" i="18"/>
  <c r="J61" i="18"/>
  <c r="J60" i="18"/>
  <c r="D116" i="49"/>
  <c r="D117" i="49"/>
  <c r="D112" i="49"/>
  <c r="D113" i="49"/>
  <c r="D109" i="49"/>
  <c r="D103" i="49"/>
  <c r="D104" i="49"/>
  <c r="D98" i="49"/>
  <c r="D87" i="49"/>
  <c r="D88" i="49"/>
  <c r="D83" i="49"/>
  <c r="D84" i="49"/>
  <c r="D80" i="49"/>
  <c r="D74" i="49"/>
  <c r="D75" i="49"/>
  <c r="D69" i="49"/>
  <c r="D58" i="49"/>
  <c r="D59" i="49"/>
  <c r="D54" i="49"/>
  <c r="D55" i="49"/>
  <c r="D51" i="49"/>
  <c r="D45" i="49"/>
  <c r="D46" i="49"/>
  <c r="A97" i="49"/>
  <c r="A184" i="49" s="1"/>
  <c r="A271" i="49" s="1"/>
  <c r="A70" i="49"/>
  <c r="A157" i="49" s="1"/>
  <c r="A244" i="49" s="1"/>
  <c r="A47" i="49"/>
  <c r="A134" i="49" s="1"/>
  <c r="A221" i="49" s="1"/>
  <c r="A49" i="49"/>
  <c r="A136" i="49" s="1"/>
  <c r="A223" i="49" s="1"/>
  <c r="A81" i="49"/>
  <c r="A168" i="49" s="1"/>
  <c r="A255" i="49" s="1"/>
  <c r="A84" i="49"/>
  <c r="A171" i="49" s="1"/>
  <c r="A258" i="49" s="1"/>
  <c r="A86" i="49"/>
  <c r="A173" i="49" s="1"/>
  <c r="A260" i="49" s="1"/>
  <c r="D25" i="49" l="1"/>
  <c r="D26" i="49"/>
  <c r="D30" i="49"/>
  <c r="J14" i="11"/>
  <c r="J27" i="11" s="1"/>
  <c r="D22" i="49"/>
  <c r="D29" i="49"/>
  <c r="D17" i="49"/>
  <c r="D11" i="49"/>
  <c r="D16" i="49"/>
  <c r="A76" i="49"/>
  <c r="A163" i="49" s="1"/>
  <c r="A250" i="49" s="1"/>
  <c r="A55" i="49"/>
  <c r="A142" i="49" s="1"/>
  <c r="A229" i="49" s="1"/>
  <c r="A113" i="49"/>
  <c r="A200" i="49" s="1"/>
  <c r="A287" i="49" s="1"/>
  <c r="A102" i="49"/>
  <c r="A189" i="49" s="1"/>
  <c r="A276" i="49" s="1"/>
  <c r="A68" i="49"/>
  <c r="A155" i="49" s="1"/>
  <c r="A242" i="49" s="1"/>
  <c r="F80" i="49"/>
  <c r="F74" i="49"/>
  <c r="F55" i="49"/>
  <c r="F69" i="49"/>
  <c r="F75" i="49"/>
  <c r="F117" i="49"/>
  <c r="F84" i="49"/>
  <c r="F104" i="49"/>
  <c r="F112" i="49"/>
  <c r="F45" i="49"/>
  <c r="F116" i="49"/>
  <c r="F58" i="49"/>
  <c r="F113" i="49"/>
  <c r="A72" i="49"/>
  <c r="A159" i="49" s="1"/>
  <c r="A246" i="49" s="1"/>
  <c r="F59" i="49"/>
  <c r="F98" i="49"/>
  <c r="F51" i="49"/>
  <c r="F83" i="49"/>
  <c r="A105" i="49"/>
  <c r="A192" i="49" s="1"/>
  <c r="A279" i="49" s="1"/>
  <c r="F103" i="49"/>
  <c r="F88" i="49"/>
  <c r="A88" i="49"/>
  <c r="A175" i="49" s="1"/>
  <c r="A262" i="49" s="1"/>
  <c r="A39" i="49"/>
  <c r="A126" i="49" s="1"/>
  <c r="A213" i="49" s="1"/>
  <c r="F46" i="49"/>
  <c r="F54" i="49"/>
  <c r="F87" i="49"/>
  <c r="F109" i="49"/>
  <c r="A115" i="49"/>
  <c r="A202" i="49" s="1"/>
  <c r="A289" i="49" s="1"/>
  <c r="A107" i="49"/>
  <c r="A194" i="49" s="1"/>
  <c r="A281" i="49" s="1"/>
  <c r="A99" i="49"/>
  <c r="A186" i="49" s="1"/>
  <c r="A273" i="49" s="1"/>
  <c r="A78" i="49"/>
  <c r="A165" i="49" s="1"/>
  <c r="A252" i="49" s="1"/>
  <c r="A52" i="49"/>
  <c r="A139" i="49" s="1"/>
  <c r="A226" i="49" s="1"/>
  <c r="A110" i="49"/>
  <c r="A197" i="49" s="1"/>
  <c r="A284" i="49" s="1"/>
  <c r="A51" i="49"/>
  <c r="A138" i="49" s="1"/>
  <c r="A225" i="49" s="1"/>
  <c r="A89" i="49"/>
  <c r="A176" i="49" s="1"/>
  <c r="A263" i="49" s="1"/>
  <c r="A73" i="49"/>
  <c r="A160" i="49" s="1"/>
  <c r="A247" i="49" s="1"/>
  <c r="A109" i="49"/>
  <c r="A196" i="49" s="1"/>
  <c r="A283" i="49" s="1"/>
  <c r="A60" i="49"/>
  <c r="A147" i="49" s="1"/>
  <c r="A234" i="49" s="1"/>
  <c r="A44" i="49"/>
  <c r="A131" i="49" s="1"/>
  <c r="A218" i="49" s="1"/>
  <c r="A101" i="49"/>
  <c r="A188" i="49" s="1"/>
  <c r="A275" i="49" s="1"/>
  <c r="A59" i="49"/>
  <c r="A146" i="49" s="1"/>
  <c r="A233" i="49" s="1"/>
  <c r="A43" i="49"/>
  <c r="A130" i="49" s="1"/>
  <c r="A217" i="49" s="1"/>
  <c r="A118" i="49"/>
  <c r="A205" i="49" s="1"/>
  <c r="A292" i="49" s="1"/>
  <c r="A57" i="49"/>
  <c r="A144" i="49" s="1"/>
  <c r="A231" i="49" s="1"/>
  <c r="A41" i="49"/>
  <c r="A128" i="49" s="1"/>
  <c r="A215" i="49" s="1"/>
  <c r="A80" i="49"/>
  <c r="A167" i="49" s="1"/>
  <c r="A254" i="49" s="1"/>
  <c r="A117" i="49"/>
  <c r="A204" i="49" s="1"/>
  <c r="A291" i="49" s="1"/>
  <c r="A54" i="49"/>
  <c r="A141" i="49" s="1"/>
  <c r="A228" i="49" s="1"/>
  <c r="A46" i="49"/>
  <c r="A133" i="49" s="1"/>
  <c r="A220" i="49" s="1"/>
  <c r="A38" i="49"/>
  <c r="A125" i="49" s="1"/>
  <c r="A212" i="49" s="1"/>
  <c r="A83" i="49"/>
  <c r="A170" i="49" s="1"/>
  <c r="A257" i="49" s="1"/>
  <c r="A75" i="49"/>
  <c r="A162" i="49" s="1"/>
  <c r="A249" i="49" s="1"/>
  <c r="A67" i="49"/>
  <c r="A154" i="49" s="1"/>
  <c r="A241" i="49" s="1"/>
  <c r="A112" i="49"/>
  <c r="A199" i="49" s="1"/>
  <c r="A286" i="49" s="1"/>
  <c r="A104" i="49"/>
  <c r="A191" i="49" s="1"/>
  <c r="A278" i="49" s="1"/>
  <c r="A96" i="49"/>
  <c r="A183" i="49" s="1"/>
  <c r="A270" i="49" s="1"/>
  <c r="A53" i="49"/>
  <c r="A140" i="49" s="1"/>
  <c r="A227" i="49" s="1"/>
  <c r="A45" i="49"/>
  <c r="A132" i="49" s="1"/>
  <c r="A219" i="49" s="1"/>
  <c r="A37" i="49"/>
  <c r="A124" i="49" s="1"/>
  <c r="A211" i="49" s="1"/>
  <c r="A82" i="49"/>
  <c r="A169" i="49" s="1"/>
  <c r="A256" i="49" s="1"/>
  <c r="A74" i="49"/>
  <c r="A161" i="49" s="1"/>
  <c r="A248" i="49" s="1"/>
  <c r="A66" i="49"/>
  <c r="A153" i="49" s="1"/>
  <c r="A240" i="49" s="1"/>
  <c r="A111" i="49"/>
  <c r="A198" i="49" s="1"/>
  <c r="A285" i="49" s="1"/>
  <c r="A103" i="49"/>
  <c r="A190" i="49" s="1"/>
  <c r="A277" i="49" s="1"/>
  <c r="A95" i="49"/>
  <c r="A182" i="49" s="1"/>
  <c r="A269" i="49" s="1"/>
  <c r="A58" i="49"/>
  <c r="A145" i="49" s="1"/>
  <c r="A232" i="49" s="1"/>
  <c r="A50" i="49"/>
  <c r="A137" i="49" s="1"/>
  <c r="A224" i="49" s="1"/>
  <c r="A42" i="49"/>
  <c r="A129" i="49" s="1"/>
  <c r="A216" i="49" s="1"/>
  <c r="A87" i="49"/>
  <c r="A174" i="49" s="1"/>
  <c r="A261" i="49" s="1"/>
  <c r="A79" i="49"/>
  <c r="A166" i="49" s="1"/>
  <c r="A253" i="49" s="1"/>
  <c r="A71" i="49"/>
  <c r="A158" i="49" s="1"/>
  <c r="A245" i="49" s="1"/>
  <c r="A116" i="49"/>
  <c r="A203" i="49" s="1"/>
  <c r="A290" i="49" s="1"/>
  <c r="A108" i="49"/>
  <c r="A195" i="49" s="1"/>
  <c r="A282" i="49" s="1"/>
  <c r="A100" i="49"/>
  <c r="A187" i="49" s="1"/>
  <c r="A274" i="49" s="1"/>
  <c r="A56" i="49"/>
  <c r="A143" i="49" s="1"/>
  <c r="A230" i="49" s="1"/>
  <c r="A48" i="49"/>
  <c r="A135" i="49" s="1"/>
  <c r="A222" i="49" s="1"/>
  <c r="A40" i="49"/>
  <c r="A127" i="49" s="1"/>
  <c r="A214" i="49" s="1"/>
  <c r="A85" i="49"/>
  <c r="A172" i="49" s="1"/>
  <c r="A259" i="49" s="1"/>
  <c r="A77" i="49"/>
  <c r="A164" i="49" s="1"/>
  <c r="A251" i="49" s="1"/>
  <c r="A69" i="49"/>
  <c r="A156" i="49" s="1"/>
  <c r="A243" i="49" s="1"/>
  <c r="A114" i="49"/>
  <c r="A201" i="49" s="1"/>
  <c r="A288" i="49" s="1"/>
  <c r="A106" i="49"/>
  <c r="A193" i="49" s="1"/>
  <c r="A280" i="49" s="1"/>
  <c r="A98" i="49"/>
  <c r="A185" i="49" s="1"/>
  <c r="A272" i="49" s="1"/>
  <c r="F29" i="49" l="1"/>
  <c r="F22" i="49"/>
  <c r="F16" i="49"/>
  <c r="F30" i="49"/>
  <c r="F25" i="49"/>
  <c r="F17" i="49"/>
  <c r="F11" i="49"/>
  <c r="F26" i="49"/>
  <c r="A15" i="44" l="1"/>
  <c r="A6" i="44"/>
  <c r="A7" i="44"/>
  <c r="A5" i="44"/>
  <c r="A109" i="71"/>
  <c r="A120" i="71"/>
  <c r="A84" i="71"/>
  <c r="A85" i="71"/>
  <c r="A67" i="18"/>
  <c r="A50" i="71"/>
  <c r="A88" i="71"/>
  <c r="A126" i="71"/>
  <c r="A73" i="18"/>
  <c r="A74" i="18"/>
  <c r="A93" i="71"/>
  <c r="A131" i="71"/>
  <c r="A96" i="71"/>
  <c r="A134" i="71"/>
  <c r="A61" i="71"/>
  <c r="A136" i="71"/>
  <c r="A139" i="71"/>
  <c r="A104" i="71"/>
  <c r="A142" i="71"/>
  <c r="A119" i="71"/>
  <c r="A18" i="16"/>
  <c r="A9" i="16"/>
  <c r="A10" i="16"/>
  <c r="A11" i="16"/>
  <c r="A12" i="16"/>
  <c r="A13" i="16"/>
  <c r="A14" i="16"/>
  <c r="A15" i="16"/>
  <c r="A16" i="16"/>
  <c r="A8" i="16"/>
  <c r="L71" i="16" l="1"/>
  <c r="W71" i="16"/>
  <c r="L53" i="16"/>
  <c r="L33" i="16"/>
  <c r="W53" i="16"/>
  <c r="W33" i="16"/>
  <c r="L32" i="16"/>
  <c r="L70" i="16"/>
  <c r="W70" i="16"/>
  <c r="L52" i="16"/>
  <c r="W52" i="16"/>
  <c r="W32" i="16"/>
  <c r="L69" i="16"/>
  <c r="W69" i="16"/>
  <c r="L51" i="16"/>
  <c r="L31" i="16"/>
  <c r="W51" i="16"/>
  <c r="W31" i="16"/>
  <c r="L68" i="16"/>
  <c r="L30" i="16"/>
  <c r="W68" i="16"/>
  <c r="L50" i="16"/>
  <c r="W50" i="16"/>
  <c r="W30" i="16"/>
  <c r="L67" i="16"/>
  <c r="W67" i="16"/>
  <c r="L49" i="16"/>
  <c r="L29" i="16"/>
  <c r="W49" i="16"/>
  <c r="W29" i="16"/>
  <c r="W48" i="16"/>
  <c r="W28" i="16"/>
  <c r="L66" i="16"/>
  <c r="W66" i="16"/>
  <c r="L48" i="16"/>
  <c r="L28" i="16"/>
  <c r="W64" i="16"/>
  <c r="L46" i="16"/>
  <c r="L26" i="16"/>
  <c r="W46" i="16"/>
  <c r="W26" i="16"/>
  <c r="L64" i="16"/>
  <c r="L47" i="16"/>
  <c r="L27" i="16"/>
  <c r="W47" i="16"/>
  <c r="W27" i="16"/>
  <c r="L65" i="16"/>
  <c r="W65" i="16"/>
  <c r="W72" i="16"/>
  <c r="L54" i="16"/>
  <c r="L34" i="16"/>
  <c r="W54" i="16"/>
  <c r="W34" i="16"/>
  <c r="L72" i="16"/>
  <c r="A51" i="18"/>
  <c r="L56" i="16"/>
  <c r="L36" i="16"/>
  <c r="W56" i="16"/>
  <c r="W36" i="16"/>
  <c r="L74" i="16"/>
  <c r="W74" i="16"/>
  <c r="A56" i="71"/>
  <c r="A49" i="71"/>
  <c r="L14" i="75"/>
  <c r="A103" i="71"/>
  <c r="A90" i="71"/>
  <c r="A87" i="71"/>
  <c r="A133" i="71"/>
  <c r="A65" i="71"/>
  <c r="A141" i="71"/>
  <c r="A57" i="71"/>
  <c r="A102" i="71"/>
  <c r="A135" i="71"/>
  <c r="A125" i="71"/>
  <c r="A143" i="71"/>
  <c r="A86" i="71"/>
  <c r="A72" i="71"/>
  <c r="A106" i="71"/>
  <c r="A45" i="71"/>
  <c r="A54" i="71"/>
  <c r="A132" i="71"/>
  <c r="A146" i="71"/>
  <c r="A69" i="71"/>
  <c r="A53" i="71"/>
  <c r="A99" i="71"/>
  <c r="A83" i="71"/>
  <c r="A130" i="71"/>
  <c r="A66" i="18"/>
  <c r="A98" i="71"/>
  <c r="A127" i="71"/>
  <c r="A64" i="71"/>
  <c r="A48" i="71"/>
  <c r="A95" i="71"/>
  <c r="A25" i="18"/>
  <c r="A62" i="71"/>
  <c r="A46" i="71"/>
  <c r="A94" i="71"/>
  <c r="A140" i="71"/>
  <c r="A124" i="71"/>
  <c r="A82" i="71"/>
  <c r="A91" i="71"/>
  <c r="A138" i="71"/>
  <c r="A122" i="71"/>
  <c r="A64" i="18"/>
  <c r="A72" i="18"/>
  <c r="A63" i="71"/>
  <c r="A55" i="71"/>
  <c r="A47" i="71"/>
  <c r="A101" i="71"/>
  <c r="A123" i="71"/>
  <c r="A71" i="18"/>
  <c r="A137" i="71"/>
  <c r="A129" i="71"/>
  <c r="A121" i="71"/>
  <c r="A65" i="18"/>
  <c r="A68" i="71"/>
  <c r="A60" i="71"/>
  <c r="A52" i="71"/>
  <c r="A128" i="71"/>
  <c r="A100" i="71"/>
  <c r="A92" i="71"/>
  <c r="A67" i="71"/>
  <c r="A59" i="71"/>
  <c r="A51" i="71"/>
  <c r="A105" i="71"/>
  <c r="A97" i="71"/>
  <c r="A89" i="71"/>
  <c r="A66" i="71"/>
  <c r="A58" i="71"/>
  <c r="L49" i="76" l="1"/>
  <c r="L96" i="76"/>
  <c r="L23" i="76"/>
  <c r="L70" i="76"/>
  <c r="L23" i="75"/>
  <c r="A87" i="18"/>
  <c r="A96" i="18"/>
  <c r="L18" i="75"/>
  <c r="A92" i="18"/>
  <c r="L17" i="75"/>
  <c r="A93" i="18"/>
  <c r="A81" i="18"/>
  <c r="L29" i="75"/>
  <c r="A100" i="18"/>
  <c r="L10" i="75"/>
  <c r="A77" i="18"/>
  <c r="L33" i="75"/>
  <c r="A70" i="18"/>
  <c r="L40" i="75"/>
  <c r="L4" i="83" l="1"/>
  <c r="O4" i="83" s="1"/>
  <c r="R4" i="83" s="1"/>
  <c r="F4" i="83"/>
  <c r="E4" i="83"/>
  <c r="H4" i="83" l="1"/>
  <c r="AM5" i="80"/>
  <c r="Z5" i="80"/>
  <c r="K4" i="83" l="1"/>
  <c r="N4" i="83" s="1"/>
  <c r="Q4" i="83" s="1"/>
  <c r="A67" i="80" l="1"/>
  <c r="A66" i="80"/>
  <c r="A65" i="80"/>
  <c r="A64" i="80"/>
  <c r="A63" i="80"/>
  <c r="A62" i="80"/>
  <c r="A61" i="80"/>
  <c r="A59" i="80"/>
  <c r="A58" i="80"/>
  <c r="A57" i="80"/>
  <c r="A56" i="80"/>
  <c r="A55" i="80"/>
  <c r="A54" i="80"/>
  <c r="A53" i="80"/>
  <c r="A51" i="80"/>
  <c r="A50" i="80"/>
  <c r="A49" i="80"/>
  <c r="A48" i="80"/>
  <c r="A47" i="80"/>
  <c r="A46" i="80"/>
  <c r="A45" i="80"/>
  <c r="A44" i="80"/>
  <c r="A71" i="80"/>
  <c r="I41" i="80"/>
  <c r="C41" i="80"/>
  <c r="A41" i="80"/>
  <c r="N40" i="80"/>
  <c r="K40" i="80"/>
  <c r="H40" i="80"/>
  <c r="K39" i="80"/>
  <c r="A35" i="80"/>
  <c r="AT14" i="80"/>
  <c r="AT12" i="80"/>
  <c r="AT10" i="80"/>
  <c r="AT8" i="80"/>
  <c r="L5" i="80"/>
  <c r="O5" i="80" s="1"/>
  <c r="R5" i="80" s="1"/>
  <c r="F5" i="80"/>
  <c r="F41" i="80" s="1"/>
  <c r="E5" i="80"/>
  <c r="E41" i="80" s="1"/>
  <c r="H55" i="80" l="1"/>
  <c r="I63" i="80"/>
  <c r="R65" i="80"/>
  <c r="I46" i="80"/>
  <c r="I65" i="80"/>
  <c r="H65" i="80"/>
  <c r="R68" i="80"/>
  <c r="R60" i="80"/>
  <c r="R59" i="80"/>
  <c r="R52" i="80"/>
  <c r="R51" i="80"/>
  <c r="I61" i="80"/>
  <c r="I53" i="80"/>
  <c r="I45" i="80"/>
  <c r="R63" i="80"/>
  <c r="H57" i="80"/>
  <c r="H51" i="80"/>
  <c r="I47" i="80"/>
  <c r="R66" i="80"/>
  <c r="R67" i="80"/>
  <c r="R50" i="80"/>
  <c r="I62" i="80"/>
  <c r="I58" i="80"/>
  <c r="I54" i="80"/>
  <c r="H67" i="80"/>
  <c r="R61" i="80"/>
  <c r="R62" i="80"/>
  <c r="H58" i="80"/>
  <c r="I56" i="80"/>
  <c r="R55" i="80"/>
  <c r="I55" i="80"/>
  <c r="R54" i="80"/>
  <c r="R53" i="80"/>
  <c r="R47" i="80"/>
  <c r="I48" i="80"/>
  <c r="R46" i="80"/>
  <c r="I51" i="80"/>
  <c r="I59" i="80"/>
  <c r="I67" i="80"/>
  <c r="R48" i="80"/>
  <c r="R56" i="80"/>
  <c r="R64" i="80"/>
  <c r="I64" i="80"/>
  <c r="I57" i="80"/>
  <c r="I50" i="80"/>
  <c r="F64" i="80"/>
  <c r="I52" i="80"/>
  <c r="I60" i="80"/>
  <c r="I68" i="80"/>
  <c r="R49" i="80"/>
  <c r="R57" i="80"/>
  <c r="I49" i="80"/>
  <c r="H59" i="80"/>
  <c r="C61" i="80"/>
  <c r="I66" i="80"/>
  <c r="H62" i="80"/>
  <c r="R58" i="80"/>
  <c r="H49" i="80"/>
  <c r="H48" i="80"/>
  <c r="H60" i="80"/>
  <c r="H52" i="80"/>
  <c r="H68" i="80"/>
  <c r="H66" i="80"/>
  <c r="H47" i="80"/>
  <c r="H50" i="80"/>
  <c r="H56" i="80"/>
  <c r="H63" i="80"/>
  <c r="H54" i="80"/>
  <c r="H45" i="80"/>
  <c r="H53" i="80"/>
  <c r="H61" i="80"/>
  <c r="H46" i="80"/>
  <c r="H64" i="80"/>
  <c r="H5" i="80"/>
  <c r="H41" i="80" s="1"/>
  <c r="I40" i="80"/>
  <c r="A37" i="80" s="1"/>
  <c r="A52" i="80"/>
  <c r="A60" i="80"/>
  <c r="A68" i="80"/>
  <c r="I4" i="80"/>
  <c r="A1" i="80" s="1"/>
  <c r="L41" i="80"/>
  <c r="O41" i="80" s="1"/>
  <c r="R41" i="80" s="1"/>
  <c r="A37" i="79"/>
  <c r="A112" i="78"/>
  <c r="Z132" i="78"/>
  <c r="Z120" i="78"/>
  <c r="X120" i="78"/>
  <c r="M132" i="78"/>
  <c r="O126" i="78"/>
  <c r="M121" i="78"/>
  <c r="D95" i="78"/>
  <c r="E84" i="78"/>
  <c r="B126" i="78"/>
  <c r="B124" i="78"/>
  <c r="D121" i="78"/>
  <c r="Z95" i="78"/>
  <c r="Y43" i="78"/>
  <c r="A106" i="78"/>
  <c r="L106" i="78" s="1"/>
  <c r="AH106" i="78" s="1"/>
  <c r="BD106" i="78" s="1"/>
  <c r="BZ106" i="78" s="1"/>
  <c r="A142" i="78"/>
  <c r="L142" i="78" s="1"/>
  <c r="AH142" i="78" s="1"/>
  <c r="BD142" i="78" s="1"/>
  <c r="BZ142" i="78" s="1"/>
  <c r="A103" i="78"/>
  <c r="W103" i="78" s="1"/>
  <c r="AS103" i="78" s="1"/>
  <c r="BO103" i="78" s="1"/>
  <c r="CK103" i="78" s="1"/>
  <c r="A63" i="78"/>
  <c r="L63" i="78" s="1"/>
  <c r="AH63" i="78" s="1"/>
  <c r="BD63" i="78" s="1"/>
  <c r="BZ63" i="78" s="1"/>
  <c r="A98" i="78"/>
  <c r="L98" i="78" s="1"/>
  <c r="AH98" i="78" s="1"/>
  <c r="BD98" i="78" s="1"/>
  <c r="BZ98" i="78" s="1"/>
  <c r="A95" i="78"/>
  <c r="W95" i="78" s="1"/>
  <c r="AS95" i="78" s="1"/>
  <c r="BO95" i="78" s="1"/>
  <c r="CK95" i="78" s="1"/>
  <c r="A55" i="78"/>
  <c r="L55" i="78" s="1"/>
  <c r="AH55" i="78" s="1"/>
  <c r="BD55" i="78" s="1"/>
  <c r="BZ55" i="78" s="1"/>
  <c r="A90" i="78"/>
  <c r="L90" i="78" s="1"/>
  <c r="AH90" i="78" s="1"/>
  <c r="BD90" i="78" s="1"/>
  <c r="BZ90" i="78" s="1"/>
  <c r="A126" i="78"/>
  <c r="L126" i="78" s="1"/>
  <c r="AH126" i="78" s="1"/>
  <c r="BD126" i="78" s="1"/>
  <c r="BZ126" i="78" s="1"/>
  <c r="A87" i="78"/>
  <c r="W87" i="78" s="1"/>
  <c r="AS87" i="78" s="1"/>
  <c r="BO87" i="78" s="1"/>
  <c r="CK87" i="78" s="1"/>
  <c r="A47" i="78"/>
  <c r="L47" i="78" s="1"/>
  <c r="AH47" i="78" s="1"/>
  <c r="BD47" i="78" s="1"/>
  <c r="BZ47" i="78" s="1"/>
  <c r="A83" i="78"/>
  <c r="L83" i="78" s="1"/>
  <c r="AH83" i="78" s="1"/>
  <c r="BD83" i="78" s="1"/>
  <c r="BZ83" i="78" s="1"/>
  <c r="A119" i="78"/>
  <c r="L119" i="78" s="1"/>
  <c r="AH119" i="78" s="1"/>
  <c r="BD119" i="78" s="1"/>
  <c r="BZ119" i="78" s="1"/>
  <c r="W146" i="78"/>
  <c r="L146" i="78"/>
  <c r="A146" i="78"/>
  <c r="Z133" i="78"/>
  <c r="AA131" i="78"/>
  <c r="M126" i="78"/>
  <c r="O124" i="78"/>
  <c r="AA119" i="78"/>
  <c r="X119" i="78"/>
  <c r="Z117" i="78"/>
  <c r="E117" i="78"/>
  <c r="W109" i="78"/>
  <c r="L109" i="78"/>
  <c r="A109" i="78"/>
  <c r="Z96" i="78"/>
  <c r="O87" i="78"/>
  <c r="Z84" i="78"/>
  <c r="E80" i="78"/>
  <c r="W72" i="78"/>
  <c r="L72" i="78"/>
  <c r="A72" i="78"/>
  <c r="AA43" i="78"/>
  <c r="Z43" i="78"/>
  <c r="U43" i="78"/>
  <c r="U80" i="78" s="1"/>
  <c r="T43" i="78"/>
  <c r="T80" i="78" s="1"/>
  <c r="S43" i="78"/>
  <c r="S80" i="78" s="1"/>
  <c r="P43" i="78"/>
  <c r="O43" i="78"/>
  <c r="J43" i="78"/>
  <c r="J80" i="78" s="1"/>
  <c r="I43" i="78"/>
  <c r="I80" i="78" s="1"/>
  <c r="H43" i="78"/>
  <c r="H80" i="78" s="1"/>
  <c r="F43" i="78"/>
  <c r="E43" i="78"/>
  <c r="D43" i="78"/>
  <c r="U42" i="78"/>
  <c r="U79" i="78" s="1"/>
  <c r="T42" i="78"/>
  <c r="T79" i="78" s="1"/>
  <c r="S42" i="78"/>
  <c r="S79" i="78" s="1"/>
  <c r="J42" i="78"/>
  <c r="J79" i="78" s="1"/>
  <c r="I42" i="78"/>
  <c r="I79" i="78" s="1"/>
  <c r="H42" i="78"/>
  <c r="H79" i="78" s="1"/>
  <c r="H78" i="78"/>
  <c r="Z80" i="78" l="1"/>
  <c r="X87" i="78"/>
  <c r="AB43" i="78"/>
  <c r="AA96" i="78"/>
  <c r="AA117" i="78"/>
  <c r="P82" i="78"/>
  <c r="Q43" i="78"/>
  <c r="W75" i="78"/>
  <c r="AA94" i="78"/>
  <c r="AA80" i="78"/>
  <c r="AA95" i="78"/>
  <c r="P117" i="78"/>
  <c r="X43" i="78"/>
  <c r="M43" i="78"/>
  <c r="M117" i="78"/>
  <c r="X82" i="78"/>
  <c r="X117" i="78"/>
  <c r="X80" i="78"/>
  <c r="AA86" i="78"/>
  <c r="A128" i="78"/>
  <c r="L128" i="78" s="1"/>
  <c r="AH128" i="78" s="1"/>
  <c r="BD128" i="78" s="1"/>
  <c r="BZ128" i="78" s="1"/>
  <c r="A136" i="78"/>
  <c r="L136" i="78" s="1"/>
  <c r="AH136" i="78" s="1"/>
  <c r="BD136" i="78" s="1"/>
  <c r="BZ136" i="78" s="1"/>
  <c r="W119" i="78"/>
  <c r="AS119" i="78" s="1"/>
  <c r="BO119" i="78" s="1"/>
  <c r="CK119" i="78" s="1"/>
  <c r="A127" i="78"/>
  <c r="W127" i="78" s="1"/>
  <c r="AS127" i="78" s="1"/>
  <c r="BO127" i="78" s="1"/>
  <c r="CK127" i="78" s="1"/>
  <c r="A135" i="78"/>
  <c r="W135" i="78" s="1"/>
  <c r="AS135" i="78" s="1"/>
  <c r="BO135" i="78" s="1"/>
  <c r="CK135" i="78" s="1"/>
  <c r="W83" i="78"/>
  <c r="AS83" i="78" s="1"/>
  <c r="BO83" i="78" s="1"/>
  <c r="CK83" i="78" s="1"/>
  <c r="L87" i="78"/>
  <c r="AH87" i="78" s="1"/>
  <c r="BD87" i="78" s="1"/>
  <c r="BZ87" i="78" s="1"/>
  <c r="W98" i="78"/>
  <c r="AS98" i="78" s="1"/>
  <c r="BO98" i="78" s="1"/>
  <c r="CK98" i="78" s="1"/>
  <c r="A120" i="78"/>
  <c r="L120" i="78" s="1"/>
  <c r="AH120" i="78" s="1"/>
  <c r="BD120" i="78" s="1"/>
  <c r="BZ120" i="78" s="1"/>
  <c r="W106" i="78"/>
  <c r="AS106" i="78" s="1"/>
  <c r="BO106" i="78" s="1"/>
  <c r="CK106" i="78" s="1"/>
  <c r="A85" i="78"/>
  <c r="L85" i="78" s="1"/>
  <c r="AH85" i="78" s="1"/>
  <c r="BD85" i="78" s="1"/>
  <c r="BZ85" i="78" s="1"/>
  <c r="L95" i="78"/>
  <c r="AH95" i="78" s="1"/>
  <c r="BD95" i="78" s="1"/>
  <c r="BZ95" i="78" s="1"/>
  <c r="A92" i="78"/>
  <c r="L92" i="78" s="1"/>
  <c r="AH92" i="78" s="1"/>
  <c r="BD92" i="78" s="1"/>
  <c r="BZ92" i="78" s="1"/>
  <c r="A130" i="78"/>
  <c r="L103" i="78"/>
  <c r="AH103" i="78" s="1"/>
  <c r="BD103" i="78" s="1"/>
  <c r="BZ103" i="78" s="1"/>
  <c r="W90" i="78"/>
  <c r="AS90" i="78" s="1"/>
  <c r="BO90" i="78" s="1"/>
  <c r="CK90" i="78" s="1"/>
  <c r="A138" i="78"/>
  <c r="A84" i="78"/>
  <c r="L84" i="78" s="1"/>
  <c r="AH84" i="78" s="1"/>
  <c r="BD84" i="78" s="1"/>
  <c r="BZ84" i="78" s="1"/>
  <c r="W47" i="78"/>
  <c r="AS47" i="78" s="1"/>
  <c r="BO47" i="78" s="1"/>
  <c r="CK47" i="78" s="1"/>
  <c r="W55" i="78"/>
  <c r="AS55" i="78" s="1"/>
  <c r="BO55" i="78" s="1"/>
  <c r="CK55" i="78" s="1"/>
  <c r="A122" i="78"/>
  <c r="W63" i="78"/>
  <c r="AS63" i="78" s="1"/>
  <c r="BO63" i="78" s="1"/>
  <c r="CK63" i="78" s="1"/>
  <c r="A56" i="78"/>
  <c r="A143" i="78"/>
  <c r="L143" i="78" s="1"/>
  <c r="AH143" i="78" s="1"/>
  <c r="BD143" i="78" s="1"/>
  <c r="BZ143" i="78" s="1"/>
  <c r="A104" i="78"/>
  <c r="A141" i="78"/>
  <c r="A52" i="78"/>
  <c r="A60" i="78"/>
  <c r="A68" i="78"/>
  <c r="W142" i="78"/>
  <c r="AS142" i="78" s="1"/>
  <c r="BO142" i="78" s="1"/>
  <c r="CK142" i="78" s="1"/>
  <c r="A125" i="78"/>
  <c r="A96" i="78"/>
  <c r="A133" i="78"/>
  <c r="A134" i="78"/>
  <c r="W126" i="78"/>
  <c r="AS126" i="78" s="1"/>
  <c r="BO126" i="78" s="1"/>
  <c r="CK126" i="78" s="1"/>
  <c r="A48" i="78"/>
  <c r="A93" i="78"/>
  <c r="A121" i="78"/>
  <c r="A129" i="78"/>
  <c r="A137" i="78"/>
  <c r="A64" i="78"/>
  <c r="A101" i="78"/>
  <c r="A123" i="78"/>
  <c r="A131" i="78"/>
  <c r="A139" i="78"/>
  <c r="A100" i="78"/>
  <c r="A124" i="78"/>
  <c r="A132" i="78"/>
  <c r="A140" i="78"/>
  <c r="F46" i="80"/>
  <c r="F57" i="80"/>
  <c r="F61" i="80"/>
  <c r="F45" i="80"/>
  <c r="F47" i="80"/>
  <c r="F49" i="80"/>
  <c r="K61" i="80"/>
  <c r="K48" i="80"/>
  <c r="L48" i="80" s="1"/>
  <c r="K53" i="80"/>
  <c r="C59" i="80"/>
  <c r="K59" i="80"/>
  <c r="K68" i="80"/>
  <c r="K66" i="80"/>
  <c r="C45" i="80"/>
  <c r="K62" i="80"/>
  <c r="K65" i="80"/>
  <c r="C67" i="80"/>
  <c r="K56" i="80"/>
  <c r="L56" i="80" s="1"/>
  <c r="K58" i="80"/>
  <c r="N58" i="80" s="1"/>
  <c r="O58" i="80" s="1"/>
  <c r="K49" i="80"/>
  <c r="C49" i="80"/>
  <c r="K54" i="80"/>
  <c r="K55" i="80"/>
  <c r="N55" i="80" s="1"/>
  <c r="O55" i="80" s="1"/>
  <c r="K63" i="80"/>
  <c r="L63" i="80" s="1"/>
  <c r="K67" i="80"/>
  <c r="C62" i="80"/>
  <c r="K50" i="80"/>
  <c r="H71" i="80"/>
  <c r="K51" i="80"/>
  <c r="C55" i="80"/>
  <c r="C54" i="80"/>
  <c r="C63" i="80"/>
  <c r="C52" i="80"/>
  <c r="K45" i="80"/>
  <c r="K47" i="80"/>
  <c r="K57" i="80"/>
  <c r="K60" i="80"/>
  <c r="N60" i="80" s="1"/>
  <c r="O60" i="80" s="1"/>
  <c r="C68" i="80"/>
  <c r="X13" i="79"/>
  <c r="AA126" i="78"/>
  <c r="AA124" i="78"/>
  <c r="AA121" i="78"/>
  <c r="Z83" i="78"/>
  <c r="Z126" i="78"/>
  <c r="X125" i="78"/>
  <c r="X94" i="78"/>
  <c r="O95" i="78"/>
  <c r="P119" i="78"/>
  <c r="O119" i="78"/>
  <c r="M131" i="78"/>
  <c r="E131" i="78"/>
  <c r="E124" i="78"/>
  <c r="E121" i="78"/>
  <c r="E120" i="78"/>
  <c r="E132" i="78"/>
  <c r="D124" i="78"/>
  <c r="B133" i="78"/>
  <c r="B120" i="78"/>
  <c r="B131" i="78"/>
  <c r="D80" i="78"/>
  <c r="B43" i="78"/>
  <c r="B83" i="78"/>
  <c r="P96" i="78"/>
  <c r="P80" i="78"/>
  <c r="O80" i="78"/>
  <c r="O82" i="78"/>
  <c r="O117" i="78"/>
  <c r="P88" i="78"/>
  <c r="L38" i="78"/>
  <c r="M84" i="78"/>
  <c r="X22" i="79"/>
  <c r="AA132" i="78"/>
  <c r="AA84" i="78"/>
  <c r="AA120" i="78"/>
  <c r="AA83" i="78"/>
  <c r="Z121" i="78"/>
  <c r="Z88" i="78"/>
  <c r="Z125" i="78"/>
  <c r="X131" i="78"/>
  <c r="X89" i="78"/>
  <c r="X126" i="78"/>
  <c r="X83" i="78"/>
  <c r="P91" i="78"/>
  <c r="P131" i="78"/>
  <c r="O132" i="78"/>
  <c r="O131" i="78"/>
  <c r="M124" i="78"/>
  <c r="E133" i="78"/>
  <c r="E126" i="78"/>
  <c r="E125" i="78"/>
  <c r="E119" i="78"/>
  <c r="D133" i="78"/>
  <c r="E94" i="78"/>
  <c r="D125" i="78"/>
  <c r="D120" i="78"/>
  <c r="E83" i="78"/>
  <c r="D132" i="78"/>
  <c r="D131" i="78"/>
  <c r="D126" i="78"/>
  <c r="B132" i="78"/>
  <c r="B125" i="78"/>
  <c r="B87" i="78"/>
  <c r="B121" i="78"/>
  <c r="E89" i="78"/>
  <c r="D87" i="78"/>
  <c r="E95" i="78"/>
  <c r="E87" i="78"/>
  <c r="E88" i="78"/>
  <c r="E96" i="78"/>
  <c r="D89" i="78"/>
  <c r="D83" i="78"/>
  <c r="D96" i="78"/>
  <c r="D94" i="78"/>
  <c r="D84" i="78"/>
  <c r="D88" i="78"/>
  <c r="B117" i="78"/>
  <c r="B95" i="78"/>
  <c r="C43" i="78"/>
  <c r="B88" i="78"/>
  <c r="B94" i="78"/>
  <c r="B96" i="78"/>
  <c r="B89" i="78"/>
  <c r="B84" i="78"/>
  <c r="K46" i="80"/>
  <c r="K64" i="80"/>
  <c r="N64" i="80" s="1"/>
  <c r="O64" i="80" s="1"/>
  <c r="C60" i="80"/>
  <c r="F48" i="80"/>
  <c r="C66" i="80"/>
  <c r="C46" i="80"/>
  <c r="C53" i="80"/>
  <c r="F51" i="80"/>
  <c r="C71" i="80"/>
  <c r="I71" i="80"/>
  <c r="C65" i="80"/>
  <c r="C50" i="80"/>
  <c r="C58" i="80"/>
  <c r="C64" i="80"/>
  <c r="C47" i="80"/>
  <c r="K52" i="80"/>
  <c r="F66" i="80"/>
  <c r="F65" i="80"/>
  <c r="F63" i="80"/>
  <c r="F59" i="80"/>
  <c r="F68" i="80"/>
  <c r="F62" i="80"/>
  <c r="F54" i="80"/>
  <c r="F53" i="80"/>
  <c r="F71" i="80"/>
  <c r="F58" i="80"/>
  <c r="F60" i="80"/>
  <c r="F55" i="80"/>
  <c r="F67" i="80"/>
  <c r="F52" i="80"/>
  <c r="C56" i="80"/>
  <c r="F50" i="80"/>
  <c r="C51" i="80"/>
  <c r="F56" i="80"/>
  <c r="C57" i="80"/>
  <c r="C48" i="80"/>
  <c r="K5" i="80"/>
  <c r="N5" i="80" s="1"/>
  <c r="Q5" i="80" s="1"/>
  <c r="Q41" i="80" s="1"/>
  <c r="D93" i="78"/>
  <c r="M141" i="78"/>
  <c r="M134" i="78"/>
  <c r="P135" i="78"/>
  <c r="AA136" i="78"/>
  <c r="O127" i="78"/>
  <c r="M142" i="78"/>
  <c r="P130" i="78"/>
  <c r="O102" i="78"/>
  <c r="P85" i="78"/>
  <c r="O143" i="78"/>
  <c r="K41" i="80"/>
  <c r="N41" i="80" s="1"/>
  <c r="X127" i="78"/>
  <c r="X102" i="78"/>
  <c r="B102" i="78"/>
  <c r="X90" i="78"/>
  <c r="AA91" i="78"/>
  <c r="X139" i="78"/>
  <c r="O137" i="78"/>
  <c r="AA130" i="78"/>
  <c r="Z139" i="78"/>
  <c r="D129" i="78"/>
  <c r="O140" i="78"/>
  <c r="X142" i="78"/>
  <c r="D106" i="78"/>
  <c r="P122" i="78"/>
  <c r="O106" i="78"/>
  <c r="X136" i="78"/>
  <c r="AA140" i="78"/>
  <c r="X101" i="78"/>
  <c r="P123" i="78"/>
  <c r="O103" i="78"/>
  <c r="B123" i="78"/>
  <c r="B127" i="78"/>
  <c r="B135" i="78"/>
  <c r="B139" i="78"/>
  <c r="E130" i="78"/>
  <c r="E134" i="78"/>
  <c r="E142" i="78"/>
  <c r="M139" i="78"/>
  <c r="B91" i="78"/>
  <c r="F55" i="78"/>
  <c r="X128" i="78"/>
  <c r="D90" i="78"/>
  <c r="B92" i="78"/>
  <c r="B100" i="78"/>
  <c r="E91" i="78"/>
  <c r="E103" i="78"/>
  <c r="M140" i="78"/>
  <c r="O86" i="78"/>
  <c r="P138" i="78"/>
  <c r="AA99" i="78"/>
  <c r="X106" i="78"/>
  <c r="Z97" i="78"/>
  <c r="B97" i="78"/>
  <c r="B138" i="78"/>
  <c r="E141" i="78"/>
  <c r="B86" i="78"/>
  <c r="B90" i="78"/>
  <c r="B98" i="78"/>
  <c r="E93" i="78"/>
  <c r="E101" i="78"/>
  <c r="E105" i="78"/>
  <c r="X28" i="79"/>
  <c r="D91" i="78"/>
  <c r="E140" i="78"/>
  <c r="P106" i="78"/>
  <c r="P143" i="78"/>
  <c r="D128" i="78"/>
  <c r="E128" i="78"/>
  <c r="X98" i="78"/>
  <c r="X135" i="78"/>
  <c r="Z102" i="78"/>
  <c r="X105" i="78"/>
  <c r="AA143" i="78"/>
  <c r="O90" i="78"/>
  <c r="O130" i="78"/>
  <c r="P93" i="78"/>
  <c r="Z103" i="78"/>
  <c r="B129" i="78"/>
  <c r="B137" i="78"/>
  <c r="B104" i="78"/>
  <c r="X86" i="78"/>
  <c r="AA127" i="78"/>
  <c r="X138" i="78"/>
  <c r="AA139" i="78"/>
  <c r="B85" i="78"/>
  <c r="B101" i="78"/>
  <c r="E92" i="78"/>
  <c r="D141" i="78"/>
  <c r="O138" i="78"/>
  <c r="M104" i="78"/>
  <c r="M122" i="78"/>
  <c r="O134" i="78"/>
  <c r="M137" i="78"/>
  <c r="D136" i="78"/>
  <c r="E122" i="78"/>
  <c r="B141" i="78"/>
  <c r="Z99" i="78"/>
  <c r="AA142" i="78"/>
  <c r="B103" i="78"/>
  <c r="E90" i="78"/>
  <c r="X18" i="79"/>
  <c r="O28" i="79"/>
  <c r="D85" i="78"/>
  <c r="D139" i="78"/>
  <c r="E102" i="78"/>
  <c r="D100" i="78"/>
  <c r="P101" i="78"/>
  <c r="X85" i="78"/>
  <c r="X122" i="78"/>
  <c r="D86" i="78"/>
  <c r="D101" i="78"/>
  <c r="B128" i="78"/>
  <c r="B136" i="78"/>
  <c r="E123" i="78"/>
  <c r="E127" i="78"/>
  <c r="E139" i="78"/>
  <c r="E143" i="78"/>
  <c r="D104" i="78"/>
  <c r="D127" i="78"/>
  <c r="O85" i="78"/>
  <c r="D123" i="78"/>
  <c r="D135" i="78"/>
  <c r="E98" i="78"/>
  <c r="E106" i="78"/>
  <c r="D143" i="78"/>
  <c r="E104" i="78"/>
  <c r="D98" i="78"/>
  <c r="D92" i="78"/>
  <c r="D105" i="78"/>
  <c r="M129" i="78"/>
  <c r="M92" i="78"/>
  <c r="Z140" i="78"/>
  <c r="AA103" i="78"/>
  <c r="E135" i="78"/>
  <c r="B140" i="78"/>
  <c r="B105" i="78"/>
  <c r="E100" i="78"/>
  <c r="D137" i="78"/>
  <c r="M100" i="78"/>
  <c r="Z104" i="78"/>
  <c r="B130" i="78"/>
  <c r="B134" i="78"/>
  <c r="B142" i="78"/>
  <c r="E129" i="78"/>
  <c r="E137" i="78"/>
  <c r="E86" i="78"/>
  <c r="B93" i="78"/>
  <c r="B99" i="78"/>
  <c r="D102" i="78"/>
  <c r="B122" i="78"/>
  <c r="M123" i="78"/>
  <c r="P127" i="78"/>
  <c r="O135" i="78"/>
  <c r="M29" i="79"/>
  <c r="D142" i="78"/>
  <c r="D122" i="78"/>
  <c r="D130" i="78"/>
  <c r="D134" i="78"/>
  <c r="D97" i="78"/>
  <c r="D99" i="78"/>
  <c r="B106" i="78"/>
  <c r="D138" i="78"/>
  <c r="O142" i="78"/>
  <c r="P102" i="78"/>
  <c r="Z136" i="78"/>
  <c r="D60" i="78"/>
  <c r="D140" i="78"/>
  <c r="C66" i="78"/>
  <c r="B143" i="78"/>
  <c r="E138" i="78"/>
  <c r="E85" i="78"/>
  <c r="E97" i="78"/>
  <c r="E99" i="78"/>
  <c r="E136" i="78"/>
  <c r="AA123" i="78"/>
  <c r="AA129" i="78"/>
  <c r="Z91" i="78"/>
  <c r="X93" i="78"/>
  <c r="Z141" i="78"/>
  <c r="X143" i="78"/>
  <c r="N50" i="78"/>
  <c r="AA134" i="78"/>
  <c r="AA137" i="78"/>
  <c r="M136" i="78"/>
  <c r="P99" i="78"/>
  <c r="P104" i="78"/>
  <c r="AA92" i="78"/>
  <c r="X134" i="78"/>
  <c r="AA105" i="78"/>
  <c r="D103" i="78"/>
  <c r="Z129" i="78"/>
  <c r="Z92" i="78"/>
  <c r="X91" i="78"/>
  <c r="Z128" i="78"/>
  <c r="X130" i="78"/>
  <c r="Z123" i="78"/>
  <c r="X123" i="78"/>
  <c r="AA128" i="78"/>
  <c r="Z137" i="78"/>
  <c r="AA102" i="78"/>
  <c r="Z82" i="78"/>
  <c r="Z57" i="78"/>
  <c r="X121" i="78"/>
  <c r="X84" i="78"/>
  <c r="AA85" i="78"/>
  <c r="Z85" i="78"/>
  <c r="Z122" i="78"/>
  <c r="X124" i="78"/>
  <c r="AA88" i="78"/>
  <c r="AA125" i="78"/>
  <c r="Z90" i="78"/>
  <c r="X92" i="78"/>
  <c r="Z130" i="78"/>
  <c r="AA93" i="78"/>
  <c r="Z93" i="78"/>
  <c r="X95" i="78"/>
  <c r="X132" i="78"/>
  <c r="AA133" i="78"/>
  <c r="Z98" i="78"/>
  <c r="X100" i="78"/>
  <c r="Z138" i="78"/>
  <c r="AA101" i="78"/>
  <c r="Z101" i="78"/>
  <c r="X140" i="78"/>
  <c r="X103" i="78"/>
  <c r="AA141" i="78"/>
  <c r="AA104" i="78"/>
  <c r="Z106" i="78"/>
  <c r="Z119" i="78"/>
  <c r="Z127" i="78"/>
  <c r="X129" i="78"/>
  <c r="Z135" i="78"/>
  <c r="Z87" i="78"/>
  <c r="X97" i="78"/>
  <c r="AA122" i="78"/>
  <c r="Z86" i="78"/>
  <c r="AA87" i="78"/>
  <c r="Z94" i="78"/>
  <c r="AA98" i="78"/>
  <c r="X104" i="78"/>
  <c r="Z105" i="78"/>
  <c r="X141" i="78"/>
  <c r="Z142" i="78"/>
  <c r="Z143" i="78"/>
  <c r="AA106" i="78"/>
  <c r="Z124" i="78"/>
  <c r="X137" i="78"/>
  <c r="AA82" i="78"/>
  <c r="X96" i="78"/>
  <c r="AA97" i="78"/>
  <c r="X99" i="78"/>
  <c r="Z131" i="78"/>
  <c r="Z134" i="78"/>
  <c r="AA135" i="78"/>
  <c r="AA138" i="78"/>
  <c r="X88" i="78"/>
  <c r="Z89" i="78"/>
  <c r="AA90" i="78"/>
  <c r="Z100" i="78"/>
  <c r="X133" i="78"/>
  <c r="AA89" i="78"/>
  <c r="AA100" i="78"/>
  <c r="O101" i="78"/>
  <c r="O122" i="78"/>
  <c r="O98" i="78"/>
  <c r="P90" i="78"/>
  <c r="P98" i="78"/>
  <c r="P139" i="78"/>
  <c r="Q62" i="78"/>
  <c r="M135" i="78"/>
  <c r="O120" i="78"/>
  <c r="M101" i="78"/>
  <c r="O91" i="78"/>
  <c r="O104" i="78"/>
  <c r="P86" i="78"/>
  <c r="P84" i="78"/>
  <c r="M88" i="78"/>
  <c r="P92" i="78"/>
  <c r="M69" i="78"/>
  <c r="M82" i="78"/>
  <c r="M130" i="78"/>
  <c r="O88" i="78"/>
  <c r="M119" i="78"/>
  <c r="O83" i="78"/>
  <c r="M125" i="78"/>
  <c r="P126" i="78"/>
  <c r="P94" i="78"/>
  <c r="P134" i="78"/>
  <c r="O99" i="78"/>
  <c r="P142" i="78"/>
  <c r="O125" i="78"/>
  <c r="O133" i="78"/>
  <c r="O141" i="78"/>
  <c r="O93" i="78"/>
  <c r="P125" i="78"/>
  <c r="P133" i="78"/>
  <c r="P141" i="78"/>
  <c r="D117" i="78"/>
  <c r="S78" i="78"/>
  <c r="H41" i="78"/>
  <c r="B80" i="78"/>
  <c r="S41" i="78"/>
  <c r="D82" i="78"/>
  <c r="E82" i="78"/>
  <c r="D119" i="78"/>
  <c r="M83" i="78"/>
  <c r="O89" i="78"/>
  <c r="P95" i="78"/>
  <c r="M99" i="78"/>
  <c r="O105" i="78"/>
  <c r="M138" i="78"/>
  <c r="O84" i="78"/>
  <c r="P89" i="78"/>
  <c r="O94" i="78"/>
  <c r="M98" i="78"/>
  <c r="O100" i="78"/>
  <c r="P105" i="78"/>
  <c r="O123" i="78"/>
  <c r="P124" i="78"/>
  <c r="P132" i="78"/>
  <c r="O139" i="78"/>
  <c r="P140" i="78"/>
  <c r="M120" i="78"/>
  <c r="P83" i="78"/>
  <c r="O121" i="78"/>
  <c r="P87" i="78"/>
  <c r="M91" i="78"/>
  <c r="M96" i="78"/>
  <c r="O97" i="78"/>
  <c r="P103" i="78"/>
  <c r="P121" i="78"/>
  <c r="O128" i="78"/>
  <c r="P129" i="78"/>
  <c r="O136" i="78"/>
  <c r="P137" i="78"/>
  <c r="M128" i="78"/>
  <c r="O129" i="78"/>
  <c r="M143" i="78"/>
  <c r="M90" i="78"/>
  <c r="O92" i="78"/>
  <c r="P97" i="78"/>
  <c r="M106" i="78"/>
  <c r="P120" i="78"/>
  <c r="P128" i="78"/>
  <c r="M133" i="78"/>
  <c r="P136" i="78"/>
  <c r="P100" i="78"/>
  <c r="M127" i="78"/>
  <c r="O96" i="78"/>
  <c r="M80" i="78"/>
  <c r="M89" i="78"/>
  <c r="M97" i="78"/>
  <c r="M105" i="78"/>
  <c r="N43" i="78"/>
  <c r="M87" i="78"/>
  <c r="M95" i="78"/>
  <c r="M103" i="78"/>
  <c r="M86" i="78"/>
  <c r="M94" i="78"/>
  <c r="M102" i="78"/>
  <c r="M85" i="78"/>
  <c r="M93" i="78"/>
  <c r="A49" i="78"/>
  <c r="A65" i="78"/>
  <c r="A50" i="78"/>
  <c r="A58" i="78"/>
  <c r="A66" i="78"/>
  <c r="A86" i="78"/>
  <c r="A94" i="78"/>
  <c r="A102" i="78"/>
  <c r="A45" i="78"/>
  <c r="A53" i="78"/>
  <c r="A61" i="78"/>
  <c r="A69" i="78"/>
  <c r="A89" i="78"/>
  <c r="A97" i="78"/>
  <c r="A105" i="78"/>
  <c r="A46" i="78"/>
  <c r="A54" i="78"/>
  <c r="A62" i="78"/>
  <c r="A82" i="78"/>
  <c r="A57" i="78"/>
  <c r="A51" i="78"/>
  <c r="A59" i="78"/>
  <c r="A67" i="78"/>
  <c r="A88" i="78"/>
  <c r="A91" i="78"/>
  <c r="A99" i="78"/>
  <c r="A75" i="78"/>
  <c r="A38" i="78"/>
  <c r="L127" i="78" l="1"/>
  <c r="AH127" i="78" s="1"/>
  <c r="BD127" i="78" s="1"/>
  <c r="BZ127" i="78" s="1"/>
  <c r="W85" i="78"/>
  <c r="AS85" i="78" s="1"/>
  <c r="BO85" i="78" s="1"/>
  <c r="CK85" i="78" s="1"/>
  <c r="W112" i="78"/>
  <c r="W38" i="78"/>
  <c r="W136" i="78"/>
  <c r="AS136" i="78" s="1"/>
  <c r="BO136" i="78" s="1"/>
  <c r="CK136" i="78" s="1"/>
  <c r="W128" i="78"/>
  <c r="AS128" i="78" s="1"/>
  <c r="BO128" i="78" s="1"/>
  <c r="CK128" i="78" s="1"/>
  <c r="W120" i="78"/>
  <c r="AS120" i="78" s="1"/>
  <c r="BO120" i="78" s="1"/>
  <c r="CK120" i="78" s="1"/>
  <c r="W84" i="78"/>
  <c r="AS84" i="78" s="1"/>
  <c r="BO84" i="78" s="1"/>
  <c r="CK84" i="78" s="1"/>
  <c r="L135" i="78"/>
  <c r="AH135" i="78" s="1"/>
  <c r="BD135" i="78" s="1"/>
  <c r="BZ135" i="78" s="1"/>
  <c r="W143" i="78"/>
  <c r="AS143" i="78" s="1"/>
  <c r="BO143" i="78" s="1"/>
  <c r="CK143" i="78" s="1"/>
  <c r="W138" i="78"/>
  <c r="AS138" i="78" s="1"/>
  <c r="BO138" i="78" s="1"/>
  <c r="CK138" i="78" s="1"/>
  <c r="L138" i="78"/>
  <c r="AH138" i="78" s="1"/>
  <c r="BD138" i="78" s="1"/>
  <c r="BZ138" i="78" s="1"/>
  <c r="W122" i="78"/>
  <c r="AS122" i="78" s="1"/>
  <c r="BO122" i="78" s="1"/>
  <c r="CK122" i="78" s="1"/>
  <c r="L122" i="78"/>
  <c r="AH122" i="78" s="1"/>
  <c r="BD122" i="78" s="1"/>
  <c r="BZ122" i="78" s="1"/>
  <c r="W92" i="78"/>
  <c r="AS92" i="78" s="1"/>
  <c r="BO92" i="78" s="1"/>
  <c r="CK92" i="78" s="1"/>
  <c r="W130" i="78"/>
  <c r="AS130" i="78" s="1"/>
  <c r="BO130" i="78" s="1"/>
  <c r="CK130" i="78" s="1"/>
  <c r="L130" i="78"/>
  <c r="AH130" i="78" s="1"/>
  <c r="BD130" i="78" s="1"/>
  <c r="BZ130" i="78" s="1"/>
  <c r="L56" i="78"/>
  <c r="AH56" i="78" s="1"/>
  <c r="BD56" i="78" s="1"/>
  <c r="BZ56" i="78" s="1"/>
  <c r="W56" i="78"/>
  <c r="AS56" i="78" s="1"/>
  <c r="BO56" i="78" s="1"/>
  <c r="CK56" i="78" s="1"/>
  <c r="L82" i="78"/>
  <c r="AH82" i="78" s="1"/>
  <c r="BD82" i="78" s="1"/>
  <c r="BZ82" i="78" s="1"/>
  <c r="W82" i="78"/>
  <c r="AS82" i="78" s="1"/>
  <c r="BO82" i="78" s="1"/>
  <c r="CK82" i="78" s="1"/>
  <c r="W50" i="78"/>
  <c r="AS50" i="78" s="1"/>
  <c r="BO50" i="78" s="1"/>
  <c r="CK50" i="78" s="1"/>
  <c r="L50" i="78"/>
  <c r="AH50" i="78" s="1"/>
  <c r="BD50" i="78" s="1"/>
  <c r="BZ50" i="78" s="1"/>
  <c r="L64" i="78"/>
  <c r="AH64" i="78" s="1"/>
  <c r="BD64" i="78" s="1"/>
  <c r="BZ64" i="78" s="1"/>
  <c r="W64" i="78"/>
  <c r="AS64" i="78" s="1"/>
  <c r="BO64" i="78" s="1"/>
  <c r="CK64" i="78" s="1"/>
  <c r="L129" i="78"/>
  <c r="AH129" i="78" s="1"/>
  <c r="BD129" i="78" s="1"/>
  <c r="BZ129" i="78" s="1"/>
  <c r="W129" i="78"/>
  <c r="AS129" i="78" s="1"/>
  <c r="BO129" i="78" s="1"/>
  <c r="CK129" i="78" s="1"/>
  <c r="L52" i="78"/>
  <c r="AH52" i="78" s="1"/>
  <c r="BD52" i="78" s="1"/>
  <c r="BZ52" i="78" s="1"/>
  <c r="W52" i="78"/>
  <c r="AS52" i="78" s="1"/>
  <c r="BO52" i="78" s="1"/>
  <c r="CK52" i="78" s="1"/>
  <c r="L88" i="78"/>
  <c r="AH88" i="78" s="1"/>
  <c r="BD88" i="78" s="1"/>
  <c r="BZ88" i="78" s="1"/>
  <c r="W88" i="78"/>
  <c r="AS88" i="78" s="1"/>
  <c r="BO88" i="78" s="1"/>
  <c r="CK88" i="78" s="1"/>
  <c r="W89" i="78"/>
  <c r="AS89" i="78" s="1"/>
  <c r="BO89" i="78" s="1"/>
  <c r="CK89" i="78" s="1"/>
  <c r="L89" i="78"/>
  <c r="AH89" i="78" s="1"/>
  <c r="BD89" i="78" s="1"/>
  <c r="BZ89" i="78" s="1"/>
  <c r="W102" i="78"/>
  <c r="AS102" i="78" s="1"/>
  <c r="BO102" i="78" s="1"/>
  <c r="CK102" i="78" s="1"/>
  <c r="L102" i="78"/>
  <c r="AH102" i="78" s="1"/>
  <c r="BD102" i="78" s="1"/>
  <c r="BZ102" i="78" s="1"/>
  <c r="L121" i="78"/>
  <c r="AH121" i="78" s="1"/>
  <c r="BD121" i="78" s="1"/>
  <c r="BZ121" i="78" s="1"/>
  <c r="W121" i="78"/>
  <c r="AS121" i="78" s="1"/>
  <c r="BO121" i="78" s="1"/>
  <c r="CK121" i="78" s="1"/>
  <c r="W125" i="78"/>
  <c r="AS125" i="78" s="1"/>
  <c r="BO125" i="78" s="1"/>
  <c r="CK125" i="78" s="1"/>
  <c r="L125" i="78"/>
  <c r="AH125" i="78" s="1"/>
  <c r="BD125" i="78" s="1"/>
  <c r="BZ125" i="78" s="1"/>
  <c r="L57" i="78"/>
  <c r="AH57" i="78" s="1"/>
  <c r="BD57" i="78" s="1"/>
  <c r="BZ57" i="78" s="1"/>
  <c r="W57" i="78"/>
  <c r="AS57" i="78" s="1"/>
  <c r="BO57" i="78" s="1"/>
  <c r="CK57" i="78" s="1"/>
  <c r="W132" i="78"/>
  <c r="AS132" i="78" s="1"/>
  <c r="BO132" i="78" s="1"/>
  <c r="CK132" i="78" s="1"/>
  <c r="L132" i="78"/>
  <c r="AH132" i="78" s="1"/>
  <c r="BD132" i="78" s="1"/>
  <c r="BZ132" i="78" s="1"/>
  <c r="L99" i="78"/>
  <c r="AH99" i="78" s="1"/>
  <c r="BD99" i="78" s="1"/>
  <c r="BZ99" i="78" s="1"/>
  <c r="W99" i="78"/>
  <c r="AS99" i="78" s="1"/>
  <c r="BO99" i="78" s="1"/>
  <c r="CK99" i="78" s="1"/>
  <c r="W58" i="78"/>
  <c r="AS58" i="78" s="1"/>
  <c r="BO58" i="78" s="1"/>
  <c r="CK58" i="78" s="1"/>
  <c r="L58" i="78"/>
  <c r="AH58" i="78" s="1"/>
  <c r="BD58" i="78" s="1"/>
  <c r="BZ58" i="78" s="1"/>
  <c r="L101" i="78"/>
  <c r="AH101" i="78" s="1"/>
  <c r="BD101" i="78" s="1"/>
  <c r="BZ101" i="78" s="1"/>
  <c r="W101" i="78"/>
  <c r="AS101" i="78" s="1"/>
  <c r="BO101" i="78" s="1"/>
  <c r="CK101" i="78" s="1"/>
  <c r="L91" i="78"/>
  <c r="AH91" i="78" s="1"/>
  <c r="BD91" i="78" s="1"/>
  <c r="BZ91" i="78" s="1"/>
  <c r="W91" i="78"/>
  <c r="AS91" i="78" s="1"/>
  <c r="BO91" i="78" s="1"/>
  <c r="CK91" i="78" s="1"/>
  <c r="L62" i="78"/>
  <c r="AH62" i="78" s="1"/>
  <c r="BD62" i="78" s="1"/>
  <c r="BZ62" i="78" s="1"/>
  <c r="W62" i="78"/>
  <c r="AS62" i="78" s="1"/>
  <c r="BO62" i="78" s="1"/>
  <c r="CK62" i="78" s="1"/>
  <c r="W94" i="78"/>
  <c r="AS94" i="78" s="1"/>
  <c r="BO94" i="78" s="1"/>
  <c r="CK94" i="78" s="1"/>
  <c r="L94" i="78"/>
  <c r="AH94" i="78" s="1"/>
  <c r="BD94" i="78" s="1"/>
  <c r="BZ94" i="78" s="1"/>
  <c r="L93" i="78"/>
  <c r="AH93" i="78" s="1"/>
  <c r="BD93" i="78" s="1"/>
  <c r="BZ93" i="78" s="1"/>
  <c r="W93" i="78"/>
  <c r="AS93" i="78" s="1"/>
  <c r="BO93" i="78" s="1"/>
  <c r="CK93" i="78" s="1"/>
  <c r="L67" i="78"/>
  <c r="AH67" i="78" s="1"/>
  <c r="BD67" i="78" s="1"/>
  <c r="BZ67" i="78" s="1"/>
  <c r="W67" i="78"/>
  <c r="AS67" i="78" s="1"/>
  <c r="BO67" i="78" s="1"/>
  <c r="CK67" i="78" s="1"/>
  <c r="L54" i="78"/>
  <c r="AH54" i="78" s="1"/>
  <c r="BD54" i="78" s="1"/>
  <c r="BZ54" i="78" s="1"/>
  <c r="W54" i="78"/>
  <c r="AS54" i="78" s="1"/>
  <c r="BO54" i="78" s="1"/>
  <c r="CK54" i="78" s="1"/>
  <c r="W86" i="78"/>
  <c r="AS86" i="78" s="1"/>
  <c r="BO86" i="78" s="1"/>
  <c r="CK86" i="78" s="1"/>
  <c r="L86" i="78"/>
  <c r="AH86" i="78" s="1"/>
  <c r="BD86" i="78" s="1"/>
  <c r="BZ86" i="78" s="1"/>
  <c r="L65" i="78"/>
  <c r="AH65" i="78" s="1"/>
  <c r="BD65" i="78" s="1"/>
  <c r="BZ65" i="78" s="1"/>
  <c r="W65" i="78"/>
  <c r="AS65" i="78" s="1"/>
  <c r="BO65" i="78" s="1"/>
  <c r="CK65" i="78" s="1"/>
  <c r="L48" i="78"/>
  <c r="AH48" i="78" s="1"/>
  <c r="BD48" i="78" s="1"/>
  <c r="BZ48" i="78" s="1"/>
  <c r="W48" i="78"/>
  <c r="AS48" i="78" s="1"/>
  <c r="BO48" i="78" s="1"/>
  <c r="CK48" i="78" s="1"/>
  <c r="W96" i="78"/>
  <c r="AS96" i="78" s="1"/>
  <c r="BO96" i="78" s="1"/>
  <c r="CK96" i="78" s="1"/>
  <c r="L96" i="78"/>
  <c r="AH96" i="78" s="1"/>
  <c r="BD96" i="78" s="1"/>
  <c r="BZ96" i="78" s="1"/>
  <c r="W66" i="78"/>
  <c r="AS66" i="78" s="1"/>
  <c r="BO66" i="78" s="1"/>
  <c r="CK66" i="78" s="1"/>
  <c r="L66" i="78"/>
  <c r="AH66" i="78" s="1"/>
  <c r="BD66" i="78" s="1"/>
  <c r="BZ66" i="78" s="1"/>
  <c r="L123" i="78"/>
  <c r="AH123" i="78" s="1"/>
  <c r="BD123" i="78" s="1"/>
  <c r="BZ123" i="78" s="1"/>
  <c r="W123" i="78"/>
  <c r="AS123" i="78" s="1"/>
  <c r="BO123" i="78" s="1"/>
  <c r="CK123" i="78" s="1"/>
  <c r="W60" i="78"/>
  <c r="AS60" i="78" s="1"/>
  <c r="BO60" i="78" s="1"/>
  <c r="CK60" i="78" s="1"/>
  <c r="L60" i="78"/>
  <c r="AH60" i="78" s="1"/>
  <c r="BD60" i="78" s="1"/>
  <c r="BZ60" i="78" s="1"/>
  <c r="W105" i="78"/>
  <c r="AS105" i="78" s="1"/>
  <c r="BO105" i="78" s="1"/>
  <c r="CK105" i="78" s="1"/>
  <c r="L105" i="78"/>
  <c r="AH105" i="78" s="1"/>
  <c r="BD105" i="78" s="1"/>
  <c r="BZ105" i="78" s="1"/>
  <c r="L137" i="78"/>
  <c r="AH137" i="78" s="1"/>
  <c r="BD137" i="78" s="1"/>
  <c r="BZ137" i="78" s="1"/>
  <c r="W137" i="78"/>
  <c r="AS137" i="78" s="1"/>
  <c r="BO137" i="78" s="1"/>
  <c r="CK137" i="78" s="1"/>
  <c r="W97" i="78"/>
  <c r="AS97" i="78" s="1"/>
  <c r="BO97" i="78" s="1"/>
  <c r="CK97" i="78" s="1"/>
  <c r="L97" i="78"/>
  <c r="AH97" i="78" s="1"/>
  <c r="BD97" i="78" s="1"/>
  <c r="BZ97" i="78" s="1"/>
  <c r="W133" i="78"/>
  <c r="AS133" i="78" s="1"/>
  <c r="BO133" i="78" s="1"/>
  <c r="CK133" i="78" s="1"/>
  <c r="L133" i="78"/>
  <c r="AH133" i="78" s="1"/>
  <c r="BD133" i="78" s="1"/>
  <c r="BZ133" i="78" s="1"/>
  <c r="W59" i="78"/>
  <c r="AS59" i="78" s="1"/>
  <c r="BO59" i="78" s="1"/>
  <c r="CK59" i="78" s="1"/>
  <c r="L59" i="78"/>
  <c r="AH59" i="78" s="1"/>
  <c r="BD59" i="78" s="1"/>
  <c r="BZ59" i="78" s="1"/>
  <c r="L46" i="78"/>
  <c r="AH46" i="78" s="1"/>
  <c r="BD46" i="78" s="1"/>
  <c r="BZ46" i="78" s="1"/>
  <c r="W46" i="78"/>
  <c r="AS46" i="78" s="1"/>
  <c r="BO46" i="78" s="1"/>
  <c r="CK46" i="78" s="1"/>
  <c r="W69" i="78"/>
  <c r="AS69" i="78" s="1"/>
  <c r="BO69" i="78" s="1"/>
  <c r="CK69" i="78" s="1"/>
  <c r="L69" i="78"/>
  <c r="AH69" i="78" s="1"/>
  <c r="BD69" i="78" s="1"/>
  <c r="BZ69" i="78" s="1"/>
  <c r="L49" i="78"/>
  <c r="AH49" i="78" s="1"/>
  <c r="BD49" i="78" s="1"/>
  <c r="BZ49" i="78" s="1"/>
  <c r="W49" i="78"/>
  <c r="AS49" i="78" s="1"/>
  <c r="BO49" i="78" s="1"/>
  <c r="CK49" i="78" s="1"/>
  <c r="L100" i="78"/>
  <c r="AH100" i="78" s="1"/>
  <c r="BD100" i="78" s="1"/>
  <c r="BZ100" i="78" s="1"/>
  <c r="W100" i="78"/>
  <c r="AS100" i="78" s="1"/>
  <c r="BO100" i="78" s="1"/>
  <c r="CK100" i="78" s="1"/>
  <c r="W139" i="78"/>
  <c r="AS139" i="78" s="1"/>
  <c r="BO139" i="78" s="1"/>
  <c r="CK139" i="78" s="1"/>
  <c r="L139" i="78"/>
  <c r="AH139" i="78" s="1"/>
  <c r="BD139" i="78" s="1"/>
  <c r="BZ139" i="78" s="1"/>
  <c r="L68" i="78"/>
  <c r="AH68" i="78" s="1"/>
  <c r="BD68" i="78" s="1"/>
  <c r="BZ68" i="78" s="1"/>
  <c r="W68" i="78"/>
  <c r="AS68" i="78" s="1"/>
  <c r="BO68" i="78" s="1"/>
  <c r="CK68" i="78" s="1"/>
  <c r="W141" i="78"/>
  <c r="AS141" i="78" s="1"/>
  <c r="BO141" i="78" s="1"/>
  <c r="CK141" i="78" s="1"/>
  <c r="L141" i="78"/>
  <c r="AH141" i="78" s="1"/>
  <c r="BD141" i="78" s="1"/>
  <c r="BZ141" i="78" s="1"/>
  <c r="W53" i="78"/>
  <c r="AS53" i="78" s="1"/>
  <c r="BO53" i="78" s="1"/>
  <c r="CK53" i="78" s="1"/>
  <c r="L53" i="78"/>
  <c r="AH53" i="78" s="1"/>
  <c r="BD53" i="78" s="1"/>
  <c r="BZ53" i="78" s="1"/>
  <c r="L134" i="78"/>
  <c r="AH134" i="78" s="1"/>
  <c r="BD134" i="78" s="1"/>
  <c r="BZ134" i="78" s="1"/>
  <c r="W134" i="78"/>
  <c r="AS134" i="78" s="1"/>
  <c r="BO134" i="78" s="1"/>
  <c r="CK134" i="78" s="1"/>
  <c r="W45" i="78"/>
  <c r="AS45" i="78" s="1"/>
  <c r="BO45" i="78" s="1"/>
  <c r="CK45" i="78" s="1"/>
  <c r="L45" i="78"/>
  <c r="AH45" i="78" s="1"/>
  <c r="BD45" i="78" s="1"/>
  <c r="BZ45" i="78" s="1"/>
  <c r="L124" i="78"/>
  <c r="AH124" i="78" s="1"/>
  <c r="BD124" i="78" s="1"/>
  <c r="BZ124" i="78" s="1"/>
  <c r="W124" i="78"/>
  <c r="AS124" i="78" s="1"/>
  <c r="BO124" i="78" s="1"/>
  <c r="CK124" i="78" s="1"/>
  <c r="W51" i="78"/>
  <c r="AS51" i="78" s="1"/>
  <c r="BO51" i="78" s="1"/>
  <c r="CK51" i="78" s="1"/>
  <c r="L51" i="78"/>
  <c r="AH51" i="78" s="1"/>
  <c r="BD51" i="78" s="1"/>
  <c r="BZ51" i="78" s="1"/>
  <c r="W61" i="78"/>
  <c r="AS61" i="78" s="1"/>
  <c r="BO61" i="78" s="1"/>
  <c r="CK61" i="78" s="1"/>
  <c r="L61" i="78"/>
  <c r="AH61" i="78" s="1"/>
  <c r="BD61" i="78" s="1"/>
  <c r="BZ61" i="78" s="1"/>
  <c r="L140" i="78"/>
  <c r="AH140" i="78" s="1"/>
  <c r="BD140" i="78" s="1"/>
  <c r="BZ140" i="78" s="1"/>
  <c r="W140" i="78"/>
  <c r="AS140" i="78" s="1"/>
  <c r="BO140" i="78" s="1"/>
  <c r="CK140" i="78" s="1"/>
  <c r="W131" i="78"/>
  <c r="AS131" i="78" s="1"/>
  <c r="BO131" i="78" s="1"/>
  <c r="CK131" i="78" s="1"/>
  <c r="L131" i="78"/>
  <c r="AH131" i="78" s="1"/>
  <c r="BD131" i="78" s="1"/>
  <c r="BZ131" i="78" s="1"/>
  <c r="L104" i="78"/>
  <c r="AH104" i="78" s="1"/>
  <c r="BD104" i="78" s="1"/>
  <c r="BZ104" i="78" s="1"/>
  <c r="W104" i="78"/>
  <c r="AS104" i="78" s="1"/>
  <c r="BO104" i="78" s="1"/>
  <c r="CK104" i="78" s="1"/>
  <c r="L66" i="80"/>
  <c r="N62" i="80"/>
  <c r="O62" i="80" s="1"/>
  <c r="L61" i="80"/>
  <c r="N61" i="80"/>
  <c r="O61" i="80" s="1"/>
  <c r="N66" i="80"/>
  <c r="O66" i="80" s="1"/>
  <c r="N48" i="80"/>
  <c r="O48" i="80" s="1"/>
  <c r="N53" i="80"/>
  <c r="O53" i="80" s="1"/>
  <c r="L53" i="80"/>
  <c r="L47" i="80"/>
  <c r="N68" i="80"/>
  <c r="O68" i="80" s="1"/>
  <c r="N54" i="80"/>
  <c r="O54" i="80" s="1"/>
  <c r="N59" i="80"/>
  <c r="O59" i="80" s="1"/>
  <c r="L51" i="80"/>
  <c r="L45" i="80"/>
  <c r="L59" i="80"/>
  <c r="N56" i="80"/>
  <c r="O56" i="80" s="1"/>
  <c r="L68" i="80"/>
  <c r="L49" i="80"/>
  <c r="L50" i="80"/>
  <c r="N65" i="80"/>
  <c r="O65" i="80" s="1"/>
  <c r="N63" i="80"/>
  <c r="O63" i="80" s="1"/>
  <c r="N45" i="80"/>
  <c r="O45" i="80" s="1"/>
  <c r="N50" i="80"/>
  <c r="O50" i="80" s="1"/>
  <c r="N49" i="80"/>
  <c r="O49" i="80" s="1"/>
  <c r="L62" i="80"/>
  <c r="N51" i="80"/>
  <c r="O51" i="80" s="1"/>
  <c r="L54" i="80"/>
  <c r="L58" i="80"/>
  <c r="L65" i="80"/>
  <c r="L55" i="80"/>
  <c r="N47" i="80"/>
  <c r="O47" i="80" s="1"/>
  <c r="N67" i="80"/>
  <c r="O67" i="80" s="1"/>
  <c r="L67" i="80"/>
  <c r="L64" i="80"/>
  <c r="L60" i="80"/>
  <c r="L57" i="80"/>
  <c r="N46" i="80"/>
  <c r="O46" i="80" s="1"/>
  <c r="N57" i="80"/>
  <c r="O57" i="80" s="1"/>
  <c r="X21" i="79"/>
  <c r="X14" i="79"/>
  <c r="X15" i="79"/>
  <c r="N9" i="79"/>
  <c r="X10" i="79"/>
  <c r="X20" i="79"/>
  <c r="C72" i="78"/>
  <c r="L75" i="78"/>
  <c r="L112" i="78"/>
  <c r="X9" i="79"/>
  <c r="Z55" i="78"/>
  <c r="F58" i="78"/>
  <c r="L46" i="80"/>
  <c r="L52" i="80"/>
  <c r="N52" i="80"/>
  <c r="O52" i="80" s="1"/>
  <c r="F54" i="78"/>
  <c r="N19" i="79"/>
  <c r="O16" i="79"/>
  <c r="M54" i="78"/>
  <c r="N16" i="79"/>
  <c r="P61" i="78"/>
  <c r="D65" i="78"/>
  <c r="O12" i="79"/>
  <c r="N31" i="79"/>
  <c r="F72" i="78"/>
  <c r="F66" i="78"/>
  <c r="F51" i="78"/>
  <c r="N15" i="79"/>
  <c r="F49" i="78"/>
  <c r="N25" i="79"/>
  <c r="F50" i="78"/>
  <c r="N8" i="79"/>
  <c r="N29" i="79"/>
  <c r="N26" i="79"/>
  <c r="N67" i="78"/>
  <c r="N35" i="79"/>
  <c r="O61" i="78"/>
  <c r="F62" i="78"/>
  <c r="F52" i="78"/>
  <c r="O64" i="78"/>
  <c r="O65" i="78"/>
  <c r="P57" i="78"/>
  <c r="O56" i="78"/>
  <c r="D72" i="78"/>
  <c r="F60" i="78"/>
  <c r="F57" i="78"/>
  <c r="D46" i="78"/>
  <c r="F56" i="78"/>
  <c r="F67" i="78"/>
  <c r="D69" i="78"/>
  <c r="D109" i="78"/>
  <c r="F48" i="78"/>
  <c r="F65" i="78"/>
  <c r="Q57" i="78"/>
  <c r="N63" i="78"/>
  <c r="Q47" i="78"/>
  <c r="D56" i="78"/>
  <c r="N13" i="79"/>
  <c r="F47" i="78"/>
  <c r="N14" i="79"/>
  <c r="F45" i="78"/>
  <c r="N54" i="78"/>
  <c r="F68" i="78"/>
  <c r="N22" i="79"/>
  <c r="N32" i="79"/>
  <c r="N21" i="79"/>
  <c r="F63" i="78"/>
  <c r="N57" i="78"/>
  <c r="Q55" i="78"/>
  <c r="N18" i="79"/>
  <c r="N17" i="79"/>
  <c r="D68" i="78"/>
  <c r="X30" i="79"/>
  <c r="F64" i="78"/>
  <c r="N24" i="79"/>
  <c r="F59" i="78"/>
  <c r="N30" i="79"/>
  <c r="N10" i="79"/>
  <c r="N20" i="79"/>
  <c r="Z58" i="78"/>
  <c r="D64" i="78"/>
  <c r="N28" i="79"/>
  <c r="X27" i="79"/>
  <c r="N12" i="79"/>
  <c r="N27" i="79"/>
  <c r="F61" i="78"/>
  <c r="F46" i="78"/>
  <c r="N11" i="79"/>
  <c r="N23" i="79"/>
  <c r="B64" i="78"/>
  <c r="O45" i="78"/>
  <c r="M27" i="79"/>
  <c r="B69" i="78"/>
  <c r="M45" i="78"/>
  <c r="P58" i="78"/>
  <c r="O55" i="78"/>
  <c r="O69" i="78"/>
  <c r="D66" i="78"/>
  <c r="C55" i="78"/>
  <c r="F69" i="78"/>
  <c r="F53" i="78"/>
  <c r="O48" i="78"/>
  <c r="O60" i="78"/>
  <c r="O58" i="78"/>
  <c r="O52" i="78"/>
  <c r="O59" i="78"/>
  <c r="O47" i="78"/>
  <c r="N52" i="78"/>
  <c r="Z61" i="78"/>
  <c r="O51" i="78"/>
  <c r="O50" i="78"/>
  <c r="B53" i="78"/>
  <c r="N64" i="78"/>
  <c r="O46" i="78"/>
  <c r="O49" i="78"/>
  <c r="O62" i="78"/>
  <c r="O68" i="78"/>
  <c r="O63" i="78"/>
  <c r="O53" i="78"/>
  <c r="AA69" i="78"/>
  <c r="Z66" i="78"/>
  <c r="Z69" i="78"/>
  <c r="X31" i="79"/>
  <c r="O66" i="78"/>
  <c r="O67" i="78"/>
  <c r="N69" i="78"/>
  <c r="O57" i="78"/>
  <c r="O72" i="78"/>
  <c r="M25" i="79"/>
  <c r="P64" i="78"/>
  <c r="P54" i="78"/>
  <c r="C45" i="78"/>
  <c r="P59" i="78"/>
  <c r="O146" i="78"/>
  <c r="P66" i="78"/>
  <c r="P48" i="78"/>
  <c r="O24" i="79"/>
  <c r="C56" i="78"/>
  <c r="P49" i="78"/>
  <c r="P67" i="78"/>
  <c r="P45" i="78"/>
  <c r="P69" i="78"/>
  <c r="P52" i="78"/>
  <c r="P56" i="78"/>
  <c r="P68" i="78"/>
  <c r="O30" i="79"/>
  <c r="C54" i="78"/>
  <c r="P72" i="78"/>
  <c r="P55" i="78"/>
  <c r="P46" i="78"/>
  <c r="P60" i="78"/>
  <c r="P50" i="78"/>
  <c r="P65" i="78"/>
  <c r="P51" i="78"/>
  <c r="P53" i="78"/>
  <c r="P63" i="78"/>
  <c r="P62" i="78"/>
  <c r="P47" i="78"/>
  <c r="AA48" i="78"/>
  <c r="AA64" i="78"/>
  <c r="AA58" i="78"/>
  <c r="X23" i="79"/>
  <c r="N66" i="78"/>
  <c r="D58" i="78"/>
  <c r="D57" i="78"/>
  <c r="D52" i="78"/>
  <c r="D48" i="78"/>
  <c r="D54" i="78"/>
  <c r="D50" i="78"/>
  <c r="D49" i="78"/>
  <c r="D45" i="78"/>
  <c r="D61" i="78"/>
  <c r="D59" i="78"/>
  <c r="D67" i="78"/>
  <c r="D63" i="78"/>
  <c r="D51" i="78"/>
  <c r="D55" i="78"/>
  <c r="D53" i="78"/>
  <c r="D62" i="78"/>
  <c r="D47" i="78"/>
  <c r="X26" i="79"/>
  <c r="X47" i="78"/>
  <c r="N65" i="78"/>
  <c r="N47" i="78"/>
  <c r="N68" i="78"/>
  <c r="N45" i="78"/>
  <c r="N51" i="78"/>
  <c r="N62" i="78"/>
  <c r="N46" i="78"/>
  <c r="N53" i="78"/>
  <c r="N56" i="78"/>
  <c r="N59" i="78"/>
  <c r="N55" i="78"/>
  <c r="N72" i="78"/>
  <c r="N58" i="78"/>
  <c r="N48" i="78"/>
  <c r="V23" i="79"/>
  <c r="X11" i="79"/>
  <c r="N49" i="78"/>
  <c r="X12" i="79"/>
  <c r="E66" i="78"/>
  <c r="E57" i="78"/>
  <c r="E50" i="78"/>
  <c r="E59" i="78"/>
  <c r="E52" i="78"/>
  <c r="E58" i="78"/>
  <c r="E109" i="78"/>
  <c r="E51" i="78"/>
  <c r="E67" i="78"/>
  <c r="E56" i="78"/>
  <c r="E48" i="78"/>
  <c r="E62" i="78"/>
  <c r="E55" i="78"/>
  <c r="E54" i="78"/>
  <c r="E47" i="78"/>
  <c r="E60" i="78"/>
  <c r="E46" i="78"/>
  <c r="E64" i="78"/>
  <c r="E53" i="78"/>
  <c r="E61" i="78"/>
  <c r="E63" i="78"/>
  <c r="E68" i="78"/>
  <c r="E69" i="78"/>
  <c r="E65" i="78"/>
  <c r="N61" i="78"/>
  <c r="M48" i="78"/>
  <c r="M46" i="78"/>
  <c r="N60" i="78"/>
  <c r="X25" i="79"/>
  <c r="E49" i="78"/>
  <c r="M21" i="79"/>
  <c r="M15" i="79"/>
  <c r="M13" i="79"/>
  <c r="M9" i="79"/>
  <c r="M20" i="79"/>
  <c r="M14" i="79"/>
  <c r="M32" i="79"/>
  <c r="M30" i="79"/>
  <c r="M16" i="79"/>
  <c r="M24" i="79"/>
  <c r="M22" i="79"/>
  <c r="M10" i="79"/>
  <c r="M28" i="79"/>
  <c r="M18" i="79"/>
  <c r="M12" i="79"/>
  <c r="M35" i="79"/>
  <c r="M23" i="79"/>
  <c r="Z45" i="78"/>
  <c r="O18" i="79"/>
  <c r="M31" i="79"/>
  <c r="M11" i="79"/>
  <c r="C48" i="78"/>
  <c r="B48" i="78"/>
  <c r="X19" i="79"/>
  <c r="B55" i="78"/>
  <c r="B49" i="78"/>
  <c r="B59" i="78"/>
  <c r="B67" i="78"/>
  <c r="B63" i="78"/>
  <c r="B52" i="78"/>
  <c r="B57" i="78"/>
  <c r="B68" i="78"/>
  <c r="B58" i="78"/>
  <c r="B51" i="78"/>
  <c r="B47" i="78"/>
  <c r="B65" i="78"/>
  <c r="B50" i="78"/>
  <c r="X17" i="79"/>
  <c r="X32" i="79"/>
  <c r="O26" i="79"/>
  <c r="C57" i="78"/>
  <c r="C50" i="78"/>
  <c r="C47" i="78"/>
  <c r="C67" i="78"/>
  <c r="C52" i="78"/>
  <c r="C49" i="78"/>
  <c r="C59" i="78"/>
  <c r="C62" i="78"/>
  <c r="C58" i="78"/>
  <c r="C51" i="78"/>
  <c r="C61" i="78"/>
  <c r="C46" i="78"/>
  <c r="C53" i="78"/>
  <c r="C69" i="78"/>
  <c r="C65" i="78"/>
  <c r="C68" i="78"/>
  <c r="C60" i="78"/>
  <c r="B62" i="78"/>
  <c r="O19" i="79"/>
  <c r="M19" i="79"/>
  <c r="O11" i="79"/>
  <c r="C63" i="78"/>
  <c r="B66" i="78"/>
  <c r="B54" i="78"/>
  <c r="B60" i="78"/>
  <c r="X16" i="79"/>
  <c r="O8" i="79"/>
  <c r="O22" i="79"/>
  <c r="O20" i="79"/>
  <c r="O14" i="79"/>
  <c r="O10" i="79"/>
  <c r="O35" i="79"/>
  <c r="O31" i="79"/>
  <c r="O27" i="79"/>
  <c r="O23" i="79"/>
  <c r="O15" i="79"/>
  <c r="O13" i="79"/>
  <c r="O17" i="79"/>
  <c r="O25" i="79"/>
  <c r="O21" i="79"/>
  <c r="O29" i="79"/>
  <c r="O9" i="79"/>
  <c r="B45" i="78"/>
  <c r="Y60" i="78"/>
  <c r="M17" i="79"/>
  <c r="B61" i="78"/>
  <c r="M26" i="79"/>
  <c r="B56" i="78"/>
  <c r="C64" i="78"/>
  <c r="O32" i="79"/>
  <c r="X24" i="79"/>
  <c r="X57" i="78"/>
  <c r="X65" i="78"/>
  <c r="Z49" i="78"/>
  <c r="X68" i="78"/>
  <c r="X60" i="78"/>
  <c r="X51" i="78"/>
  <c r="X63" i="78"/>
  <c r="Z63" i="78"/>
  <c r="X67" i="78"/>
  <c r="X59" i="78"/>
  <c r="AB57" i="78"/>
  <c r="AB54" i="78"/>
  <c r="AB66" i="78"/>
  <c r="AB60" i="78"/>
  <c r="AB46" i="78"/>
  <c r="AB61" i="78"/>
  <c r="AB52" i="78"/>
  <c r="AB53" i="78"/>
  <c r="AB49" i="78"/>
  <c r="AB58" i="78"/>
  <c r="AB72" i="78"/>
  <c r="AB50" i="78"/>
  <c r="AB45" i="78"/>
  <c r="AB59" i="78"/>
  <c r="AA146" i="78"/>
  <c r="AB68" i="78"/>
  <c r="AB62" i="78"/>
  <c r="AB65" i="78"/>
  <c r="AB48" i="78"/>
  <c r="AB67" i="78"/>
  <c r="AB51" i="78"/>
  <c r="Y72" i="78"/>
  <c r="Y56" i="78"/>
  <c r="Y53" i="78"/>
  <c r="Y51" i="78"/>
  <c r="Y65" i="78"/>
  <c r="Y59" i="78"/>
  <c r="Y45" i="78"/>
  <c r="Y57" i="78"/>
  <c r="Y49" i="78"/>
  <c r="X146" i="78"/>
  <c r="Y48" i="78"/>
  <c r="Y54" i="78"/>
  <c r="Y69" i="78"/>
  <c r="Y58" i="78"/>
  <c r="Y52" i="78"/>
  <c r="Y47" i="78"/>
  <c r="Y67" i="78"/>
  <c r="Y61" i="78"/>
  <c r="Y64" i="78"/>
  <c r="Y50" i="78"/>
  <c r="AA60" i="78"/>
  <c r="AA52" i="78"/>
  <c r="AB69" i="78"/>
  <c r="Y63" i="78"/>
  <c r="X72" i="78"/>
  <c r="X56" i="78"/>
  <c r="X53" i="78"/>
  <c r="X50" i="78"/>
  <c r="X48" i="78"/>
  <c r="X66" i="78"/>
  <c r="X109" i="78"/>
  <c r="X62" i="78"/>
  <c r="X45" i="78"/>
  <c r="X69" i="78"/>
  <c r="X46" i="78"/>
  <c r="X54" i="78"/>
  <c r="X64" i="78"/>
  <c r="X58" i="78"/>
  <c r="X52" i="78"/>
  <c r="X55" i="78"/>
  <c r="X49" i="78"/>
  <c r="X61" i="78"/>
  <c r="AB64" i="78"/>
  <c r="Y68" i="78"/>
  <c r="AA68" i="78"/>
  <c r="AA66" i="78"/>
  <c r="Y66" i="78"/>
  <c r="Z109" i="78"/>
  <c r="Z62" i="78"/>
  <c r="Z59" i="78"/>
  <c r="Z60" i="78"/>
  <c r="Z46" i="78"/>
  <c r="Z68" i="78"/>
  <c r="Z48" i="78"/>
  <c r="Z54" i="78"/>
  <c r="Z51" i="78"/>
  <c r="Z64" i="78"/>
  <c r="Z52" i="78"/>
  <c r="Z67" i="78"/>
  <c r="Z50" i="78"/>
  <c r="Z47" i="78"/>
  <c r="Z53" i="78"/>
  <c r="Z72" i="78"/>
  <c r="Z56" i="78"/>
  <c r="Z146" i="78"/>
  <c r="AA55" i="78"/>
  <c r="AA63" i="78"/>
  <c r="AA57" i="78"/>
  <c r="AA54" i="78"/>
  <c r="AA51" i="78"/>
  <c r="AA67" i="78"/>
  <c r="AA72" i="78"/>
  <c r="AA46" i="78"/>
  <c r="AA49" i="78"/>
  <c r="AA47" i="78"/>
  <c r="AA59" i="78"/>
  <c r="AA45" i="78"/>
  <c r="AA65" i="78"/>
  <c r="AA56" i="78"/>
  <c r="AA50" i="78"/>
  <c r="AA62" i="78"/>
  <c r="AA53" i="78"/>
  <c r="AA109" i="78"/>
  <c r="AB63" i="78"/>
  <c r="AB56" i="78"/>
  <c r="AB47" i="78"/>
  <c r="Z65" i="78"/>
  <c r="Y62" i="78"/>
  <c r="Y55" i="78"/>
  <c r="AA61" i="78"/>
  <c r="Y46" i="78"/>
  <c r="AB55" i="78"/>
  <c r="Q46" i="78"/>
  <c r="M67" i="78"/>
  <c r="M56" i="78"/>
  <c r="O54" i="78"/>
  <c r="O109" i="78"/>
  <c r="Q65" i="78"/>
  <c r="Q49" i="78"/>
  <c r="M61" i="78"/>
  <c r="M146" i="78"/>
  <c r="M62" i="78"/>
  <c r="Q50" i="78"/>
  <c r="M53" i="78"/>
  <c r="Q48" i="78"/>
  <c r="Q45" i="78"/>
  <c r="Q51" i="78"/>
  <c r="Q69" i="78"/>
  <c r="Q64" i="78"/>
  <c r="Q61" i="78"/>
  <c r="Q53" i="78"/>
  <c r="P146" i="78"/>
  <c r="Q67" i="78"/>
  <c r="Q72" i="78"/>
  <c r="Q60" i="78"/>
  <c r="Q56" i="78"/>
  <c r="Q59" i="78"/>
  <c r="P109" i="78"/>
  <c r="Q54" i="78"/>
  <c r="Q58" i="78"/>
  <c r="Q63" i="78"/>
  <c r="Q52" i="78"/>
  <c r="M51" i="78"/>
  <c r="Q68" i="78"/>
  <c r="M60" i="78"/>
  <c r="M55" i="78"/>
  <c r="M109" i="78"/>
  <c r="M72" i="78"/>
  <c r="M49" i="78"/>
  <c r="M52" i="78"/>
  <c r="M64" i="78"/>
  <c r="M65" i="78"/>
  <c r="M63" i="78"/>
  <c r="M66" i="78"/>
  <c r="M47" i="78"/>
  <c r="M57" i="78"/>
  <c r="M68" i="78"/>
  <c r="M59" i="78"/>
  <c r="M58" i="78"/>
  <c r="M50" i="78"/>
  <c r="Q66" i="78"/>
  <c r="E72" i="78"/>
  <c r="E45" i="78"/>
  <c r="D146" i="78"/>
  <c r="E146" i="78"/>
  <c r="V32" i="79" l="1"/>
  <c r="V29" i="79"/>
  <c r="V12" i="79"/>
  <c r="V26" i="79"/>
  <c r="V11" i="79"/>
  <c r="V22" i="79"/>
  <c r="V20" i="79"/>
  <c r="V14" i="79"/>
  <c r="V10" i="79"/>
  <c r="V21" i="79"/>
  <c r="V15" i="79"/>
  <c r="V13" i="79"/>
  <c r="V9" i="79"/>
  <c r="V35" i="79"/>
  <c r="V27" i="79"/>
  <c r="V28" i="79"/>
  <c r="V30" i="79"/>
  <c r="V18" i="79"/>
  <c r="V31" i="79"/>
  <c r="V25" i="79"/>
  <c r="V24" i="79"/>
  <c r="V16" i="79"/>
  <c r="V17" i="79"/>
  <c r="V19" i="79"/>
  <c r="O2" i="76"/>
  <c r="A197" i="76" l="1"/>
  <c r="A1" i="76"/>
  <c r="A162" i="76"/>
  <c r="A267" i="76"/>
  <c r="A407" i="76"/>
  <c r="A372" i="76"/>
  <c r="A116" i="76"/>
  <c r="A58" i="76"/>
  <c r="A232" i="76"/>
  <c r="A337" i="76"/>
  <c r="A442" i="76"/>
  <c r="A302" i="76"/>
  <c r="J12" i="78"/>
  <c r="J49" i="78" s="1"/>
  <c r="J86" i="78" s="1"/>
  <c r="U18" i="78"/>
  <c r="U55" i="78" s="1"/>
  <c r="U92" i="78" s="1"/>
  <c r="J18" i="78"/>
  <c r="J55" i="78" s="1"/>
  <c r="J92" i="78" s="1"/>
  <c r="J17" i="78"/>
  <c r="J54" i="78" s="1"/>
  <c r="J91" i="78" s="1"/>
  <c r="J31" i="78"/>
  <c r="J68" i="78" s="1"/>
  <c r="J105" i="78" s="1"/>
  <c r="J23" i="78"/>
  <c r="J60" i="78" s="1"/>
  <c r="J97" i="78" s="1"/>
  <c r="L43" i="75"/>
  <c r="L44" i="75"/>
  <c r="L45" i="75"/>
  <c r="L46" i="75"/>
  <c r="L36" i="75"/>
  <c r="L37" i="75"/>
  <c r="L38" i="75"/>
  <c r="L39" i="75"/>
  <c r="L32" i="75"/>
  <c r="L26" i="75"/>
  <c r="L27" i="75"/>
  <c r="L28" i="75"/>
  <c r="L22" i="75"/>
  <c r="L13" i="75"/>
  <c r="L9" i="75"/>
  <c r="J26" i="78" l="1"/>
  <c r="J63" i="78" s="1"/>
  <c r="J100" i="78" s="1"/>
  <c r="U26" i="78"/>
  <c r="U63" i="78" s="1"/>
  <c r="U100" i="78" s="1"/>
  <c r="J30" i="78"/>
  <c r="J67" i="78" s="1"/>
  <c r="J104" i="78" s="1"/>
  <c r="J27" i="78"/>
  <c r="J64" i="78" s="1"/>
  <c r="J101" i="78" s="1"/>
  <c r="U31" i="78"/>
  <c r="U68" i="78" s="1"/>
  <c r="U105" i="78" s="1"/>
  <c r="U12" i="78"/>
  <c r="U49" i="78" s="1"/>
  <c r="U86" i="78" s="1"/>
  <c r="A101" i="18"/>
  <c r="A97" i="18"/>
  <c r="A88" i="18"/>
  <c r="A84" i="18"/>
  <c r="A83" i="18"/>
  <c r="A82" i="18"/>
  <c r="A78" i="18"/>
  <c r="F26" i="18"/>
  <c r="E26" i="18"/>
  <c r="C26" i="18"/>
  <c r="F25" i="18"/>
  <c r="E25" i="18"/>
  <c r="C25" i="18"/>
  <c r="B25" i="18"/>
  <c r="B26" i="18"/>
  <c r="I48" i="18" l="1"/>
  <c r="I13" i="18"/>
  <c r="I49" i="18"/>
  <c r="I20" i="18"/>
  <c r="D26" i="18"/>
  <c r="I26" i="18" s="1"/>
  <c r="I19" i="18"/>
  <c r="I18" i="18"/>
  <c r="I12" i="18"/>
  <c r="U23" i="78"/>
  <c r="U60" i="78" s="1"/>
  <c r="U97" i="78" s="1"/>
  <c r="I35" i="18"/>
  <c r="I22" i="18"/>
  <c r="I32" i="18"/>
  <c r="U30" i="78"/>
  <c r="U67" i="78" s="1"/>
  <c r="U104" i="78" s="1"/>
  <c r="I21" i="18"/>
  <c r="U27" i="78"/>
  <c r="U64" i="78" s="1"/>
  <c r="U101" i="78" s="1"/>
  <c r="I15" i="18"/>
  <c r="I31" i="18"/>
  <c r="D25" i="18"/>
  <c r="I25" i="18" s="1"/>
  <c r="I30" i="18"/>
  <c r="I36" i="18"/>
  <c r="I29" i="18"/>
  <c r="H22" i="18"/>
  <c r="K31" i="18"/>
  <c r="H15" i="18"/>
  <c r="H31" i="18"/>
  <c r="K32" i="18"/>
  <c r="K15" i="18"/>
  <c r="H32" i="18"/>
  <c r="K22" i="18"/>
  <c r="E143" i="71"/>
  <c r="D143" i="71"/>
  <c r="B143" i="71"/>
  <c r="E142" i="71"/>
  <c r="D142" i="71"/>
  <c r="B142" i="71"/>
  <c r="E141" i="71"/>
  <c r="D141" i="71"/>
  <c r="B141" i="71"/>
  <c r="E140" i="71"/>
  <c r="D140" i="71"/>
  <c r="B140" i="71"/>
  <c r="E139" i="71"/>
  <c r="D139" i="71"/>
  <c r="B139" i="71"/>
  <c r="E138" i="71"/>
  <c r="D138" i="71"/>
  <c r="B138" i="71"/>
  <c r="E137" i="71"/>
  <c r="D137" i="71"/>
  <c r="B137" i="71"/>
  <c r="E136" i="71"/>
  <c r="D136" i="71"/>
  <c r="B136" i="71"/>
  <c r="E135" i="71"/>
  <c r="D135" i="71"/>
  <c r="B135" i="71"/>
  <c r="E134" i="71"/>
  <c r="D134" i="71"/>
  <c r="B134" i="71"/>
  <c r="E133" i="71"/>
  <c r="D133" i="71"/>
  <c r="B133" i="71"/>
  <c r="E132" i="71"/>
  <c r="D132" i="71"/>
  <c r="B132" i="71"/>
  <c r="E131" i="71"/>
  <c r="D131" i="71"/>
  <c r="B131" i="71"/>
  <c r="E130" i="71"/>
  <c r="D130" i="71"/>
  <c r="B130" i="71"/>
  <c r="E129" i="71"/>
  <c r="D129" i="71"/>
  <c r="B129" i="71"/>
  <c r="E128" i="71"/>
  <c r="D128" i="71"/>
  <c r="B128" i="71"/>
  <c r="E127" i="71"/>
  <c r="D127" i="71"/>
  <c r="B127" i="71"/>
  <c r="E126" i="71"/>
  <c r="D126" i="71"/>
  <c r="B126" i="71"/>
  <c r="E125" i="71"/>
  <c r="D125" i="71"/>
  <c r="B125" i="71"/>
  <c r="E124" i="71"/>
  <c r="D124" i="71"/>
  <c r="B124" i="71"/>
  <c r="E123" i="71"/>
  <c r="D123" i="71"/>
  <c r="B123" i="71"/>
  <c r="E122" i="71"/>
  <c r="D122" i="71"/>
  <c r="B122" i="71"/>
  <c r="E121" i="71"/>
  <c r="D121" i="71"/>
  <c r="B121" i="71"/>
  <c r="E120" i="71"/>
  <c r="D120" i="71"/>
  <c r="B120" i="71"/>
  <c r="E119" i="71"/>
  <c r="D119" i="71"/>
  <c r="B119" i="71"/>
  <c r="E117" i="71"/>
  <c r="D117" i="71"/>
  <c r="B117" i="71"/>
  <c r="E106" i="71"/>
  <c r="D106" i="71"/>
  <c r="E105" i="71"/>
  <c r="D105" i="71"/>
  <c r="B105" i="71"/>
  <c r="E104" i="71"/>
  <c r="D104" i="71"/>
  <c r="B104" i="71"/>
  <c r="E103" i="71"/>
  <c r="D103" i="71"/>
  <c r="B103" i="71"/>
  <c r="E102" i="71"/>
  <c r="D102" i="71"/>
  <c r="B102" i="71"/>
  <c r="E101" i="71"/>
  <c r="D101" i="71"/>
  <c r="B101" i="71"/>
  <c r="E100" i="71"/>
  <c r="D100" i="71"/>
  <c r="B100" i="71"/>
  <c r="E99" i="71"/>
  <c r="D99" i="71"/>
  <c r="B99" i="71"/>
  <c r="E98" i="71"/>
  <c r="D98" i="71"/>
  <c r="B98" i="71"/>
  <c r="E97" i="71"/>
  <c r="D97" i="71"/>
  <c r="B97" i="71"/>
  <c r="E96" i="71"/>
  <c r="D96" i="71"/>
  <c r="B96" i="71"/>
  <c r="E95" i="71"/>
  <c r="D95" i="71"/>
  <c r="B95" i="71"/>
  <c r="E94" i="71"/>
  <c r="D94" i="71"/>
  <c r="B94" i="71"/>
  <c r="E93" i="71"/>
  <c r="D93" i="71"/>
  <c r="B93" i="71"/>
  <c r="E92" i="71"/>
  <c r="D92" i="71"/>
  <c r="B92" i="71"/>
  <c r="E91" i="71"/>
  <c r="D91" i="71"/>
  <c r="B91" i="71"/>
  <c r="E90" i="71"/>
  <c r="D90" i="71"/>
  <c r="B90" i="71"/>
  <c r="E89" i="71"/>
  <c r="D89" i="71"/>
  <c r="B89" i="71"/>
  <c r="E88" i="71"/>
  <c r="D88" i="71"/>
  <c r="B88" i="71"/>
  <c r="E87" i="71"/>
  <c r="D87" i="71"/>
  <c r="B87" i="71"/>
  <c r="E86" i="71"/>
  <c r="D86" i="71"/>
  <c r="B86" i="71"/>
  <c r="E85" i="71"/>
  <c r="D85" i="71"/>
  <c r="B85" i="71"/>
  <c r="E84" i="71"/>
  <c r="D84" i="71"/>
  <c r="B84" i="71"/>
  <c r="E83" i="71"/>
  <c r="D83" i="71"/>
  <c r="B83" i="71"/>
  <c r="E82" i="71"/>
  <c r="D82" i="71"/>
  <c r="E80" i="71"/>
  <c r="D80" i="71"/>
  <c r="B80" i="71"/>
  <c r="D72" i="71"/>
  <c r="D69" i="71"/>
  <c r="D68" i="71"/>
  <c r="D67" i="71"/>
  <c r="D66" i="71"/>
  <c r="D65" i="71"/>
  <c r="E64" i="71"/>
  <c r="D64" i="71"/>
  <c r="D63" i="71"/>
  <c r="D62" i="71"/>
  <c r="D61" i="71"/>
  <c r="D60" i="71"/>
  <c r="D59" i="71"/>
  <c r="D58" i="71"/>
  <c r="D57" i="71"/>
  <c r="D56" i="71"/>
  <c r="D55" i="71"/>
  <c r="E54" i="71"/>
  <c r="D54" i="71"/>
  <c r="D53" i="71"/>
  <c r="D52" i="71"/>
  <c r="D51" i="71"/>
  <c r="D50" i="71"/>
  <c r="B50" i="71"/>
  <c r="D49" i="71"/>
  <c r="D48" i="71"/>
  <c r="D47" i="71"/>
  <c r="D46" i="71"/>
  <c r="D45" i="71"/>
  <c r="J43" i="71"/>
  <c r="J80" i="71" s="1"/>
  <c r="I43" i="71"/>
  <c r="I80" i="71" s="1"/>
  <c r="H43" i="71"/>
  <c r="H80" i="71" s="1"/>
  <c r="F43" i="71"/>
  <c r="E43" i="71"/>
  <c r="D43" i="71"/>
  <c r="C43" i="71"/>
  <c r="B43" i="71"/>
  <c r="J42" i="71"/>
  <c r="J79" i="71" s="1"/>
  <c r="I42" i="71"/>
  <c r="I79" i="71" s="1"/>
  <c r="H42" i="71"/>
  <c r="H79" i="71" s="1"/>
  <c r="H41" i="71"/>
  <c r="A112" i="71"/>
  <c r="L25" i="18" l="1"/>
  <c r="L26" i="18"/>
  <c r="I45" i="18"/>
  <c r="I44" i="18"/>
  <c r="I14" i="18"/>
  <c r="H78" i="71"/>
  <c r="C52" i="71"/>
  <c r="B58" i="71"/>
  <c r="E50" i="71"/>
  <c r="C68" i="71"/>
  <c r="E67" i="71"/>
  <c r="E45" i="71"/>
  <c r="E63" i="71"/>
  <c r="E51" i="71"/>
  <c r="C56" i="71"/>
  <c r="E59" i="71"/>
  <c r="E72" i="71"/>
  <c r="E56" i="71"/>
  <c r="E49" i="71"/>
  <c r="E60" i="71"/>
  <c r="E69" i="71"/>
  <c r="E53" i="71"/>
  <c r="E57" i="71"/>
  <c r="E61" i="71"/>
  <c r="E66" i="71"/>
  <c r="C47" i="71"/>
  <c r="C50" i="71"/>
  <c r="C66" i="71"/>
  <c r="C46" i="71"/>
  <c r="C48" i="71"/>
  <c r="C45" i="71"/>
  <c r="C54" i="71"/>
  <c r="C49" i="71"/>
  <c r="E48" i="71"/>
  <c r="E46" i="71"/>
  <c r="F54" i="71"/>
  <c r="F57" i="71"/>
  <c r="F64" i="71"/>
  <c r="D146" i="71"/>
  <c r="E52" i="71"/>
  <c r="E55" i="71"/>
  <c r="E65" i="71"/>
  <c r="E68" i="71"/>
  <c r="E47" i="71"/>
  <c r="E58" i="71"/>
  <c r="E62" i="71"/>
  <c r="D109" i="71"/>
  <c r="F61" i="71"/>
  <c r="F67" i="71"/>
  <c r="F66" i="71"/>
  <c r="F50" i="71"/>
  <c r="F56" i="71"/>
  <c r="F62" i="71"/>
  <c r="F46" i="71"/>
  <c r="F48" i="71"/>
  <c r="F52" i="71"/>
  <c r="F59" i="71"/>
  <c r="F69" i="71"/>
  <c r="F55" i="71"/>
  <c r="F53" i="71"/>
  <c r="F60" i="71"/>
  <c r="F72" i="71"/>
  <c r="E109" i="71"/>
  <c r="F65" i="71"/>
  <c r="E146" i="71"/>
  <c r="F45" i="71"/>
  <c r="F47" i="71"/>
  <c r="F49" i="71"/>
  <c r="F51" i="71"/>
  <c r="F63" i="71"/>
  <c r="F58" i="71"/>
  <c r="F68" i="71"/>
  <c r="C58" i="71"/>
  <c r="C60" i="71"/>
  <c r="C62" i="71"/>
  <c r="C64" i="71"/>
  <c r="B66" i="71"/>
  <c r="C51" i="71"/>
  <c r="C53" i="71"/>
  <c r="C55" i="71"/>
  <c r="C57" i="71"/>
  <c r="C59" i="71"/>
  <c r="C61" i="71"/>
  <c r="C63" i="71"/>
  <c r="C65" i="71"/>
  <c r="C67" i="71"/>
  <c r="C69" i="71"/>
  <c r="B52" i="71"/>
  <c r="B60" i="71"/>
  <c r="B68" i="71"/>
  <c r="B49" i="71"/>
  <c r="B57" i="71"/>
  <c r="B65" i="71"/>
  <c r="B55" i="71"/>
  <c r="B63" i="71"/>
  <c r="B51" i="71"/>
  <c r="B59" i="71"/>
  <c r="B67" i="71"/>
  <c r="B47" i="71"/>
  <c r="B46" i="71"/>
  <c r="B54" i="71"/>
  <c r="B62" i="71"/>
  <c r="B48" i="71"/>
  <c r="B56" i="71"/>
  <c r="B64" i="71"/>
  <c r="B45" i="71"/>
  <c r="B53" i="71"/>
  <c r="B61" i="71"/>
  <c r="B69" i="71"/>
  <c r="J15" i="18"/>
  <c r="J31" i="18"/>
  <c r="J32" i="18"/>
  <c r="J27" i="71"/>
  <c r="J17" i="71"/>
  <c r="J26" i="71"/>
  <c r="J18" i="71"/>
  <c r="J12" i="71"/>
  <c r="J30" i="71"/>
  <c r="J22" i="18"/>
  <c r="J23" i="71"/>
  <c r="J31" i="71"/>
  <c r="A75" i="71"/>
  <c r="A38" i="71"/>
  <c r="J55" i="71" l="1"/>
  <c r="J92" i="71" s="1"/>
  <c r="Q47" i="31"/>
  <c r="J63" i="71"/>
  <c r="J100" i="71" s="1"/>
  <c r="Q55" i="31"/>
  <c r="J54" i="71"/>
  <c r="J91" i="71" s="1"/>
  <c r="Q46" i="31"/>
  <c r="J64" i="71"/>
  <c r="J101" i="71" s="1"/>
  <c r="Q56" i="31"/>
  <c r="J68" i="71"/>
  <c r="J105" i="71" s="1"/>
  <c r="Q60" i="31"/>
  <c r="J60" i="71"/>
  <c r="J97" i="71" s="1"/>
  <c r="Q52" i="31"/>
  <c r="J67" i="71"/>
  <c r="J104" i="71" s="1"/>
  <c r="Q59" i="31"/>
  <c r="J49" i="71"/>
  <c r="J86" i="71" s="1"/>
  <c r="Q41" i="31"/>
  <c r="C3" i="83" l="1"/>
  <c r="I3" i="83" s="1"/>
  <c r="A1" i="83" s="1"/>
  <c r="A20" i="62" l="1"/>
  <c r="A18" i="62"/>
  <c r="A17" i="62"/>
  <c r="A16" i="62"/>
  <c r="A14" i="62"/>
  <c r="A13" i="62"/>
  <c r="A12" i="62"/>
  <c r="A10" i="62"/>
  <c r="A9" i="62"/>
  <c r="A8" i="62"/>
  <c r="A7" i="62"/>
  <c r="A23" i="62"/>
  <c r="K20" i="62" l="1"/>
  <c r="J20" i="62"/>
  <c r="I20" i="62"/>
  <c r="H20" i="62"/>
  <c r="L18" i="62"/>
  <c r="K18" i="62"/>
  <c r="J18" i="62"/>
  <c r="I18" i="62"/>
  <c r="H18" i="62"/>
  <c r="L17" i="62"/>
  <c r="K17" i="62"/>
  <c r="J17" i="62"/>
  <c r="I17" i="62"/>
  <c r="H17" i="62"/>
  <c r="L16" i="62"/>
  <c r="J16" i="62"/>
  <c r="I16" i="62"/>
  <c r="H16" i="62"/>
  <c r="L14" i="62"/>
  <c r="K14" i="62"/>
  <c r="J14" i="62"/>
  <c r="I14" i="62"/>
  <c r="H14" i="62"/>
  <c r="L13" i="62"/>
  <c r="K13" i="62"/>
  <c r="J13" i="62"/>
  <c r="I13" i="62"/>
  <c r="H13" i="62"/>
  <c r="L12" i="62"/>
  <c r="K12" i="62"/>
  <c r="J12" i="62"/>
  <c r="I12" i="62"/>
  <c r="H12" i="62"/>
  <c r="L10" i="62"/>
  <c r="K10" i="62"/>
  <c r="J10" i="62"/>
  <c r="I10" i="62"/>
  <c r="H10" i="62"/>
  <c r="L9" i="62"/>
  <c r="K9" i="62"/>
  <c r="J9" i="62"/>
  <c r="I9" i="62"/>
  <c r="H9" i="62"/>
  <c r="L8" i="62"/>
  <c r="K8" i="62"/>
  <c r="J8" i="62"/>
  <c r="I8" i="62"/>
  <c r="H8" i="62"/>
  <c r="L7" i="62"/>
  <c r="J7" i="62"/>
  <c r="I7" i="62"/>
  <c r="H7" i="62"/>
  <c r="L5" i="62"/>
  <c r="K5" i="62"/>
  <c r="J5" i="62"/>
  <c r="I5" i="62"/>
  <c r="H5" i="62"/>
  <c r="A1" i="62"/>
  <c r="K7" i="62" l="1"/>
  <c r="K16" i="62"/>
  <c r="L20" i="62"/>
  <c r="DP82" i="60" l="1"/>
  <c r="CR82" i="60"/>
  <c r="BT82" i="60"/>
  <c r="AV82" i="60"/>
  <c r="X82" i="60"/>
  <c r="DP55" i="60"/>
  <c r="CR55" i="60"/>
  <c r="BT55" i="60"/>
  <c r="AV55" i="60"/>
  <c r="X55" i="60"/>
  <c r="DP3" i="60"/>
  <c r="CR3" i="60"/>
  <c r="BT3" i="60"/>
  <c r="AV3" i="60"/>
  <c r="L9" i="60"/>
  <c r="L10" i="60"/>
  <c r="L11" i="60"/>
  <c r="L12" i="60"/>
  <c r="L13" i="60"/>
  <c r="L14" i="60"/>
  <c r="L15" i="60"/>
  <c r="L16" i="60"/>
  <c r="L17" i="60"/>
  <c r="L18" i="60"/>
  <c r="L19" i="60"/>
  <c r="L20" i="60"/>
  <c r="L21" i="60"/>
  <c r="L22" i="60"/>
  <c r="L23" i="60"/>
  <c r="L24" i="60"/>
  <c r="L25" i="60"/>
  <c r="L26" i="60"/>
  <c r="L27" i="60"/>
  <c r="L28" i="60"/>
  <c r="L29" i="60"/>
  <c r="L30" i="60"/>
  <c r="L31" i="60"/>
  <c r="L32" i="60"/>
  <c r="L33" i="60"/>
  <c r="L34" i="60"/>
  <c r="L35" i="60"/>
  <c r="L36" i="60"/>
  <c r="L37" i="60"/>
  <c r="L38" i="60"/>
  <c r="L39" i="60"/>
  <c r="L40" i="60"/>
  <c r="L41" i="60"/>
  <c r="L42" i="60"/>
  <c r="L43" i="60"/>
  <c r="L44" i="60"/>
  <c r="L45" i="60"/>
  <c r="L46" i="60"/>
  <c r="L47" i="60"/>
  <c r="L48" i="60"/>
  <c r="DP50" i="60"/>
  <c r="DP77" i="60" s="1"/>
  <c r="DJ50" i="60"/>
  <c r="DJ94" i="60" s="1"/>
  <c r="DD50" i="60"/>
  <c r="CX50" i="60"/>
  <c r="CR50" i="60"/>
  <c r="CR94" i="60" s="1"/>
  <c r="CL50" i="60"/>
  <c r="CL77" i="60" s="1"/>
  <c r="CF50" i="60"/>
  <c r="CF94" i="60" s="1"/>
  <c r="BZ50" i="60"/>
  <c r="BZ94" i="60" s="1"/>
  <c r="BT50" i="60"/>
  <c r="BT94" i="60" s="1"/>
  <c r="BN50" i="60"/>
  <c r="BN77" i="60" s="1"/>
  <c r="BH50" i="60"/>
  <c r="BB50" i="60"/>
  <c r="AV50" i="60"/>
  <c r="AV94" i="60" s="1"/>
  <c r="AP50" i="60"/>
  <c r="AP94" i="60" s="1"/>
  <c r="AJ50" i="60"/>
  <c r="AJ77" i="60" s="1"/>
  <c r="AD50" i="60"/>
  <c r="AD94" i="60" s="1"/>
  <c r="X50" i="60"/>
  <c r="X94" i="60" s="1"/>
  <c r="R50" i="60"/>
  <c r="R94" i="60" s="1"/>
  <c r="L50" i="60"/>
  <c r="F50" i="60"/>
  <c r="DP48" i="60"/>
  <c r="DP47" i="60"/>
  <c r="DP46" i="60"/>
  <c r="DP45" i="60"/>
  <c r="DP44" i="60"/>
  <c r="DP43" i="60"/>
  <c r="DP42" i="60"/>
  <c r="DP41" i="60"/>
  <c r="DP40" i="60"/>
  <c r="DP39" i="60"/>
  <c r="DP38" i="60"/>
  <c r="DP37" i="60"/>
  <c r="DP36" i="60"/>
  <c r="DP35" i="60"/>
  <c r="DP34" i="60"/>
  <c r="DP33" i="60"/>
  <c r="DP32" i="60"/>
  <c r="DP31" i="60"/>
  <c r="DP30" i="60"/>
  <c r="DP29" i="60"/>
  <c r="DP28" i="60"/>
  <c r="DP27" i="60"/>
  <c r="DP26" i="60"/>
  <c r="DP25" i="60"/>
  <c r="DP24" i="60"/>
  <c r="DP23" i="60"/>
  <c r="DP22" i="60"/>
  <c r="DP21" i="60"/>
  <c r="DP20" i="60"/>
  <c r="DP19" i="60"/>
  <c r="DP18" i="60"/>
  <c r="DP17" i="60"/>
  <c r="DP16" i="60"/>
  <c r="DP15" i="60"/>
  <c r="DP14" i="60"/>
  <c r="DP13" i="60"/>
  <c r="DP12" i="60"/>
  <c r="DP11" i="60"/>
  <c r="DP10" i="60"/>
  <c r="DP9" i="60"/>
  <c r="DP8" i="60"/>
  <c r="DJ48" i="60"/>
  <c r="DJ47" i="60"/>
  <c r="DJ46" i="60"/>
  <c r="DJ45" i="60"/>
  <c r="DJ44" i="60"/>
  <c r="DJ43" i="60"/>
  <c r="DJ42" i="60"/>
  <c r="DJ41" i="60"/>
  <c r="DJ40" i="60"/>
  <c r="DJ39" i="60"/>
  <c r="DJ38" i="60"/>
  <c r="DJ37" i="60"/>
  <c r="DJ36" i="60"/>
  <c r="DJ35" i="60"/>
  <c r="DJ34" i="60"/>
  <c r="DJ33" i="60"/>
  <c r="DJ32" i="60"/>
  <c r="DJ31" i="60"/>
  <c r="DJ30" i="60"/>
  <c r="DJ29" i="60"/>
  <c r="DJ28" i="60"/>
  <c r="DJ27" i="60"/>
  <c r="DJ26" i="60"/>
  <c r="DJ25" i="60"/>
  <c r="DJ24" i="60"/>
  <c r="DJ23" i="60"/>
  <c r="DJ22" i="60"/>
  <c r="DJ21" i="60"/>
  <c r="DJ20" i="60"/>
  <c r="DJ19" i="60"/>
  <c r="DJ18" i="60"/>
  <c r="DJ17" i="60"/>
  <c r="DJ16" i="60"/>
  <c r="DJ15" i="60"/>
  <c r="DJ14" i="60"/>
  <c r="DJ13" i="60"/>
  <c r="DJ12" i="60"/>
  <c r="DJ11" i="60"/>
  <c r="DJ10" i="60"/>
  <c r="DJ9" i="60"/>
  <c r="DJ8" i="60"/>
  <c r="DD48" i="60"/>
  <c r="DD47" i="60"/>
  <c r="DD46" i="60"/>
  <c r="DD45" i="60"/>
  <c r="DD44" i="60"/>
  <c r="DD43" i="60"/>
  <c r="DD42" i="60"/>
  <c r="DD41" i="60"/>
  <c r="DD40" i="60"/>
  <c r="DD39" i="60"/>
  <c r="DD38" i="60"/>
  <c r="DD37" i="60"/>
  <c r="DD36" i="60"/>
  <c r="DD35" i="60"/>
  <c r="DD34" i="60"/>
  <c r="DD33" i="60"/>
  <c r="DD32" i="60"/>
  <c r="DD31" i="60"/>
  <c r="DD30" i="60"/>
  <c r="DD29" i="60"/>
  <c r="DD28" i="60"/>
  <c r="DD27" i="60"/>
  <c r="DD26" i="60"/>
  <c r="DD25" i="60"/>
  <c r="DD24" i="60"/>
  <c r="DD23" i="60"/>
  <c r="DD22" i="60"/>
  <c r="DD21" i="60"/>
  <c r="DD20" i="60"/>
  <c r="DD19" i="60"/>
  <c r="DD18" i="60"/>
  <c r="DD17" i="60"/>
  <c r="DD16" i="60"/>
  <c r="DD15" i="60"/>
  <c r="DD14" i="60"/>
  <c r="DD13" i="60"/>
  <c r="DD12" i="60"/>
  <c r="DD11" i="60"/>
  <c r="DD10" i="60"/>
  <c r="DD9" i="60"/>
  <c r="DD8" i="60"/>
  <c r="CX48" i="60"/>
  <c r="CX47" i="60"/>
  <c r="CX46" i="60"/>
  <c r="CX45" i="60"/>
  <c r="CX44" i="60"/>
  <c r="CX43" i="60"/>
  <c r="CX42" i="60"/>
  <c r="CX41" i="60"/>
  <c r="CX40" i="60"/>
  <c r="CX39" i="60"/>
  <c r="CX38" i="60"/>
  <c r="CX37" i="60"/>
  <c r="CX36" i="60"/>
  <c r="CX35" i="60"/>
  <c r="CX34" i="60"/>
  <c r="CX33" i="60"/>
  <c r="CX32" i="60"/>
  <c r="CX31" i="60"/>
  <c r="CX30" i="60"/>
  <c r="CX29" i="60"/>
  <c r="CX28" i="60"/>
  <c r="CX27" i="60"/>
  <c r="CX26" i="60"/>
  <c r="CX25" i="60"/>
  <c r="CX24" i="60"/>
  <c r="CX23" i="60"/>
  <c r="CX22" i="60"/>
  <c r="CX21" i="60"/>
  <c r="CX20" i="60"/>
  <c r="CX19" i="60"/>
  <c r="CX18" i="60"/>
  <c r="CX17" i="60"/>
  <c r="CX16" i="60"/>
  <c r="CX15" i="60"/>
  <c r="CX14" i="60"/>
  <c r="CX13" i="60"/>
  <c r="CX12" i="60"/>
  <c r="CX11" i="60"/>
  <c r="CX10" i="60"/>
  <c r="CX9" i="60"/>
  <c r="CX8" i="60"/>
  <c r="CR48" i="60"/>
  <c r="CR47" i="60"/>
  <c r="CR46" i="60"/>
  <c r="CR45" i="60"/>
  <c r="CR44" i="60"/>
  <c r="CR43" i="60"/>
  <c r="CR42" i="60"/>
  <c r="CR41" i="60"/>
  <c r="CR40" i="60"/>
  <c r="CR39" i="60"/>
  <c r="CR38" i="60"/>
  <c r="CR37" i="60"/>
  <c r="CR36" i="60"/>
  <c r="CR35" i="60"/>
  <c r="CR34" i="60"/>
  <c r="CR33" i="60"/>
  <c r="CR32" i="60"/>
  <c r="CR31" i="60"/>
  <c r="CR30" i="60"/>
  <c r="CR29" i="60"/>
  <c r="CR28" i="60"/>
  <c r="CR27" i="60"/>
  <c r="CR26" i="60"/>
  <c r="CR25" i="60"/>
  <c r="CR24" i="60"/>
  <c r="CR23" i="60"/>
  <c r="CR22" i="60"/>
  <c r="CR21" i="60"/>
  <c r="CR20" i="60"/>
  <c r="CR19" i="60"/>
  <c r="CR18" i="60"/>
  <c r="CR17" i="60"/>
  <c r="CR16" i="60"/>
  <c r="CR15" i="60"/>
  <c r="CR14" i="60"/>
  <c r="CR13" i="60"/>
  <c r="CR12" i="60"/>
  <c r="CR11" i="60"/>
  <c r="CR10" i="60"/>
  <c r="CR9" i="60"/>
  <c r="CR8" i="60"/>
  <c r="CL48" i="60"/>
  <c r="CL47" i="60"/>
  <c r="CL46" i="60"/>
  <c r="CL45" i="60"/>
  <c r="CL44" i="60"/>
  <c r="CL43" i="60"/>
  <c r="CL42" i="60"/>
  <c r="CL41" i="60"/>
  <c r="CL40" i="60"/>
  <c r="CL39" i="60"/>
  <c r="CL38" i="60"/>
  <c r="CL37" i="60"/>
  <c r="CL36" i="60"/>
  <c r="CL35" i="60"/>
  <c r="CL34" i="60"/>
  <c r="CL33" i="60"/>
  <c r="CL32" i="60"/>
  <c r="CL31" i="60"/>
  <c r="CL30" i="60"/>
  <c r="CL29" i="60"/>
  <c r="CL28" i="60"/>
  <c r="CL27" i="60"/>
  <c r="CL26" i="60"/>
  <c r="CL25" i="60"/>
  <c r="CL24" i="60"/>
  <c r="CL23" i="60"/>
  <c r="CL22" i="60"/>
  <c r="CL21" i="60"/>
  <c r="CL20" i="60"/>
  <c r="CL19" i="60"/>
  <c r="CL18" i="60"/>
  <c r="CL17" i="60"/>
  <c r="CL16" i="60"/>
  <c r="CL15" i="60"/>
  <c r="CL14" i="60"/>
  <c r="CL13" i="60"/>
  <c r="CL12" i="60"/>
  <c r="CL11" i="60"/>
  <c r="CL10" i="60"/>
  <c r="CL9" i="60"/>
  <c r="CL8" i="60"/>
  <c r="CF48" i="60"/>
  <c r="CF47" i="60"/>
  <c r="CF46" i="60"/>
  <c r="CF45" i="60"/>
  <c r="CF44" i="60"/>
  <c r="CF43" i="60"/>
  <c r="CF42" i="60"/>
  <c r="CF41" i="60"/>
  <c r="CF40" i="60"/>
  <c r="CF39" i="60"/>
  <c r="CF38" i="60"/>
  <c r="CF37" i="60"/>
  <c r="CF36" i="60"/>
  <c r="CF35" i="60"/>
  <c r="CF34" i="60"/>
  <c r="CF33" i="60"/>
  <c r="CF32" i="60"/>
  <c r="CF31" i="60"/>
  <c r="CF30" i="60"/>
  <c r="CF29" i="60"/>
  <c r="CF28" i="60"/>
  <c r="CF27" i="60"/>
  <c r="CF26" i="60"/>
  <c r="CF25" i="60"/>
  <c r="CF24" i="60"/>
  <c r="CF23" i="60"/>
  <c r="CF22" i="60"/>
  <c r="CF21" i="60"/>
  <c r="CF20" i="60"/>
  <c r="CF19" i="60"/>
  <c r="CF18" i="60"/>
  <c r="CF17" i="60"/>
  <c r="CF16" i="60"/>
  <c r="CF15" i="60"/>
  <c r="CF14" i="60"/>
  <c r="CF13" i="60"/>
  <c r="CF12" i="60"/>
  <c r="CF11" i="60"/>
  <c r="CF10" i="60"/>
  <c r="CF9" i="60"/>
  <c r="CF8" i="60"/>
  <c r="BZ48" i="60"/>
  <c r="BZ47" i="60"/>
  <c r="BZ46" i="60"/>
  <c r="BZ45" i="60"/>
  <c r="BZ44" i="60"/>
  <c r="BZ43" i="60"/>
  <c r="BZ42" i="60"/>
  <c r="BZ41" i="60"/>
  <c r="BZ40" i="60"/>
  <c r="BZ39" i="60"/>
  <c r="BZ38" i="60"/>
  <c r="BZ37" i="60"/>
  <c r="BZ36" i="60"/>
  <c r="BZ35" i="60"/>
  <c r="BZ34" i="60"/>
  <c r="BZ33" i="60"/>
  <c r="BZ32" i="60"/>
  <c r="BZ31" i="60"/>
  <c r="BZ30" i="60"/>
  <c r="BZ29" i="60"/>
  <c r="BZ28" i="60"/>
  <c r="BZ27" i="60"/>
  <c r="BZ26" i="60"/>
  <c r="BZ25" i="60"/>
  <c r="BZ24" i="60"/>
  <c r="BZ23" i="60"/>
  <c r="BZ22" i="60"/>
  <c r="BZ21" i="60"/>
  <c r="BZ20" i="60"/>
  <c r="BZ19" i="60"/>
  <c r="BZ18" i="60"/>
  <c r="BZ17" i="60"/>
  <c r="BZ16" i="60"/>
  <c r="BZ15" i="60"/>
  <c r="BZ14" i="60"/>
  <c r="BZ13" i="60"/>
  <c r="BZ12" i="60"/>
  <c r="BZ11" i="60"/>
  <c r="BZ10" i="60"/>
  <c r="BZ9" i="60"/>
  <c r="BZ8" i="60"/>
  <c r="BT48" i="60"/>
  <c r="BT47" i="60"/>
  <c r="BT46" i="60"/>
  <c r="BT45" i="60"/>
  <c r="BT44" i="60"/>
  <c r="BT43" i="60"/>
  <c r="BT42" i="60"/>
  <c r="BT41" i="60"/>
  <c r="BT40" i="60"/>
  <c r="BT39" i="60"/>
  <c r="BT38" i="60"/>
  <c r="BT37" i="60"/>
  <c r="BT36" i="60"/>
  <c r="BT35" i="60"/>
  <c r="BT34" i="60"/>
  <c r="BT33" i="60"/>
  <c r="BT32" i="60"/>
  <c r="BT31" i="60"/>
  <c r="BT30" i="60"/>
  <c r="BT29" i="60"/>
  <c r="BT28" i="60"/>
  <c r="BT27" i="60"/>
  <c r="BT26" i="60"/>
  <c r="BT25" i="60"/>
  <c r="BT24" i="60"/>
  <c r="BT23" i="60"/>
  <c r="BT22" i="60"/>
  <c r="BT21" i="60"/>
  <c r="BT20" i="60"/>
  <c r="BT19" i="60"/>
  <c r="BT18" i="60"/>
  <c r="BT17" i="60"/>
  <c r="BT16" i="60"/>
  <c r="BT15" i="60"/>
  <c r="BT14" i="60"/>
  <c r="BT13" i="60"/>
  <c r="BT12" i="60"/>
  <c r="BT11" i="60"/>
  <c r="BT10" i="60"/>
  <c r="BT9" i="60"/>
  <c r="BT8" i="60"/>
  <c r="BN48" i="60"/>
  <c r="BN47" i="60"/>
  <c r="BN46" i="60"/>
  <c r="BN45" i="60"/>
  <c r="BN44" i="60"/>
  <c r="BN43" i="60"/>
  <c r="BN42" i="60"/>
  <c r="BN41" i="60"/>
  <c r="BN40" i="60"/>
  <c r="BN39" i="60"/>
  <c r="BN38" i="60"/>
  <c r="BN37" i="60"/>
  <c r="BN36" i="60"/>
  <c r="BN35" i="60"/>
  <c r="BN34" i="60"/>
  <c r="BN33" i="60"/>
  <c r="BN32" i="60"/>
  <c r="BN31" i="60"/>
  <c r="BN30" i="60"/>
  <c r="BN29" i="60"/>
  <c r="BN28" i="60"/>
  <c r="BN27" i="60"/>
  <c r="BN26" i="60"/>
  <c r="BN25" i="60"/>
  <c r="BN24" i="60"/>
  <c r="BN23" i="60"/>
  <c r="BN22" i="60"/>
  <c r="BN21" i="60"/>
  <c r="BN20" i="60"/>
  <c r="BN19" i="60"/>
  <c r="BN18" i="60"/>
  <c r="BN17" i="60"/>
  <c r="BN16" i="60"/>
  <c r="BN15" i="60"/>
  <c r="BN14" i="60"/>
  <c r="BN13" i="60"/>
  <c r="BN12" i="60"/>
  <c r="BN11" i="60"/>
  <c r="BN10" i="60"/>
  <c r="BN9" i="60"/>
  <c r="BN8" i="60"/>
  <c r="BH48" i="60"/>
  <c r="BH47" i="60"/>
  <c r="BH46" i="60"/>
  <c r="BH45" i="60"/>
  <c r="BH44" i="60"/>
  <c r="BH43" i="60"/>
  <c r="BH42" i="60"/>
  <c r="BH41" i="60"/>
  <c r="BH40" i="60"/>
  <c r="BH39" i="60"/>
  <c r="BH38" i="60"/>
  <c r="BH37" i="60"/>
  <c r="BH36" i="60"/>
  <c r="BH35" i="60"/>
  <c r="BH34" i="60"/>
  <c r="BH33" i="60"/>
  <c r="BH32" i="60"/>
  <c r="BH31" i="60"/>
  <c r="BH30" i="60"/>
  <c r="BH29" i="60"/>
  <c r="BH28" i="60"/>
  <c r="BH27" i="60"/>
  <c r="BH26" i="60"/>
  <c r="BH25" i="60"/>
  <c r="BH24" i="60"/>
  <c r="BH23" i="60"/>
  <c r="BH22" i="60"/>
  <c r="BH21" i="60"/>
  <c r="BH20" i="60"/>
  <c r="BH19" i="60"/>
  <c r="BH18" i="60"/>
  <c r="BH17" i="60"/>
  <c r="BH16" i="60"/>
  <c r="BH15" i="60"/>
  <c r="BH14" i="60"/>
  <c r="BH13" i="60"/>
  <c r="BH12" i="60"/>
  <c r="BH11" i="60"/>
  <c r="BH10" i="60"/>
  <c r="BH9" i="60"/>
  <c r="BH8" i="60"/>
  <c r="BB48" i="60"/>
  <c r="BB47" i="60"/>
  <c r="BB46" i="60"/>
  <c r="BB45" i="60"/>
  <c r="BB44" i="60"/>
  <c r="BB43" i="60"/>
  <c r="BB42" i="60"/>
  <c r="BB41" i="60"/>
  <c r="BB40" i="60"/>
  <c r="BB39" i="60"/>
  <c r="BB38" i="60"/>
  <c r="BB37" i="60"/>
  <c r="BB36" i="60"/>
  <c r="BB35" i="60"/>
  <c r="BB34" i="60"/>
  <c r="BB33" i="60"/>
  <c r="BB32" i="60"/>
  <c r="BB31" i="60"/>
  <c r="BB30" i="60"/>
  <c r="BB29" i="60"/>
  <c r="BB28" i="60"/>
  <c r="BB27" i="60"/>
  <c r="BB26" i="60"/>
  <c r="BB25" i="60"/>
  <c r="BB24" i="60"/>
  <c r="BB23" i="60"/>
  <c r="BB22" i="60"/>
  <c r="BB21" i="60"/>
  <c r="BB20" i="60"/>
  <c r="BB19" i="60"/>
  <c r="BB18" i="60"/>
  <c r="BB17" i="60"/>
  <c r="BB16" i="60"/>
  <c r="BB15" i="60"/>
  <c r="BB14" i="60"/>
  <c r="BB13" i="60"/>
  <c r="BB12" i="60"/>
  <c r="BB11" i="60"/>
  <c r="BB10" i="60"/>
  <c r="BB9" i="60"/>
  <c r="BB8" i="60"/>
  <c r="AV48" i="60"/>
  <c r="AV47" i="60"/>
  <c r="AV46" i="60"/>
  <c r="AV45" i="60"/>
  <c r="AV44" i="60"/>
  <c r="AV43" i="60"/>
  <c r="AV42" i="60"/>
  <c r="AV41" i="60"/>
  <c r="AV40" i="60"/>
  <c r="AV39" i="60"/>
  <c r="AV38" i="60"/>
  <c r="AV37" i="60"/>
  <c r="AV36" i="60"/>
  <c r="AV35" i="60"/>
  <c r="AV34" i="60"/>
  <c r="AV33" i="60"/>
  <c r="AV32" i="60"/>
  <c r="AV31" i="60"/>
  <c r="AV30" i="60"/>
  <c r="AV29" i="60"/>
  <c r="AV28" i="60"/>
  <c r="AV27" i="60"/>
  <c r="AV26" i="60"/>
  <c r="AV25" i="60"/>
  <c r="AV24" i="60"/>
  <c r="AV23" i="60"/>
  <c r="AV22" i="60"/>
  <c r="AV21" i="60"/>
  <c r="AV20" i="60"/>
  <c r="AV19" i="60"/>
  <c r="AV18" i="60"/>
  <c r="AV17" i="60"/>
  <c r="AV16" i="60"/>
  <c r="AV15" i="60"/>
  <c r="AV14" i="60"/>
  <c r="AV13" i="60"/>
  <c r="AV12" i="60"/>
  <c r="AV11" i="60"/>
  <c r="AV10" i="60"/>
  <c r="AV9" i="60"/>
  <c r="AV8" i="60"/>
  <c r="AP48" i="60"/>
  <c r="AP47" i="60"/>
  <c r="AP46" i="60"/>
  <c r="AP45" i="60"/>
  <c r="AP44" i="60"/>
  <c r="AP43" i="60"/>
  <c r="AP42" i="60"/>
  <c r="AP41" i="60"/>
  <c r="AP40" i="60"/>
  <c r="AP39" i="60"/>
  <c r="AP38" i="60"/>
  <c r="AP37" i="60"/>
  <c r="AP36" i="60"/>
  <c r="AP35" i="60"/>
  <c r="AP34" i="60"/>
  <c r="AP33" i="60"/>
  <c r="AP32" i="60"/>
  <c r="AP31" i="60"/>
  <c r="AP30" i="60"/>
  <c r="AP29" i="60"/>
  <c r="AP28" i="60"/>
  <c r="AP27" i="60"/>
  <c r="AP26" i="60"/>
  <c r="AP25" i="60"/>
  <c r="AP24" i="60"/>
  <c r="AP23" i="60"/>
  <c r="AP22" i="60"/>
  <c r="AP21" i="60"/>
  <c r="AP20" i="60"/>
  <c r="AP19" i="60"/>
  <c r="AP18" i="60"/>
  <c r="AP17" i="60"/>
  <c r="AP16" i="60"/>
  <c r="AP15" i="60"/>
  <c r="AP14" i="60"/>
  <c r="AP13" i="60"/>
  <c r="AP12" i="60"/>
  <c r="AP11" i="60"/>
  <c r="AP10" i="60"/>
  <c r="AP9" i="60"/>
  <c r="AP8" i="60"/>
  <c r="AJ48" i="60"/>
  <c r="AJ47" i="60"/>
  <c r="AJ46" i="60"/>
  <c r="AJ45" i="60"/>
  <c r="AJ44" i="60"/>
  <c r="AJ43" i="60"/>
  <c r="AJ42" i="60"/>
  <c r="AJ41" i="60"/>
  <c r="AJ40" i="60"/>
  <c r="AJ39" i="60"/>
  <c r="AJ38" i="60"/>
  <c r="AJ37" i="60"/>
  <c r="AJ36" i="60"/>
  <c r="AJ35" i="60"/>
  <c r="AJ34" i="60"/>
  <c r="AJ33" i="60"/>
  <c r="AJ32" i="60"/>
  <c r="AJ31" i="60"/>
  <c r="AJ30" i="60"/>
  <c r="AJ29" i="60"/>
  <c r="AJ28" i="60"/>
  <c r="AJ27" i="60"/>
  <c r="AJ26" i="60"/>
  <c r="AJ25" i="60"/>
  <c r="AJ24" i="60"/>
  <c r="AJ23" i="60"/>
  <c r="AJ22" i="60"/>
  <c r="AJ21" i="60"/>
  <c r="AJ20" i="60"/>
  <c r="AJ19" i="60"/>
  <c r="AJ18" i="60"/>
  <c r="AJ17" i="60"/>
  <c r="AJ16" i="60"/>
  <c r="AJ15" i="60"/>
  <c r="AJ14" i="60"/>
  <c r="AJ13" i="60"/>
  <c r="AJ12" i="60"/>
  <c r="AJ11" i="60"/>
  <c r="AJ10" i="60"/>
  <c r="AJ9" i="60"/>
  <c r="AJ8" i="60"/>
  <c r="AD48" i="60"/>
  <c r="AD47" i="60"/>
  <c r="AD46" i="60"/>
  <c r="AD45" i="60"/>
  <c r="AD44" i="60"/>
  <c r="AD43" i="60"/>
  <c r="AD42" i="60"/>
  <c r="AD41" i="60"/>
  <c r="AD40" i="60"/>
  <c r="AD39" i="60"/>
  <c r="AD38" i="60"/>
  <c r="AD37" i="60"/>
  <c r="AD36" i="60"/>
  <c r="AD35" i="60"/>
  <c r="AD34" i="60"/>
  <c r="AD33" i="60"/>
  <c r="AD32" i="60"/>
  <c r="AD31" i="60"/>
  <c r="AD30" i="60"/>
  <c r="AD29" i="60"/>
  <c r="AD28" i="60"/>
  <c r="AD27" i="60"/>
  <c r="AD26" i="60"/>
  <c r="AD25" i="60"/>
  <c r="AD24" i="60"/>
  <c r="AD23" i="60"/>
  <c r="AD22" i="60"/>
  <c r="AD21" i="60"/>
  <c r="AD20" i="60"/>
  <c r="AD19" i="60"/>
  <c r="AD18" i="60"/>
  <c r="AD17" i="60"/>
  <c r="AD16" i="60"/>
  <c r="AD15" i="60"/>
  <c r="AD14" i="60"/>
  <c r="AD13" i="60"/>
  <c r="AD12" i="60"/>
  <c r="AD11" i="60"/>
  <c r="AD10" i="60"/>
  <c r="AD9" i="60"/>
  <c r="AD8" i="60"/>
  <c r="X48" i="60"/>
  <c r="X47" i="60"/>
  <c r="X46" i="60"/>
  <c r="X45" i="60"/>
  <c r="X44" i="60"/>
  <c r="X43" i="60"/>
  <c r="X42" i="60"/>
  <c r="X41" i="60"/>
  <c r="X40" i="60"/>
  <c r="X39" i="60"/>
  <c r="X38" i="60"/>
  <c r="X37" i="60"/>
  <c r="X36" i="60"/>
  <c r="X35" i="60"/>
  <c r="X34" i="60"/>
  <c r="X33" i="60"/>
  <c r="X32" i="60"/>
  <c r="X31" i="60"/>
  <c r="X30" i="60"/>
  <c r="X29" i="60"/>
  <c r="X28" i="60"/>
  <c r="X27" i="60"/>
  <c r="X26" i="60"/>
  <c r="X25" i="60"/>
  <c r="X24" i="60"/>
  <c r="X23" i="60"/>
  <c r="X22" i="60"/>
  <c r="X21" i="60"/>
  <c r="X20" i="60"/>
  <c r="X19" i="60"/>
  <c r="X18" i="60"/>
  <c r="X17" i="60"/>
  <c r="X16" i="60"/>
  <c r="X15" i="60"/>
  <c r="X14" i="60"/>
  <c r="X13" i="60"/>
  <c r="X12" i="60"/>
  <c r="X11" i="60"/>
  <c r="X10" i="60"/>
  <c r="X9" i="60"/>
  <c r="X8" i="60"/>
  <c r="R48" i="60"/>
  <c r="R47" i="60"/>
  <c r="R46" i="60"/>
  <c r="R45" i="60"/>
  <c r="R44" i="60"/>
  <c r="R43" i="60"/>
  <c r="R42" i="60"/>
  <c r="R41" i="60"/>
  <c r="R40" i="60"/>
  <c r="R39" i="60"/>
  <c r="R38" i="60"/>
  <c r="R37" i="60"/>
  <c r="R36" i="60"/>
  <c r="R35" i="60"/>
  <c r="R34" i="60"/>
  <c r="R33" i="60"/>
  <c r="R32" i="60"/>
  <c r="R31" i="60"/>
  <c r="R30" i="60"/>
  <c r="R29" i="60"/>
  <c r="R28" i="60"/>
  <c r="R27" i="60"/>
  <c r="R26" i="60"/>
  <c r="R25" i="60"/>
  <c r="R24" i="60"/>
  <c r="R23" i="60"/>
  <c r="R22" i="60"/>
  <c r="R21" i="60"/>
  <c r="R20" i="60"/>
  <c r="R19" i="60"/>
  <c r="R18" i="60"/>
  <c r="R17" i="60"/>
  <c r="R16" i="60"/>
  <c r="R15" i="60"/>
  <c r="R14" i="60"/>
  <c r="R13" i="60"/>
  <c r="R12" i="60"/>
  <c r="R11" i="60"/>
  <c r="R10" i="60"/>
  <c r="R9" i="60"/>
  <c r="R8" i="60"/>
  <c r="L8" i="60"/>
  <c r="F9" i="60"/>
  <c r="F10" i="60"/>
  <c r="F11" i="60"/>
  <c r="F12" i="60"/>
  <c r="F13" i="60"/>
  <c r="F14" i="60"/>
  <c r="F15" i="60"/>
  <c r="F16" i="60"/>
  <c r="F17" i="60"/>
  <c r="F18" i="60"/>
  <c r="F19" i="60"/>
  <c r="F20" i="60"/>
  <c r="F21" i="60"/>
  <c r="F22" i="60"/>
  <c r="F23" i="60"/>
  <c r="F24" i="60"/>
  <c r="F25" i="60"/>
  <c r="F26" i="60"/>
  <c r="F27" i="60"/>
  <c r="F28" i="60"/>
  <c r="F29" i="60"/>
  <c r="F30" i="60"/>
  <c r="F31" i="60"/>
  <c r="F32" i="60"/>
  <c r="F33" i="60"/>
  <c r="F34" i="60"/>
  <c r="F35" i="60"/>
  <c r="F36" i="60"/>
  <c r="F37" i="60"/>
  <c r="F38" i="60"/>
  <c r="F39" i="60"/>
  <c r="F40" i="60"/>
  <c r="F41" i="60"/>
  <c r="F42" i="60"/>
  <c r="F43" i="60"/>
  <c r="F44" i="60"/>
  <c r="F45" i="60"/>
  <c r="F46" i="60"/>
  <c r="F47" i="60"/>
  <c r="F48" i="60"/>
  <c r="F8" i="60"/>
  <c r="DP94" i="60"/>
  <c r="DO94" i="60"/>
  <c r="DN94" i="60"/>
  <c r="DM94" i="60"/>
  <c r="DI94" i="60"/>
  <c r="DH94" i="60"/>
  <c r="DG94" i="60"/>
  <c r="DD94" i="60"/>
  <c r="DC94" i="60"/>
  <c r="DB94" i="60"/>
  <c r="DA94" i="60"/>
  <c r="CX94" i="60"/>
  <c r="CW94" i="60"/>
  <c r="CV94" i="60"/>
  <c r="CU94" i="60"/>
  <c r="DO87" i="60" a="1"/>
  <c r="DO92" i="60" s="1"/>
  <c r="DN87" i="60" a="1"/>
  <c r="DN91" i="60" s="1"/>
  <c r="DM87" i="60" a="1"/>
  <c r="DM92" i="60" s="1"/>
  <c r="DI87" i="60" a="1"/>
  <c r="DI91" i="60" s="1"/>
  <c r="DH87" i="60" a="1"/>
  <c r="DH92" i="60" s="1"/>
  <c r="DG87" i="60" a="1"/>
  <c r="DG91" i="60" s="1"/>
  <c r="DC87" i="60" a="1"/>
  <c r="DC92" i="60" s="1"/>
  <c r="DB87" i="60" a="1"/>
  <c r="DB91" i="60" s="1"/>
  <c r="DA87" i="60" a="1"/>
  <c r="DA92" i="60" s="1"/>
  <c r="CW87" i="60" a="1"/>
  <c r="CW91" i="60" s="1"/>
  <c r="CV87" i="60" a="1"/>
  <c r="CV92" i="60" s="1"/>
  <c r="CU87" i="60" a="1"/>
  <c r="CU91" i="60" s="1"/>
  <c r="CX85" i="60"/>
  <c r="DD85" i="60" s="1"/>
  <c r="DJ85" i="60" s="1"/>
  <c r="DP85" i="60" s="1"/>
  <c r="CW85" i="60"/>
  <c r="DC85" i="60" s="1"/>
  <c r="DI85" i="60" s="1"/>
  <c r="DO85" i="60" s="1"/>
  <c r="CV85" i="60"/>
  <c r="DB85" i="60" s="1"/>
  <c r="DH85" i="60" s="1"/>
  <c r="DN85" i="60" s="1"/>
  <c r="CT85" i="60"/>
  <c r="CZ85" i="60" s="1"/>
  <c r="DF85" i="60" s="1"/>
  <c r="DL85" i="60" s="1"/>
  <c r="DO77" i="60"/>
  <c r="DN77" i="60"/>
  <c r="DM77" i="60"/>
  <c r="DI77" i="60"/>
  <c r="DH77" i="60"/>
  <c r="DG77" i="60"/>
  <c r="DD77" i="60"/>
  <c r="DC77" i="60"/>
  <c r="DB77" i="60"/>
  <c r="DA77" i="60"/>
  <c r="CX77" i="60"/>
  <c r="CW77" i="60"/>
  <c r="CV77" i="60"/>
  <c r="CU77" i="60"/>
  <c r="DO60" i="60" a="1"/>
  <c r="DO75" i="60" s="1"/>
  <c r="DN60" i="60" a="1"/>
  <c r="DN74" i="60" s="1"/>
  <c r="DM60" i="60" a="1"/>
  <c r="DM75" i="60" s="1"/>
  <c r="DI60" i="60" a="1"/>
  <c r="DI74" i="60" s="1"/>
  <c r="DH60" i="60" a="1"/>
  <c r="DH75" i="60" s="1"/>
  <c r="DG60" i="60" a="1"/>
  <c r="DG74" i="60" s="1"/>
  <c r="DC60" i="60" a="1"/>
  <c r="DC75" i="60" s="1"/>
  <c r="DB60" i="60" a="1"/>
  <c r="DB74" i="60" s="1"/>
  <c r="DA60" i="60" a="1"/>
  <c r="DA75" i="60" s="1"/>
  <c r="CW60" i="60" a="1"/>
  <c r="CW74" i="60" s="1"/>
  <c r="CV60" i="60" a="1"/>
  <c r="CV75" i="60" s="1"/>
  <c r="CU60" i="60" a="1"/>
  <c r="CU74" i="60" s="1"/>
  <c r="CX58" i="60"/>
  <c r="DD58" i="60" s="1"/>
  <c r="DJ58" i="60" s="1"/>
  <c r="DP58" i="60" s="1"/>
  <c r="CW58" i="60"/>
  <c r="DC58" i="60" s="1"/>
  <c r="DI58" i="60" s="1"/>
  <c r="DO58" i="60" s="1"/>
  <c r="CV58" i="60"/>
  <c r="DB58" i="60" s="1"/>
  <c r="DH58" i="60" s="1"/>
  <c r="DN58" i="60" s="1"/>
  <c r="CT58" i="60"/>
  <c r="CZ58" i="60" s="1"/>
  <c r="DF58" i="60" s="1"/>
  <c r="DL58" i="60" s="1"/>
  <c r="DD6" i="60"/>
  <c r="DJ6" i="60" s="1"/>
  <c r="DP6" i="60" s="1"/>
  <c r="DC6" i="60"/>
  <c r="DI6" i="60" s="1"/>
  <c r="DO6" i="60" s="1"/>
  <c r="DB6" i="60"/>
  <c r="DH6" i="60" s="1"/>
  <c r="DN6" i="60" s="1"/>
  <c r="CZ6" i="60"/>
  <c r="DF6" i="60" s="1"/>
  <c r="DL6" i="60" s="1"/>
  <c r="CQ94" i="60"/>
  <c r="CP94" i="60"/>
  <c r="CO94" i="60"/>
  <c r="CK94" i="60"/>
  <c r="CJ94" i="60"/>
  <c r="CI94" i="60"/>
  <c r="CE94" i="60"/>
  <c r="CD94" i="60"/>
  <c r="CC94" i="60"/>
  <c r="BY94" i="60"/>
  <c r="BX94" i="60"/>
  <c r="BW94" i="60"/>
  <c r="CQ87" i="60" a="1"/>
  <c r="CQ92" i="60" s="1"/>
  <c r="CP87" i="60" a="1"/>
  <c r="CP91" i="60" s="1"/>
  <c r="CO87" i="60" a="1"/>
  <c r="CO92" i="60" s="1"/>
  <c r="CK87" i="60" a="1"/>
  <c r="CK91" i="60" s="1"/>
  <c r="CJ87" i="60" a="1"/>
  <c r="CJ92" i="60" s="1"/>
  <c r="CI87" i="60" a="1"/>
  <c r="CI92" i="60" s="1"/>
  <c r="CE87" i="60" a="1"/>
  <c r="CE92" i="60" s="1"/>
  <c r="CD87" i="60" a="1"/>
  <c r="CD91" i="60" s="1"/>
  <c r="CC87" i="60" a="1"/>
  <c r="CC92" i="60" s="1"/>
  <c r="BY87" i="60" a="1"/>
  <c r="BY92" i="60" s="1"/>
  <c r="BX87" i="60" a="1"/>
  <c r="BX92" i="60" s="1"/>
  <c r="BW87" i="60" a="1"/>
  <c r="BW92" i="60" s="1"/>
  <c r="BZ85" i="60"/>
  <c r="CF85" i="60" s="1"/>
  <c r="CL85" i="60" s="1"/>
  <c r="CR85" i="60" s="1"/>
  <c r="BY85" i="60"/>
  <c r="CE85" i="60" s="1"/>
  <c r="CK85" i="60" s="1"/>
  <c r="CQ85" i="60" s="1"/>
  <c r="BX85" i="60"/>
  <c r="CD85" i="60" s="1"/>
  <c r="CJ85" i="60" s="1"/>
  <c r="CP85" i="60" s="1"/>
  <c r="BV85" i="60"/>
  <c r="CB85" i="60" s="1"/>
  <c r="CH85" i="60" s="1"/>
  <c r="CN85" i="60" s="1"/>
  <c r="CQ77" i="60"/>
  <c r="CP77" i="60"/>
  <c r="CO77" i="60"/>
  <c r="CK77" i="60"/>
  <c r="CJ77" i="60"/>
  <c r="CI77" i="60"/>
  <c r="CE77" i="60"/>
  <c r="CD77" i="60"/>
  <c r="CC77" i="60"/>
  <c r="BY77" i="60"/>
  <c r="BX77" i="60"/>
  <c r="BW77" i="60"/>
  <c r="CQ60" i="60" a="1"/>
  <c r="CQ75" i="60" s="1"/>
  <c r="CP60" i="60" a="1"/>
  <c r="CP74" i="60" s="1"/>
  <c r="CO60" i="60" a="1"/>
  <c r="CO75" i="60" s="1"/>
  <c r="CK60" i="60" a="1"/>
  <c r="CK75" i="60" s="1"/>
  <c r="CJ60" i="60" a="1"/>
  <c r="CJ75" i="60" s="1"/>
  <c r="CI60" i="60" a="1"/>
  <c r="CI75" i="60" s="1"/>
  <c r="CE60" i="60" a="1"/>
  <c r="CE75" i="60" s="1"/>
  <c r="CD60" i="60" a="1"/>
  <c r="CD74" i="60" s="1"/>
  <c r="CC60" i="60" a="1"/>
  <c r="CC75" i="60" s="1"/>
  <c r="BY60" i="60" a="1"/>
  <c r="BY75" i="60" s="1"/>
  <c r="BX60" i="60" a="1"/>
  <c r="BX75" i="60" s="1"/>
  <c r="BW60" i="60" a="1"/>
  <c r="BW75" i="60" s="1"/>
  <c r="BZ58" i="60"/>
  <c r="CF58" i="60" s="1"/>
  <c r="CL58" i="60" s="1"/>
  <c r="CR58" i="60" s="1"/>
  <c r="BY58" i="60"/>
  <c r="CE58" i="60" s="1"/>
  <c r="CK58" i="60" s="1"/>
  <c r="CQ58" i="60" s="1"/>
  <c r="BX58" i="60"/>
  <c r="CD58" i="60" s="1"/>
  <c r="CJ58" i="60" s="1"/>
  <c r="CP58" i="60" s="1"/>
  <c r="BV58" i="60"/>
  <c r="CB58" i="60" s="1"/>
  <c r="CH58" i="60" s="1"/>
  <c r="CN58" i="60" s="1"/>
  <c r="CF6" i="60"/>
  <c r="CL6" i="60" s="1"/>
  <c r="CR6" i="60" s="1"/>
  <c r="CE6" i="60"/>
  <c r="CK6" i="60" s="1"/>
  <c r="CQ6" i="60" s="1"/>
  <c r="CD6" i="60"/>
  <c r="CJ6" i="60" s="1"/>
  <c r="CP6" i="60" s="1"/>
  <c r="CB6" i="60"/>
  <c r="CH6" i="60" s="1"/>
  <c r="CN6" i="60" s="1"/>
  <c r="BS94" i="60"/>
  <c r="BR94" i="60"/>
  <c r="BQ94" i="60"/>
  <c r="BM94" i="60"/>
  <c r="BL94" i="60"/>
  <c r="BK94" i="60"/>
  <c r="BH94" i="60"/>
  <c r="BG94" i="60"/>
  <c r="BF94" i="60"/>
  <c r="BE94" i="60"/>
  <c r="BB94" i="60"/>
  <c r="BA94" i="60"/>
  <c r="AZ94" i="60"/>
  <c r="AY94" i="60"/>
  <c r="BS87" i="60" a="1"/>
  <c r="BS92" i="60" s="1"/>
  <c r="BR87" i="60" a="1"/>
  <c r="BR91" i="60" s="1"/>
  <c r="BQ87" i="60" a="1"/>
  <c r="BQ92" i="60" s="1"/>
  <c r="BM87" i="60" a="1"/>
  <c r="BM91" i="60" s="1"/>
  <c r="BL87" i="60" a="1"/>
  <c r="BL92" i="60" s="1"/>
  <c r="BK87" i="60" a="1"/>
  <c r="BK92" i="60" s="1"/>
  <c r="BG87" i="60" a="1"/>
  <c r="BG92" i="60" s="1"/>
  <c r="BF87" i="60" a="1"/>
  <c r="BF91" i="60" s="1"/>
  <c r="BE87" i="60" a="1"/>
  <c r="BE92" i="60" s="1"/>
  <c r="BA87" i="60" a="1"/>
  <c r="BA92" i="60" s="1"/>
  <c r="AZ87" i="60" a="1"/>
  <c r="AZ92" i="60" s="1"/>
  <c r="AY87" i="60" a="1"/>
  <c r="AY91" i="60" s="1"/>
  <c r="BB85" i="60"/>
  <c r="BH85" i="60" s="1"/>
  <c r="BN85" i="60" s="1"/>
  <c r="BT85" i="60" s="1"/>
  <c r="BA85" i="60"/>
  <c r="BG85" i="60" s="1"/>
  <c r="BM85" i="60" s="1"/>
  <c r="BS85" i="60" s="1"/>
  <c r="AZ85" i="60"/>
  <c r="BF85" i="60" s="1"/>
  <c r="BL85" i="60" s="1"/>
  <c r="BR85" i="60" s="1"/>
  <c r="AX85" i="60"/>
  <c r="BD85" i="60" s="1"/>
  <c r="BJ85" i="60" s="1"/>
  <c r="BP85" i="60" s="1"/>
  <c r="BS77" i="60"/>
  <c r="BR77" i="60"/>
  <c r="BQ77" i="60"/>
  <c r="BM77" i="60"/>
  <c r="BL77" i="60"/>
  <c r="BK77" i="60"/>
  <c r="BH77" i="60"/>
  <c r="BG77" i="60"/>
  <c r="BF77" i="60"/>
  <c r="BE77" i="60"/>
  <c r="BB77" i="60"/>
  <c r="BA77" i="60"/>
  <c r="AZ77" i="60"/>
  <c r="AY77" i="60"/>
  <c r="BS60" i="60" a="1"/>
  <c r="BS75" i="60" s="1"/>
  <c r="BR60" i="60" a="1"/>
  <c r="BR74" i="60" s="1"/>
  <c r="BQ60" i="60" a="1"/>
  <c r="BQ75" i="60" s="1"/>
  <c r="BM60" i="60" a="1"/>
  <c r="BM74" i="60" s="1"/>
  <c r="BL60" i="60" a="1"/>
  <c r="BL75" i="60" s="1"/>
  <c r="BK60" i="60" a="1"/>
  <c r="BK74" i="60" s="1"/>
  <c r="BG60" i="60" a="1"/>
  <c r="BG75" i="60" s="1"/>
  <c r="BF60" i="60" a="1"/>
  <c r="BF74" i="60" s="1"/>
  <c r="BE60" i="60" a="1"/>
  <c r="BE75" i="60" s="1"/>
  <c r="BA60" i="60" a="1"/>
  <c r="BA74" i="60" s="1"/>
  <c r="AZ60" i="60" a="1"/>
  <c r="AZ75" i="60" s="1"/>
  <c r="AY60" i="60" a="1"/>
  <c r="AY74" i="60" s="1"/>
  <c r="BB58" i="60"/>
  <c r="BH58" i="60" s="1"/>
  <c r="BN58" i="60" s="1"/>
  <c r="BT58" i="60" s="1"/>
  <c r="BA58" i="60"/>
  <c r="BG58" i="60" s="1"/>
  <c r="BM58" i="60" s="1"/>
  <c r="BS58" i="60" s="1"/>
  <c r="AZ58" i="60"/>
  <c r="BF58" i="60" s="1"/>
  <c r="BL58" i="60" s="1"/>
  <c r="BR58" i="60" s="1"/>
  <c r="AX58" i="60"/>
  <c r="BD58" i="60" s="1"/>
  <c r="BJ58" i="60" s="1"/>
  <c r="BP58" i="60" s="1"/>
  <c r="BH6" i="60"/>
  <c r="BN6" i="60" s="1"/>
  <c r="BT6" i="60" s="1"/>
  <c r="BG6" i="60"/>
  <c r="BM6" i="60" s="1"/>
  <c r="BS6" i="60" s="1"/>
  <c r="BF6" i="60"/>
  <c r="BL6" i="60" s="1"/>
  <c r="BR6" i="60" s="1"/>
  <c r="BD6" i="60"/>
  <c r="BJ6" i="60" s="1"/>
  <c r="BP6" i="60" s="1"/>
  <c r="CS52" i="60"/>
  <c r="CS79" i="60"/>
  <c r="CS96" i="60"/>
  <c r="AU94" i="60"/>
  <c r="AT94" i="60"/>
  <c r="AS94" i="60"/>
  <c r="AO94" i="60"/>
  <c r="AN94" i="60"/>
  <c r="AM94" i="60"/>
  <c r="AI94" i="60"/>
  <c r="AH94" i="60"/>
  <c r="AG94" i="60"/>
  <c r="AC94" i="60"/>
  <c r="AB94" i="60"/>
  <c r="AA94" i="60"/>
  <c r="AU87" i="60" a="1"/>
  <c r="AU92" i="60" s="1"/>
  <c r="AT87" i="60" a="1"/>
  <c r="AT91" i="60" s="1"/>
  <c r="AS87" i="60" a="1"/>
  <c r="AS92" i="60" s="1"/>
  <c r="AO87" i="60" a="1"/>
  <c r="AO91" i="60" s="1"/>
  <c r="AN87" i="60" a="1"/>
  <c r="AN92" i="60" s="1"/>
  <c r="AM87" i="60" a="1"/>
  <c r="AM91" i="60" s="1"/>
  <c r="AI87" i="60" a="1"/>
  <c r="AI92" i="60" s="1"/>
  <c r="AH87" i="60" a="1"/>
  <c r="AH91" i="60" s="1"/>
  <c r="AG87" i="60" a="1"/>
  <c r="AG92" i="60" s="1"/>
  <c r="AC87" i="60" a="1"/>
  <c r="AC91" i="60" s="1"/>
  <c r="AB87" i="60" a="1"/>
  <c r="AB92" i="60" s="1"/>
  <c r="AA87" i="60" a="1"/>
  <c r="AA91" i="60" s="1"/>
  <c r="AD85" i="60"/>
  <c r="AJ85" i="60" s="1"/>
  <c r="AP85" i="60" s="1"/>
  <c r="AV85" i="60" s="1"/>
  <c r="AC85" i="60"/>
  <c r="AI85" i="60" s="1"/>
  <c r="AO85" i="60" s="1"/>
  <c r="AU85" i="60" s="1"/>
  <c r="AB85" i="60"/>
  <c r="AH85" i="60" s="1"/>
  <c r="AN85" i="60" s="1"/>
  <c r="AT85" i="60" s="1"/>
  <c r="Z85" i="60"/>
  <c r="AF85" i="60" s="1"/>
  <c r="AL85" i="60" s="1"/>
  <c r="AR85" i="60" s="1"/>
  <c r="AV77" i="60"/>
  <c r="AU77" i="60"/>
  <c r="AT77" i="60"/>
  <c r="AS77" i="60"/>
  <c r="AO77" i="60"/>
  <c r="AN77" i="60"/>
  <c r="AM77" i="60"/>
  <c r="AI77" i="60"/>
  <c r="AH77" i="60"/>
  <c r="AG77" i="60"/>
  <c r="AC77" i="60"/>
  <c r="AB77" i="60"/>
  <c r="AA77" i="60"/>
  <c r="AU60" i="60" a="1"/>
  <c r="AU75" i="60" s="1"/>
  <c r="AT60" i="60" a="1"/>
  <c r="AT74" i="60" s="1"/>
  <c r="AS60" i="60" a="1"/>
  <c r="AS75" i="60" s="1"/>
  <c r="AO60" i="60" a="1"/>
  <c r="AO74" i="60" s="1"/>
  <c r="AN60" i="60" a="1"/>
  <c r="AN75" i="60" s="1"/>
  <c r="AM60" i="60" a="1"/>
  <c r="AM74" i="60" s="1"/>
  <c r="AI60" i="60" a="1"/>
  <c r="AI75" i="60" s="1"/>
  <c r="AH60" i="60" a="1"/>
  <c r="AH74" i="60" s="1"/>
  <c r="AG60" i="60" a="1"/>
  <c r="AG75" i="60" s="1"/>
  <c r="AC60" i="60" a="1"/>
  <c r="AC74" i="60" s="1"/>
  <c r="AB60" i="60" a="1"/>
  <c r="AB75" i="60" s="1"/>
  <c r="AA60" i="60" a="1"/>
  <c r="AA74" i="60" s="1"/>
  <c r="AD58" i="60"/>
  <c r="AJ58" i="60" s="1"/>
  <c r="AP58" i="60" s="1"/>
  <c r="AV58" i="60" s="1"/>
  <c r="AC58" i="60"/>
  <c r="AI58" i="60" s="1"/>
  <c r="AO58" i="60" s="1"/>
  <c r="AU58" i="60" s="1"/>
  <c r="AB58" i="60"/>
  <c r="AH58" i="60" s="1"/>
  <c r="AN58" i="60" s="1"/>
  <c r="AT58" i="60" s="1"/>
  <c r="Z58" i="60"/>
  <c r="AF58" i="60" s="1"/>
  <c r="AL58" i="60" s="1"/>
  <c r="AR58" i="60" s="1"/>
  <c r="AJ6" i="60"/>
  <c r="AP6" i="60" s="1"/>
  <c r="AV6" i="60" s="1"/>
  <c r="AI6" i="60"/>
  <c r="AO6" i="60" s="1"/>
  <c r="AU6" i="60" s="1"/>
  <c r="AH6" i="60"/>
  <c r="AN6" i="60" s="1"/>
  <c r="AT6" i="60" s="1"/>
  <c r="AF6" i="60"/>
  <c r="AL6" i="60" s="1"/>
  <c r="AR6" i="60" s="1"/>
  <c r="AW52" i="60"/>
  <c r="BU52" i="60"/>
  <c r="AW79" i="60"/>
  <c r="BU79" i="60"/>
  <c r="AW96" i="60"/>
  <c r="BU96" i="60"/>
  <c r="CU6" i="60"/>
  <c r="DA6" i="60" s="1"/>
  <c r="DG6" i="60" s="1"/>
  <c r="DM6" i="60" s="1"/>
  <c r="U87" i="60" a="1"/>
  <c r="U87" i="60" s="1"/>
  <c r="V87" i="60" a="1"/>
  <c r="V87" i="60" s="1"/>
  <c r="U94" i="60"/>
  <c r="V94" i="60"/>
  <c r="O87" i="60" a="1"/>
  <c r="O87" i="60" s="1"/>
  <c r="P87" i="60" a="1"/>
  <c r="P87" i="60" s="1"/>
  <c r="O94" i="60"/>
  <c r="P94" i="60"/>
  <c r="I87" i="60" a="1"/>
  <c r="I87" i="60" s="1"/>
  <c r="J87" i="60" a="1"/>
  <c r="J87" i="60" s="1"/>
  <c r="I94" i="60"/>
  <c r="J94" i="60"/>
  <c r="D85" i="60"/>
  <c r="J85" i="60" s="1"/>
  <c r="P85" i="60" s="1"/>
  <c r="V85" i="60" s="1"/>
  <c r="E85" i="60"/>
  <c r="K85" i="60" s="1"/>
  <c r="Q85" i="60" s="1"/>
  <c r="W85" i="60" s="1"/>
  <c r="F85" i="60"/>
  <c r="L85" i="60" s="1"/>
  <c r="R85" i="60" s="1"/>
  <c r="X85" i="60" s="1"/>
  <c r="B85" i="60"/>
  <c r="H85" i="60" s="1"/>
  <c r="N85" i="60" s="1"/>
  <c r="T85" i="60" s="1"/>
  <c r="C87" i="60" a="1"/>
  <c r="C87" i="60" s="1"/>
  <c r="D87" i="60" a="1"/>
  <c r="D87" i="60" s="1"/>
  <c r="C94" i="60"/>
  <c r="D94" i="60"/>
  <c r="V60" i="60" a="1"/>
  <c r="V60" i="60" s="1"/>
  <c r="V77" i="60"/>
  <c r="O60" i="60" a="1"/>
  <c r="O60" i="60" s="1"/>
  <c r="P60" i="60" a="1"/>
  <c r="P60" i="60" s="1"/>
  <c r="O77" i="60"/>
  <c r="P77" i="60"/>
  <c r="I60" i="60" a="1"/>
  <c r="I60" i="60" s="1"/>
  <c r="J60" i="60" a="1"/>
  <c r="J60" i="60" s="1"/>
  <c r="I77" i="60"/>
  <c r="J77" i="60"/>
  <c r="C77" i="60"/>
  <c r="D77" i="60"/>
  <c r="C60" i="60" a="1"/>
  <c r="C60" i="60" s="1"/>
  <c r="D60" i="60" a="1"/>
  <c r="D60" i="60" s="1"/>
  <c r="D58" i="60"/>
  <c r="J58" i="60" s="1"/>
  <c r="P58" i="60" s="1"/>
  <c r="V58" i="60" s="1"/>
  <c r="E58" i="60"/>
  <c r="K58" i="60" s="1"/>
  <c r="Q58" i="60" s="1"/>
  <c r="F58" i="60"/>
  <c r="L58" i="60" s="1"/>
  <c r="R58" i="60" s="1"/>
  <c r="B58" i="60"/>
  <c r="H58" i="60" s="1"/>
  <c r="N58" i="60" s="1"/>
  <c r="T58" i="60" s="1"/>
  <c r="J6" i="60"/>
  <c r="P6" i="60" s="1"/>
  <c r="V6" i="60" s="1"/>
  <c r="K6" i="60"/>
  <c r="Q6" i="60" s="1"/>
  <c r="W6" i="60" s="1"/>
  <c r="L6" i="60"/>
  <c r="R6" i="60" s="1"/>
  <c r="X6" i="60" s="1"/>
  <c r="H6" i="60"/>
  <c r="N6" i="60" s="1"/>
  <c r="T6" i="60" s="1"/>
  <c r="Y96" i="60"/>
  <c r="Y79" i="60"/>
  <c r="Y52" i="60"/>
  <c r="Y8" i="60"/>
  <c r="AW8" i="60" s="1"/>
  <c r="BU8" i="60" s="1"/>
  <c r="CS8" i="60" s="1"/>
  <c r="Y9" i="60"/>
  <c r="AW9" i="60" s="1"/>
  <c r="BU9" i="60" s="1"/>
  <c r="CS9" i="60" s="1"/>
  <c r="Y10" i="60"/>
  <c r="AW10" i="60" s="1"/>
  <c r="BU10" i="60" s="1"/>
  <c r="CS10" i="60" s="1"/>
  <c r="Y11" i="60"/>
  <c r="AW11" i="60" s="1"/>
  <c r="BU11" i="60" s="1"/>
  <c r="CS11" i="60" s="1"/>
  <c r="Y12" i="60"/>
  <c r="AW12" i="60" s="1"/>
  <c r="BU12" i="60" s="1"/>
  <c r="CS12" i="60" s="1"/>
  <c r="Y13" i="60"/>
  <c r="AW13" i="60" s="1"/>
  <c r="BU13" i="60" s="1"/>
  <c r="CS13" i="60" s="1"/>
  <c r="Y14" i="60"/>
  <c r="AW14" i="60" s="1"/>
  <c r="BU14" i="60" s="1"/>
  <c r="CS14" i="60" s="1"/>
  <c r="Y15" i="60"/>
  <c r="AW15" i="60" s="1"/>
  <c r="BU15" i="60" s="1"/>
  <c r="CS15" i="60" s="1"/>
  <c r="Y16" i="60"/>
  <c r="AW16" i="60" s="1"/>
  <c r="BU16" i="60" s="1"/>
  <c r="CS16" i="60" s="1"/>
  <c r="Y17" i="60"/>
  <c r="AW17" i="60" s="1"/>
  <c r="BU17" i="60" s="1"/>
  <c r="CS17" i="60" s="1"/>
  <c r="Y18" i="60"/>
  <c r="AW18" i="60" s="1"/>
  <c r="BU18" i="60" s="1"/>
  <c r="CS18" i="60" s="1"/>
  <c r="Y19" i="60"/>
  <c r="AW19" i="60" s="1"/>
  <c r="BU19" i="60" s="1"/>
  <c r="CS19" i="60" s="1"/>
  <c r="Y20" i="60"/>
  <c r="AW20" i="60" s="1"/>
  <c r="BU20" i="60" s="1"/>
  <c r="CS20" i="60" s="1"/>
  <c r="Y21" i="60"/>
  <c r="AW21" i="60" s="1"/>
  <c r="BU21" i="60" s="1"/>
  <c r="CS21" i="60" s="1"/>
  <c r="Y22" i="60"/>
  <c r="AW22" i="60" s="1"/>
  <c r="BU22" i="60" s="1"/>
  <c r="CS22" i="60" s="1"/>
  <c r="Y23" i="60"/>
  <c r="AW23" i="60" s="1"/>
  <c r="BU23" i="60" s="1"/>
  <c r="CS23" i="60" s="1"/>
  <c r="Y24" i="60"/>
  <c r="AW24" i="60" s="1"/>
  <c r="BU24" i="60" s="1"/>
  <c r="CS24" i="60" s="1"/>
  <c r="Y25" i="60"/>
  <c r="AW25" i="60" s="1"/>
  <c r="BU25" i="60" s="1"/>
  <c r="CS25" i="60" s="1"/>
  <c r="Y26" i="60"/>
  <c r="AW26" i="60" s="1"/>
  <c r="BU26" i="60" s="1"/>
  <c r="CS26" i="60" s="1"/>
  <c r="Y27" i="60"/>
  <c r="AW27" i="60" s="1"/>
  <c r="BU27" i="60" s="1"/>
  <c r="CS27" i="60" s="1"/>
  <c r="Y28" i="60"/>
  <c r="AW28" i="60" s="1"/>
  <c r="BU28" i="60" s="1"/>
  <c r="CS28" i="60" s="1"/>
  <c r="Y29" i="60"/>
  <c r="AW29" i="60" s="1"/>
  <c r="BU29" i="60" s="1"/>
  <c r="CS29" i="60" s="1"/>
  <c r="Y30" i="60"/>
  <c r="AW30" i="60" s="1"/>
  <c r="BU30" i="60" s="1"/>
  <c r="CS30" i="60" s="1"/>
  <c r="Y31" i="60"/>
  <c r="AW31" i="60" s="1"/>
  <c r="BU31" i="60" s="1"/>
  <c r="CS31" i="60" s="1"/>
  <c r="Y32" i="60"/>
  <c r="AW32" i="60" s="1"/>
  <c r="BU32" i="60" s="1"/>
  <c r="CS32" i="60" s="1"/>
  <c r="Y33" i="60"/>
  <c r="AW33" i="60" s="1"/>
  <c r="BU33" i="60" s="1"/>
  <c r="CS33" i="60" s="1"/>
  <c r="Y34" i="60"/>
  <c r="AW34" i="60" s="1"/>
  <c r="BU34" i="60" s="1"/>
  <c r="CS34" i="60" s="1"/>
  <c r="Y35" i="60"/>
  <c r="AW35" i="60" s="1"/>
  <c r="BU35" i="60" s="1"/>
  <c r="CS35" i="60" s="1"/>
  <c r="Y36" i="60"/>
  <c r="AW36" i="60" s="1"/>
  <c r="BU36" i="60" s="1"/>
  <c r="CS36" i="60" s="1"/>
  <c r="Y37" i="60"/>
  <c r="AW37" i="60" s="1"/>
  <c r="BU37" i="60" s="1"/>
  <c r="CS37" i="60" s="1"/>
  <c r="Y38" i="60"/>
  <c r="AW38" i="60" s="1"/>
  <c r="BU38" i="60" s="1"/>
  <c r="CS38" i="60" s="1"/>
  <c r="Y39" i="60"/>
  <c r="AW39" i="60" s="1"/>
  <c r="BU39" i="60" s="1"/>
  <c r="CS39" i="60" s="1"/>
  <c r="Y40" i="60"/>
  <c r="AW40" i="60" s="1"/>
  <c r="BU40" i="60" s="1"/>
  <c r="CS40" i="60" s="1"/>
  <c r="A96" i="60"/>
  <c r="A79" i="60"/>
  <c r="W94" i="60"/>
  <c r="Q94" i="60"/>
  <c r="L94" i="60"/>
  <c r="K94" i="60"/>
  <c r="F94" i="60"/>
  <c r="E94" i="60"/>
  <c r="W77" i="60"/>
  <c r="U77" i="60"/>
  <c r="Q77" i="60"/>
  <c r="L77" i="60"/>
  <c r="K77" i="60"/>
  <c r="E77" i="60"/>
  <c r="F77" i="60"/>
  <c r="W87" i="60" a="1"/>
  <c r="W92" i="60" s="1"/>
  <c r="Q87" i="60" a="1"/>
  <c r="Q92" i="60" s="1"/>
  <c r="K87" i="60" a="1"/>
  <c r="K92" i="60" s="1"/>
  <c r="E87" i="60" a="1"/>
  <c r="E87" i="60" s="1"/>
  <c r="Y94" i="60"/>
  <c r="AW94" i="60" s="1"/>
  <c r="BU94" i="60" s="1"/>
  <c r="CS94" i="60" s="1"/>
  <c r="Y88" i="60"/>
  <c r="AW88" i="60" s="1"/>
  <c r="BU88" i="60" s="1"/>
  <c r="CS88" i="60" s="1"/>
  <c r="Y89" i="60"/>
  <c r="AW89" i="60" s="1"/>
  <c r="BU89" i="60" s="1"/>
  <c r="CS89" i="60" s="1"/>
  <c r="Y90" i="60"/>
  <c r="AW90" i="60" s="1"/>
  <c r="BU90" i="60" s="1"/>
  <c r="CS90" i="60" s="1"/>
  <c r="Y91" i="60"/>
  <c r="AW91" i="60" s="1"/>
  <c r="BU91" i="60" s="1"/>
  <c r="CS91" i="60" s="1"/>
  <c r="Y92" i="60"/>
  <c r="AW92" i="60" s="1"/>
  <c r="BU92" i="60" s="1"/>
  <c r="CS92" i="60" s="1"/>
  <c r="Y87" i="60"/>
  <c r="AW87" i="60" s="1"/>
  <c r="BU87" i="60" s="1"/>
  <c r="CS87" i="60" s="1"/>
  <c r="H4" i="60"/>
  <c r="H56" i="60" s="1"/>
  <c r="N4" i="60"/>
  <c r="N56" i="60" s="1"/>
  <c r="T4" i="60"/>
  <c r="T56" i="60" s="1"/>
  <c r="W60" i="60" a="1"/>
  <c r="W75" i="60" s="1"/>
  <c r="U60" i="60" a="1"/>
  <c r="U74" i="60" s="1"/>
  <c r="Q60" i="60" a="1"/>
  <c r="Q75" i="60" s="1"/>
  <c r="K60" i="60" a="1"/>
  <c r="K75" i="60" s="1"/>
  <c r="E60" i="60" a="1"/>
  <c r="E60" i="60" s="1"/>
  <c r="Y77" i="60"/>
  <c r="AW77" i="60" s="1"/>
  <c r="BU77" i="60" s="1"/>
  <c r="CS77" i="60" s="1"/>
  <c r="Y61" i="60"/>
  <c r="AW61" i="60" s="1"/>
  <c r="BU61" i="60" s="1"/>
  <c r="CS61" i="60" s="1"/>
  <c r="Y62" i="60"/>
  <c r="AW62" i="60" s="1"/>
  <c r="BU62" i="60" s="1"/>
  <c r="CS62" i="60" s="1"/>
  <c r="Y63" i="60"/>
  <c r="AW63" i="60" s="1"/>
  <c r="BU63" i="60" s="1"/>
  <c r="CS63" i="60" s="1"/>
  <c r="Y64" i="60"/>
  <c r="AW64" i="60" s="1"/>
  <c r="BU64" i="60" s="1"/>
  <c r="CS64" i="60" s="1"/>
  <c r="Y65" i="60"/>
  <c r="AW65" i="60" s="1"/>
  <c r="BU65" i="60" s="1"/>
  <c r="CS65" i="60" s="1"/>
  <c r="Y66" i="60"/>
  <c r="AW66" i="60" s="1"/>
  <c r="BU66" i="60" s="1"/>
  <c r="CS66" i="60" s="1"/>
  <c r="Y67" i="60"/>
  <c r="AW67" i="60" s="1"/>
  <c r="BU67" i="60" s="1"/>
  <c r="CS67" i="60" s="1"/>
  <c r="Y68" i="60"/>
  <c r="AW68" i="60" s="1"/>
  <c r="BU68" i="60" s="1"/>
  <c r="CS68" i="60" s="1"/>
  <c r="Y69" i="60"/>
  <c r="AW69" i="60" s="1"/>
  <c r="BU69" i="60" s="1"/>
  <c r="CS69" i="60" s="1"/>
  <c r="Y70" i="60"/>
  <c r="AW70" i="60" s="1"/>
  <c r="BU70" i="60" s="1"/>
  <c r="CS70" i="60" s="1"/>
  <c r="Y71" i="60"/>
  <c r="AW71" i="60" s="1"/>
  <c r="BU71" i="60" s="1"/>
  <c r="CS71" i="60" s="1"/>
  <c r="Y72" i="60"/>
  <c r="AW72" i="60" s="1"/>
  <c r="BU72" i="60" s="1"/>
  <c r="CS72" i="60" s="1"/>
  <c r="Y73" i="60"/>
  <c r="AW73" i="60" s="1"/>
  <c r="BU73" i="60" s="1"/>
  <c r="CS73" i="60" s="1"/>
  <c r="Y74" i="60"/>
  <c r="AW74" i="60" s="1"/>
  <c r="BU74" i="60" s="1"/>
  <c r="CS74" i="60" s="1"/>
  <c r="Y75" i="60"/>
  <c r="AW75" i="60" s="1"/>
  <c r="BU75" i="60" s="1"/>
  <c r="CS75" i="60" s="1"/>
  <c r="Y60" i="60"/>
  <c r="AW60" i="60" s="1"/>
  <c r="BU60" i="60" s="1"/>
  <c r="CS60" i="60" s="1"/>
  <c r="A52" i="60"/>
  <c r="B4" i="60"/>
  <c r="B56" i="60" s="1"/>
  <c r="Y50" i="60"/>
  <c r="AW50" i="60" s="1"/>
  <c r="BU50" i="60" s="1"/>
  <c r="CS50" i="60" s="1"/>
  <c r="Y41" i="60"/>
  <c r="AW41" i="60" s="1"/>
  <c r="BU41" i="60" s="1"/>
  <c r="CS41" i="60" s="1"/>
  <c r="Y42" i="60"/>
  <c r="AW42" i="60" s="1"/>
  <c r="BU42" i="60" s="1"/>
  <c r="CS42" i="60" s="1"/>
  <c r="Y43" i="60"/>
  <c r="AW43" i="60" s="1"/>
  <c r="BU43" i="60" s="1"/>
  <c r="CS43" i="60" s="1"/>
  <c r="Y44" i="60"/>
  <c r="AW44" i="60" s="1"/>
  <c r="BU44" i="60" s="1"/>
  <c r="CS44" i="60" s="1"/>
  <c r="Y45" i="60"/>
  <c r="AW45" i="60" s="1"/>
  <c r="BU45" i="60" s="1"/>
  <c r="CS45" i="60" s="1"/>
  <c r="Y46" i="60"/>
  <c r="AW46" i="60" s="1"/>
  <c r="BU46" i="60" s="1"/>
  <c r="CS46" i="60" s="1"/>
  <c r="Y47" i="60"/>
  <c r="AW47" i="60" s="1"/>
  <c r="BU47" i="60" s="1"/>
  <c r="CS47" i="60" s="1"/>
  <c r="Y48" i="60"/>
  <c r="AW48" i="60" s="1"/>
  <c r="BU48" i="60" s="1"/>
  <c r="CS48" i="60" s="1"/>
  <c r="CR77" i="60" l="1"/>
  <c r="AP77" i="60"/>
  <c r="CL94" i="60"/>
  <c r="R60" i="60" a="1"/>
  <c r="R74" i="60" s="1"/>
  <c r="X87" i="60" a="1"/>
  <c r="X91" i="60" s="1"/>
  <c r="AD87" i="60" a="1"/>
  <c r="AD92" i="60" s="1"/>
  <c r="AJ60" i="60" a="1"/>
  <c r="AJ74" i="60" s="1"/>
  <c r="AP87" i="60" a="1"/>
  <c r="AP92" i="60" s="1"/>
  <c r="BB87" i="60" a="1"/>
  <c r="BB92" i="60" s="1"/>
  <c r="BH60" i="60" a="1"/>
  <c r="BH74" i="60" s="1"/>
  <c r="BN60" i="60" a="1"/>
  <c r="BN75" i="60" s="1"/>
  <c r="BT87" i="60" a="1"/>
  <c r="BT91" i="60" s="1"/>
  <c r="BZ60" i="60" a="1"/>
  <c r="BZ75" i="60" s="1"/>
  <c r="CF87" i="60" a="1"/>
  <c r="CF91" i="60" s="1"/>
  <c r="CL60" i="60" a="1"/>
  <c r="CL75" i="60" s="1"/>
  <c r="CX60" i="60" a="1"/>
  <c r="CX75" i="60" s="1"/>
  <c r="DJ87" i="60" a="1"/>
  <c r="DJ92" i="60" s="1"/>
  <c r="DP60" i="60" a="1"/>
  <c r="DP74" i="60" s="1"/>
  <c r="AJ94" i="60"/>
  <c r="AD60" i="60" a="1"/>
  <c r="AD75" i="60" s="1"/>
  <c r="BZ77" i="60"/>
  <c r="BT77" i="60"/>
  <c r="F87" i="60" a="1"/>
  <c r="F87" i="60" s="1"/>
  <c r="CR87" i="60" a="1"/>
  <c r="CR91" i="60" s="1"/>
  <c r="BB60" i="60" a="1"/>
  <c r="BB75" i="60" s="1"/>
  <c r="CX87" i="60" a="1"/>
  <c r="CX92" i="60" s="1"/>
  <c r="AJ87" i="60" a="1"/>
  <c r="AJ91" i="60" s="1"/>
  <c r="CL87" i="60" a="1"/>
  <c r="CL92" i="60" s="1"/>
  <c r="L60" i="60" a="1"/>
  <c r="L74" i="60" s="1"/>
  <c r="DD60" i="60" a="1"/>
  <c r="DD74" i="60" s="1"/>
  <c r="L87" i="60" a="1"/>
  <c r="L91" i="60" s="1"/>
  <c r="AD77" i="60"/>
  <c r="CR60" i="60" a="1"/>
  <c r="CR74" i="60" s="1"/>
  <c r="CF77" i="60"/>
  <c r="BZ87" i="60" a="1"/>
  <c r="BZ92" i="60" s="1"/>
  <c r="AV60" i="60" a="1"/>
  <c r="AV74" i="60" s="1"/>
  <c r="AV87" i="60" a="1"/>
  <c r="AV91" i="60" s="1"/>
  <c r="BH87" i="60" a="1"/>
  <c r="BH91" i="60" s="1"/>
  <c r="AP60" i="60" a="1"/>
  <c r="AP75" i="60" s="1"/>
  <c r="CF60" i="60" a="1"/>
  <c r="CF74" i="60" s="1"/>
  <c r="DJ60" i="60" a="1"/>
  <c r="DJ75" i="60" s="1"/>
  <c r="DJ77" i="60"/>
  <c r="DD87" i="60" a="1"/>
  <c r="DD91" i="60" s="1"/>
  <c r="DP87" i="60" a="1"/>
  <c r="DP91" i="60" s="1"/>
  <c r="F60" i="60" a="1"/>
  <c r="F60" i="60" s="1"/>
  <c r="X60" i="60" a="1"/>
  <c r="X74" i="60" s="1"/>
  <c r="R87" i="60" a="1"/>
  <c r="R91" i="60" s="1"/>
  <c r="R77" i="60"/>
  <c r="BN87" i="60" a="1"/>
  <c r="BN92" i="60" s="1"/>
  <c r="X77" i="60"/>
  <c r="BT60" i="60" a="1"/>
  <c r="BT74" i="60" s="1"/>
  <c r="BN94" i="60"/>
  <c r="AF4" i="60"/>
  <c r="AR4" i="60"/>
  <c r="BD4" i="60"/>
  <c r="BP4" i="60"/>
  <c r="CB4" i="60"/>
  <c r="CN4" i="60"/>
  <c r="CZ4" i="60"/>
  <c r="DL4" i="60"/>
  <c r="H83" i="60"/>
  <c r="T83" i="60"/>
  <c r="Z4" i="60"/>
  <c r="AL4" i="60"/>
  <c r="AX4" i="60"/>
  <c r="BJ4" i="60"/>
  <c r="BV4" i="60"/>
  <c r="CH4" i="60"/>
  <c r="CT4" i="60"/>
  <c r="DF4" i="60"/>
  <c r="B83" i="60"/>
  <c r="N83" i="60"/>
  <c r="DO62" i="60"/>
  <c r="DO66" i="60"/>
  <c r="DO70" i="60"/>
  <c r="DO87" i="60"/>
  <c r="DO91" i="60"/>
  <c r="DO60" i="60"/>
  <c r="DO64" i="60"/>
  <c r="DO68" i="60"/>
  <c r="DO72" i="60"/>
  <c r="DO89" i="60"/>
  <c r="DM66" i="60"/>
  <c r="DM89" i="60"/>
  <c r="DM62" i="60"/>
  <c r="DM60" i="60"/>
  <c r="DM64" i="60"/>
  <c r="DM68" i="60"/>
  <c r="DL68" i="60" s="1"/>
  <c r="DM87" i="60"/>
  <c r="DM91" i="60"/>
  <c r="DI60" i="60"/>
  <c r="DI64" i="60"/>
  <c r="DI62" i="60"/>
  <c r="DG60" i="60"/>
  <c r="DC60" i="60"/>
  <c r="DC64" i="60"/>
  <c r="DC68" i="60"/>
  <c r="DC72" i="60"/>
  <c r="DC87" i="60"/>
  <c r="DC91" i="60"/>
  <c r="DC62" i="60"/>
  <c r="DC66" i="60"/>
  <c r="DC70" i="60"/>
  <c r="DC74" i="60"/>
  <c r="DC89" i="60"/>
  <c r="DA62" i="60"/>
  <c r="DA66" i="60"/>
  <c r="DA70" i="60"/>
  <c r="DA74" i="60"/>
  <c r="DA89" i="60"/>
  <c r="DA60" i="60"/>
  <c r="DA64" i="60"/>
  <c r="DA68" i="60"/>
  <c r="DA72" i="60"/>
  <c r="CZ72" i="60" s="1"/>
  <c r="DA87" i="60"/>
  <c r="CZ87" i="60" s="1"/>
  <c r="DA91" i="60"/>
  <c r="CZ91" i="60" s="1"/>
  <c r="BY60" i="60"/>
  <c r="BY68" i="60"/>
  <c r="BW60" i="60"/>
  <c r="BW68" i="60"/>
  <c r="P75" i="60"/>
  <c r="BJ77" i="60"/>
  <c r="CZ8" i="60"/>
  <c r="DL8" i="60"/>
  <c r="CZ9" i="60"/>
  <c r="DL9" i="60"/>
  <c r="CZ10" i="60"/>
  <c r="DL10" i="60"/>
  <c r="CZ11" i="60"/>
  <c r="DL11" i="60"/>
  <c r="CZ12" i="60"/>
  <c r="DL12" i="60"/>
  <c r="CZ13" i="60"/>
  <c r="DL13" i="60"/>
  <c r="CZ14" i="60"/>
  <c r="DL14" i="60"/>
  <c r="CZ15" i="60"/>
  <c r="DL15" i="60"/>
  <c r="CZ16" i="60"/>
  <c r="DL16" i="60"/>
  <c r="CZ17" i="60"/>
  <c r="DL17" i="60"/>
  <c r="CZ18" i="60"/>
  <c r="DL18" i="60"/>
  <c r="CZ19" i="60"/>
  <c r="DL19" i="60"/>
  <c r="CZ20" i="60"/>
  <c r="DL20" i="60"/>
  <c r="CZ21" i="60"/>
  <c r="DL21" i="60"/>
  <c r="CZ22" i="60"/>
  <c r="DL22" i="60"/>
  <c r="CZ23" i="60"/>
  <c r="DL23" i="60"/>
  <c r="CZ24" i="60"/>
  <c r="DL24" i="60"/>
  <c r="CZ25" i="60"/>
  <c r="DL25" i="60"/>
  <c r="CZ26" i="60"/>
  <c r="DL26" i="60"/>
  <c r="CZ27" i="60"/>
  <c r="DL27" i="60"/>
  <c r="CZ28" i="60"/>
  <c r="DL28" i="60"/>
  <c r="CZ29" i="60"/>
  <c r="DL29" i="60"/>
  <c r="CZ30" i="60"/>
  <c r="DL30" i="60"/>
  <c r="CZ31" i="60"/>
  <c r="DL31" i="60"/>
  <c r="CZ32" i="60"/>
  <c r="DL32" i="60"/>
  <c r="CZ33" i="60"/>
  <c r="DL33" i="60"/>
  <c r="CZ34" i="60"/>
  <c r="DL34" i="60"/>
  <c r="CZ35" i="60"/>
  <c r="DL35" i="60"/>
  <c r="CZ36" i="60"/>
  <c r="DL36" i="60"/>
  <c r="CZ37" i="60"/>
  <c r="DL37" i="60"/>
  <c r="CZ38" i="60"/>
  <c r="DL38" i="60"/>
  <c r="CZ39" i="60"/>
  <c r="DL39" i="60"/>
  <c r="CZ40" i="60"/>
  <c r="DL40" i="60"/>
  <c r="CZ41" i="60"/>
  <c r="DL41" i="60"/>
  <c r="CZ42" i="60"/>
  <c r="DL42" i="60"/>
  <c r="CZ43" i="60"/>
  <c r="DL43" i="60"/>
  <c r="CZ44" i="60"/>
  <c r="DL44" i="60"/>
  <c r="CZ45" i="60"/>
  <c r="DL45" i="60"/>
  <c r="CZ46" i="60"/>
  <c r="DL46" i="60"/>
  <c r="CZ47" i="60"/>
  <c r="DL47" i="60"/>
  <c r="CZ48" i="60"/>
  <c r="DL48" i="60"/>
  <c r="CZ50" i="60"/>
  <c r="DL50" i="60"/>
  <c r="CT74" i="60"/>
  <c r="CZ77" i="60"/>
  <c r="DF77" i="60"/>
  <c r="DF91" i="60"/>
  <c r="DF94" i="60"/>
  <c r="DL94" i="60"/>
  <c r="AA6" i="60"/>
  <c r="AG6" i="60" s="1"/>
  <c r="AM6" i="60" s="1"/>
  <c r="AS6" i="60" s="1"/>
  <c r="BW6" i="60"/>
  <c r="CC6" i="60" s="1"/>
  <c r="CI6" i="60" s="1"/>
  <c r="CO6" i="60" s="1"/>
  <c r="CT8" i="60"/>
  <c r="DF8" i="60"/>
  <c r="CT9" i="60"/>
  <c r="DF9" i="60"/>
  <c r="CT10" i="60"/>
  <c r="DF10" i="60"/>
  <c r="CT11" i="60"/>
  <c r="DF11" i="60"/>
  <c r="CT12" i="60"/>
  <c r="DF12" i="60"/>
  <c r="CT13" i="60"/>
  <c r="DF13" i="60"/>
  <c r="CT14" i="60"/>
  <c r="DF14" i="60"/>
  <c r="CT15" i="60"/>
  <c r="DF15" i="60"/>
  <c r="CT16" i="60"/>
  <c r="DF16" i="60"/>
  <c r="CT17" i="60"/>
  <c r="DF17" i="60"/>
  <c r="CT18" i="60"/>
  <c r="DF18" i="60"/>
  <c r="CT19" i="60"/>
  <c r="DF19" i="60"/>
  <c r="CT20" i="60"/>
  <c r="DF20" i="60"/>
  <c r="CT21" i="60"/>
  <c r="DF21" i="60"/>
  <c r="CT22" i="60"/>
  <c r="DF22" i="60"/>
  <c r="CT23" i="60"/>
  <c r="DF23" i="60"/>
  <c r="CT24" i="60"/>
  <c r="DF24" i="60"/>
  <c r="CT25" i="60"/>
  <c r="DF25" i="60"/>
  <c r="CT26" i="60"/>
  <c r="DF26" i="60"/>
  <c r="CT27" i="60"/>
  <c r="DF27" i="60"/>
  <c r="CT28" i="60"/>
  <c r="DF28" i="60"/>
  <c r="CT29" i="60"/>
  <c r="DF29" i="60"/>
  <c r="CT30" i="60"/>
  <c r="DF30" i="60"/>
  <c r="CT31" i="60"/>
  <c r="DF31" i="60"/>
  <c r="CT32" i="60"/>
  <c r="DF32" i="60"/>
  <c r="CT33" i="60"/>
  <c r="DF33" i="60"/>
  <c r="CT34" i="60"/>
  <c r="DF34" i="60"/>
  <c r="CT35" i="60"/>
  <c r="DF35" i="60"/>
  <c r="CT36" i="60"/>
  <c r="DF36" i="60"/>
  <c r="CT37" i="60"/>
  <c r="DF37" i="60"/>
  <c r="CT38" i="60"/>
  <c r="DF38" i="60"/>
  <c r="CT39" i="60"/>
  <c r="DF39" i="60"/>
  <c r="CT40" i="60"/>
  <c r="DF40" i="60"/>
  <c r="CT41" i="60"/>
  <c r="DF41" i="60"/>
  <c r="CT42" i="60"/>
  <c r="DF42" i="60"/>
  <c r="CT43" i="60"/>
  <c r="DF43" i="60"/>
  <c r="CT44" i="60"/>
  <c r="DF44" i="60"/>
  <c r="CT45" i="60"/>
  <c r="DF45" i="60"/>
  <c r="CT46" i="60"/>
  <c r="DF46" i="60"/>
  <c r="CT47" i="60"/>
  <c r="DF47" i="60"/>
  <c r="CT48" i="60"/>
  <c r="DF48" i="60"/>
  <c r="CT50" i="60"/>
  <c r="DF50" i="60"/>
  <c r="CZ75" i="60"/>
  <c r="DL75" i="60"/>
  <c r="CT77" i="60"/>
  <c r="DL77" i="60"/>
  <c r="CT91" i="60"/>
  <c r="DL92" i="60"/>
  <c r="CT94" i="60"/>
  <c r="CZ94" i="60"/>
  <c r="C6" i="60"/>
  <c r="AY6" i="60"/>
  <c r="BE6" i="60" s="1"/>
  <c r="BK6" i="60" s="1"/>
  <c r="BQ6" i="60" s="1"/>
  <c r="DF74" i="60"/>
  <c r="CZ92" i="60"/>
  <c r="CU58" i="60"/>
  <c r="DA58" i="60" s="1"/>
  <c r="DG58" i="60" s="1"/>
  <c r="DM58" i="60" s="1"/>
  <c r="CU61" i="60"/>
  <c r="CU63" i="60"/>
  <c r="CU65" i="60"/>
  <c r="CU67" i="60"/>
  <c r="CU69" i="60"/>
  <c r="CU71" i="60"/>
  <c r="CU73" i="60"/>
  <c r="CU75" i="60"/>
  <c r="CV60" i="60"/>
  <c r="CV62" i="60"/>
  <c r="CV64" i="60"/>
  <c r="CV66" i="60"/>
  <c r="CV68" i="60"/>
  <c r="CV70" i="60"/>
  <c r="CV72" i="60"/>
  <c r="CV74" i="60"/>
  <c r="CW61" i="60"/>
  <c r="CW63" i="60"/>
  <c r="CW65" i="60"/>
  <c r="CW67" i="60"/>
  <c r="CW69" i="60"/>
  <c r="CW71" i="60"/>
  <c r="CW73" i="60"/>
  <c r="CW75" i="60"/>
  <c r="DB61" i="60"/>
  <c r="DB63" i="60"/>
  <c r="DB65" i="60"/>
  <c r="DB67" i="60"/>
  <c r="DB69" i="60"/>
  <c r="DB71" i="60"/>
  <c r="DB73" i="60"/>
  <c r="DB75" i="60"/>
  <c r="DG61" i="60"/>
  <c r="DG63" i="60"/>
  <c r="DG65" i="60"/>
  <c r="DG67" i="60"/>
  <c r="DG69" i="60"/>
  <c r="DG71" i="60"/>
  <c r="DG73" i="60"/>
  <c r="DG75" i="60"/>
  <c r="DH60" i="60"/>
  <c r="DH62" i="60"/>
  <c r="DH64" i="60"/>
  <c r="DH66" i="60"/>
  <c r="DH68" i="60"/>
  <c r="DH70" i="60"/>
  <c r="DH72" i="60"/>
  <c r="DH74" i="60"/>
  <c r="DI61" i="60"/>
  <c r="DI63" i="60"/>
  <c r="DI65" i="60"/>
  <c r="DI67" i="60"/>
  <c r="DI69" i="60"/>
  <c r="DI71" i="60"/>
  <c r="DI73" i="60"/>
  <c r="DI75" i="60"/>
  <c r="DM70" i="60"/>
  <c r="DM72" i="60"/>
  <c r="DM74" i="60"/>
  <c r="DN61" i="60"/>
  <c r="DN63" i="60"/>
  <c r="DN65" i="60"/>
  <c r="DN67" i="60"/>
  <c r="DN69" i="60"/>
  <c r="DN71" i="60"/>
  <c r="DN73" i="60"/>
  <c r="DN75" i="60"/>
  <c r="DO74" i="60"/>
  <c r="CU85" i="60"/>
  <c r="DA85" i="60" s="1"/>
  <c r="DG85" i="60" s="1"/>
  <c r="DM85" i="60" s="1"/>
  <c r="CU88" i="60"/>
  <c r="CU90" i="60"/>
  <c r="CU92" i="60"/>
  <c r="CV87" i="60"/>
  <c r="CV89" i="60"/>
  <c r="CV91" i="60"/>
  <c r="CW88" i="60"/>
  <c r="CW90" i="60"/>
  <c r="CW92" i="60"/>
  <c r="DB88" i="60"/>
  <c r="DB90" i="60"/>
  <c r="DB92" i="60"/>
  <c r="DG88" i="60"/>
  <c r="DG90" i="60"/>
  <c r="DG92" i="60"/>
  <c r="DH87" i="60"/>
  <c r="DH89" i="60"/>
  <c r="DH91" i="60"/>
  <c r="DI88" i="60"/>
  <c r="DI90" i="60"/>
  <c r="DI92" i="60"/>
  <c r="DN88" i="60"/>
  <c r="DN90" i="60"/>
  <c r="DN92" i="60"/>
  <c r="CU60" i="60"/>
  <c r="CU62" i="60"/>
  <c r="CU64" i="60"/>
  <c r="CU66" i="60"/>
  <c r="CU68" i="60"/>
  <c r="CU70" i="60"/>
  <c r="CU72" i="60"/>
  <c r="CV61" i="60"/>
  <c r="CV63" i="60"/>
  <c r="CV65" i="60"/>
  <c r="CV67" i="60"/>
  <c r="CV69" i="60"/>
  <c r="CV71" i="60"/>
  <c r="CV73" i="60"/>
  <c r="CW60" i="60"/>
  <c r="CW62" i="60"/>
  <c r="CW64" i="60"/>
  <c r="CW66" i="60"/>
  <c r="CW68" i="60"/>
  <c r="CW70" i="60"/>
  <c r="CW72" i="60"/>
  <c r="DA61" i="60"/>
  <c r="DA63" i="60"/>
  <c r="DA65" i="60"/>
  <c r="DA67" i="60"/>
  <c r="DA69" i="60"/>
  <c r="DA71" i="60"/>
  <c r="DA73" i="60"/>
  <c r="DB60" i="60"/>
  <c r="DB62" i="60"/>
  <c r="DB64" i="60"/>
  <c r="DB66" i="60"/>
  <c r="DB68" i="60"/>
  <c r="DB70" i="60"/>
  <c r="DB72" i="60"/>
  <c r="DC61" i="60"/>
  <c r="DC63" i="60"/>
  <c r="DC65" i="60"/>
  <c r="DC67" i="60"/>
  <c r="DC69" i="60"/>
  <c r="DC71" i="60"/>
  <c r="DC73" i="60"/>
  <c r="DG62" i="60"/>
  <c r="DG64" i="60"/>
  <c r="DG66" i="60"/>
  <c r="DG68" i="60"/>
  <c r="DG70" i="60"/>
  <c r="DG72" i="60"/>
  <c r="DH61" i="60"/>
  <c r="DH63" i="60"/>
  <c r="DH65" i="60"/>
  <c r="DH67" i="60"/>
  <c r="DH69" i="60"/>
  <c r="DH71" i="60"/>
  <c r="DH73" i="60"/>
  <c r="DI66" i="60"/>
  <c r="DI68" i="60"/>
  <c r="DI70" i="60"/>
  <c r="DI72" i="60"/>
  <c r="DM61" i="60"/>
  <c r="DM63" i="60"/>
  <c r="DM65" i="60"/>
  <c r="DM67" i="60"/>
  <c r="DM69" i="60"/>
  <c r="DM71" i="60"/>
  <c r="DM73" i="60"/>
  <c r="DN60" i="60"/>
  <c r="DN62" i="60"/>
  <c r="DN64" i="60"/>
  <c r="DN66" i="60"/>
  <c r="DN68" i="60"/>
  <c r="DN70" i="60"/>
  <c r="DN72" i="60"/>
  <c r="DO61" i="60"/>
  <c r="DO63" i="60"/>
  <c r="DO65" i="60"/>
  <c r="DO67" i="60"/>
  <c r="DO69" i="60"/>
  <c r="DO71" i="60"/>
  <c r="DO73" i="60"/>
  <c r="CU87" i="60"/>
  <c r="CU89" i="60"/>
  <c r="CV88" i="60"/>
  <c r="CV90" i="60"/>
  <c r="CW87" i="60"/>
  <c r="CW89" i="60"/>
  <c r="DA88" i="60"/>
  <c r="DA90" i="60"/>
  <c r="DB87" i="60"/>
  <c r="DB89" i="60"/>
  <c r="DC88" i="60"/>
  <c r="DC90" i="60"/>
  <c r="DG87" i="60"/>
  <c r="DG89" i="60"/>
  <c r="DH88" i="60"/>
  <c r="DH90" i="60"/>
  <c r="DI87" i="60"/>
  <c r="DI89" i="60"/>
  <c r="DM88" i="60"/>
  <c r="DM90" i="60"/>
  <c r="DN87" i="60"/>
  <c r="DN89" i="60"/>
  <c r="DO88" i="60"/>
  <c r="DO90" i="60"/>
  <c r="BG60" i="60"/>
  <c r="BE60" i="60"/>
  <c r="BW64" i="60"/>
  <c r="BW72" i="60"/>
  <c r="BY64" i="60"/>
  <c r="BY72" i="60"/>
  <c r="CO87" i="60"/>
  <c r="BE68" i="60"/>
  <c r="BG68" i="60"/>
  <c r="BV8" i="60"/>
  <c r="CH8" i="60"/>
  <c r="BV9" i="60"/>
  <c r="CH9" i="60"/>
  <c r="BV10" i="60"/>
  <c r="CH10" i="60"/>
  <c r="BV11" i="60"/>
  <c r="CH11" i="60"/>
  <c r="BV12" i="60"/>
  <c r="CH12" i="60"/>
  <c r="BV13" i="60"/>
  <c r="CH13" i="60"/>
  <c r="BV14" i="60"/>
  <c r="CH14" i="60"/>
  <c r="BV15" i="60"/>
  <c r="CH15" i="60"/>
  <c r="BV16" i="60"/>
  <c r="CH16" i="60"/>
  <c r="BV17" i="60"/>
  <c r="CH17" i="60"/>
  <c r="BV18" i="60"/>
  <c r="CH18" i="60"/>
  <c r="BV19" i="60"/>
  <c r="CH19" i="60"/>
  <c r="BV20" i="60"/>
  <c r="CH20" i="60"/>
  <c r="BV21" i="60"/>
  <c r="CH21" i="60"/>
  <c r="BV22" i="60"/>
  <c r="CH22" i="60"/>
  <c r="BV23" i="60"/>
  <c r="CH23" i="60"/>
  <c r="BV24" i="60"/>
  <c r="CH24" i="60"/>
  <c r="BV25" i="60"/>
  <c r="CH25" i="60"/>
  <c r="BV26" i="60"/>
  <c r="CH26" i="60"/>
  <c r="BV27" i="60"/>
  <c r="CH27" i="60"/>
  <c r="BV28" i="60"/>
  <c r="CH28" i="60"/>
  <c r="BV29" i="60"/>
  <c r="CH29" i="60"/>
  <c r="BV30" i="60"/>
  <c r="CH30" i="60"/>
  <c r="BV31" i="60"/>
  <c r="CH31" i="60"/>
  <c r="BV32" i="60"/>
  <c r="CH32" i="60"/>
  <c r="BV33" i="60"/>
  <c r="CH33" i="60"/>
  <c r="BV34" i="60"/>
  <c r="CH34" i="60"/>
  <c r="BV35" i="60"/>
  <c r="CH35" i="60"/>
  <c r="BV36" i="60"/>
  <c r="CH36" i="60"/>
  <c r="BV37" i="60"/>
  <c r="CH37" i="60"/>
  <c r="BV38" i="60"/>
  <c r="CH38" i="60"/>
  <c r="BV39" i="60"/>
  <c r="CH39" i="60"/>
  <c r="BV40" i="60"/>
  <c r="CH40" i="60"/>
  <c r="BV41" i="60"/>
  <c r="CH41" i="60"/>
  <c r="BV42" i="60"/>
  <c r="CH42" i="60"/>
  <c r="BV43" i="60"/>
  <c r="CH43" i="60"/>
  <c r="BV44" i="60"/>
  <c r="CH44" i="60"/>
  <c r="BV45" i="60"/>
  <c r="CH45" i="60"/>
  <c r="BV46" i="60"/>
  <c r="CH46" i="60"/>
  <c r="BV47" i="60"/>
  <c r="CH47" i="60"/>
  <c r="BV48" i="60"/>
  <c r="CH48" i="60"/>
  <c r="BV50" i="60"/>
  <c r="CH50" i="60"/>
  <c r="BV75" i="60"/>
  <c r="BW62" i="60"/>
  <c r="BW66" i="60"/>
  <c r="BW70" i="60"/>
  <c r="BW74" i="60"/>
  <c r="BY62" i="60"/>
  <c r="BY66" i="60"/>
  <c r="BY70" i="60"/>
  <c r="BY74" i="60"/>
  <c r="CB75" i="60"/>
  <c r="CI60" i="60"/>
  <c r="CI64" i="60"/>
  <c r="CI68" i="60"/>
  <c r="CI72" i="60"/>
  <c r="CK60" i="60"/>
  <c r="CK64" i="60"/>
  <c r="CK68" i="60"/>
  <c r="CK72" i="60"/>
  <c r="CB77" i="60"/>
  <c r="CH77" i="60"/>
  <c r="BW87" i="60"/>
  <c r="BW91" i="60"/>
  <c r="BY89" i="60"/>
  <c r="CI87" i="60"/>
  <c r="CI91" i="60"/>
  <c r="CH91" i="60" s="1"/>
  <c r="CO91" i="60"/>
  <c r="CQ89" i="60"/>
  <c r="CH94" i="60"/>
  <c r="CN94" i="60"/>
  <c r="CB8" i="60"/>
  <c r="CN8" i="60"/>
  <c r="CB9" i="60"/>
  <c r="CN9" i="60"/>
  <c r="CB10" i="60"/>
  <c r="CN10" i="60"/>
  <c r="CB11" i="60"/>
  <c r="CN11" i="60"/>
  <c r="CB12" i="60"/>
  <c r="CN12" i="60"/>
  <c r="CB13" i="60"/>
  <c r="CN13" i="60"/>
  <c r="CB14" i="60"/>
  <c r="CN14" i="60"/>
  <c r="CB15" i="60"/>
  <c r="CN15" i="60"/>
  <c r="CB16" i="60"/>
  <c r="CN16" i="60"/>
  <c r="CB17" i="60"/>
  <c r="CN17" i="60"/>
  <c r="CB18" i="60"/>
  <c r="CN18" i="60"/>
  <c r="CB19" i="60"/>
  <c r="CN19" i="60"/>
  <c r="CB20" i="60"/>
  <c r="CN20" i="60"/>
  <c r="CB21" i="60"/>
  <c r="CN21" i="60"/>
  <c r="CB22" i="60"/>
  <c r="CN22" i="60"/>
  <c r="CB23" i="60"/>
  <c r="CN23" i="60"/>
  <c r="CB24" i="60"/>
  <c r="CN24" i="60"/>
  <c r="CB25" i="60"/>
  <c r="CN25" i="60"/>
  <c r="CB26" i="60"/>
  <c r="CN26" i="60"/>
  <c r="CB27" i="60"/>
  <c r="CN27" i="60"/>
  <c r="CB28" i="60"/>
  <c r="CN28" i="60"/>
  <c r="CB29" i="60"/>
  <c r="CN29" i="60"/>
  <c r="CB30" i="60"/>
  <c r="CN30" i="60"/>
  <c r="CB31" i="60"/>
  <c r="CN31" i="60"/>
  <c r="CB32" i="60"/>
  <c r="CN32" i="60"/>
  <c r="CB33" i="60"/>
  <c r="CN33" i="60"/>
  <c r="CB34" i="60"/>
  <c r="CN34" i="60"/>
  <c r="CB35" i="60"/>
  <c r="CN35" i="60"/>
  <c r="CB36" i="60"/>
  <c r="CN36" i="60"/>
  <c r="CB37" i="60"/>
  <c r="CN37" i="60"/>
  <c r="CB38" i="60"/>
  <c r="CN38" i="60"/>
  <c r="CB39" i="60"/>
  <c r="CN39" i="60"/>
  <c r="CB40" i="60"/>
  <c r="CN40" i="60"/>
  <c r="CB41" i="60"/>
  <c r="CN41" i="60"/>
  <c r="CB42" i="60"/>
  <c r="CN42" i="60"/>
  <c r="CB43" i="60"/>
  <c r="CN43" i="60"/>
  <c r="CB44" i="60"/>
  <c r="CN44" i="60"/>
  <c r="CB45" i="60"/>
  <c r="CN45" i="60"/>
  <c r="CB46" i="60"/>
  <c r="CN46" i="60"/>
  <c r="CB47" i="60"/>
  <c r="CN47" i="60"/>
  <c r="CB48" i="60"/>
  <c r="CN48" i="60"/>
  <c r="CB50" i="60"/>
  <c r="CN50" i="60"/>
  <c r="CH75" i="60"/>
  <c r="CI62" i="60"/>
  <c r="CI66" i="60"/>
  <c r="CI70" i="60"/>
  <c r="CI74" i="60"/>
  <c r="CK62" i="60"/>
  <c r="CK66" i="60"/>
  <c r="CK70" i="60"/>
  <c r="CK74" i="60"/>
  <c r="CN75" i="60"/>
  <c r="BV77" i="60"/>
  <c r="CN77" i="60"/>
  <c r="BV92" i="60"/>
  <c r="BW89" i="60"/>
  <c r="BY87" i="60"/>
  <c r="BY91" i="60"/>
  <c r="CB92" i="60"/>
  <c r="CI89" i="60"/>
  <c r="CN92" i="60"/>
  <c r="CO89" i="60"/>
  <c r="CQ87" i="60"/>
  <c r="CQ91" i="60"/>
  <c r="BV94" i="60"/>
  <c r="CB94" i="60"/>
  <c r="BW61" i="60"/>
  <c r="BW63" i="60"/>
  <c r="BW65" i="60"/>
  <c r="BW67" i="60"/>
  <c r="BW69" i="60"/>
  <c r="BW71" i="60"/>
  <c r="BW73" i="60"/>
  <c r="BX60" i="60"/>
  <c r="BX62" i="60"/>
  <c r="BX64" i="60"/>
  <c r="BX66" i="60"/>
  <c r="BX68" i="60"/>
  <c r="BX70" i="60"/>
  <c r="BX72" i="60"/>
  <c r="BX74" i="60"/>
  <c r="BY61" i="60"/>
  <c r="BY63" i="60"/>
  <c r="BY65" i="60"/>
  <c r="BY67" i="60"/>
  <c r="BY69" i="60"/>
  <c r="BY71" i="60"/>
  <c r="BY73" i="60"/>
  <c r="CC60" i="60"/>
  <c r="CC62" i="60"/>
  <c r="CC64" i="60"/>
  <c r="CC66" i="60"/>
  <c r="CC68" i="60"/>
  <c r="CC70" i="60"/>
  <c r="CC72" i="60"/>
  <c r="CC74" i="60"/>
  <c r="CD61" i="60"/>
  <c r="CD63" i="60"/>
  <c r="CD65" i="60"/>
  <c r="CD67" i="60"/>
  <c r="CD69" i="60"/>
  <c r="CD71" i="60"/>
  <c r="CD73" i="60"/>
  <c r="CD75" i="60"/>
  <c r="CE60" i="60"/>
  <c r="CE62" i="60"/>
  <c r="CE64" i="60"/>
  <c r="CE66" i="60"/>
  <c r="CE68" i="60"/>
  <c r="CE70" i="60"/>
  <c r="CE72" i="60"/>
  <c r="CE74" i="60"/>
  <c r="CI61" i="60"/>
  <c r="CI63" i="60"/>
  <c r="CI65" i="60"/>
  <c r="CI67" i="60"/>
  <c r="CI69" i="60"/>
  <c r="CI71" i="60"/>
  <c r="CI73" i="60"/>
  <c r="CJ60" i="60"/>
  <c r="CJ62" i="60"/>
  <c r="CJ64" i="60"/>
  <c r="CJ66" i="60"/>
  <c r="CJ68" i="60"/>
  <c r="CJ70" i="60"/>
  <c r="CJ72" i="60"/>
  <c r="CJ74" i="60"/>
  <c r="CK61" i="60"/>
  <c r="CK63" i="60"/>
  <c r="CK65" i="60"/>
  <c r="CK67" i="60"/>
  <c r="CK69" i="60"/>
  <c r="CK71" i="60"/>
  <c r="CK73" i="60"/>
  <c r="CO60" i="60"/>
  <c r="CO62" i="60"/>
  <c r="CO64" i="60"/>
  <c r="CO66" i="60"/>
  <c r="CO68" i="60"/>
  <c r="CO70" i="60"/>
  <c r="CO72" i="60"/>
  <c r="CO74" i="60"/>
  <c r="CP61" i="60"/>
  <c r="CP63" i="60"/>
  <c r="CP65" i="60"/>
  <c r="CP67" i="60"/>
  <c r="CP69" i="60"/>
  <c r="CP71" i="60"/>
  <c r="CP73" i="60"/>
  <c r="CP75" i="60"/>
  <c r="CQ60" i="60"/>
  <c r="CQ62" i="60"/>
  <c r="CQ64" i="60"/>
  <c r="CQ66" i="60"/>
  <c r="CQ68" i="60"/>
  <c r="CQ70" i="60"/>
  <c r="CQ72" i="60"/>
  <c r="CQ74" i="60"/>
  <c r="BW88" i="60"/>
  <c r="BW90" i="60"/>
  <c r="BX87" i="60"/>
  <c r="BX89" i="60"/>
  <c r="BX91" i="60"/>
  <c r="BY88" i="60"/>
  <c r="BY90" i="60"/>
  <c r="CC87" i="60"/>
  <c r="CC89" i="60"/>
  <c r="CC91" i="60"/>
  <c r="CD88" i="60"/>
  <c r="CD90" i="60"/>
  <c r="CD92" i="60"/>
  <c r="CE87" i="60"/>
  <c r="CE89" i="60"/>
  <c r="CE91" i="60"/>
  <c r="CI88" i="60"/>
  <c r="CI90" i="60"/>
  <c r="CJ87" i="60"/>
  <c r="CJ89" i="60"/>
  <c r="CJ91" i="60"/>
  <c r="CK88" i="60"/>
  <c r="CK90" i="60"/>
  <c r="CK92" i="60"/>
  <c r="CH92" i="60" s="1"/>
  <c r="CP88" i="60"/>
  <c r="CP90" i="60"/>
  <c r="CP92" i="60"/>
  <c r="BX61" i="60"/>
  <c r="BX63" i="60"/>
  <c r="BX65" i="60"/>
  <c r="BX67" i="60"/>
  <c r="BX69" i="60"/>
  <c r="BX71" i="60"/>
  <c r="BX73" i="60"/>
  <c r="CC61" i="60"/>
  <c r="CC63" i="60"/>
  <c r="CC65" i="60"/>
  <c r="CC67" i="60"/>
  <c r="CC69" i="60"/>
  <c r="CC71" i="60"/>
  <c r="CC73" i="60"/>
  <c r="CD60" i="60"/>
  <c r="CD62" i="60"/>
  <c r="CD64" i="60"/>
  <c r="CD66" i="60"/>
  <c r="CD68" i="60"/>
  <c r="CD70" i="60"/>
  <c r="CD72" i="60"/>
  <c r="CE61" i="60"/>
  <c r="CE63" i="60"/>
  <c r="CE65" i="60"/>
  <c r="CE67" i="60"/>
  <c r="CE69" i="60"/>
  <c r="CE71" i="60"/>
  <c r="CE73" i="60"/>
  <c r="CJ61" i="60"/>
  <c r="CJ63" i="60"/>
  <c r="CJ65" i="60"/>
  <c r="CJ67" i="60"/>
  <c r="CJ69" i="60"/>
  <c r="CJ71" i="60"/>
  <c r="CJ73" i="60"/>
  <c r="CO61" i="60"/>
  <c r="CO63" i="60"/>
  <c r="CO65" i="60"/>
  <c r="CO67" i="60"/>
  <c r="CO69" i="60"/>
  <c r="CO71" i="60"/>
  <c r="CO73" i="60"/>
  <c r="CP60" i="60"/>
  <c r="CP62" i="60"/>
  <c r="CP64" i="60"/>
  <c r="CP66" i="60"/>
  <c r="CP68" i="60"/>
  <c r="CP70" i="60"/>
  <c r="CP72" i="60"/>
  <c r="CQ61" i="60"/>
  <c r="CQ63" i="60"/>
  <c r="CQ65" i="60"/>
  <c r="CQ67" i="60"/>
  <c r="CQ69" i="60"/>
  <c r="CQ71" i="60"/>
  <c r="CQ73" i="60"/>
  <c r="BX88" i="60"/>
  <c r="BX90" i="60"/>
  <c r="CC88" i="60"/>
  <c r="CC90" i="60"/>
  <c r="CD87" i="60"/>
  <c r="CD89" i="60"/>
  <c r="CE88" i="60"/>
  <c r="CE90" i="60"/>
  <c r="CJ88" i="60"/>
  <c r="CJ90" i="60"/>
  <c r="CK87" i="60"/>
  <c r="CK89" i="60"/>
  <c r="CO88" i="60"/>
  <c r="CO90" i="60"/>
  <c r="CP87" i="60"/>
  <c r="CP89" i="60"/>
  <c r="CQ88" i="60"/>
  <c r="CQ90" i="60"/>
  <c r="BQ87" i="60"/>
  <c r="BE64" i="60"/>
  <c r="BE72" i="60"/>
  <c r="BG64" i="60"/>
  <c r="BG72" i="60"/>
  <c r="BQ91" i="60"/>
  <c r="BD8" i="60"/>
  <c r="BP8" i="60"/>
  <c r="BD9" i="60"/>
  <c r="BP9" i="60"/>
  <c r="BD10" i="60"/>
  <c r="BP10" i="60"/>
  <c r="BD11" i="60"/>
  <c r="BP11" i="60"/>
  <c r="BD12" i="60"/>
  <c r="BP12" i="60"/>
  <c r="BD13" i="60"/>
  <c r="BP13" i="60"/>
  <c r="BD14" i="60"/>
  <c r="BP14" i="60"/>
  <c r="BD15" i="60"/>
  <c r="BP15" i="60"/>
  <c r="BD16" i="60"/>
  <c r="BP16" i="60"/>
  <c r="BD17" i="60"/>
  <c r="BP17" i="60"/>
  <c r="BD18" i="60"/>
  <c r="BP18" i="60"/>
  <c r="BD19" i="60"/>
  <c r="BP19" i="60"/>
  <c r="BD20" i="60"/>
  <c r="BP20" i="60"/>
  <c r="BD21" i="60"/>
  <c r="BP21" i="60"/>
  <c r="BD22" i="60"/>
  <c r="BP22" i="60"/>
  <c r="BD23" i="60"/>
  <c r="BP23" i="60"/>
  <c r="BD24" i="60"/>
  <c r="BP24" i="60"/>
  <c r="BD25" i="60"/>
  <c r="BP25" i="60"/>
  <c r="BD26" i="60"/>
  <c r="BP26" i="60"/>
  <c r="BD27" i="60"/>
  <c r="BP27" i="60"/>
  <c r="BD28" i="60"/>
  <c r="BP28" i="60"/>
  <c r="BD29" i="60"/>
  <c r="BP29" i="60"/>
  <c r="BD30" i="60"/>
  <c r="BP30" i="60"/>
  <c r="BD31" i="60"/>
  <c r="BP31" i="60"/>
  <c r="BD32" i="60"/>
  <c r="BP32" i="60"/>
  <c r="BD33" i="60"/>
  <c r="BP33" i="60"/>
  <c r="BD34" i="60"/>
  <c r="BP34" i="60"/>
  <c r="BD35" i="60"/>
  <c r="BP35" i="60"/>
  <c r="BD36" i="60"/>
  <c r="BP36" i="60"/>
  <c r="BD37" i="60"/>
  <c r="BP37" i="60"/>
  <c r="BD38" i="60"/>
  <c r="BP38" i="60"/>
  <c r="BD39" i="60"/>
  <c r="BP39" i="60"/>
  <c r="BD40" i="60"/>
  <c r="BP40" i="60"/>
  <c r="BD41" i="60"/>
  <c r="BP41" i="60"/>
  <c r="BD42" i="60"/>
  <c r="BP42" i="60"/>
  <c r="BD43" i="60"/>
  <c r="BP43" i="60"/>
  <c r="BD44" i="60"/>
  <c r="BP44" i="60"/>
  <c r="BD45" i="60"/>
  <c r="BP45" i="60"/>
  <c r="BD46" i="60"/>
  <c r="BP46" i="60"/>
  <c r="BD47" i="60"/>
  <c r="BP47" i="60"/>
  <c r="BD48" i="60"/>
  <c r="BP48" i="60"/>
  <c r="BD50" i="60"/>
  <c r="BP50" i="60"/>
  <c r="AY60" i="60"/>
  <c r="AY64" i="60"/>
  <c r="BP75" i="60"/>
  <c r="BQ62" i="60"/>
  <c r="BQ66" i="60"/>
  <c r="BQ70" i="60"/>
  <c r="BS60" i="60"/>
  <c r="BS64" i="60"/>
  <c r="BS68" i="60"/>
  <c r="AX77" i="60"/>
  <c r="BP77" i="60"/>
  <c r="BA89" i="60"/>
  <c r="BG87" i="60"/>
  <c r="BK89" i="60"/>
  <c r="BP92" i="60"/>
  <c r="BQ89" i="60"/>
  <c r="BS87" i="60"/>
  <c r="BS91" i="60"/>
  <c r="AX94" i="60"/>
  <c r="BD94" i="60"/>
  <c r="AX8" i="60"/>
  <c r="BJ8" i="60"/>
  <c r="AX9" i="60"/>
  <c r="BJ9" i="60"/>
  <c r="AX10" i="60"/>
  <c r="BJ10" i="60"/>
  <c r="AX11" i="60"/>
  <c r="BJ11" i="60"/>
  <c r="AX12" i="60"/>
  <c r="BJ12" i="60"/>
  <c r="AX13" i="60"/>
  <c r="BJ13" i="60"/>
  <c r="AX14" i="60"/>
  <c r="BJ14" i="60"/>
  <c r="AX15" i="60"/>
  <c r="BJ15" i="60"/>
  <c r="AX16" i="60"/>
  <c r="BJ16" i="60"/>
  <c r="AX17" i="60"/>
  <c r="BJ17" i="60"/>
  <c r="AX18" i="60"/>
  <c r="BJ18" i="60"/>
  <c r="AX19" i="60"/>
  <c r="BJ19" i="60"/>
  <c r="AX20" i="60"/>
  <c r="BJ20" i="60"/>
  <c r="AX21" i="60"/>
  <c r="BJ21" i="60"/>
  <c r="AX22" i="60"/>
  <c r="BJ22" i="60"/>
  <c r="AX23" i="60"/>
  <c r="BJ23" i="60"/>
  <c r="AX24" i="60"/>
  <c r="BJ24" i="60"/>
  <c r="AX25" i="60"/>
  <c r="BJ25" i="60"/>
  <c r="AX26" i="60"/>
  <c r="BJ26" i="60"/>
  <c r="AX27" i="60"/>
  <c r="BJ27" i="60"/>
  <c r="AX28" i="60"/>
  <c r="BJ28" i="60"/>
  <c r="AX29" i="60"/>
  <c r="BJ29" i="60"/>
  <c r="AX30" i="60"/>
  <c r="BJ30" i="60"/>
  <c r="AX31" i="60"/>
  <c r="BJ31" i="60"/>
  <c r="AX32" i="60"/>
  <c r="BJ32" i="60"/>
  <c r="AX33" i="60"/>
  <c r="BJ33" i="60"/>
  <c r="AX34" i="60"/>
  <c r="BJ34" i="60"/>
  <c r="AX35" i="60"/>
  <c r="BJ35" i="60"/>
  <c r="AX36" i="60"/>
  <c r="BJ36" i="60"/>
  <c r="AX37" i="60"/>
  <c r="BJ37" i="60"/>
  <c r="AX38" i="60"/>
  <c r="BJ38" i="60"/>
  <c r="AX39" i="60"/>
  <c r="BJ39" i="60"/>
  <c r="AX40" i="60"/>
  <c r="BJ40" i="60"/>
  <c r="AX41" i="60"/>
  <c r="BJ41" i="60"/>
  <c r="AX42" i="60"/>
  <c r="BJ42" i="60"/>
  <c r="AX43" i="60"/>
  <c r="BJ43" i="60"/>
  <c r="AX44" i="60"/>
  <c r="BJ44" i="60"/>
  <c r="AX45" i="60"/>
  <c r="BJ45" i="60"/>
  <c r="AX46" i="60"/>
  <c r="BJ46" i="60"/>
  <c r="AX47" i="60"/>
  <c r="BJ47" i="60"/>
  <c r="AX48" i="60"/>
  <c r="BJ48" i="60"/>
  <c r="AX50" i="60"/>
  <c r="BJ50" i="60"/>
  <c r="AX74" i="60"/>
  <c r="AY62" i="60"/>
  <c r="BD75" i="60"/>
  <c r="BE62" i="60"/>
  <c r="BE66" i="60"/>
  <c r="BE70" i="60"/>
  <c r="BE74" i="60"/>
  <c r="BG62" i="60"/>
  <c r="BG66" i="60"/>
  <c r="BG70" i="60"/>
  <c r="BG74" i="60"/>
  <c r="BJ74" i="60"/>
  <c r="BQ60" i="60"/>
  <c r="BQ64" i="60"/>
  <c r="BQ68" i="60"/>
  <c r="BQ72" i="60"/>
  <c r="BS62" i="60"/>
  <c r="BS66" i="60"/>
  <c r="BD77" i="60"/>
  <c r="BA87" i="60"/>
  <c r="BA91" i="60"/>
  <c r="AX91" i="60" s="1"/>
  <c r="BD92" i="60"/>
  <c r="BK87" i="60"/>
  <c r="BK91" i="60"/>
  <c r="BJ91" i="60" s="1"/>
  <c r="BS89" i="60"/>
  <c r="BJ94" i="60"/>
  <c r="BP94" i="60"/>
  <c r="AY61" i="60"/>
  <c r="AY63" i="60"/>
  <c r="AY65" i="60"/>
  <c r="AY67" i="60"/>
  <c r="AY69" i="60"/>
  <c r="AY71" i="60"/>
  <c r="AY73" i="60"/>
  <c r="AY75" i="60"/>
  <c r="AZ60" i="60"/>
  <c r="AZ62" i="60"/>
  <c r="AZ64" i="60"/>
  <c r="AZ66" i="60"/>
  <c r="AZ68" i="60"/>
  <c r="AZ70" i="60"/>
  <c r="AZ72" i="60"/>
  <c r="AZ74" i="60"/>
  <c r="BA61" i="60"/>
  <c r="BA63" i="60"/>
  <c r="BA65" i="60"/>
  <c r="BA67" i="60"/>
  <c r="BA69" i="60"/>
  <c r="BA71" i="60"/>
  <c r="BA73" i="60"/>
  <c r="BA75" i="60"/>
  <c r="BF61" i="60"/>
  <c r="BF63" i="60"/>
  <c r="BF65" i="60"/>
  <c r="BF67" i="60"/>
  <c r="BF69" i="60"/>
  <c r="BF71" i="60"/>
  <c r="BF73" i="60"/>
  <c r="BF75" i="60"/>
  <c r="BK61" i="60"/>
  <c r="BK63" i="60"/>
  <c r="BK65" i="60"/>
  <c r="BK67" i="60"/>
  <c r="BK69" i="60"/>
  <c r="BK71" i="60"/>
  <c r="BK73" i="60"/>
  <c r="BK75" i="60"/>
  <c r="BL60" i="60"/>
  <c r="BL62" i="60"/>
  <c r="BL64" i="60"/>
  <c r="BL66" i="60"/>
  <c r="BL68" i="60"/>
  <c r="BL70" i="60"/>
  <c r="BL72" i="60"/>
  <c r="BL74" i="60"/>
  <c r="BM61" i="60"/>
  <c r="BM63" i="60"/>
  <c r="BM65" i="60"/>
  <c r="BM67" i="60"/>
  <c r="BM69" i="60"/>
  <c r="BM71" i="60"/>
  <c r="BM73" i="60"/>
  <c r="BM75" i="60"/>
  <c r="BQ74" i="60"/>
  <c r="BR61" i="60"/>
  <c r="BR63" i="60"/>
  <c r="BR65" i="60"/>
  <c r="BR67" i="60"/>
  <c r="BR69" i="60"/>
  <c r="BR71" i="60"/>
  <c r="BR73" i="60"/>
  <c r="BR75" i="60"/>
  <c r="BS70" i="60"/>
  <c r="BS72" i="60"/>
  <c r="BS74" i="60"/>
  <c r="AY88" i="60"/>
  <c r="AY90" i="60"/>
  <c r="AY92" i="60"/>
  <c r="AX92" i="60" s="1"/>
  <c r="AZ87" i="60"/>
  <c r="AZ89" i="60"/>
  <c r="AZ91" i="60"/>
  <c r="BA88" i="60"/>
  <c r="BA90" i="60"/>
  <c r="BE87" i="60"/>
  <c r="BE89" i="60"/>
  <c r="BE91" i="60"/>
  <c r="BF88" i="60"/>
  <c r="BF90" i="60"/>
  <c r="BF92" i="60"/>
  <c r="BG89" i="60"/>
  <c r="BG91" i="60"/>
  <c r="BK88" i="60"/>
  <c r="BK90" i="60"/>
  <c r="BL87" i="60"/>
  <c r="BL89" i="60"/>
  <c r="BL91" i="60"/>
  <c r="BM88" i="60"/>
  <c r="BM90" i="60"/>
  <c r="BM92" i="60"/>
  <c r="BJ92" i="60" s="1"/>
  <c r="BR88" i="60"/>
  <c r="BR90" i="60"/>
  <c r="BR92" i="60"/>
  <c r="AY66" i="60"/>
  <c r="AY68" i="60"/>
  <c r="AY70" i="60"/>
  <c r="AY72" i="60"/>
  <c r="AZ61" i="60"/>
  <c r="AZ63" i="60"/>
  <c r="AZ65" i="60"/>
  <c r="AZ67" i="60"/>
  <c r="AZ69" i="60"/>
  <c r="AZ71" i="60"/>
  <c r="AZ73" i="60"/>
  <c r="BA60" i="60"/>
  <c r="BA62" i="60"/>
  <c r="BA64" i="60"/>
  <c r="BA66" i="60"/>
  <c r="BA68" i="60"/>
  <c r="BA70" i="60"/>
  <c r="BA72" i="60"/>
  <c r="BE61" i="60"/>
  <c r="BE63" i="60"/>
  <c r="BE65" i="60"/>
  <c r="BE67" i="60"/>
  <c r="BE69" i="60"/>
  <c r="BE71" i="60"/>
  <c r="BE73" i="60"/>
  <c r="BF60" i="60"/>
  <c r="BF62" i="60"/>
  <c r="BF64" i="60"/>
  <c r="BF66" i="60"/>
  <c r="BF68" i="60"/>
  <c r="BF70" i="60"/>
  <c r="BF72" i="60"/>
  <c r="BG61" i="60"/>
  <c r="BG63" i="60"/>
  <c r="BG65" i="60"/>
  <c r="BG67" i="60"/>
  <c r="BG69" i="60"/>
  <c r="BG71" i="60"/>
  <c r="BG73" i="60"/>
  <c r="BK60" i="60"/>
  <c r="BK62" i="60"/>
  <c r="BK64" i="60"/>
  <c r="BK66" i="60"/>
  <c r="BK68" i="60"/>
  <c r="BK70" i="60"/>
  <c r="BK72" i="60"/>
  <c r="BL61" i="60"/>
  <c r="BL63" i="60"/>
  <c r="BL65" i="60"/>
  <c r="BL67" i="60"/>
  <c r="BL69" i="60"/>
  <c r="BL71" i="60"/>
  <c r="BL73" i="60"/>
  <c r="BM60" i="60"/>
  <c r="BM62" i="60"/>
  <c r="BM64" i="60"/>
  <c r="BM66" i="60"/>
  <c r="BM68" i="60"/>
  <c r="BM70" i="60"/>
  <c r="BM72" i="60"/>
  <c r="BQ61" i="60"/>
  <c r="BQ63" i="60"/>
  <c r="BQ65" i="60"/>
  <c r="BQ67" i="60"/>
  <c r="BQ69" i="60"/>
  <c r="BQ71" i="60"/>
  <c r="BQ73" i="60"/>
  <c r="BR60" i="60"/>
  <c r="BR62" i="60"/>
  <c r="BR64" i="60"/>
  <c r="BR66" i="60"/>
  <c r="BR68" i="60"/>
  <c r="BR70" i="60"/>
  <c r="BR72" i="60"/>
  <c r="BS61" i="60"/>
  <c r="BS63" i="60"/>
  <c r="BS65" i="60"/>
  <c r="BS67" i="60"/>
  <c r="BS69" i="60"/>
  <c r="BS71" i="60"/>
  <c r="BS73" i="60"/>
  <c r="AY87" i="60"/>
  <c r="AY89" i="60"/>
  <c r="AZ88" i="60"/>
  <c r="AZ90" i="60"/>
  <c r="BE88" i="60"/>
  <c r="BE90" i="60"/>
  <c r="BF87" i="60"/>
  <c r="BF89" i="60"/>
  <c r="BG88" i="60"/>
  <c r="BG90" i="60"/>
  <c r="BL88" i="60"/>
  <c r="BL90" i="60"/>
  <c r="BM87" i="60"/>
  <c r="BM89" i="60"/>
  <c r="BQ88" i="60"/>
  <c r="BQ90" i="60"/>
  <c r="BR87" i="60"/>
  <c r="BR89" i="60"/>
  <c r="BS88" i="60"/>
  <c r="BS90" i="60"/>
  <c r="CS53" i="60"/>
  <c r="CS1" i="60"/>
  <c r="CS80" i="60"/>
  <c r="J75" i="60"/>
  <c r="J67" i="60"/>
  <c r="V90" i="60"/>
  <c r="U90" i="60"/>
  <c r="D75" i="60"/>
  <c r="J71" i="60"/>
  <c r="J63" i="60"/>
  <c r="I75" i="60"/>
  <c r="P67" i="60"/>
  <c r="V75" i="60"/>
  <c r="AG64" i="60"/>
  <c r="AG72" i="60"/>
  <c r="AI64" i="60"/>
  <c r="AI72" i="60"/>
  <c r="AU64" i="60"/>
  <c r="AU72" i="60"/>
  <c r="D67" i="60"/>
  <c r="C75" i="60"/>
  <c r="P71" i="60"/>
  <c r="P63" i="60"/>
  <c r="O75" i="60"/>
  <c r="Z77" i="60"/>
  <c r="AG60" i="60"/>
  <c r="AG68" i="60"/>
  <c r="AI60" i="60"/>
  <c r="AI68" i="60"/>
  <c r="AU60" i="60"/>
  <c r="AU68" i="60"/>
  <c r="AS87" i="60"/>
  <c r="AF8" i="60"/>
  <c r="AR8" i="60"/>
  <c r="AF9" i="60"/>
  <c r="AR9" i="60"/>
  <c r="AF10" i="60"/>
  <c r="AR10" i="60"/>
  <c r="AF11" i="60"/>
  <c r="AR11" i="60"/>
  <c r="AF12" i="60"/>
  <c r="AR12" i="60"/>
  <c r="AF13" i="60"/>
  <c r="AR13" i="60"/>
  <c r="AF14" i="60"/>
  <c r="AR14" i="60"/>
  <c r="AF15" i="60"/>
  <c r="AR15" i="60"/>
  <c r="AF16" i="60"/>
  <c r="AR16" i="60"/>
  <c r="AF17" i="60"/>
  <c r="AR17" i="60"/>
  <c r="AF18" i="60"/>
  <c r="AR18" i="60"/>
  <c r="AF19" i="60"/>
  <c r="AR19" i="60"/>
  <c r="AF20" i="60"/>
  <c r="AR20" i="60"/>
  <c r="AF21" i="60"/>
  <c r="AR21" i="60"/>
  <c r="AF22" i="60"/>
  <c r="AR22" i="60"/>
  <c r="AF23" i="60"/>
  <c r="AR23" i="60"/>
  <c r="AF24" i="60"/>
  <c r="AR24" i="60"/>
  <c r="AF25" i="60"/>
  <c r="AR25" i="60"/>
  <c r="AF26" i="60"/>
  <c r="AR26" i="60"/>
  <c r="AF27" i="60"/>
  <c r="AR27" i="60"/>
  <c r="AF28" i="60"/>
  <c r="AR28" i="60"/>
  <c r="AF29" i="60"/>
  <c r="AR29" i="60"/>
  <c r="AF30" i="60"/>
  <c r="AR30" i="60"/>
  <c r="AF31" i="60"/>
  <c r="AR31" i="60"/>
  <c r="AF32" i="60"/>
  <c r="AR32" i="60"/>
  <c r="AF33" i="60"/>
  <c r="AR33" i="60"/>
  <c r="AF34" i="60"/>
  <c r="AR34" i="60"/>
  <c r="AF35" i="60"/>
  <c r="AR35" i="60"/>
  <c r="AF36" i="60"/>
  <c r="AR36" i="60"/>
  <c r="AF37" i="60"/>
  <c r="AR37" i="60"/>
  <c r="AF38" i="60"/>
  <c r="AR38" i="60"/>
  <c r="AF39" i="60"/>
  <c r="AR39" i="60"/>
  <c r="AF40" i="60"/>
  <c r="AR40" i="60"/>
  <c r="AF41" i="60"/>
  <c r="AR41" i="60"/>
  <c r="AF42" i="60"/>
  <c r="AR42" i="60"/>
  <c r="AF43" i="60"/>
  <c r="AR43" i="60"/>
  <c r="AF44" i="60"/>
  <c r="AR44" i="60"/>
  <c r="AF45" i="60"/>
  <c r="AR45" i="60"/>
  <c r="AF46" i="60"/>
  <c r="AR46" i="60"/>
  <c r="AF47" i="60"/>
  <c r="AR47" i="60"/>
  <c r="AF48" i="60"/>
  <c r="AR48" i="60"/>
  <c r="AF50" i="60"/>
  <c r="AR50" i="60"/>
  <c r="Z74" i="60"/>
  <c r="AS62" i="60"/>
  <c r="AS66" i="60"/>
  <c r="AS70" i="60"/>
  <c r="AF77" i="60"/>
  <c r="AL77" i="60"/>
  <c r="Z91" i="60"/>
  <c r="AA89" i="60"/>
  <c r="AF92" i="60"/>
  <c r="AG89" i="60"/>
  <c r="AI89" i="60"/>
  <c r="AS89" i="60"/>
  <c r="AU87" i="60"/>
  <c r="AU91" i="60"/>
  <c r="Z94" i="60"/>
  <c r="AF94" i="60"/>
  <c r="C67" i="60"/>
  <c r="I67" i="60"/>
  <c r="O67" i="60"/>
  <c r="V67" i="60"/>
  <c r="J90" i="60"/>
  <c r="Z8" i="60"/>
  <c r="AL8" i="60"/>
  <c r="Z9" i="60"/>
  <c r="AL9" i="60"/>
  <c r="Z10" i="60"/>
  <c r="AL10" i="60"/>
  <c r="Z11" i="60"/>
  <c r="AL11" i="60"/>
  <c r="Z12" i="60"/>
  <c r="AL12" i="60"/>
  <c r="Z13" i="60"/>
  <c r="AL13" i="60"/>
  <c r="Z14" i="60"/>
  <c r="AL14" i="60"/>
  <c r="Z15" i="60"/>
  <c r="AL15" i="60"/>
  <c r="Z16" i="60"/>
  <c r="AL16" i="60"/>
  <c r="Z17" i="60"/>
  <c r="AL17" i="60"/>
  <c r="Z18" i="60"/>
  <c r="AL18" i="60"/>
  <c r="Z19" i="60"/>
  <c r="AL19" i="60"/>
  <c r="Z20" i="60"/>
  <c r="AL20" i="60"/>
  <c r="Z21" i="60"/>
  <c r="AL21" i="60"/>
  <c r="Z22" i="60"/>
  <c r="AL22" i="60"/>
  <c r="Z23" i="60"/>
  <c r="AL23" i="60"/>
  <c r="Z24" i="60"/>
  <c r="AL24" i="60"/>
  <c r="Z25" i="60"/>
  <c r="AL25" i="60"/>
  <c r="Z26" i="60"/>
  <c r="AL26" i="60"/>
  <c r="Z27" i="60"/>
  <c r="AL27" i="60"/>
  <c r="Z28" i="60"/>
  <c r="AL28" i="60"/>
  <c r="Z29" i="60"/>
  <c r="AL29" i="60"/>
  <c r="Z30" i="60"/>
  <c r="AL30" i="60"/>
  <c r="Z31" i="60"/>
  <c r="AL31" i="60"/>
  <c r="Z32" i="60"/>
  <c r="AL32" i="60"/>
  <c r="Z33" i="60"/>
  <c r="AL33" i="60"/>
  <c r="Z34" i="60"/>
  <c r="AL34" i="60"/>
  <c r="Z35" i="60"/>
  <c r="AL35" i="60"/>
  <c r="Z36" i="60"/>
  <c r="AL36" i="60"/>
  <c r="Z37" i="60"/>
  <c r="AL37" i="60"/>
  <c r="Z38" i="60"/>
  <c r="AL38" i="60"/>
  <c r="Z39" i="60"/>
  <c r="AL39" i="60"/>
  <c r="Z40" i="60"/>
  <c r="AL40" i="60"/>
  <c r="Z41" i="60"/>
  <c r="AL41" i="60"/>
  <c r="Z42" i="60"/>
  <c r="AL42" i="60"/>
  <c r="Z43" i="60"/>
  <c r="AL43" i="60"/>
  <c r="Z44" i="60"/>
  <c r="AL44" i="60"/>
  <c r="Z45" i="60"/>
  <c r="AL45" i="60"/>
  <c r="Z46" i="60"/>
  <c r="AL46" i="60"/>
  <c r="Z47" i="60"/>
  <c r="AL47" i="60"/>
  <c r="Z48" i="60"/>
  <c r="AL48" i="60"/>
  <c r="Z50" i="60"/>
  <c r="AL50" i="60"/>
  <c r="AF75" i="60"/>
  <c r="AG62" i="60"/>
  <c r="AG66" i="60"/>
  <c r="AG70" i="60"/>
  <c r="AG74" i="60"/>
  <c r="AI62" i="60"/>
  <c r="AI66" i="60"/>
  <c r="AI70" i="60"/>
  <c r="AI74" i="60"/>
  <c r="AL74" i="60"/>
  <c r="AS60" i="60"/>
  <c r="AS64" i="60"/>
  <c r="AS68" i="60"/>
  <c r="AS72" i="60"/>
  <c r="AU62" i="60"/>
  <c r="AU66" i="60"/>
  <c r="AU70" i="60"/>
  <c r="AU74" i="60"/>
  <c r="AR77" i="60"/>
  <c r="AA87" i="60"/>
  <c r="AC87" i="60"/>
  <c r="AG87" i="60"/>
  <c r="AI87" i="60"/>
  <c r="AI91" i="60"/>
  <c r="AL91" i="60"/>
  <c r="AS91" i="60"/>
  <c r="AU89" i="60"/>
  <c r="AL94" i="60"/>
  <c r="AR94" i="60"/>
  <c r="AR75" i="60"/>
  <c r="AR92" i="60"/>
  <c r="AA61" i="60"/>
  <c r="AA63" i="60"/>
  <c r="AA65" i="60"/>
  <c r="AA67" i="60"/>
  <c r="AA69" i="60"/>
  <c r="AA71" i="60"/>
  <c r="AA73" i="60"/>
  <c r="AA75" i="60"/>
  <c r="AB60" i="60"/>
  <c r="AB62" i="60"/>
  <c r="AB64" i="60"/>
  <c r="AB66" i="60"/>
  <c r="AB68" i="60"/>
  <c r="AB70" i="60"/>
  <c r="AB72" i="60"/>
  <c r="AB74" i="60"/>
  <c r="AC61" i="60"/>
  <c r="AC63" i="60"/>
  <c r="AC65" i="60"/>
  <c r="AC67" i="60"/>
  <c r="AC69" i="60"/>
  <c r="AC71" i="60"/>
  <c r="AC73" i="60"/>
  <c r="AC75" i="60"/>
  <c r="AH61" i="60"/>
  <c r="AH63" i="60"/>
  <c r="AH65" i="60"/>
  <c r="AH67" i="60"/>
  <c r="AH69" i="60"/>
  <c r="AH71" i="60"/>
  <c r="AH73" i="60"/>
  <c r="AH75" i="60"/>
  <c r="AM61" i="60"/>
  <c r="AM63" i="60"/>
  <c r="AM65" i="60"/>
  <c r="AM67" i="60"/>
  <c r="AM69" i="60"/>
  <c r="AM71" i="60"/>
  <c r="AM73" i="60"/>
  <c r="AM75" i="60"/>
  <c r="AN60" i="60"/>
  <c r="AN62" i="60"/>
  <c r="AN64" i="60"/>
  <c r="AN66" i="60"/>
  <c r="AN68" i="60"/>
  <c r="AN70" i="60"/>
  <c r="AN72" i="60"/>
  <c r="AN74" i="60"/>
  <c r="AO61" i="60"/>
  <c r="AO63" i="60"/>
  <c r="AO65" i="60"/>
  <c r="AO67" i="60"/>
  <c r="AO69" i="60"/>
  <c r="AO71" i="60"/>
  <c r="AO73" i="60"/>
  <c r="AO75" i="60"/>
  <c r="AS74" i="60"/>
  <c r="AT61" i="60"/>
  <c r="AT63" i="60"/>
  <c r="AT65" i="60"/>
  <c r="AT67" i="60"/>
  <c r="AT69" i="60"/>
  <c r="AT71" i="60"/>
  <c r="AT73" i="60"/>
  <c r="AT75" i="60"/>
  <c r="AA88" i="60"/>
  <c r="AA90" i="60"/>
  <c r="AA92" i="60"/>
  <c r="AB87" i="60"/>
  <c r="AB89" i="60"/>
  <c r="AB91" i="60"/>
  <c r="AC88" i="60"/>
  <c r="AC90" i="60"/>
  <c r="AC92" i="60"/>
  <c r="AG91" i="60"/>
  <c r="AH88" i="60"/>
  <c r="AH90" i="60"/>
  <c r="AH92" i="60"/>
  <c r="AM88" i="60"/>
  <c r="AM90" i="60"/>
  <c r="AM92" i="60"/>
  <c r="AN87" i="60"/>
  <c r="AN89" i="60"/>
  <c r="AN91" i="60"/>
  <c r="AO88" i="60"/>
  <c r="AO90" i="60"/>
  <c r="AO92" i="60"/>
  <c r="AT88" i="60"/>
  <c r="AT90" i="60"/>
  <c r="AT92" i="60"/>
  <c r="AA60" i="60"/>
  <c r="AA62" i="60"/>
  <c r="AA64" i="60"/>
  <c r="AA66" i="60"/>
  <c r="AA68" i="60"/>
  <c r="AA70" i="60"/>
  <c r="AA72" i="60"/>
  <c r="AB61" i="60"/>
  <c r="AB63" i="60"/>
  <c r="AB65" i="60"/>
  <c r="AB67" i="60"/>
  <c r="AB69" i="60"/>
  <c r="AB71" i="60"/>
  <c r="AB73" i="60"/>
  <c r="AC60" i="60"/>
  <c r="AC62" i="60"/>
  <c r="AC64" i="60"/>
  <c r="AC66" i="60"/>
  <c r="AC68" i="60"/>
  <c r="AC70" i="60"/>
  <c r="AC72" i="60"/>
  <c r="AG61" i="60"/>
  <c r="AG63" i="60"/>
  <c r="AG65" i="60"/>
  <c r="AG67" i="60"/>
  <c r="AG69" i="60"/>
  <c r="AG71" i="60"/>
  <c r="AG73" i="60"/>
  <c r="AH60" i="60"/>
  <c r="AH62" i="60"/>
  <c r="AH64" i="60"/>
  <c r="AH66" i="60"/>
  <c r="AH68" i="60"/>
  <c r="AH70" i="60"/>
  <c r="AH72" i="60"/>
  <c r="AI61" i="60"/>
  <c r="AI63" i="60"/>
  <c r="AI65" i="60"/>
  <c r="AI67" i="60"/>
  <c r="AI69" i="60"/>
  <c r="AI71" i="60"/>
  <c r="AI73" i="60"/>
  <c r="AM60" i="60"/>
  <c r="AM62" i="60"/>
  <c r="AM64" i="60"/>
  <c r="AM66" i="60"/>
  <c r="AM68" i="60"/>
  <c r="AM70" i="60"/>
  <c r="AM72" i="60"/>
  <c r="AN61" i="60"/>
  <c r="AN63" i="60"/>
  <c r="AN65" i="60"/>
  <c r="AN67" i="60"/>
  <c r="AN69" i="60"/>
  <c r="AN71" i="60"/>
  <c r="AN73" i="60"/>
  <c r="AO60" i="60"/>
  <c r="AO62" i="60"/>
  <c r="AO64" i="60"/>
  <c r="AO66" i="60"/>
  <c r="AO68" i="60"/>
  <c r="AO70" i="60"/>
  <c r="AO72" i="60"/>
  <c r="AS61" i="60"/>
  <c r="AS63" i="60"/>
  <c r="AS65" i="60"/>
  <c r="AS67" i="60"/>
  <c r="AS69" i="60"/>
  <c r="AS71" i="60"/>
  <c r="AS73" i="60"/>
  <c r="AT60" i="60"/>
  <c r="AT62" i="60"/>
  <c r="AT64" i="60"/>
  <c r="AT66" i="60"/>
  <c r="AT68" i="60"/>
  <c r="AT70" i="60"/>
  <c r="AT72" i="60"/>
  <c r="AU61" i="60"/>
  <c r="AU63" i="60"/>
  <c r="AU65" i="60"/>
  <c r="AU67" i="60"/>
  <c r="AU69" i="60"/>
  <c r="AU71" i="60"/>
  <c r="AU73" i="60"/>
  <c r="AB88" i="60"/>
  <c r="AB90" i="60"/>
  <c r="AC89" i="60"/>
  <c r="AG88" i="60"/>
  <c r="AG90" i="60"/>
  <c r="AH87" i="60"/>
  <c r="AH89" i="60"/>
  <c r="AI88" i="60"/>
  <c r="AI90" i="60"/>
  <c r="AM87" i="60"/>
  <c r="AM89" i="60"/>
  <c r="AN88" i="60"/>
  <c r="AN90" i="60"/>
  <c r="AO87" i="60"/>
  <c r="AO89" i="60"/>
  <c r="AS88" i="60"/>
  <c r="AS90" i="60"/>
  <c r="AT87" i="60"/>
  <c r="AT89" i="60"/>
  <c r="AU88" i="60"/>
  <c r="AU90" i="60"/>
  <c r="C71" i="60"/>
  <c r="C63" i="60"/>
  <c r="I71" i="60"/>
  <c r="I63" i="60"/>
  <c r="O71" i="60"/>
  <c r="O63" i="60"/>
  <c r="V71" i="60"/>
  <c r="V63" i="60"/>
  <c r="D90" i="60"/>
  <c r="V92" i="60"/>
  <c r="V88" i="60"/>
  <c r="C73" i="60"/>
  <c r="C69" i="60"/>
  <c r="C65" i="60"/>
  <c r="C61" i="60"/>
  <c r="I73" i="60"/>
  <c r="I69" i="60"/>
  <c r="I65" i="60"/>
  <c r="I61" i="60"/>
  <c r="O73" i="60"/>
  <c r="O69" i="60"/>
  <c r="O65" i="60"/>
  <c r="O61" i="60"/>
  <c r="V73" i="60"/>
  <c r="V69" i="60"/>
  <c r="V65" i="60"/>
  <c r="V61" i="60"/>
  <c r="D92" i="60"/>
  <c r="D88" i="60"/>
  <c r="C90" i="60"/>
  <c r="J92" i="60"/>
  <c r="J88" i="60"/>
  <c r="I90" i="60"/>
  <c r="P90" i="60"/>
  <c r="V91" i="60"/>
  <c r="V89" i="60"/>
  <c r="U92" i="60"/>
  <c r="U88" i="60"/>
  <c r="BU1" i="60"/>
  <c r="AW80" i="60"/>
  <c r="BU53" i="60"/>
  <c r="AW1" i="60"/>
  <c r="D71" i="60"/>
  <c r="D63" i="60"/>
  <c r="J73" i="60"/>
  <c r="J69" i="60"/>
  <c r="J65" i="60"/>
  <c r="J61" i="60"/>
  <c r="P73" i="60"/>
  <c r="P69" i="60"/>
  <c r="P65" i="60"/>
  <c r="P61" i="60"/>
  <c r="J91" i="60"/>
  <c r="J89" i="60"/>
  <c r="I92" i="60"/>
  <c r="I88" i="60"/>
  <c r="P92" i="60"/>
  <c r="P88" i="60"/>
  <c r="O90" i="60"/>
  <c r="BU80" i="60"/>
  <c r="AW53" i="60"/>
  <c r="D73" i="60"/>
  <c r="D69" i="60"/>
  <c r="D65" i="60"/>
  <c r="D61" i="60"/>
  <c r="J74" i="60"/>
  <c r="J72" i="60"/>
  <c r="J70" i="60"/>
  <c r="J68" i="60"/>
  <c r="J66" i="60"/>
  <c r="J64" i="60"/>
  <c r="J62" i="60"/>
  <c r="P74" i="60"/>
  <c r="P72" i="60"/>
  <c r="P70" i="60"/>
  <c r="P68" i="60"/>
  <c r="P66" i="60"/>
  <c r="P64" i="60"/>
  <c r="P62" i="60"/>
  <c r="D91" i="60"/>
  <c r="D89" i="60"/>
  <c r="C92" i="60"/>
  <c r="C88" i="60"/>
  <c r="P91" i="60"/>
  <c r="P89" i="60"/>
  <c r="O92" i="60"/>
  <c r="O88" i="60"/>
  <c r="U91" i="60"/>
  <c r="U89" i="60"/>
  <c r="O91" i="60"/>
  <c r="O89" i="60"/>
  <c r="I91" i="60"/>
  <c r="I89" i="60"/>
  <c r="C91" i="60"/>
  <c r="C89" i="60"/>
  <c r="V74" i="60"/>
  <c r="V72" i="60"/>
  <c r="V70" i="60"/>
  <c r="V68" i="60"/>
  <c r="V66" i="60"/>
  <c r="V64" i="60"/>
  <c r="V62" i="60"/>
  <c r="O74" i="60"/>
  <c r="O72" i="60"/>
  <c r="O70" i="60"/>
  <c r="O68" i="60"/>
  <c r="O66" i="60"/>
  <c r="O64" i="60"/>
  <c r="O62" i="60"/>
  <c r="I74" i="60"/>
  <c r="I72" i="60"/>
  <c r="I70" i="60"/>
  <c r="I68" i="60"/>
  <c r="I66" i="60"/>
  <c r="I64" i="60"/>
  <c r="I62" i="60"/>
  <c r="C74" i="60"/>
  <c r="C72" i="60"/>
  <c r="C70" i="60"/>
  <c r="C68" i="60"/>
  <c r="C66" i="60"/>
  <c r="C64" i="60"/>
  <c r="C62" i="60"/>
  <c r="D74" i="60"/>
  <c r="D72" i="60"/>
  <c r="D70" i="60"/>
  <c r="D68" i="60"/>
  <c r="D66" i="60"/>
  <c r="D64" i="60"/>
  <c r="D62" i="60"/>
  <c r="X58" i="60"/>
  <c r="W58" i="60"/>
  <c r="E67" i="60"/>
  <c r="E75" i="60"/>
  <c r="E63" i="60"/>
  <c r="E71" i="60"/>
  <c r="E73" i="60"/>
  <c r="E69" i="60"/>
  <c r="E65" i="60"/>
  <c r="E61" i="60"/>
  <c r="K60" i="60"/>
  <c r="W60" i="60"/>
  <c r="K68" i="60"/>
  <c r="W68" i="60"/>
  <c r="E90" i="60"/>
  <c r="K64" i="60"/>
  <c r="K72" i="60"/>
  <c r="W64" i="60"/>
  <c r="W72" i="60"/>
  <c r="E92" i="60"/>
  <c r="E88" i="60"/>
  <c r="K87" i="60"/>
  <c r="K91" i="60"/>
  <c r="Q87" i="60"/>
  <c r="Q91" i="60"/>
  <c r="W87" i="60"/>
  <c r="W91" i="60"/>
  <c r="K89" i="60"/>
  <c r="Q89" i="60"/>
  <c r="W89" i="60"/>
  <c r="W88" i="60"/>
  <c r="W90" i="60"/>
  <c r="Q88" i="60"/>
  <c r="Q90" i="60"/>
  <c r="K88" i="60"/>
  <c r="K90" i="60"/>
  <c r="E91" i="60"/>
  <c r="E89" i="60"/>
  <c r="K62" i="60"/>
  <c r="K66" i="60"/>
  <c r="K70" i="60"/>
  <c r="K74" i="60"/>
  <c r="Q60" i="60"/>
  <c r="Q64" i="60"/>
  <c r="Q68" i="60"/>
  <c r="Q72" i="60"/>
  <c r="W62" i="60"/>
  <c r="W66" i="60"/>
  <c r="W70" i="60"/>
  <c r="W74" i="60"/>
  <c r="Q62" i="60"/>
  <c r="Q66" i="60"/>
  <c r="Q70" i="60"/>
  <c r="Q74" i="60"/>
  <c r="U61" i="60"/>
  <c r="U63" i="60"/>
  <c r="U65" i="60"/>
  <c r="U67" i="60"/>
  <c r="U69" i="60"/>
  <c r="U71" i="60"/>
  <c r="U73" i="60"/>
  <c r="U75" i="60"/>
  <c r="U60" i="60"/>
  <c r="U62" i="60"/>
  <c r="U64" i="60"/>
  <c r="U66" i="60"/>
  <c r="U68" i="60"/>
  <c r="U70" i="60"/>
  <c r="U72" i="60"/>
  <c r="W61" i="60"/>
  <c r="W63" i="60"/>
  <c r="W65" i="60"/>
  <c r="W67" i="60"/>
  <c r="W69" i="60"/>
  <c r="W71" i="60"/>
  <c r="W73" i="60"/>
  <c r="Q61" i="60"/>
  <c r="Q63" i="60"/>
  <c r="Q65" i="60"/>
  <c r="Q67" i="60"/>
  <c r="Q69" i="60"/>
  <c r="Q71" i="60"/>
  <c r="Q73" i="60"/>
  <c r="K61" i="60"/>
  <c r="K63" i="60"/>
  <c r="K65" i="60"/>
  <c r="K67" i="60"/>
  <c r="K69" i="60"/>
  <c r="K71" i="60"/>
  <c r="K73" i="60"/>
  <c r="E74" i="60"/>
  <c r="E72" i="60"/>
  <c r="E70" i="60"/>
  <c r="E68" i="60"/>
  <c r="E66" i="60"/>
  <c r="E64" i="60"/>
  <c r="E62" i="60"/>
  <c r="CZ64" i="60" l="1"/>
  <c r="CZ68" i="60"/>
  <c r="AR72" i="60"/>
  <c r="DL64" i="60"/>
  <c r="R60" i="60"/>
  <c r="R75" i="60"/>
  <c r="R72" i="60"/>
  <c r="R73" i="60"/>
  <c r="R71" i="60"/>
  <c r="BT90" i="60"/>
  <c r="R66" i="60"/>
  <c r="BT89" i="60"/>
  <c r="R64" i="60"/>
  <c r="R63" i="60"/>
  <c r="BT87" i="60"/>
  <c r="BT88" i="60"/>
  <c r="R65" i="60"/>
  <c r="R62" i="60"/>
  <c r="R61" i="60"/>
  <c r="R70" i="60"/>
  <c r="R69" i="60"/>
  <c r="R68" i="60"/>
  <c r="R67" i="60"/>
  <c r="BT92" i="60"/>
  <c r="BZ60" i="60"/>
  <c r="X90" i="60"/>
  <c r="X88" i="60"/>
  <c r="CZ60" i="60"/>
  <c r="DL60" i="60"/>
  <c r="CF88" i="60"/>
  <c r="AD89" i="60"/>
  <c r="BZ71" i="60"/>
  <c r="CF89" i="60"/>
  <c r="AD87" i="60"/>
  <c r="CF87" i="60"/>
  <c r="CL72" i="60"/>
  <c r="AD90" i="60"/>
  <c r="CF92" i="60"/>
  <c r="AD88" i="60"/>
  <c r="AD91" i="60"/>
  <c r="CF90" i="60"/>
  <c r="AJ64" i="60"/>
  <c r="AJ61" i="60"/>
  <c r="BZ63" i="60"/>
  <c r="CL70" i="60"/>
  <c r="BZ74" i="60"/>
  <c r="BZ61" i="60"/>
  <c r="CL62" i="60"/>
  <c r="BZ72" i="60"/>
  <c r="X87" i="60"/>
  <c r="CL73" i="60"/>
  <c r="BZ68" i="60"/>
  <c r="X89" i="60"/>
  <c r="AJ72" i="60"/>
  <c r="BZ73" i="60"/>
  <c r="BZ70" i="60"/>
  <c r="AJ69" i="60"/>
  <c r="CL71" i="60"/>
  <c r="BZ69" i="60"/>
  <c r="BZ66" i="60"/>
  <c r="AJ60" i="60"/>
  <c r="CL63" i="60"/>
  <c r="BZ67" i="60"/>
  <c r="BZ64" i="60"/>
  <c r="AJ65" i="60"/>
  <c r="X92" i="60"/>
  <c r="AJ63" i="60"/>
  <c r="BZ65" i="60"/>
  <c r="CL74" i="60"/>
  <c r="BZ62" i="60"/>
  <c r="BH67" i="60"/>
  <c r="DP62" i="60"/>
  <c r="BH65" i="60"/>
  <c r="BH61" i="60"/>
  <c r="BH72" i="60"/>
  <c r="DP64" i="60"/>
  <c r="BH70" i="60"/>
  <c r="DP71" i="60"/>
  <c r="BH66" i="60"/>
  <c r="DP69" i="60"/>
  <c r="DJ90" i="60"/>
  <c r="BN65" i="60"/>
  <c r="AP91" i="60"/>
  <c r="AP87" i="60"/>
  <c r="BN68" i="60"/>
  <c r="BN64" i="60"/>
  <c r="BN61" i="60"/>
  <c r="BH68" i="60"/>
  <c r="BN62" i="60"/>
  <c r="BH63" i="60"/>
  <c r="DP60" i="60"/>
  <c r="DP67" i="60"/>
  <c r="CX62" i="60"/>
  <c r="AP88" i="60"/>
  <c r="BH75" i="60"/>
  <c r="DP72" i="60"/>
  <c r="DP63" i="60"/>
  <c r="BN60" i="60"/>
  <c r="DP65" i="60"/>
  <c r="CX60" i="60"/>
  <c r="DP70" i="60"/>
  <c r="DP61" i="60"/>
  <c r="BN63" i="60"/>
  <c r="BH62" i="60"/>
  <c r="BH73" i="60"/>
  <c r="BH60" i="60"/>
  <c r="BH71" i="60"/>
  <c r="DP68" i="60"/>
  <c r="CX69" i="60"/>
  <c r="DP75" i="60"/>
  <c r="BH64" i="60"/>
  <c r="BN69" i="60"/>
  <c r="BH69" i="60"/>
  <c r="DP66" i="60"/>
  <c r="CX67" i="60"/>
  <c r="DP73" i="60"/>
  <c r="BB87" i="60"/>
  <c r="CX73" i="60"/>
  <c r="DJ89" i="60"/>
  <c r="CX66" i="60"/>
  <c r="AJ62" i="60"/>
  <c r="AP89" i="60"/>
  <c r="AJ67" i="60"/>
  <c r="BN67" i="60"/>
  <c r="BN66" i="60"/>
  <c r="CL61" i="60"/>
  <c r="CL60" i="60"/>
  <c r="CX71" i="60"/>
  <c r="DJ87" i="60"/>
  <c r="CX64" i="60"/>
  <c r="BB90" i="60"/>
  <c r="BB88" i="60"/>
  <c r="AJ70" i="60"/>
  <c r="AJ75" i="60"/>
  <c r="BN74" i="60"/>
  <c r="CL69" i="60"/>
  <c r="CL68" i="60"/>
  <c r="CX63" i="60"/>
  <c r="CX72" i="60"/>
  <c r="CX65" i="60"/>
  <c r="AJ68" i="60"/>
  <c r="AJ73" i="60"/>
  <c r="BN73" i="60"/>
  <c r="BB91" i="60"/>
  <c r="BN72" i="60"/>
  <c r="CL67" i="60"/>
  <c r="CL66" i="60"/>
  <c r="CX61" i="60"/>
  <c r="CX70" i="60"/>
  <c r="DJ88" i="60"/>
  <c r="CX74" i="60"/>
  <c r="AP90" i="60"/>
  <c r="AJ66" i="60"/>
  <c r="AJ71" i="60"/>
  <c r="BN71" i="60"/>
  <c r="BB89" i="60"/>
  <c r="BN70" i="60"/>
  <c r="CL65" i="60"/>
  <c r="CL64" i="60"/>
  <c r="DJ91" i="60"/>
  <c r="CX68" i="60"/>
  <c r="L88" i="60"/>
  <c r="AV72" i="60"/>
  <c r="AD73" i="60"/>
  <c r="AD68" i="60"/>
  <c r="AD67" i="60"/>
  <c r="AV73" i="60"/>
  <c r="AD60" i="60"/>
  <c r="AD65" i="60"/>
  <c r="AD63" i="60"/>
  <c r="AD74" i="60"/>
  <c r="AV60" i="60"/>
  <c r="AD71" i="60"/>
  <c r="AD69" i="60"/>
  <c r="AD62" i="60"/>
  <c r="AD61" i="60"/>
  <c r="AD72" i="60"/>
  <c r="CL89" i="60"/>
  <c r="AD64" i="60"/>
  <c r="AD70" i="60"/>
  <c r="CL87" i="60"/>
  <c r="L90" i="60"/>
  <c r="F88" i="60"/>
  <c r="F91" i="60"/>
  <c r="L92" i="60"/>
  <c r="F90" i="60"/>
  <c r="CR90" i="60"/>
  <c r="F89" i="60"/>
  <c r="F92" i="60"/>
  <c r="CR88" i="60"/>
  <c r="L89" i="60"/>
  <c r="L87" i="60"/>
  <c r="CR92" i="60"/>
  <c r="L68" i="60"/>
  <c r="L65" i="60"/>
  <c r="F66" i="60"/>
  <c r="L66" i="60"/>
  <c r="L67" i="60"/>
  <c r="BB72" i="60"/>
  <c r="AP67" i="60"/>
  <c r="CR67" i="60"/>
  <c r="AV75" i="60"/>
  <c r="AD66" i="60"/>
  <c r="CR65" i="60"/>
  <c r="AP71" i="60"/>
  <c r="AV71" i="60"/>
  <c r="BB70" i="60"/>
  <c r="CR64" i="60"/>
  <c r="CR62" i="60"/>
  <c r="AP72" i="60"/>
  <c r="AP70" i="60"/>
  <c r="CR66" i="60"/>
  <c r="AP66" i="60"/>
  <c r="BB73" i="60"/>
  <c r="AP73" i="60"/>
  <c r="BB61" i="60"/>
  <c r="BB74" i="60"/>
  <c r="CR69" i="60"/>
  <c r="AP69" i="60"/>
  <c r="AP68" i="60"/>
  <c r="AP65" i="60"/>
  <c r="AP63" i="60"/>
  <c r="AP62" i="60"/>
  <c r="CF66" i="60"/>
  <c r="CF65" i="60"/>
  <c r="AP61" i="60"/>
  <c r="AP60" i="60"/>
  <c r="CF63" i="60"/>
  <c r="CF70" i="60"/>
  <c r="AP64" i="60"/>
  <c r="CF68" i="60"/>
  <c r="AP74" i="60"/>
  <c r="CF61" i="60"/>
  <c r="AJ89" i="60"/>
  <c r="AJ88" i="60"/>
  <c r="BB69" i="60"/>
  <c r="BB66" i="60"/>
  <c r="CF62" i="60"/>
  <c r="CR61" i="60"/>
  <c r="CF73" i="60"/>
  <c r="CX88" i="60"/>
  <c r="CX89" i="60"/>
  <c r="BZ88" i="60"/>
  <c r="AJ87" i="60"/>
  <c r="BB67" i="60"/>
  <c r="BB64" i="60"/>
  <c r="CR89" i="60"/>
  <c r="CR72" i="60"/>
  <c r="CF60" i="60"/>
  <c r="BZ87" i="60"/>
  <c r="CR75" i="60"/>
  <c r="CF71" i="60"/>
  <c r="CX87" i="60"/>
  <c r="BZ90" i="60"/>
  <c r="BB71" i="60"/>
  <c r="BB68" i="60"/>
  <c r="CR60" i="60"/>
  <c r="CF64" i="60"/>
  <c r="CR63" i="60"/>
  <c r="CF75" i="60"/>
  <c r="CX90" i="60"/>
  <c r="BB65" i="60"/>
  <c r="BB62" i="60"/>
  <c r="CR87" i="60"/>
  <c r="CR70" i="60"/>
  <c r="CR73" i="60"/>
  <c r="CF69" i="60"/>
  <c r="AJ90" i="60"/>
  <c r="CX91" i="60"/>
  <c r="BB63" i="60"/>
  <c r="BB60" i="60"/>
  <c r="CR68" i="60"/>
  <c r="CF72" i="60"/>
  <c r="CR71" i="60"/>
  <c r="CF67" i="60"/>
  <c r="AA85" i="60"/>
  <c r="AG85" i="60" s="1"/>
  <c r="AM85" i="60" s="1"/>
  <c r="AS85" i="60" s="1"/>
  <c r="AA58" i="60"/>
  <c r="AG58" i="60" s="1"/>
  <c r="AM58" i="60" s="1"/>
  <c r="AS58" i="60" s="1"/>
  <c r="BW85" i="60"/>
  <c r="CC85" i="60" s="1"/>
  <c r="CI85" i="60" s="1"/>
  <c r="CO85" i="60" s="1"/>
  <c r="DD64" i="60"/>
  <c r="DD73" i="60"/>
  <c r="DD62" i="60"/>
  <c r="DD71" i="60"/>
  <c r="BH89" i="60"/>
  <c r="DD60" i="60"/>
  <c r="DD69" i="60"/>
  <c r="X62" i="60"/>
  <c r="L60" i="60"/>
  <c r="L75" i="60"/>
  <c r="X60" i="60"/>
  <c r="X73" i="60"/>
  <c r="F69" i="60"/>
  <c r="F75" i="60"/>
  <c r="AV68" i="60"/>
  <c r="AV88" i="60"/>
  <c r="AJ92" i="60"/>
  <c r="AV67" i="60"/>
  <c r="BH92" i="60"/>
  <c r="CL88" i="60"/>
  <c r="DD72" i="60"/>
  <c r="DD65" i="60"/>
  <c r="L64" i="60"/>
  <c r="L63" i="60"/>
  <c r="X68" i="60"/>
  <c r="L61" i="60"/>
  <c r="AV69" i="60"/>
  <c r="DD67" i="60"/>
  <c r="AV89" i="60"/>
  <c r="DD70" i="60"/>
  <c r="DD63" i="60"/>
  <c r="AV66" i="60"/>
  <c r="AV65" i="60"/>
  <c r="BH90" i="60"/>
  <c r="L72" i="60"/>
  <c r="L71" i="60"/>
  <c r="X65" i="60"/>
  <c r="F67" i="60"/>
  <c r="AV87" i="60"/>
  <c r="AV64" i="60"/>
  <c r="AV63" i="60"/>
  <c r="BH88" i="60"/>
  <c r="BZ91" i="60"/>
  <c r="DD68" i="60"/>
  <c r="DD61" i="60"/>
  <c r="AV92" i="60"/>
  <c r="L62" i="60"/>
  <c r="X75" i="60"/>
  <c r="F71" i="60"/>
  <c r="AV70" i="60"/>
  <c r="AV90" i="60"/>
  <c r="BH87" i="60"/>
  <c r="CL90" i="60"/>
  <c r="L73" i="60"/>
  <c r="X71" i="60"/>
  <c r="F73" i="60"/>
  <c r="L70" i="60"/>
  <c r="L69" i="60"/>
  <c r="F64" i="60"/>
  <c r="AV62" i="60"/>
  <c r="AV61" i="60"/>
  <c r="CL91" i="60"/>
  <c r="BZ89" i="60"/>
  <c r="DD66" i="60"/>
  <c r="DD75" i="60"/>
  <c r="BV60" i="60"/>
  <c r="BW58" i="60"/>
  <c r="CC58" i="60" s="1"/>
  <c r="CI58" i="60" s="1"/>
  <c r="CO58" i="60" s="1"/>
  <c r="X72" i="60"/>
  <c r="X69" i="60"/>
  <c r="X70" i="60"/>
  <c r="X67" i="60"/>
  <c r="X66" i="60"/>
  <c r="X63" i="60"/>
  <c r="X64" i="60"/>
  <c r="X61" i="60"/>
  <c r="BN89" i="60"/>
  <c r="F70" i="60"/>
  <c r="DJ67" i="60"/>
  <c r="DJ74" i="60"/>
  <c r="DJ61" i="60"/>
  <c r="BN90" i="60"/>
  <c r="DJ69" i="60"/>
  <c r="DJ70" i="60"/>
  <c r="DJ63" i="60"/>
  <c r="DJ68" i="60"/>
  <c r="DL89" i="60"/>
  <c r="DJ65" i="60"/>
  <c r="DJ72" i="60"/>
  <c r="AX87" i="60"/>
  <c r="R92" i="60"/>
  <c r="DJ66" i="60"/>
  <c r="AR60" i="60"/>
  <c r="BN88" i="60"/>
  <c r="BN87" i="60"/>
  <c r="DJ64" i="60"/>
  <c r="BT69" i="60"/>
  <c r="BD64" i="60"/>
  <c r="BP64" i="60"/>
  <c r="BP70" i="60"/>
  <c r="DJ71" i="60"/>
  <c r="DL72" i="60"/>
  <c r="DJ62" i="60"/>
  <c r="AX60" i="60"/>
  <c r="BD72" i="60"/>
  <c r="DL62" i="60"/>
  <c r="AF68" i="60"/>
  <c r="BD60" i="60"/>
  <c r="BT65" i="60"/>
  <c r="DF64" i="60"/>
  <c r="BT66" i="60"/>
  <c r="BN91" i="60"/>
  <c r="BT61" i="60"/>
  <c r="DJ73" i="60"/>
  <c r="DP92" i="60"/>
  <c r="DJ60" i="60"/>
  <c r="BV68" i="60"/>
  <c r="BT72" i="60"/>
  <c r="DP87" i="60"/>
  <c r="DD87" i="60"/>
  <c r="BT64" i="60"/>
  <c r="BT75" i="60"/>
  <c r="DP90" i="60"/>
  <c r="BT62" i="60"/>
  <c r="BT73" i="60"/>
  <c r="CN89" i="60"/>
  <c r="DP88" i="60"/>
  <c r="DD92" i="60"/>
  <c r="DD88" i="60"/>
  <c r="R87" i="60"/>
  <c r="BT60" i="60"/>
  <c r="BT71" i="60"/>
  <c r="BP60" i="60"/>
  <c r="BD68" i="60"/>
  <c r="DD90" i="60"/>
  <c r="DP89" i="60"/>
  <c r="DD89" i="60"/>
  <c r="BT67" i="60"/>
  <c r="BT70" i="60"/>
  <c r="AF60" i="60"/>
  <c r="BT68" i="60"/>
  <c r="BT63" i="60"/>
  <c r="F68" i="60"/>
  <c r="F72" i="60"/>
  <c r="R90" i="60"/>
  <c r="AF64" i="60"/>
  <c r="BP68" i="60"/>
  <c r="F74" i="60"/>
  <c r="R88" i="60"/>
  <c r="F61" i="60"/>
  <c r="BV72" i="60"/>
  <c r="F62" i="60"/>
  <c r="R89" i="60"/>
  <c r="F65" i="60"/>
  <c r="F63" i="60"/>
  <c r="BV64" i="60"/>
  <c r="DF62" i="60"/>
  <c r="AY58" i="60"/>
  <c r="BE58" i="60" s="1"/>
  <c r="BK58" i="60" s="1"/>
  <c r="BQ58" i="60" s="1"/>
  <c r="AY85" i="60"/>
  <c r="BE85" i="60" s="1"/>
  <c r="BK85" i="60" s="1"/>
  <c r="BQ85" i="60" s="1"/>
  <c r="CT83" i="60"/>
  <c r="CT56" i="60"/>
  <c r="BV83" i="60"/>
  <c r="BV56" i="60"/>
  <c r="AX83" i="60"/>
  <c r="AX56" i="60"/>
  <c r="Z83" i="60"/>
  <c r="Z56" i="60"/>
  <c r="CZ83" i="60"/>
  <c r="CZ56" i="60"/>
  <c r="CB83" i="60"/>
  <c r="CB56" i="60"/>
  <c r="BD83" i="60"/>
  <c r="BD56" i="60"/>
  <c r="AF83" i="60"/>
  <c r="AF56" i="60"/>
  <c r="DF83" i="60"/>
  <c r="DF56" i="60"/>
  <c r="CH83" i="60"/>
  <c r="CH56" i="60"/>
  <c r="BJ83" i="60"/>
  <c r="BJ56" i="60"/>
  <c r="AL83" i="60"/>
  <c r="AL56" i="60"/>
  <c r="DL83" i="60"/>
  <c r="DL56" i="60"/>
  <c r="CN83" i="60"/>
  <c r="CN56" i="60"/>
  <c r="BP83" i="60"/>
  <c r="BP56" i="60"/>
  <c r="AR83" i="60"/>
  <c r="AR56" i="60"/>
  <c r="CZ89" i="60"/>
  <c r="CZ70" i="60"/>
  <c r="DF60" i="60"/>
  <c r="BJ89" i="60"/>
  <c r="DL70" i="60"/>
  <c r="CZ62" i="60"/>
  <c r="AX89" i="60"/>
  <c r="Z89" i="60"/>
  <c r="BJ87" i="60"/>
  <c r="CH87" i="60"/>
  <c r="BP72" i="60"/>
  <c r="BP87" i="60"/>
  <c r="DL91" i="60"/>
  <c r="AX64" i="60"/>
  <c r="BV89" i="60"/>
  <c r="AX62" i="60"/>
  <c r="CN87" i="60"/>
  <c r="BP91" i="60"/>
  <c r="AR64" i="60"/>
  <c r="DL87" i="60"/>
  <c r="CZ74" i="60"/>
  <c r="CZ66" i="60"/>
  <c r="DL66" i="60"/>
  <c r="CH89" i="60"/>
  <c r="AR87" i="60"/>
  <c r="DL74" i="60"/>
  <c r="DF72" i="60"/>
  <c r="DF68" i="60"/>
  <c r="AR68" i="60"/>
  <c r="AF72" i="60"/>
  <c r="BD87" i="60"/>
  <c r="DL88" i="60"/>
  <c r="DF87" i="60"/>
  <c r="CZ88" i="60"/>
  <c r="CT87" i="60"/>
  <c r="DL73" i="60"/>
  <c r="DL69" i="60"/>
  <c r="DL65" i="60"/>
  <c r="DL61" i="60"/>
  <c r="DF70" i="60"/>
  <c r="DF66" i="60"/>
  <c r="CZ73" i="60"/>
  <c r="CZ69" i="60"/>
  <c r="CZ65" i="60"/>
  <c r="CZ61" i="60"/>
  <c r="CT72" i="60"/>
  <c r="CT68" i="60"/>
  <c r="CT64" i="60"/>
  <c r="CT60" i="60"/>
  <c r="DF92" i="60"/>
  <c r="DF88" i="60"/>
  <c r="CT92" i="60"/>
  <c r="CT88" i="60"/>
  <c r="DF75" i="60"/>
  <c r="DF71" i="60"/>
  <c r="DF67" i="60"/>
  <c r="DF63" i="60"/>
  <c r="CT75" i="60"/>
  <c r="CT71" i="60"/>
  <c r="CT67" i="60"/>
  <c r="CT63" i="60"/>
  <c r="DL90" i="60"/>
  <c r="DF89" i="60"/>
  <c r="CZ90" i="60"/>
  <c r="CT89" i="60"/>
  <c r="DL71" i="60"/>
  <c r="DL67" i="60"/>
  <c r="DL63" i="60"/>
  <c r="CZ71" i="60"/>
  <c r="CZ67" i="60"/>
  <c r="CZ63" i="60"/>
  <c r="CT70" i="60"/>
  <c r="CT66" i="60"/>
  <c r="CT62" i="60"/>
  <c r="DF90" i="60"/>
  <c r="CT90" i="60"/>
  <c r="DF73" i="60"/>
  <c r="DF69" i="60"/>
  <c r="DF65" i="60"/>
  <c r="DF61" i="60"/>
  <c r="CT73" i="60"/>
  <c r="CT69" i="60"/>
  <c r="CT65" i="60"/>
  <c r="CT61" i="60"/>
  <c r="CH88" i="60"/>
  <c r="BV88" i="60"/>
  <c r="CH71" i="60"/>
  <c r="CH67" i="60"/>
  <c r="CH63" i="60"/>
  <c r="BV71" i="60"/>
  <c r="BV67" i="60"/>
  <c r="CH70" i="60"/>
  <c r="CH62" i="60"/>
  <c r="BV87" i="60"/>
  <c r="CH68" i="60"/>
  <c r="CH60" i="60"/>
  <c r="BV74" i="60"/>
  <c r="BV66" i="60"/>
  <c r="CH74" i="60"/>
  <c r="CH66" i="60"/>
  <c r="CN91" i="60"/>
  <c r="BV91" i="60"/>
  <c r="CH72" i="60"/>
  <c r="CH64" i="60"/>
  <c r="BV70" i="60"/>
  <c r="BV62" i="60"/>
  <c r="CN90" i="60"/>
  <c r="CB90" i="60"/>
  <c r="CN71" i="60"/>
  <c r="CN67" i="60"/>
  <c r="CN63" i="60"/>
  <c r="CB71" i="60"/>
  <c r="CB67" i="60"/>
  <c r="CB63" i="60"/>
  <c r="CB91" i="60"/>
  <c r="CB87" i="60"/>
  <c r="CN74" i="60"/>
  <c r="CN70" i="60"/>
  <c r="CN66" i="60"/>
  <c r="CN62" i="60"/>
  <c r="CB74" i="60"/>
  <c r="CB70" i="60"/>
  <c r="CB66" i="60"/>
  <c r="CB62" i="60"/>
  <c r="BV63" i="60"/>
  <c r="CN88" i="60"/>
  <c r="CB88" i="60"/>
  <c r="CN73" i="60"/>
  <c r="CN69" i="60"/>
  <c r="CN65" i="60"/>
  <c r="CN61" i="60"/>
  <c r="CB73" i="60"/>
  <c r="CB69" i="60"/>
  <c r="CB65" i="60"/>
  <c r="CB61" i="60"/>
  <c r="CH90" i="60"/>
  <c r="CB89" i="60"/>
  <c r="BV90" i="60"/>
  <c r="CN72" i="60"/>
  <c r="CN68" i="60"/>
  <c r="CN64" i="60"/>
  <c r="CN60" i="60"/>
  <c r="CH73" i="60"/>
  <c r="CH69" i="60"/>
  <c r="CH65" i="60"/>
  <c r="CH61" i="60"/>
  <c r="CB72" i="60"/>
  <c r="CB68" i="60"/>
  <c r="CB64" i="60"/>
  <c r="CB60" i="60"/>
  <c r="BV73" i="60"/>
  <c r="BV69" i="60"/>
  <c r="BV65" i="60"/>
  <c r="BV61" i="60"/>
  <c r="AF91" i="60"/>
  <c r="BD70" i="60"/>
  <c r="BD62" i="60"/>
  <c r="BP89" i="60"/>
  <c r="BP66" i="60"/>
  <c r="BD74" i="60"/>
  <c r="BD66" i="60"/>
  <c r="BP62" i="60"/>
  <c r="BP88" i="60"/>
  <c r="BD88" i="60"/>
  <c r="BP73" i="60"/>
  <c r="BP69" i="60"/>
  <c r="BP65" i="60"/>
  <c r="BP61" i="60"/>
  <c r="BJ72" i="60"/>
  <c r="BJ68" i="60"/>
  <c r="BJ64" i="60"/>
  <c r="BJ60" i="60"/>
  <c r="BD73" i="60"/>
  <c r="BD69" i="60"/>
  <c r="BD65" i="60"/>
  <c r="BD61" i="60"/>
  <c r="AX72" i="60"/>
  <c r="AX68" i="60"/>
  <c r="BJ88" i="60"/>
  <c r="BD89" i="60"/>
  <c r="AX88" i="60"/>
  <c r="BJ75" i="60"/>
  <c r="BJ71" i="60"/>
  <c r="BJ67" i="60"/>
  <c r="BJ63" i="60"/>
  <c r="AX75" i="60"/>
  <c r="AX71" i="60"/>
  <c r="AX67" i="60"/>
  <c r="AX63" i="60"/>
  <c r="BP90" i="60"/>
  <c r="BD90" i="60"/>
  <c r="BP71" i="60"/>
  <c r="BP67" i="60"/>
  <c r="BP63" i="60"/>
  <c r="BJ70" i="60"/>
  <c r="BJ66" i="60"/>
  <c r="BJ62" i="60"/>
  <c r="BD71" i="60"/>
  <c r="BD67" i="60"/>
  <c r="BD63" i="60"/>
  <c r="AX70" i="60"/>
  <c r="AX66" i="60"/>
  <c r="BJ90" i="60"/>
  <c r="BD91" i="60"/>
  <c r="AX90" i="60"/>
  <c r="BP74" i="60"/>
  <c r="BJ73" i="60"/>
  <c r="BJ69" i="60"/>
  <c r="BJ65" i="60"/>
  <c r="BJ61" i="60"/>
  <c r="AX73" i="60"/>
  <c r="AX69" i="60"/>
  <c r="AX65" i="60"/>
  <c r="AX61" i="60"/>
  <c r="AR74" i="60"/>
  <c r="AF89" i="60"/>
  <c r="AR91" i="60"/>
  <c r="AF87" i="60"/>
  <c r="Z87" i="60"/>
  <c r="AF70" i="60"/>
  <c r="AF62" i="60"/>
  <c r="AR66" i="60"/>
  <c r="AF74" i="60"/>
  <c r="AF66" i="60"/>
  <c r="AR89" i="60"/>
  <c r="AR70" i="60"/>
  <c r="AR62" i="60"/>
  <c r="AR88" i="60"/>
  <c r="AL87" i="60"/>
  <c r="AF88" i="60"/>
  <c r="AR71" i="60"/>
  <c r="AR67" i="60"/>
  <c r="AR63" i="60"/>
  <c r="AL70" i="60"/>
  <c r="AL66" i="60"/>
  <c r="AL62" i="60"/>
  <c r="AF71" i="60"/>
  <c r="AF67" i="60"/>
  <c r="AF63" i="60"/>
  <c r="Z70" i="60"/>
  <c r="Z66" i="60"/>
  <c r="Z62" i="60"/>
  <c r="AL90" i="60"/>
  <c r="Z92" i="60"/>
  <c r="Z88" i="60"/>
  <c r="AL73" i="60"/>
  <c r="AL69" i="60"/>
  <c r="AL65" i="60"/>
  <c r="AL61" i="60"/>
  <c r="Z73" i="60"/>
  <c r="Z69" i="60"/>
  <c r="Z65" i="60"/>
  <c r="Z61" i="60"/>
  <c r="AR90" i="60"/>
  <c r="AL89" i="60"/>
  <c r="AF90" i="60"/>
  <c r="AR73" i="60"/>
  <c r="AR69" i="60"/>
  <c r="AR65" i="60"/>
  <c r="AR61" i="60"/>
  <c r="AL72" i="60"/>
  <c r="AL68" i="60"/>
  <c r="AL64" i="60"/>
  <c r="AL60" i="60"/>
  <c r="AF73" i="60"/>
  <c r="AF69" i="60"/>
  <c r="AF65" i="60"/>
  <c r="AF61" i="60"/>
  <c r="Z72" i="60"/>
  <c r="Z68" i="60"/>
  <c r="Z64" i="60"/>
  <c r="Z60" i="60"/>
  <c r="AL92" i="60"/>
  <c r="AL88" i="60"/>
  <c r="Z90" i="60"/>
  <c r="AL75" i="60"/>
  <c r="AL71" i="60"/>
  <c r="AL67" i="60"/>
  <c r="AL63" i="60"/>
  <c r="Z75" i="60"/>
  <c r="Z71" i="60"/>
  <c r="Z67" i="60"/>
  <c r="Z63" i="60"/>
  <c r="A85" i="52" l="1"/>
  <c r="A43" i="52" l="1"/>
  <c r="I40" i="49" l="1"/>
  <c r="I29" i="49"/>
  <c r="I18" i="49"/>
  <c r="I23" i="49"/>
  <c r="I34" i="49" s="1"/>
  <c r="I45" i="49" s="1"/>
  <c r="I56" i="49" s="1"/>
  <c r="I67" i="49" s="1"/>
  <c r="I78" i="49" s="1"/>
  <c r="I89" i="49" s="1"/>
  <c r="I100" i="49" s="1"/>
  <c r="I111" i="49" s="1"/>
  <c r="I20" i="49"/>
  <c r="I31" i="49" s="1"/>
  <c r="I42" i="49" s="1"/>
  <c r="I53" i="49" s="1"/>
  <c r="I64" i="49" s="1"/>
  <c r="I75" i="49" s="1"/>
  <c r="I86" i="49" s="1"/>
  <c r="I97" i="49" s="1"/>
  <c r="I108" i="49" s="1"/>
  <c r="I21" i="49"/>
  <c r="I32" i="49" s="1"/>
  <c r="I43" i="49" s="1"/>
  <c r="I54" i="49" s="1"/>
  <c r="I65" i="49" s="1"/>
  <c r="I76" i="49" s="1"/>
  <c r="I87" i="49" s="1"/>
  <c r="I98" i="49" s="1"/>
  <c r="I109" i="49" s="1"/>
  <c r="I22" i="49"/>
  <c r="I33" i="49" s="1"/>
  <c r="I44" i="49" s="1"/>
  <c r="I55" i="49" s="1"/>
  <c r="I66" i="49" s="1"/>
  <c r="I77" i="49" s="1"/>
  <c r="I88" i="49" s="1"/>
  <c r="I99" i="49" s="1"/>
  <c r="I110" i="49" s="1"/>
  <c r="I19" i="49"/>
  <c r="I30" i="49" s="1"/>
  <c r="I41" i="49" s="1"/>
  <c r="I52" i="49" s="1"/>
  <c r="I63" i="49" s="1"/>
  <c r="I74" i="49" s="1"/>
  <c r="I85" i="49" s="1"/>
  <c r="I96" i="49" s="1"/>
  <c r="I107" i="49" s="1"/>
  <c r="K6" i="49"/>
  <c r="Z6" i="49" s="1"/>
  <c r="L6" i="49"/>
  <c r="AA6" i="49" s="1"/>
  <c r="M6" i="49"/>
  <c r="AB6" i="49" s="1"/>
  <c r="N6" i="49"/>
  <c r="AC6" i="49" s="1"/>
  <c r="J6" i="49"/>
  <c r="Y6" i="49" s="1"/>
  <c r="D95" i="49" l="1"/>
  <c r="D96" i="49"/>
  <c r="D97" i="49"/>
  <c r="D99" i="49"/>
  <c r="D100" i="49"/>
  <c r="D101" i="49"/>
  <c r="D102" i="49"/>
  <c r="D105" i="49"/>
  <c r="D106" i="49"/>
  <c r="D107" i="49"/>
  <c r="D108" i="49"/>
  <c r="D110" i="49"/>
  <c r="D111" i="49"/>
  <c r="D114" i="49"/>
  <c r="D115" i="49"/>
  <c r="D118" i="49"/>
  <c r="D94" i="49"/>
  <c r="D66" i="49"/>
  <c r="D67" i="49"/>
  <c r="D68" i="49"/>
  <c r="D70" i="49"/>
  <c r="D71" i="49"/>
  <c r="D72" i="49"/>
  <c r="D73" i="49"/>
  <c r="D76" i="49"/>
  <c r="D77" i="49"/>
  <c r="D78" i="49"/>
  <c r="D79" i="49"/>
  <c r="D81" i="49"/>
  <c r="D82" i="49"/>
  <c r="D85" i="49"/>
  <c r="D86" i="49"/>
  <c r="D89" i="49"/>
  <c r="D65" i="49"/>
  <c r="D37" i="49"/>
  <c r="D38" i="49"/>
  <c r="D39" i="49"/>
  <c r="D41" i="49"/>
  <c r="D42" i="49"/>
  <c r="D43" i="49"/>
  <c r="D44" i="49"/>
  <c r="D47" i="49"/>
  <c r="D48" i="49"/>
  <c r="D49" i="49"/>
  <c r="D50" i="49"/>
  <c r="D52" i="49"/>
  <c r="D53" i="49"/>
  <c r="D56" i="49"/>
  <c r="D57" i="49"/>
  <c r="D60" i="49"/>
  <c r="D64" i="49"/>
  <c r="F64" i="49"/>
  <c r="D35" i="49"/>
  <c r="F35" i="49"/>
  <c r="A33" i="49"/>
  <c r="D91" i="49" l="1"/>
  <c r="D120" i="49"/>
  <c r="D62" i="49"/>
  <c r="L19" i="49" a="1"/>
  <c r="D31" i="49"/>
  <c r="D7" i="49"/>
  <c r="L30" i="49" a="1"/>
  <c r="L41" i="49" a="1"/>
  <c r="D13" i="49"/>
  <c r="D12" i="49"/>
  <c r="D27" i="49"/>
  <c r="D8" i="49"/>
  <c r="D24" i="49"/>
  <c r="D9" i="49"/>
  <c r="D21" i="49"/>
  <c r="D23" i="49"/>
  <c r="D10" i="49"/>
  <c r="D28" i="49"/>
  <c r="D18" i="49"/>
  <c r="D20" i="49"/>
  <c r="D19" i="49"/>
  <c r="D15" i="49"/>
  <c r="D14" i="49"/>
  <c r="G33" i="49"/>
  <c r="F101" i="49"/>
  <c r="A120" i="49"/>
  <c r="A207" i="49" s="1"/>
  <c r="A294" i="49" s="1"/>
  <c r="F82" i="49"/>
  <c r="F79" i="49"/>
  <c r="F76" i="49"/>
  <c r="F96" i="49"/>
  <c r="F86" i="49"/>
  <c r="F41" i="49"/>
  <c r="F57" i="49"/>
  <c r="F56" i="49"/>
  <c r="F52" i="49"/>
  <c r="F49" i="49"/>
  <c r="F50" i="49"/>
  <c r="F48" i="49"/>
  <c r="F44" i="49"/>
  <c r="F38" i="49"/>
  <c r="F72" i="49"/>
  <c r="F70" i="49"/>
  <c r="F67" i="49"/>
  <c r="F115" i="49"/>
  <c r="F111" i="49"/>
  <c r="F108" i="49"/>
  <c r="F106" i="49"/>
  <c r="F99" i="49"/>
  <c r="F43" i="49"/>
  <c r="F42" i="49"/>
  <c r="F89" i="49"/>
  <c r="F85" i="49"/>
  <c r="F81" i="49"/>
  <c r="F78" i="49"/>
  <c r="F77" i="49"/>
  <c r="F95" i="49"/>
  <c r="F105" i="49"/>
  <c r="F102" i="49"/>
  <c r="F97" i="49"/>
  <c r="F60" i="49"/>
  <c r="F53" i="49"/>
  <c r="F47" i="49"/>
  <c r="F39" i="49"/>
  <c r="F73" i="49"/>
  <c r="F71" i="49"/>
  <c r="F68" i="49"/>
  <c r="F66" i="49"/>
  <c r="F118" i="49"/>
  <c r="F114" i="49"/>
  <c r="F110" i="49"/>
  <c r="F107" i="49"/>
  <c r="F100" i="49"/>
  <c r="A36" i="49"/>
  <c r="A123" i="49" s="1"/>
  <c r="A210" i="49" s="1"/>
  <c r="A94" i="49"/>
  <c r="A181" i="49" s="1"/>
  <c r="A268" i="49" s="1"/>
  <c r="A91" i="49"/>
  <c r="A178" i="49" s="1"/>
  <c r="A265" i="49" s="1"/>
  <c r="A65" i="49"/>
  <c r="A152" i="49" s="1"/>
  <c r="A239" i="49" s="1"/>
  <c r="A62" i="49"/>
  <c r="A149" i="49" s="1"/>
  <c r="A236" i="49" s="1"/>
  <c r="F37" i="49"/>
  <c r="F94" i="49"/>
  <c r="F65" i="49"/>
  <c r="F91" i="49" l="1"/>
  <c r="F120" i="49"/>
  <c r="F31" i="49"/>
  <c r="L42" i="49"/>
  <c r="L48" i="49"/>
  <c r="L41" i="49"/>
  <c r="L45" i="49"/>
  <c r="L49" i="49"/>
  <c r="L43" i="49"/>
  <c r="L47" i="49"/>
  <c r="L46" i="49"/>
  <c r="L44" i="49"/>
  <c r="L30" i="49"/>
  <c r="L37" i="49"/>
  <c r="L36" i="49"/>
  <c r="L32" i="49"/>
  <c r="L31" i="49"/>
  <c r="L38" i="49"/>
  <c r="L35" i="49"/>
  <c r="L34" i="49"/>
  <c r="L33" i="49"/>
  <c r="L8" i="49" a="1"/>
  <c r="F62" i="49"/>
  <c r="N19" i="49" a="1"/>
  <c r="N30" i="49" a="1"/>
  <c r="L20" i="49"/>
  <c r="L22" i="49"/>
  <c r="L21" i="49"/>
  <c r="L26" i="49"/>
  <c r="L23" i="49"/>
  <c r="L25" i="49"/>
  <c r="L19" i="49"/>
  <c r="L24" i="49"/>
  <c r="L27" i="49"/>
  <c r="N41" i="49" a="1"/>
  <c r="D33" i="49"/>
  <c r="F9" i="49"/>
  <c r="F10" i="49"/>
  <c r="F18" i="49"/>
  <c r="F13" i="49"/>
  <c r="F19" i="49"/>
  <c r="F24" i="49"/>
  <c r="F14" i="49"/>
  <c r="F21" i="49"/>
  <c r="F20" i="49"/>
  <c r="F8" i="49"/>
  <c r="F23" i="49"/>
  <c r="F27" i="49"/>
  <c r="F15" i="49"/>
  <c r="F7" i="49"/>
  <c r="F28" i="49"/>
  <c r="F12" i="49"/>
  <c r="N8" i="49" l="1" a="1"/>
  <c r="N12" i="49" s="1"/>
  <c r="N19" i="49"/>
  <c r="N24" i="49"/>
  <c r="N23" i="49"/>
  <c r="N22" i="49"/>
  <c r="N26" i="49"/>
  <c r="N21" i="49"/>
  <c r="N20" i="49"/>
  <c r="N25" i="49"/>
  <c r="N27" i="49"/>
  <c r="N30" i="49"/>
  <c r="N37" i="49"/>
  <c r="N35" i="49"/>
  <c r="N36" i="49"/>
  <c r="N34" i="49"/>
  <c r="N33" i="49"/>
  <c r="N32" i="49"/>
  <c r="N31" i="49"/>
  <c r="N38" i="49"/>
  <c r="L10" i="49"/>
  <c r="L13" i="49"/>
  <c r="L12" i="49"/>
  <c r="L11" i="49"/>
  <c r="L14" i="49"/>
  <c r="L9" i="49"/>
  <c r="L16" i="49"/>
  <c r="L8" i="49"/>
  <c r="L15" i="49"/>
  <c r="N41" i="49"/>
  <c r="N43" i="49"/>
  <c r="N42" i="49"/>
  <c r="N44" i="49"/>
  <c r="N49" i="49"/>
  <c r="N48" i="49"/>
  <c r="N45" i="49"/>
  <c r="N47" i="49"/>
  <c r="N46" i="49"/>
  <c r="F33" i="49"/>
  <c r="N13" i="49" l="1"/>
  <c r="N10" i="49"/>
  <c r="N9" i="49"/>
  <c r="N16" i="49"/>
  <c r="N11" i="49"/>
  <c r="N15" i="49"/>
  <c r="N14" i="49"/>
  <c r="N8" i="49"/>
  <c r="A17" i="52"/>
  <c r="A83" i="52" s="1"/>
  <c r="A16" i="52"/>
  <c r="A70" i="52" s="1"/>
  <c r="A15" i="52"/>
  <c r="A81" i="52" s="1"/>
  <c r="A14" i="52"/>
  <c r="A26" i="52" s="1"/>
  <c r="A13" i="52"/>
  <c r="A79" i="52" s="1"/>
  <c r="A12" i="52"/>
  <c r="A54" i="52" s="1"/>
  <c r="A11" i="52"/>
  <c r="A77" i="52" s="1"/>
  <c r="A10" i="52"/>
  <c r="A52" i="52" s="1"/>
  <c r="A9" i="52"/>
  <c r="A75" i="52" s="1"/>
  <c r="A8" i="52"/>
  <c r="A62" i="52" s="1"/>
  <c r="N88" i="52"/>
  <c r="K88" i="52"/>
  <c r="G88" i="52"/>
  <c r="B4" i="52"/>
  <c r="C88" i="52" s="1"/>
  <c r="D89" i="52"/>
  <c r="P89" i="52" s="1"/>
  <c r="AB89" i="52" s="1"/>
  <c r="AN89" i="52" s="1"/>
  <c r="C89" i="52"/>
  <c r="O89" i="52" s="1"/>
  <c r="AA89" i="52" s="1"/>
  <c r="AM89" i="52" s="1"/>
  <c r="B89" i="52"/>
  <c r="N89" i="52" s="1"/>
  <c r="Z89" i="52" s="1"/>
  <c r="AL89" i="52" s="1"/>
  <c r="D47" i="52"/>
  <c r="P47" i="52" s="1"/>
  <c r="AB47" i="52" s="1"/>
  <c r="AN47" i="52" s="1"/>
  <c r="C47" i="52"/>
  <c r="O47" i="52" s="1"/>
  <c r="AA47" i="52" s="1"/>
  <c r="AM47" i="52" s="1"/>
  <c r="B47" i="52"/>
  <c r="N47" i="52" s="1"/>
  <c r="Z47" i="52" s="1"/>
  <c r="AL47" i="52" s="1"/>
  <c r="P5" i="52"/>
  <c r="AB5" i="52" s="1"/>
  <c r="AN5" i="52" s="1"/>
  <c r="O5" i="52"/>
  <c r="AA5" i="52" s="1"/>
  <c r="AM5" i="52" s="1"/>
  <c r="L5" i="52"/>
  <c r="X5" i="52" s="1"/>
  <c r="AJ5" i="52" s="1"/>
  <c r="K5" i="52"/>
  <c r="W5" i="52" s="1"/>
  <c r="AI5" i="52" s="1"/>
  <c r="J5" i="52"/>
  <c r="V5" i="52" s="1"/>
  <c r="AH5" i="52" s="1"/>
  <c r="H5" i="52"/>
  <c r="T5" i="52" s="1"/>
  <c r="AF5" i="52" s="1"/>
  <c r="G5" i="52"/>
  <c r="S5" i="52" s="1"/>
  <c r="AE5" i="52" s="1"/>
  <c r="F5" i="52"/>
  <c r="R5" i="52" s="1"/>
  <c r="AD5" i="52" s="1"/>
  <c r="A39" i="16"/>
  <c r="F90" i="16"/>
  <c r="E90" i="16"/>
  <c r="D90" i="16"/>
  <c r="C90" i="16"/>
  <c r="B90" i="16"/>
  <c r="F88" i="16"/>
  <c r="E88" i="16"/>
  <c r="D88" i="16"/>
  <c r="C88" i="16"/>
  <c r="B88" i="16"/>
  <c r="F87" i="16"/>
  <c r="E87" i="16"/>
  <c r="D87" i="16"/>
  <c r="C87" i="16"/>
  <c r="B87" i="16"/>
  <c r="F86" i="16"/>
  <c r="E86" i="16"/>
  <c r="D86" i="16"/>
  <c r="C86" i="16"/>
  <c r="F85" i="16"/>
  <c r="E85" i="16"/>
  <c r="D85" i="16"/>
  <c r="C85" i="16"/>
  <c r="B85" i="16"/>
  <c r="F84" i="16"/>
  <c r="E84" i="16"/>
  <c r="D84" i="16"/>
  <c r="C84" i="16"/>
  <c r="B84" i="16"/>
  <c r="F83" i="16"/>
  <c r="E83" i="16"/>
  <c r="D83" i="16"/>
  <c r="C83" i="16"/>
  <c r="B83" i="16"/>
  <c r="F82" i="16"/>
  <c r="E82" i="16"/>
  <c r="C82" i="16"/>
  <c r="B82" i="16"/>
  <c r="F81" i="16"/>
  <c r="E81" i="16"/>
  <c r="D81" i="16"/>
  <c r="C81" i="16"/>
  <c r="B81" i="16"/>
  <c r="F80" i="16"/>
  <c r="E80" i="16"/>
  <c r="D80" i="16"/>
  <c r="C80" i="16"/>
  <c r="A90" i="16"/>
  <c r="A81" i="16"/>
  <c r="A82" i="16"/>
  <c r="A83" i="16"/>
  <c r="A84" i="16"/>
  <c r="A85" i="16"/>
  <c r="A86" i="16"/>
  <c r="A87" i="16"/>
  <c r="A88" i="16"/>
  <c r="A80" i="16"/>
  <c r="C79" i="16"/>
  <c r="D79" i="16"/>
  <c r="E79" i="16"/>
  <c r="F79" i="16"/>
  <c r="B79" i="16"/>
  <c r="Q12" i="11"/>
  <c r="P12" i="11"/>
  <c r="O12" i="11"/>
  <c r="N12" i="11"/>
  <c r="Q10" i="11"/>
  <c r="P10" i="11"/>
  <c r="O10" i="11"/>
  <c r="N10" i="11"/>
  <c r="Q9" i="11"/>
  <c r="P9" i="11"/>
  <c r="O9" i="11"/>
  <c r="N9" i="11"/>
  <c r="Q8" i="11"/>
  <c r="P8" i="11"/>
  <c r="O8" i="11"/>
  <c r="N8" i="11"/>
  <c r="Q7" i="11"/>
  <c r="P7" i="11"/>
  <c r="O7" i="11"/>
  <c r="N7" i="11"/>
  <c r="Q6" i="11"/>
  <c r="P6" i="11"/>
  <c r="O6" i="11"/>
  <c r="N6" i="11"/>
  <c r="Q5" i="11"/>
  <c r="P5" i="11"/>
  <c r="O5" i="11"/>
  <c r="N5" i="11"/>
  <c r="L12" i="11"/>
  <c r="L6" i="11"/>
  <c r="L7" i="11"/>
  <c r="L8" i="11"/>
  <c r="L9" i="11"/>
  <c r="L10" i="11"/>
  <c r="L5" i="11"/>
  <c r="N4" i="11"/>
  <c r="O4" i="11"/>
  <c r="P4" i="11"/>
  <c r="Q4" i="11"/>
  <c r="F5" i="15"/>
  <c r="F5" i="18"/>
  <c r="D5" i="18"/>
  <c r="F11" i="18"/>
  <c r="D11" i="18"/>
  <c r="F17" i="18"/>
  <c r="D17" i="18"/>
  <c r="F24" i="18"/>
  <c r="D24" i="18"/>
  <c r="F28" i="18"/>
  <c r="D28" i="18"/>
  <c r="F34" i="18"/>
  <c r="L89" i="18" s="1"/>
  <c r="D34" i="18"/>
  <c r="J89" i="18" s="1"/>
  <c r="F39" i="18"/>
  <c r="D39" i="18"/>
  <c r="F43" i="18"/>
  <c r="D43" i="18"/>
  <c r="F47" i="18"/>
  <c r="D47" i="18"/>
  <c r="D5" i="15"/>
  <c r="D7" i="15"/>
  <c r="J54" i="15" s="1"/>
  <c r="F7" i="15"/>
  <c r="D8" i="15"/>
  <c r="F8" i="15"/>
  <c r="D9" i="15"/>
  <c r="F9" i="15"/>
  <c r="D10" i="15"/>
  <c r="F10" i="15"/>
  <c r="D13" i="15"/>
  <c r="F13" i="15"/>
  <c r="D14" i="15"/>
  <c r="F14" i="15"/>
  <c r="D15" i="15"/>
  <c r="F15" i="15"/>
  <c r="D16" i="15"/>
  <c r="F16" i="15"/>
  <c r="D18" i="15"/>
  <c r="F18" i="15"/>
  <c r="D20" i="15"/>
  <c r="F20" i="15"/>
  <c r="D25" i="15"/>
  <c r="F25" i="15"/>
  <c r="D35" i="15"/>
  <c r="F35" i="15"/>
  <c r="D40" i="15"/>
  <c r="F40" i="15"/>
  <c r="O2" i="51"/>
  <c r="Q5" i="31"/>
  <c r="A29" i="44"/>
  <c r="A43" i="44" s="1"/>
  <c r="A57" i="44" s="1"/>
  <c r="A21" i="44"/>
  <c r="A35" i="44" s="1"/>
  <c r="A49" i="44" s="1"/>
  <c r="A20" i="44"/>
  <c r="A34" i="44" s="1"/>
  <c r="A48" i="44" s="1"/>
  <c r="A19" i="44"/>
  <c r="A33" i="44" s="1"/>
  <c r="A47" i="44" s="1"/>
  <c r="D44" i="11"/>
  <c r="O15" i="31"/>
  <c r="O14" i="31"/>
  <c r="O13" i="31"/>
  <c r="O12" i="31"/>
  <c r="O11" i="31"/>
  <c r="O10" i="31"/>
  <c r="O9" i="31"/>
  <c r="O8" i="31"/>
  <c r="O7" i="31"/>
  <c r="P8" i="31"/>
  <c r="P9" i="31"/>
  <c r="P10" i="31"/>
  <c r="P11" i="31"/>
  <c r="P13" i="31"/>
  <c r="I43" i="16"/>
  <c r="J43" i="16"/>
  <c r="I44" i="16"/>
  <c r="J44" i="16"/>
  <c r="B5" i="18"/>
  <c r="A1" i="18" s="1"/>
  <c r="I23" i="16"/>
  <c r="J23" i="16"/>
  <c r="I24" i="16"/>
  <c r="J24" i="16"/>
  <c r="D44" i="16"/>
  <c r="E5" i="18"/>
  <c r="E11" i="18"/>
  <c r="C5" i="18"/>
  <c r="C11" i="18"/>
  <c r="E17" i="18"/>
  <c r="C17" i="18"/>
  <c r="E24" i="18"/>
  <c r="C24" i="18"/>
  <c r="E28" i="18"/>
  <c r="C28" i="18"/>
  <c r="E34" i="18"/>
  <c r="K89" i="18" s="1"/>
  <c r="C34" i="18"/>
  <c r="I89" i="18" s="1"/>
  <c r="E39" i="18"/>
  <c r="C39" i="18"/>
  <c r="E43" i="18"/>
  <c r="C43" i="18"/>
  <c r="E47" i="18"/>
  <c r="C47" i="18"/>
  <c r="J26" i="18"/>
  <c r="A11" i="18"/>
  <c r="A17" i="18"/>
  <c r="A24" i="18"/>
  <c r="A28" i="18"/>
  <c r="A34" i="18"/>
  <c r="A39" i="18"/>
  <c r="A43" i="18"/>
  <c r="A47" i="18"/>
  <c r="D64" i="12"/>
  <c r="E64" i="12"/>
  <c r="D65" i="12"/>
  <c r="E65" i="12"/>
  <c r="D66" i="12"/>
  <c r="E66" i="12"/>
  <c r="D67" i="12"/>
  <c r="E67" i="12"/>
  <c r="D68" i="12"/>
  <c r="E68" i="12"/>
  <c r="D69" i="12"/>
  <c r="E69" i="12"/>
  <c r="D70" i="12"/>
  <c r="E70" i="12"/>
  <c r="D71" i="12"/>
  <c r="E71" i="12"/>
  <c r="D72" i="12"/>
  <c r="E72" i="12"/>
  <c r="D73" i="12"/>
  <c r="E73" i="12"/>
  <c r="D74" i="12"/>
  <c r="E74" i="12"/>
  <c r="D75" i="12"/>
  <c r="E75" i="12"/>
  <c r="D76" i="12"/>
  <c r="E76" i="12"/>
  <c r="D77" i="12"/>
  <c r="E77" i="12"/>
  <c r="D78" i="12"/>
  <c r="E78" i="12"/>
  <c r="D86" i="12"/>
  <c r="E86" i="12"/>
  <c r="D63" i="12"/>
  <c r="E63" i="12"/>
  <c r="E5" i="15"/>
  <c r="E40" i="15"/>
  <c r="K83" i="15" s="1"/>
  <c r="C5" i="15"/>
  <c r="C40" i="15"/>
  <c r="I83" i="15" s="1"/>
  <c r="E35" i="15"/>
  <c r="C35" i="15"/>
  <c r="E25" i="15"/>
  <c r="C25" i="15"/>
  <c r="E20" i="15"/>
  <c r="C20" i="15"/>
  <c r="E18" i="15"/>
  <c r="C18" i="15"/>
  <c r="E16" i="15"/>
  <c r="C16" i="15"/>
  <c r="E15" i="15"/>
  <c r="C15" i="15"/>
  <c r="E14" i="15"/>
  <c r="C14" i="15"/>
  <c r="E13" i="15"/>
  <c r="C13" i="15"/>
  <c r="E10" i="15"/>
  <c r="C10" i="15"/>
  <c r="E9" i="15"/>
  <c r="C9" i="15"/>
  <c r="E8" i="15"/>
  <c r="C8" i="15"/>
  <c r="C7" i="15"/>
  <c r="I54" i="15" s="1"/>
  <c r="E7" i="15"/>
  <c r="K54" i="15" s="1"/>
  <c r="D7" i="18"/>
  <c r="F7" i="18"/>
  <c r="C7" i="18"/>
  <c r="E7" i="18"/>
  <c r="B47" i="18"/>
  <c r="B39" i="18"/>
  <c r="B28" i="18"/>
  <c r="B24" i="18"/>
  <c r="B17" i="18"/>
  <c r="B11" i="18"/>
  <c r="B7" i="18"/>
  <c r="E44" i="16"/>
  <c r="B44" i="16"/>
  <c r="L41" i="21"/>
  <c r="A7" i="15"/>
  <c r="A89" i="15" s="1"/>
  <c r="A13" i="15"/>
  <c r="A95" i="15" s="1"/>
  <c r="A18" i="15"/>
  <c r="A100" i="15" s="1"/>
  <c r="A20" i="15"/>
  <c r="A102" i="15" s="1"/>
  <c r="A25" i="15"/>
  <c r="A107" i="15" s="1"/>
  <c r="A35" i="15"/>
  <c r="A117" i="15" s="1"/>
  <c r="L43" i="19"/>
  <c r="A8" i="15"/>
  <c r="A90" i="15" s="1"/>
  <c r="A9" i="15"/>
  <c r="A91" i="15" s="1"/>
  <c r="A10" i="15"/>
  <c r="A92" i="15" s="1"/>
  <c r="A14" i="15"/>
  <c r="A96" i="15" s="1"/>
  <c r="A15" i="15"/>
  <c r="A97" i="15" s="1"/>
  <c r="A16" i="15"/>
  <c r="A98" i="15" s="1"/>
  <c r="A40" i="15"/>
  <c r="A122" i="15" s="1"/>
  <c r="A7" i="18"/>
  <c r="L52" i="76" s="1"/>
  <c r="E44" i="11"/>
  <c r="B65" i="16"/>
  <c r="D65" i="16"/>
  <c r="B66" i="16"/>
  <c r="D66" i="16"/>
  <c r="E66" i="16"/>
  <c r="B67" i="16"/>
  <c r="D67" i="16"/>
  <c r="E67" i="16"/>
  <c r="B68" i="16"/>
  <c r="D68" i="16"/>
  <c r="E68" i="16"/>
  <c r="B69" i="16"/>
  <c r="D69" i="16"/>
  <c r="E69" i="16"/>
  <c r="B70" i="16"/>
  <c r="D70" i="16"/>
  <c r="E70" i="16"/>
  <c r="B71" i="16"/>
  <c r="D71" i="16"/>
  <c r="E71" i="16"/>
  <c r="B72" i="16"/>
  <c r="D72" i="16"/>
  <c r="E72" i="16"/>
  <c r="B74" i="16"/>
  <c r="D74" i="16"/>
  <c r="E74" i="16"/>
  <c r="I82" i="16"/>
  <c r="N41" i="75" s="1"/>
  <c r="I83" i="16"/>
  <c r="N34" i="75" s="1"/>
  <c r="I84" i="16"/>
  <c r="N30" i="75" s="1"/>
  <c r="I85" i="16"/>
  <c r="N24" i="75" s="1"/>
  <c r="I86" i="16"/>
  <c r="N19" i="75" s="1"/>
  <c r="I87" i="16"/>
  <c r="N15" i="75" s="1"/>
  <c r="I88" i="16"/>
  <c r="N11" i="75" s="1"/>
  <c r="I90" i="16"/>
  <c r="D46" i="16"/>
  <c r="E46" i="16"/>
  <c r="D47" i="16"/>
  <c r="E47" i="16"/>
  <c r="D48" i="16"/>
  <c r="E48" i="16"/>
  <c r="D49" i="16"/>
  <c r="E49" i="16"/>
  <c r="D50" i="16"/>
  <c r="E50" i="16"/>
  <c r="D51" i="16"/>
  <c r="E51" i="16"/>
  <c r="D52" i="16"/>
  <c r="E52" i="16"/>
  <c r="D53" i="16"/>
  <c r="E53" i="16"/>
  <c r="D54" i="16"/>
  <c r="E54" i="16"/>
  <c r="D56" i="16"/>
  <c r="E56" i="16"/>
  <c r="B47" i="16"/>
  <c r="B48" i="16"/>
  <c r="B49" i="16"/>
  <c r="B50" i="16"/>
  <c r="B51" i="16"/>
  <c r="B52" i="16"/>
  <c r="B53" i="16"/>
  <c r="B54" i="16"/>
  <c r="B56" i="16"/>
  <c r="C26" i="16"/>
  <c r="D26" i="16"/>
  <c r="E26" i="16"/>
  <c r="F26" i="16"/>
  <c r="C27" i="16"/>
  <c r="D27" i="16"/>
  <c r="E27" i="16"/>
  <c r="F27" i="16"/>
  <c r="C28" i="16"/>
  <c r="D28" i="16"/>
  <c r="E28" i="16"/>
  <c r="F28" i="16"/>
  <c r="C29" i="16"/>
  <c r="D29" i="16"/>
  <c r="E29" i="16"/>
  <c r="F29" i="16"/>
  <c r="C30" i="16"/>
  <c r="D30" i="16"/>
  <c r="E30" i="16"/>
  <c r="F30" i="16"/>
  <c r="C31" i="16"/>
  <c r="D31" i="16"/>
  <c r="E31" i="16"/>
  <c r="F31" i="16"/>
  <c r="C32" i="16"/>
  <c r="D32" i="16"/>
  <c r="E32" i="16"/>
  <c r="F32" i="16"/>
  <c r="C33" i="16"/>
  <c r="E33" i="16"/>
  <c r="F33" i="16"/>
  <c r="C34" i="16"/>
  <c r="D34" i="16"/>
  <c r="E34" i="16"/>
  <c r="F34" i="16"/>
  <c r="C36" i="16"/>
  <c r="D36" i="16"/>
  <c r="E36" i="16"/>
  <c r="F36" i="16"/>
  <c r="B27" i="16"/>
  <c r="B28" i="16"/>
  <c r="B29" i="16"/>
  <c r="B30" i="16"/>
  <c r="B31" i="16"/>
  <c r="B32" i="16"/>
  <c r="B33" i="16"/>
  <c r="B34" i="16"/>
  <c r="B36" i="16"/>
  <c r="B26" i="16"/>
  <c r="A74" i="16"/>
  <c r="A72" i="16"/>
  <c r="A71" i="16"/>
  <c r="A70" i="16"/>
  <c r="A69" i="16"/>
  <c r="A68" i="16"/>
  <c r="A67" i="16"/>
  <c r="A66" i="16"/>
  <c r="A65" i="16"/>
  <c r="A64" i="16"/>
  <c r="A56" i="16"/>
  <c r="A54" i="16"/>
  <c r="A53" i="16"/>
  <c r="A52" i="16"/>
  <c r="A51" i="16"/>
  <c r="A50" i="16"/>
  <c r="A49" i="16"/>
  <c r="A48" i="16"/>
  <c r="A47" i="16"/>
  <c r="A46" i="16"/>
  <c r="A36" i="16"/>
  <c r="A34" i="16"/>
  <c r="A33" i="16"/>
  <c r="A32" i="16"/>
  <c r="B24" i="16"/>
  <c r="C24" i="16"/>
  <c r="D24" i="16"/>
  <c r="E24" i="16"/>
  <c r="F24" i="16"/>
  <c r="A26" i="16"/>
  <c r="A27" i="16"/>
  <c r="A28" i="16"/>
  <c r="A29" i="16"/>
  <c r="A30" i="16"/>
  <c r="A31" i="16"/>
  <c r="B62" i="16"/>
  <c r="D62" i="16"/>
  <c r="E62" i="16"/>
  <c r="B64" i="16"/>
  <c r="D64" i="16"/>
  <c r="E64" i="16"/>
  <c r="D90" i="12"/>
  <c r="E90" i="12"/>
  <c r="D91" i="12"/>
  <c r="E91" i="12"/>
  <c r="D92" i="12"/>
  <c r="E92" i="12"/>
  <c r="D93" i="12"/>
  <c r="E93" i="12"/>
  <c r="D94" i="12"/>
  <c r="E94" i="12"/>
  <c r="D95" i="12"/>
  <c r="E95" i="12"/>
  <c r="D96" i="12"/>
  <c r="E96" i="12"/>
  <c r="D97" i="12"/>
  <c r="E97" i="12"/>
  <c r="D98" i="12"/>
  <c r="E98" i="12"/>
  <c r="D99" i="12"/>
  <c r="E99" i="12"/>
  <c r="D100" i="12"/>
  <c r="E100" i="12"/>
  <c r="D101" i="12"/>
  <c r="E101" i="12"/>
  <c r="D102" i="12"/>
  <c r="E102" i="12"/>
  <c r="D103" i="12"/>
  <c r="E103" i="12"/>
  <c r="D104" i="12"/>
  <c r="E104" i="12"/>
  <c r="D105" i="12"/>
  <c r="E105" i="12"/>
  <c r="D113" i="12"/>
  <c r="E113" i="12"/>
  <c r="A113" i="12"/>
  <c r="A105" i="12"/>
  <c r="A104" i="12"/>
  <c r="A103" i="12"/>
  <c r="A102" i="12"/>
  <c r="A101" i="12"/>
  <c r="A100" i="12"/>
  <c r="A99" i="12"/>
  <c r="A98" i="12"/>
  <c r="A97" i="12"/>
  <c r="A96" i="12"/>
  <c r="A95" i="12"/>
  <c r="A94" i="12"/>
  <c r="A93" i="12"/>
  <c r="A92" i="12"/>
  <c r="A91" i="12"/>
  <c r="A90" i="12"/>
  <c r="E89" i="12"/>
  <c r="D89" i="12"/>
  <c r="A86" i="12"/>
  <c r="A78" i="12"/>
  <c r="A77" i="12"/>
  <c r="A76" i="12"/>
  <c r="A75" i="12"/>
  <c r="A74" i="12"/>
  <c r="A73" i="12"/>
  <c r="A72" i="12"/>
  <c r="A71" i="12"/>
  <c r="A70" i="12"/>
  <c r="A69" i="12"/>
  <c r="A68" i="12"/>
  <c r="A67" i="12"/>
  <c r="A66" i="12"/>
  <c r="A65" i="12"/>
  <c r="A64" i="12"/>
  <c r="A63" i="12"/>
  <c r="E61" i="12"/>
  <c r="D61" i="12"/>
  <c r="C55" i="12"/>
  <c r="D55" i="12"/>
  <c r="E55" i="12"/>
  <c r="F55" i="12"/>
  <c r="A55" i="12"/>
  <c r="A46" i="12"/>
  <c r="A45" i="12"/>
  <c r="A44" i="12"/>
  <c r="A43" i="12"/>
  <c r="A42" i="12"/>
  <c r="A41" i="12"/>
  <c r="A40" i="12"/>
  <c r="A39" i="12"/>
  <c r="A38" i="12"/>
  <c r="A37" i="12"/>
  <c r="A36" i="12"/>
  <c r="A35" i="12"/>
  <c r="A34" i="12"/>
  <c r="A33" i="12"/>
  <c r="A32" i="12"/>
  <c r="F31" i="12"/>
  <c r="E31" i="12"/>
  <c r="D31" i="12"/>
  <c r="C31" i="12"/>
  <c r="S6" i="11"/>
  <c r="S7" i="11"/>
  <c r="S8" i="11"/>
  <c r="S9" i="11"/>
  <c r="S10" i="11"/>
  <c r="S12" i="11"/>
  <c r="D34" i="11"/>
  <c r="E34" i="11"/>
  <c r="D35" i="11"/>
  <c r="E35" i="11"/>
  <c r="D36" i="11"/>
  <c r="E36" i="11"/>
  <c r="E37" i="11"/>
  <c r="D38" i="11"/>
  <c r="E38" i="11"/>
  <c r="D39" i="11"/>
  <c r="E39" i="11"/>
  <c r="D41" i="11"/>
  <c r="E41" i="11"/>
  <c r="O265" i="21"/>
  <c r="O264" i="21"/>
  <c r="O263" i="21"/>
  <c r="O262" i="21"/>
  <c r="O261" i="21"/>
  <c r="O266" i="21"/>
  <c r="D45" i="11"/>
  <c r="E45" i="11"/>
  <c r="D46" i="11"/>
  <c r="E46" i="11"/>
  <c r="D47" i="11"/>
  <c r="E47" i="11"/>
  <c r="D48" i="11"/>
  <c r="E48" i="11"/>
  <c r="D49" i="11"/>
  <c r="E49" i="11"/>
  <c r="D50" i="11"/>
  <c r="E50" i="11"/>
  <c r="D52" i="11"/>
  <c r="E52" i="11"/>
  <c r="A52" i="11"/>
  <c r="A50" i="11"/>
  <c r="A49" i="11"/>
  <c r="A48" i="11"/>
  <c r="A47" i="11"/>
  <c r="A46" i="11"/>
  <c r="A45" i="11"/>
  <c r="A41" i="11"/>
  <c r="A39" i="11"/>
  <c r="A38" i="11"/>
  <c r="A37" i="11"/>
  <c r="A36" i="11"/>
  <c r="A35" i="11"/>
  <c r="A34" i="11"/>
  <c r="A27" i="11"/>
  <c r="A25" i="11"/>
  <c r="A24" i="11"/>
  <c r="A23" i="11"/>
  <c r="A22" i="11"/>
  <c r="A21" i="11"/>
  <c r="A20" i="11"/>
  <c r="D33" i="11"/>
  <c r="E33" i="11"/>
  <c r="C19" i="11"/>
  <c r="D19" i="11"/>
  <c r="E19" i="11"/>
  <c r="F19" i="11"/>
  <c r="O230" i="21" s="1"/>
  <c r="C20" i="11"/>
  <c r="D20" i="11"/>
  <c r="N236" i="21" s="1"/>
  <c r="E20" i="11"/>
  <c r="F20" i="11"/>
  <c r="O236" i="21" s="1"/>
  <c r="C21" i="11"/>
  <c r="D21" i="11"/>
  <c r="N235" i="21" s="1"/>
  <c r="E21" i="11"/>
  <c r="F21" i="11"/>
  <c r="O235" i="21" s="1"/>
  <c r="C22" i="11"/>
  <c r="D22" i="11"/>
  <c r="N234" i="21" s="1"/>
  <c r="E22" i="11"/>
  <c r="F22" i="11"/>
  <c r="O234" i="21" s="1"/>
  <c r="C23" i="11"/>
  <c r="D23" i="11"/>
  <c r="E23" i="11"/>
  <c r="F23" i="11"/>
  <c r="O233" i="21" s="1"/>
  <c r="C24" i="11"/>
  <c r="D24" i="11"/>
  <c r="N232" i="21" s="1"/>
  <c r="E24" i="11"/>
  <c r="F24" i="11"/>
  <c r="O232" i="21" s="1"/>
  <c r="C25" i="11"/>
  <c r="D25" i="11"/>
  <c r="N231" i="21" s="1"/>
  <c r="E25" i="11"/>
  <c r="F25" i="11"/>
  <c r="O231" i="21" s="1"/>
  <c r="C27" i="11"/>
  <c r="D27" i="11"/>
  <c r="E27" i="11"/>
  <c r="F27" i="11"/>
  <c r="A505" i="76" l="1"/>
  <c r="F59" i="18"/>
  <c r="B89" i="18"/>
  <c r="B59" i="18"/>
  <c r="E3" i="44"/>
  <c r="D89" i="18"/>
  <c r="C89" i="18"/>
  <c r="F3" i="44"/>
  <c r="F5" i="44" s="1"/>
  <c r="F89" i="18"/>
  <c r="E89" i="18"/>
  <c r="L32" i="76"/>
  <c r="L79" i="76"/>
  <c r="L26" i="76"/>
  <c r="L73" i="76"/>
  <c r="L22" i="76"/>
  <c r="L69" i="76"/>
  <c r="L15" i="76"/>
  <c r="L62" i="76"/>
  <c r="L9" i="76"/>
  <c r="L56" i="76"/>
  <c r="L45" i="76"/>
  <c r="L92" i="76"/>
  <c r="L41" i="76"/>
  <c r="L88" i="76"/>
  <c r="L37" i="76"/>
  <c r="L84" i="76"/>
  <c r="A1" i="51"/>
  <c r="N230" i="21"/>
  <c r="H17" i="11"/>
  <c r="N233" i="21"/>
  <c r="C97" i="15"/>
  <c r="N32" i="19" s="1"/>
  <c r="C112" i="15"/>
  <c r="N17" i="19" s="1"/>
  <c r="C98" i="15"/>
  <c r="N31" i="19" s="1"/>
  <c r="C113" i="15"/>
  <c r="N16" i="19" s="1"/>
  <c r="C100" i="15"/>
  <c r="N29" i="19" s="1"/>
  <c r="C114" i="15"/>
  <c r="N15" i="19" s="1"/>
  <c r="C102" i="15"/>
  <c r="N27" i="19" s="1"/>
  <c r="C115" i="15"/>
  <c r="N14" i="19" s="1"/>
  <c r="C103" i="15"/>
  <c r="N26" i="19" s="1"/>
  <c r="C117" i="15"/>
  <c r="N12" i="19" s="1"/>
  <c r="C118" i="15"/>
  <c r="N11" i="19" s="1"/>
  <c r="C90" i="15"/>
  <c r="N39" i="19" s="1"/>
  <c r="C105" i="15"/>
  <c r="N24" i="19" s="1"/>
  <c r="C119" i="15"/>
  <c r="N10" i="19" s="1"/>
  <c r="C91" i="15"/>
  <c r="N38" i="19" s="1"/>
  <c r="C107" i="15"/>
  <c r="N22" i="19" s="1"/>
  <c r="C120" i="15"/>
  <c r="N9" i="19" s="1"/>
  <c r="C92" i="15"/>
  <c r="N37" i="19" s="1"/>
  <c r="C108" i="15"/>
  <c r="N21" i="19" s="1"/>
  <c r="C122" i="15"/>
  <c r="N7" i="19" s="1"/>
  <c r="C93" i="15"/>
  <c r="N36" i="19" s="1"/>
  <c r="C109" i="15"/>
  <c r="N20" i="19" s="1"/>
  <c r="C89" i="15"/>
  <c r="N40" i="19" s="1"/>
  <c r="C95" i="15"/>
  <c r="N34" i="19" s="1"/>
  <c r="C110" i="15"/>
  <c r="N19" i="19" s="1"/>
  <c r="C96" i="15"/>
  <c r="N33" i="19" s="1"/>
  <c r="C111" i="15"/>
  <c r="N18" i="19" s="1"/>
  <c r="C104" i="15"/>
  <c r="N25" i="19" s="1"/>
  <c r="L9" i="15"/>
  <c r="C3" i="44"/>
  <c r="L15" i="15"/>
  <c r="B3" i="44"/>
  <c r="A1" i="44" s="1"/>
  <c r="A53" i="18"/>
  <c r="F6" i="44"/>
  <c r="A59" i="18"/>
  <c r="L51" i="75"/>
  <c r="L5" i="76"/>
  <c r="L5" i="15"/>
  <c r="F48" i="15" s="1"/>
  <c r="C87" i="15" s="1"/>
  <c r="N6" i="19" s="1"/>
  <c r="L40" i="15"/>
  <c r="L18" i="15"/>
  <c r="L13" i="15"/>
  <c r="L7" i="18"/>
  <c r="L5" i="18"/>
  <c r="F57" i="18" s="1"/>
  <c r="D3" i="44"/>
  <c r="L39" i="18"/>
  <c r="L17" i="18"/>
  <c r="L20" i="15"/>
  <c r="L14" i="15"/>
  <c r="L8" i="15"/>
  <c r="L7" i="15"/>
  <c r="L54" i="15"/>
  <c r="L35" i="15"/>
  <c r="L16" i="15"/>
  <c r="L10" i="15"/>
  <c r="L34" i="18"/>
  <c r="L11" i="18"/>
  <c r="L25" i="15"/>
  <c r="L73" i="15"/>
  <c r="L72" i="15"/>
  <c r="L74" i="15"/>
  <c r="L76" i="15"/>
  <c r="L75" i="15"/>
  <c r="L28" i="18"/>
  <c r="J72" i="15"/>
  <c r="J74" i="15"/>
  <c r="J75" i="15"/>
  <c r="J73" i="15"/>
  <c r="J76" i="15"/>
  <c r="F53" i="15"/>
  <c r="F64" i="15"/>
  <c r="F73" i="15"/>
  <c r="F81" i="15"/>
  <c r="F76" i="15"/>
  <c r="F69" i="15"/>
  <c r="F52" i="15"/>
  <c r="F80" i="15"/>
  <c r="F54" i="15"/>
  <c r="F65" i="15"/>
  <c r="F74" i="15"/>
  <c r="F83" i="15"/>
  <c r="F68" i="15"/>
  <c r="F58" i="15"/>
  <c r="F63" i="15"/>
  <c r="F56" i="15"/>
  <c r="F66" i="15"/>
  <c r="F75" i="15"/>
  <c r="F50" i="15"/>
  <c r="F57" i="15"/>
  <c r="F77" i="15"/>
  <c r="F72" i="15"/>
  <c r="F59" i="15"/>
  <c r="F70" i="15"/>
  <c r="F78" i="15"/>
  <c r="F51" i="15"/>
  <c r="F61" i="15"/>
  <c r="F71" i="15"/>
  <c r="F79" i="15"/>
  <c r="L47" i="18"/>
  <c r="I74" i="15"/>
  <c r="I76" i="15"/>
  <c r="I73" i="15"/>
  <c r="I72" i="15"/>
  <c r="I75" i="15"/>
  <c r="L43" i="18"/>
  <c r="L24" i="18"/>
  <c r="F63" i="18"/>
  <c r="F72" i="18"/>
  <c r="F82" i="18"/>
  <c r="F93" i="18"/>
  <c r="F64" i="18"/>
  <c r="F73" i="18"/>
  <c r="F83" i="18"/>
  <c r="F95" i="18"/>
  <c r="F65" i="18"/>
  <c r="F74" i="18"/>
  <c r="F84" i="18"/>
  <c r="F96" i="18"/>
  <c r="F66" i="18"/>
  <c r="F76" i="18"/>
  <c r="F86" i="18"/>
  <c r="F97" i="18"/>
  <c r="F67" i="18"/>
  <c r="F77" i="18"/>
  <c r="F87" i="18"/>
  <c r="F99" i="18"/>
  <c r="F69" i="18"/>
  <c r="F78" i="18"/>
  <c r="F88" i="18"/>
  <c r="F100" i="18"/>
  <c r="F60" i="18"/>
  <c r="F70" i="18"/>
  <c r="F80" i="18"/>
  <c r="F91" i="18"/>
  <c r="F101" i="18"/>
  <c r="F61" i="18"/>
  <c r="F71" i="18"/>
  <c r="F81" i="18"/>
  <c r="F92" i="18"/>
  <c r="F103" i="18"/>
  <c r="K75" i="15"/>
  <c r="K73" i="15"/>
  <c r="K72" i="15"/>
  <c r="K74" i="15"/>
  <c r="K76" i="15"/>
  <c r="B101" i="18"/>
  <c r="B60" i="18"/>
  <c r="B61" i="18"/>
  <c r="D61" i="18"/>
  <c r="D60" i="18"/>
  <c r="C61" i="18"/>
  <c r="C60" i="18"/>
  <c r="E60" i="18"/>
  <c r="E61" i="18"/>
  <c r="K48" i="15"/>
  <c r="E54" i="15"/>
  <c r="E73" i="15"/>
  <c r="E75" i="15"/>
  <c r="E76" i="15"/>
  <c r="E72" i="15"/>
  <c r="E74" i="15"/>
  <c r="D74" i="15"/>
  <c r="D75" i="15"/>
  <c r="D73" i="15"/>
  <c r="D72" i="15"/>
  <c r="D54" i="15"/>
  <c r="D76" i="15"/>
  <c r="C74" i="15"/>
  <c r="C75" i="15"/>
  <c r="C72" i="15"/>
  <c r="C76" i="15"/>
  <c r="C54" i="15"/>
  <c r="C73" i="15"/>
  <c r="I37" i="15"/>
  <c r="I27" i="15"/>
  <c r="I22" i="15"/>
  <c r="I16" i="15"/>
  <c r="I10" i="15"/>
  <c r="I36" i="15"/>
  <c r="I26" i="15"/>
  <c r="I21" i="15"/>
  <c r="I15" i="15"/>
  <c r="I9" i="15"/>
  <c r="I35" i="15"/>
  <c r="I25" i="15"/>
  <c r="I20" i="15"/>
  <c r="I14" i="15"/>
  <c r="I8" i="15"/>
  <c r="A70" i="15"/>
  <c r="L20" i="19" s="1"/>
  <c r="L25" i="21"/>
  <c r="A50" i="15"/>
  <c r="L40" i="19" s="1"/>
  <c r="L5" i="21"/>
  <c r="A51" i="15"/>
  <c r="L39" i="19" s="1"/>
  <c r="L6" i="21"/>
  <c r="A83" i="15"/>
  <c r="L7" i="19" s="1"/>
  <c r="L38" i="21"/>
  <c r="L268" i="21" s="1"/>
  <c r="A65" i="15"/>
  <c r="L25" i="19" s="1"/>
  <c r="L20" i="21"/>
  <c r="A52" i="15"/>
  <c r="L38" i="19" s="1"/>
  <c r="L7" i="21"/>
  <c r="A80" i="15"/>
  <c r="L10" i="19" s="1"/>
  <c r="L35" i="21"/>
  <c r="A59" i="15"/>
  <c r="L31" i="19" s="1"/>
  <c r="L14" i="21"/>
  <c r="A68" i="15"/>
  <c r="L22" i="19" s="1"/>
  <c r="L23" i="21"/>
  <c r="A53" i="15"/>
  <c r="L37" i="19" s="1"/>
  <c r="L8" i="21"/>
  <c r="A66" i="15"/>
  <c r="L24" i="19" s="1"/>
  <c r="L21" i="21"/>
  <c r="A78" i="15"/>
  <c r="L12" i="19" s="1"/>
  <c r="L33" i="21"/>
  <c r="A79" i="15"/>
  <c r="L11" i="19" s="1"/>
  <c r="L34" i="21"/>
  <c r="A58" i="15"/>
  <c r="L32" i="19" s="1"/>
  <c r="L13" i="21"/>
  <c r="A63" i="15"/>
  <c r="L27" i="19" s="1"/>
  <c r="L18" i="21"/>
  <c r="A56" i="15"/>
  <c r="L34" i="19" s="1"/>
  <c r="L11" i="21"/>
  <c r="A69" i="15"/>
  <c r="L21" i="19" s="1"/>
  <c r="L24" i="21"/>
  <c r="A81" i="15"/>
  <c r="L9" i="19" s="1"/>
  <c r="L36" i="21"/>
  <c r="A64" i="15"/>
  <c r="L26" i="19" s="1"/>
  <c r="L19" i="21"/>
  <c r="A71" i="15"/>
  <c r="L19" i="19" s="1"/>
  <c r="L26" i="21"/>
  <c r="A57" i="15"/>
  <c r="L33" i="19" s="1"/>
  <c r="L12" i="21"/>
  <c r="A61" i="15"/>
  <c r="L29" i="19" s="1"/>
  <c r="L16" i="21"/>
  <c r="I39" i="18"/>
  <c r="L73" i="18"/>
  <c r="I34" i="18"/>
  <c r="I11" i="18"/>
  <c r="I57" i="18"/>
  <c r="I5" i="18"/>
  <c r="C57" i="18" s="1"/>
  <c r="L83" i="15"/>
  <c r="J103" i="18"/>
  <c r="I51" i="18"/>
  <c r="I7" i="18"/>
  <c r="C65" i="18"/>
  <c r="C74" i="18"/>
  <c r="C80" i="18"/>
  <c r="C97" i="18"/>
  <c r="C59" i="18"/>
  <c r="C66" i="18"/>
  <c r="C81" i="18"/>
  <c r="C67" i="18"/>
  <c r="C76" i="18"/>
  <c r="C82" i="18"/>
  <c r="C91" i="18"/>
  <c r="C63" i="18"/>
  <c r="C72" i="18"/>
  <c r="C87" i="18"/>
  <c r="C95" i="18"/>
  <c r="C101" i="18"/>
  <c r="C69" i="18"/>
  <c r="C83" i="18"/>
  <c r="C70" i="18"/>
  <c r="C84" i="18"/>
  <c r="C99" i="18"/>
  <c r="C71" i="18"/>
  <c r="C86" i="18"/>
  <c r="C100" i="18"/>
  <c r="C73" i="18"/>
  <c r="C77" i="18"/>
  <c r="C103" i="18"/>
  <c r="C78" i="18"/>
  <c r="C93" i="18"/>
  <c r="C64" i="18"/>
  <c r="C96" i="18"/>
  <c r="C92" i="18"/>
  <c r="C88" i="18"/>
  <c r="I28" i="18"/>
  <c r="I48" i="15"/>
  <c r="I5" i="15"/>
  <c r="C48" i="15" s="1"/>
  <c r="I38" i="15"/>
  <c r="I28" i="15"/>
  <c r="I23" i="15"/>
  <c r="I18" i="15"/>
  <c r="I13" i="15"/>
  <c r="I7" i="15"/>
  <c r="J96" i="18"/>
  <c r="I43" i="18"/>
  <c r="I24" i="18"/>
  <c r="L48" i="15"/>
  <c r="J71" i="18"/>
  <c r="I17" i="18"/>
  <c r="L103" i="18"/>
  <c r="J83" i="15"/>
  <c r="I40" i="15"/>
  <c r="I47" i="18"/>
  <c r="J48" i="15"/>
  <c r="C58" i="15"/>
  <c r="C59" i="15"/>
  <c r="C70" i="15"/>
  <c r="C61" i="15"/>
  <c r="C71" i="15"/>
  <c r="C63" i="15"/>
  <c r="C78" i="15"/>
  <c r="C56" i="15"/>
  <c r="C68" i="15"/>
  <c r="C83" i="15"/>
  <c r="C57" i="15"/>
  <c r="C50" i="15"/>
  <c r="C66" i="15"/>
  <c r="C64" i="15"/>
  <c r="C65" i="15"/>
  <c r="C52" i="15"/>
  <c r="C80" i="15"/>
  <c r="C53" i="15"/>
  <c r="C81" i="15"/>
  <c r="C69" i="15"/>
  <c r="C79" i="15"/>
  <c r="C51" i="15"/>
  <c r="L67" i="18"/>
  <c r="K11" i="18"/>
  <c r="K67" i="18"/>
  <c r="J11" i="18"/>
  <c r="J67" i="18"/>
  <c r="I67" i="18"/>
  <c r="H11" i="18"/>
  <c r="H67" i="18"/>
  <c r="H64" i="18"/>
  <c r="A71" i="52"/>
  <c r="A82" i="52"/>
  <c r="G89" i="52"/>
  <c r="S89" i="52" s="1"/>
  <c r="AE89" i="52" s="1"/>
  <c r="A101" i="52"/>
  <c r="A63" i="52"/>
  <c r="A33" i="52"/>
  <c r="G47" i="52"/>
  <c r="S47" i="52" s="1"/>
  <c r="AE47" i="52" s="1"/>
  <c r="A58" i="52"/>
  <c r="A100" i="52"/>
  <c r="L93" i="18"/>
  <c r="L92" i="18"/>
  <c r="K92" i="18"/>
  <c r="K93" i="18"/>
  <c r="J87" i="18"/>
  <c r="J93" i="18"/>
  <c r="J92" i="18"/>
  <c r="I93" i="18"/>
  <c r="I92" i="18"/>
  <c r="H93" i="18"/>
  <c r="E93" i="18"/>
  <c r="E92" i="18"/>
  <c r="D93" i="18"/>
  <c r="D92" i="18"/>
  <c r="B92" i="18"/>
  <c r="B93" i="18"/>
  <c r="I68" i="15"/>
  <c r="K21" i="15"/>
  <c r="J36" i="15"/>
  <c r="J58" i="15"/>
  <c r="J79" i="15"/>
  <c r="J15" i="15"/>
  <c r="J39" i="18"/>
  <c r="J78" i="15"/>
  <c r="J68" i="15"/>
  <c r="J14" i="15"/>
  <c r="J28" i="15"/>
  <c r="J81" i="15"/>
  <c r="A35" i="52"/>
  <c r="A41" i="52"/>
  <c r="A93" i="52"/>
  <c r="A34" i="52"/>
  <c r="A76" i="52"/>
  <c r="A94" i="52"/>
  <c r="A21" i="52"/>
  <c r="A95" i="52"/>
  <c r="A64" i="52"/>
  <c r="A29" i="52"/>
  <c r="A78" i="52"/>
  <c r="G46" i="52"/>
  <c r="A96" i="52"/>
  <c r="A22" i="52"/>
  <c r="A36" i="52"/>
  <c r="A67" i="52"/>
  <c r="A97" i="52"/>
  <c r="A66" i="52"/>
  <c r="A24" i="52"/>
  <c r="A37" i="52"/>
  <c r="A25" i="52"/>
  <c r="A56" i="52"/>
  <c r="K80" i="15"/>
  <c r="J38" i="15"/>
  <c r="J65" i="15"/>
  <c r="J51" i="15"/>
  <c r="J8" i="15"/>
  <c r="K13" i="15"/>
  <c r="J18" i="15"/>
  <c r="K99" i="18"/>
  <c r="J25" i="15"/>
  <c r="J70" i="15"/>
  <c r="J71" i="15"/>
  <c r="J69" i="15"/>
  <c r="J66" i="15"/>
  <c r="L83" i="18"/>
  <c r="L84" i="18"/>
  <c r="L74" i="18"/>
  <c r="K86" i="18"/>
  <c r="K83" i="18"/>
  <c r="K84" i="18"/>
  <c r="J24" i="18"/>
  <c r="K74" i="18"/>
  <c r="J97" i="18"/>
  <c r="J83" i="18"/>
  <c r="J84" i="18"/>
  <c r="J77" i="18"/>
  <c r="J74" i="18"/>
  <c r="J65" i="18"/>
  <c r="I96" i="18"/>
  <c r="I83" i="18"/>
  <c r="I84" i="18"/>
  <c r="I80" i="18"/>
  <c r="I74" i="18"/>
  <c r="H83" i="18"/>
  <c r="H84" i="18"/>
  <c r="H74" i="18"/>
  <c r="L11" i="75"/>
  <c r="A99" i="18"/>
  <c r="L15" i="75"/>
  <c r="A95" i="18"/>
  <c r="L19" i="75"/>
  <c r="A91" i="18"/>
  <c r="L24" i="75"/>
  <c r="A86" i="18"/>
  <c r="L30" i="75"/>
  <c r="A80" i="18"/>
  <c r="L34" i="75"/>
  <c r="A76" i="18"/>
  <c r="L41" i="75"/>
  <c r="A69" i="18"/>
  <c r="L47" i="75"/>
  <c r="A63" i="18"/>
  <c r="K57" i="18"/>
  <c r="E83" i="18"/>
  <c r="E74" i="18"/>
  <c r="E84" i="18"/>
  <c r="E67" i="18"/>
  <c r="J57" i="18"/>
  <c r="D83" i="18"/>
  <c r="D74" i="18"/>
  <c r="D84" i="18"/>
  <c r="D67" i="18"/>
  <c r="B74" i="18"/>
  <c r="B67" i="18"/>
  <c r="B83" i="18"/>
  <c r="B84" i="18"/>
  <c r="K26" i="15"/>
  <c r="K38" i="15"/>
  <c r="J16" i="15"/>
  <c r="J23" i="15"/>
  <c r="J10" i="15"/>
  <c r="K68" i="15"/>
  <c r="J57" i="15"/>
  <c r="I63" i="15"/>
  <c r="I78" i="15"/>
  <c r="L7" i="75"/>
  <c r="A103" i="18"/>
  <c r="K5" i="15"/>
  <c r="E48" i="15" s="1"/>
  <c r="J73" i="18"/>
  <c r="K88" i="18"/>
  <c r="J72" i="18"/>
  <c r="I65" i="18"/>
  <c r="J34" i="18"/>
  <c r="J70" i="18"/>
  <c r="J64" i="18"/>
  <c r="K34" i="18"/>
  <c r="J88" i="18"/>
  <c r="J78" i="18"/>
  <c r="J63" i="18"/>
  <c r="K82" i="18"/>
  <c r="J101" i="18"/>
  <c r="J91" i="18"/>
  <c r="K12" i="18"/>
  <c r="J19" i="18"/>
  <c r="L77" i="18"/>
  <c r="J51" i="18"/>
  <c r="K103" i="18"/>
  <c r="J21" i="18"/>
  <c r="L101" i="18"/>
  <c r="L82" i="18"/>
  <c r="D91" i="18"/>
  <c r="J48" i="18"/>
  <c r="J66" i="18"/>
  <c r="J86" i="18"/>
  <c r="D69" i="18"/>
  <c r="J12" i="18"/>
  <c r="J47" i="18"/>
  <c r="L100" i="18"/>
  <c r="L78" i="18"/>
  <c r="A27" i="52"/>
  <c r="A69" i="52"/>
  <c r="A92" i="52"/>
  <c r="A38" i="52"/>
  <c r="A68" i="52"/>
  <c r="A99" i="52"/>
  <c r="A39" i="52"/>
  <c r="A23" i="52"/>
  <c r="A32" i="52"/>
  <c r="A40" i="52"/>
  <c r="A65" i="52"/>
  <c r="A74" i="52"/>
  <c r="A80" i="52"/>
  <c r="A50" i="52"/>
  <c r="N46" i="52"/>
  <c r="A98" i="52"/>
  <c r="A20" i="52"/>
  <c r="A28" i="52"/>
  <c r="K96" i="18"/>
  <c r="J44" i="18"/>
  <c r="J36" i="18"/>
  <c r="J81" i="18"/>
  <c r="J14" i="18"/>
  <c r="L71" i="18"/>
  <c r="L65" i="18"/>
  <c r="J43" i="18"/>
  <c r="K78" i="18"/>
  <c r="J100" i="18"/>
  <c r="J99" i="18"/>
  <c r="J82" i="18"/>
  <c r="P12" i="31"/>
  <c r="P15" i="31"/>
  <c r="K5" i="18"/>
  <c r="E57" i="18" s="1"/>
  <c r="D86" i="18"/>
  <c r="D99" i="18"/>
  <c r="D80" i="18"/>
  <c r="D95" i="18"/>
  <c r="D76" i="18"/>
  <c r="J26" i="15"/>
  <c r="J21" i="15"/>
  <c r="J9" i="15"/>
  <c r="J22" i="15"/>
  <c r="J64" i="15"/>
  <c r="I51" i="15"/>
  <c r="L66" i="15"/>
  <c r="L65" i="15"/>
  <c r="L56" i="15"/>
  <c r="K40" i="15"/>
  <c r="L50" i="15"/>
  <c r="K61" i="15"/>
  <c r="J80" i="15"/>
  <c r="J13" i="15"/>
  <c r="J59" i="15"/>
  <c r="I103" i="18"/>
  <c r="I59" i="18"/>
  <c r="A51" i="52"/>
  <c r="A53" i="52"/>
  <c r="A55" i="52"/>
  <c r="A57" i="52"/>
  <c r="A59" i="52"/>
  <c r="C46" i="52"/>
  <c r="K46" i="52"/>
  <c r="J53" i="15"/>
  <c r="J52" i="15"/>
  <c r="J50" i="15"/>
  <c r="I76" i="18"/>
  <c r="J61" i="15"/>
  <c r="I50" i="15"/>
  <c r="I56" i="15"/>
  <c r="I61" i="15"/>
  <c r="J56" i="15"/>
  <c r="J63" i="15"/>
  <c r="J69" i="18"/>
  <c r="J76" i="18"/>
  <c r="J80" i="18"/>
  <c r="J95" i="18"/>
  <c r="K30" i="18"/>
  <c r="E80" i="15"/>
  <c r="O268" i="21"/>
  <c r="H29" i="18"/>
  <c r="H20" i="18"/>
  <c r="H18" i="18"/>
  <c r="J5" i="18"/>
  <c r="D57" i="18" s="1"/>
  <c r="H57" i="18"/>
  <c r="H5" i="18"/>
  <c r="B57" i="18" s="1"/>
  <c r="O260" i="21"/>
  <c r="J5" i="15"/>
  <c r="D48" i="15" s="1"/>
  <c r="H7" i="18"/>
  <c r="J40" i="15"/>
  <c r="K56" i="15"/>
  <c r="K44" i="18"/>
  <c r="K36" i="18"/>
  <c r="K77" i="18"/>
  <c r="K8" i="15"/>
  <c r="L76" i="18"/>
  <c r="K50" i="15"/>
  <c r="I91" i="18"/>
  <c r="J30" i="18"/>
  <c r="E64" i="18"/>
  <c r="K95" i="18"/>
  <c r="K39" i="18"/>
  <c r="K91" i="18"/>
  <c r="J28" i="18"/>
  <c r="K80" i="18"/>
  <c r="K76" i="18"/>
  <c r="J17" i="18"/>
  <c r="K69" i="18"/>
  <c r="K73" i="18"/>
  <c r="K71" i="18"/>
  <c r="D65" i="18"/>
  <c r="D70" i="18"/>
  <c r="D72" i="18"/>
  <c r="D77" i="18"/>
  <c r="D81" i="18"/>
  <c r="E97" i="18"/>
  <c r="E100" i="18"/>
  <c r="B64" i="18"/>
  <c r="B66" i="18"/>
  <c r="B71" i="18"/>
  <c r="B73" i="18"/>
  <c r="B78" i="18"/>
  <c r="B82" i="18"/>
  <c r="B88" i="18"/>
  <c r="B97" i="18"/>
  <c r="K22" i="15"/>
  <c r="K16" i="15"/>
  <c r="J7" i="18"/>
  <c r="I97" i="18"/>
  <c r="I81" i="18"/>
  <c r="I66" i="18"/>
  <c r="K47" i="18"/>
  <c r="K59" i="18"/>
  <c r="J7" i="15"/>
  <c r="I69" i="18"/>
  <c r="E78" i="18"/>
  <c r="L64" i="18"/>
  <c r="K100" i="18"/>
  <c r="K29" i="18"/>
  <c r="K72" i="18"/>
  <c r="J18" i="18"/>
  <c r="K24" i="18"/>
  <c r="E76" i="18"/>
  <c r="K17" i="18"/>
  <c r="I99" i="18"/>
  <c r="I101" i="18"/>
  <c r="B91" i="18"/>
  <c r="H28" i="18"/>
  <c r="I82" i="18"/>
  <c r="B80" i="18"/>
  <c r="H17" i="18"/>
  <c r="I63" i="18"/>
  <c r="I64" i="18"/>
  <c r="L69" i="15"/>
  <c r="L57" i="15"/>
  <c r="K14" i="15"/>
  <c r="I81" i="15"/>
  <c r="L71" i="15"/>
  <c r="L59" i="15"/>
  <c r="L58" i="15"/>
  <c r="K79" i="15"/>
  <c r="E56" i="15"/>
  <c r="L81" i="18"/>
  <c r="K21" i="18"/>
  <c r="L80" i="18"/>
  <c r="K7" i="18"/>
  <c r="J59" i="18"/>
  <c r="I100" i="18"/>
  <c r="I95" i="18"/>
  <c r="B63" i="18"/>
  <c r="B76" i="18"/>
  <c r="B86" i="18"/>
  <c r="B95" i="18"/>
  <c r="B65" i="18"/>
  <c r="B70" i="18"/>
  <c r="B72" i="18"/>
  <c r="B77" i="18"/>
  <c r="B81" i="18"/>
  <c r="B87" i="18"/>
  <c r="B96" i="18"/>
  <c r="B100" i="18"/>
  <c r="K37" i="15"/>
  <c r="L61" i="15"/>
  <c r="K59" i="15"/>
  <c r="K63" i="15"/>
  <c r="I71" i="15"/>
  <c r="I70" i="15"/>
  <c r="I53" i="15"/>
  <c r="K19" i="18"/>
  <c r="K14" i="18"/>
  <c r="K13" i="18"/>
  <c r="K101" i="18"/>
  <c r="K87" i="18"/>
  <c r="H43" i="18"/>
  <c r="E95" i="18"/>
  <c r="E86" i="18"/>
  <c r="L80" i="15"/>
  <c r="K23" i="15"/>
  <c r="E66" i="15"/>
  <c r="K9" i="15"/>
  <c r="L51" i="15"/>
  <c r="K36" i="15"/>
  <c r="K15" i="15"/>
  <c r="I65" i="15"/>
  <c r="K18" i="15"/>
  <c r="K7" i="15"/>
  <c r="L52" i="15"/>
  <c r="L68" i="15"/>
  <c r="K70" i="15"/>
  <c r="L87" i="18"/>
  <c r="K26" i="18"/>
  <c r="J45" i="18"/>
  <c r="K97" i="18"/>
  <c r="K35" i="18"/>
  <c r="J29" i="18"/>
  <c r="K81" i="18"/>
  <c r="E81" i="18"/>
  <c r="J25" i="18"/>
  <c r="K20" i="18"/>
  <c r="J20" i="18"/>
  <c r="E72" i="18"/>
  <c r="K18" i="18"/>
  <c r="K70" i="18"/>
  <c r="E70" i="18"/>
  <c r="J13" i="18"/>
  <c r="H45" i="18"/>
  <c r="K43" i="18"/>
  <c r="L97" i="18"/>
  <c r="L96" i="18"/>
  <c r="K28" i="18"/>
  <c r="E88" i="18"/>
  <c r="E66" i="18"/>
  <c r="K28" i="15"/>
  <c r="L79" i="15"/>
  <c r="L70" i="15"/>
  <c r="L64" i="15"/>
  <c r="E64" i="15"/>
  <c r="L53" i="15"/>
  <c r="K10" i="15"/>
  <c r="E52" i="15"/>
  <c r="J37" i="15"/>
  <c r="J27" i="15"/>
  <c r="I66" i="15"/>
  <c r="L78" i="15"/>
  <c r="L81" i="15"/>
  <c r="K25" i="15"/>
  <c r="K20" i="15"/>
  <c r="L63" i="15"/>
  <c r="K35" i="15"/>
  <c r="J20" i="15"/>
  <c r="I64" i="15"/>
  <c r="K49" i="18"/>
  <c r="L88" i="18"/>
  <c r="K25" i="18"/>
  <c r="L70" i="18"/>
  <c r="L66" i="18"/>
  <c r="J49" i="18"/>
  <c r="K48" i="18"/>
  <c r="K45" i="18"/>
  <c r="J35" i="18"/>
  <c r="K65" i="18"/>
  <c r="I87" i="18"/>
  <c r="I77" i="18"/>
  <c r="I70" i="18"/>
  <c r="H48" i="18"/>
  <c r="H44" i="18"/>
  <c r="H35" i="18"/>
  <c r="H25" i="18"/>
  <c r="H13" i="18"/>
  <c r="L72" i="18"/>
  <c r="E63" i="18"/>
  <c r="K63" i="18"/>
  <c r="K64" i="18"/>
  <c r="K66" i="18"/>
  <c r="B99" i="18"/>
  <c r="I86" i="18"/>
  <c r="I88" i="18"/>
  <c r="H24" i="18"/>
  <c r="I78" i="18"/>
  <c r="I73" i="18"/>
  <c r="I72" i="18"/>
  <c r="I71" i="18"/>
  <c r="B69" i="18"/>
  <c r="H34" i="18"/>
  <c r="L57" i="18"/>
  <c r="E101" i="18"/>
  <c r="E99" i="18"/>
  <c r="E96" i="18"/>
  <c r="E91" i="18"/>
  <c r="E87" i="18"/>
  <c r="E82" i="18"/>
  <c r="E80" i="18"/>
  <c r="E77" i="18"/>
  <c r="E73" i="18"/>
  <c r="E71" i="18"/>
  <c r="E69" i="18"/>
  <c r="E65" i="18"/>
  <c r="K27" i="15"/>
  <c r="D70" i="15"/>
  <c r="J35" i="15"/>
  <c r="K78" i="15"/>
  <c r="K81" i="15"/>
  <c r="D50" i="15"/>
  <c r="D51" i="15"/>
  <c r="E57" i="15"/>
  <c r="E59" i="15"/>
  <c r="D63" i="15"/>
  <c r="E68" i="15"/>
  <c r="E71" i="15"/>
  <c r="E103" i="18"/>
  <c r="L59" i="18"/>
  <c r="K51" i="18"/>
  <c r="L63" i="18"/>
  <c r="L69" i="18"/>
  <c r="L86" i="18"/>
  <c r="L91" i="18"/>
  <c r="L95" i="18"/>
  <c r="L99" i="18"/>
  <c r="E79" i="15"/>
  <c r="H36" i="18"/>
  <c r="H21" i="18"/>
  <c r="H14" i="18"/>
  <c r="H12" i="18"/>
  <c r="H77" i="18"/>
  <c r="K69" i="15"/>
  <c r="K66" i="15"/>
  <c r="I79" i="15"/>
  <c r="H49" i="18"/>
  <c r="H26" i="18"/>
  <c r="H87" i="18"/>
  <c r="H65" i="18"/>
  <c r="D87" i="18"/>
  <c r="D96" i="18"/>
  <c r="D100" i="18"/>
  <c r="D103" i="18"/>
  <c r="K64" i="15"/>
  <c r="K65" i="15"/>
  <c r="J47" i="52"/>
  <c r="V47" i="52" s="1"/>
  <c r="AH47" i="52" s="1"/>
  <c r="J89" i="52"/>
  <c r="V89" i="52" s="1"/>
  <c r="AH89" i="52" s="1"/>
  <c r="H30" i="18"/>
  <c r="H19" i="18"/>
  <c r="P14" i="31"/>
  <c r="K71" i="15"/>
  <c r="D80" i="15"/>
  <c r="K57" i="15"/>
  <c r="I80" i="15"/>
  <c r="I52" i="15"/>
  <c r="K58" i="15"/>
  <c r="K53" i="15"/>
  <c r="K52" i="15"/>
  <c r="K51" i="15"/>
  <c r="I69" i="15"/>
  <c r="I59" i="15"/>
  <c r="I58" i="15"/>
  <c r="I57" i="15"/>
  <c r="E51" i="15"/>
  <c r="E53" i="15"/>
  <c r="D57" i="15"/>
  <c r="E58" i="15"/>
  <c r="E61" i="15"/>
  <c r="E63" i="15"/>
  <c r="E65" i="15"/>
  <c r="D68" i="15"/>
  <c r="E69" i="15"/>
  <c r="E70" i="15"/>
  <c r="E78" i="15"/>
  <c r="E81" i="15"/>
  <c r="E83" i="15"/>
  <c r="H39" i="18"/>
  <c r="H47" i="18"/>
  <c r="H82" i="18"/>
  <c r="H88" i="18"/>
  <c r="H97" i="18"/>
  <c r="H73" i="18"/>
  <c r="D59" i="18"/>
  <c r="E50" i="15"/>
  <c r="D52" i="15"/>
  <c r="D53" i="15"/>
  <c r="D58" i="15"/>
  <c r="D59" i="15"/>
  <c r="D64" i="15"/>
  <c r="D65" i="15"/>
  <c r="D71" i="15"/>
  <c r="D78" i="15"/>
  <c r="D64" i="18"/>
  <c r="D66" i="18"/>
  <c r="D71" i="18"/>
  <c r="D73" i="18"/>
  <c r="D78" i="18"/>
  <c r="D82" i="18"/>
  <c r="D88" i="18"/>
  <c r="D97" i="18"/>
  <c r="D101" i="18"/>
  <c r="D63" i="18"/>
  <c r="L47" i="52"/>
  <c r="X47" i="52" s="1"/>
  <c r="AJ47" i="52" s="1"/>
  <c r="L89" i="52"/>
  <c r="X89" i="52" s="1"/>
  <c r="AJ89" i="52" s="1"/>
  <c r="H66" i="18"/>
  <c r="H70" i="18"/>
  <c r="H81" i="18"/>
  <c r="H100" i="18"/>
  <c r="H101" i="18"/>
  <c r="H71" i="18"/>
  <c r="E59" i="18"/>
  <c r="D56" i="15"/>
  <c r="D61" i="15"/>
  <c r="D66" i="15"/>
  <c r="D81" i="15"/>
  <c r="H78" i="18"/>
  <c r="H72" i="18"/>
  <c r="D69" i="15"/>
  <c r="D79" i="15"/>
  <c r="D83" i="15"/>
  <c r="F47" i="52"/>
  <c r="R47" i="52" s="1"/>
  <c r="AD47" i="52" s="1"/>
  <c r="H47" i="52"/>
  <c r="T47" i="52" s="1"/>
  <c r="AF47" i="52" s="1"/>
  <c r="K47" i="52"/>
  <c r="W47" i="52" s="1"/>
  <c r="AI47" i="52" s="1"/>
  <c r="F89" i="52"/>
  <c r="R89" i="52" s="1"/>
  <c r="AD89" i="52" s="1"/>
  <c r="H89" i="52"/>
  <c r="T89" i="52" s="1"/>
  <c r="AF89" i="52" s="1"/>
  <c r="K89" i="52"/>
  <c r="W89" i="52" s="1"/>
  <c r="AI89" i="52" s="1"/>
  <c r="F7" i="44" l="1"/>
  <c r="F8" i="44"/>
  <c r="F9" i="44"/>
  <c r="F18" i="44"/>
  <c r="F10" i="44"/>
  <c r="F11" i="44"/>
  <c r="F12" i="44"/>
  <c r="F13" i="44"/>
  <c r="B5" i="44"/>
  <c r="B11" i="44"/>
  <c r="B6" i="44"/>
  <c r="B8" i="44"/>
  <c r="B10" i="44"/>
  <c r="B12" i="44"/>
  <c r="B7" i="44"/>
  <c r="B9" i="44"/>
  <c r="B13" i="44"/>
  <c r="D6" i="44"/>
  <c r="D8" i="44"/>
  <c r="F50" i="44" s="1"/>
  <c r="D10" i="44"/>
  <c r="D12" i="44"/>
  <c r="D5" i="44"/>
  <c r="F33" i="44" s="1"/>
  <c r="D9" i="44"/>
  <c r="D13" i="44"/>
  <c r="D7" i="44"/>
  <c r="D11" i="44"/>
  <c r="C18" i="44"/>
  <c r="C7" i="44"/>
  <c r="C11" i="44"/>
  <c r="C6" i="44"/>
  <c r="C8" i="44"/>
  <c r="C10" i="44"/>
  <c r="C12" i="44"/>
  <c r="B54" i="44" s="1"/>
  <c r="C5" i="44"/>
  <c r="C9" i="44"/>
  <c r="C13" i="44"/>
  <c r="E18" i="44"/>
  <c r="E6" i="44"/>
  <c r="E34" i="44" s="1"/>
  <c r="E8" i="44"/>
  <c r="E36" i="44" s="1"/>
  <c r="E10" i="44"/>
  <c r="E12" i="44"/>
  <c r="E7" i="44"/>
  <c r="E11" i="44"/>
  <c r="D53" i="44" s="1"/>
  <c r="E5" i="44"/>
  <c r="E47" i="44" s="1"/>
  <c r="E9" i="44"/>
  <c r="E51" i="44" s="1"/>
  <c r="E13" i="44"/>
  <c r="E32" i="44"/>
  <c r="E46" i="44"/>
  <c r="C32" i="44"/>
  <c r="B18" i="44"/>
  <c r="B32" i="44"/>
  <c r="L231" i="21"/>
  <c r="L261" i="21" s="1"/>
  <c r="L234" i="21"/>
  <c r="L264" i="21" s="1"/>
  <c r="L235" i="21"/>
  <c r="L265" i="21" s="1"/>
  <c r="L233" i="21"/>
  <c r="L263" i="21" s="1"/>
  <c r="L232" i="21"/>
  <c r="L262" i="21" s="1"/>
  <c r="L236" i="21"/>
  <c r="L266" i="21" s="1"/>
  <c r="B46" i="44"/>
  <c r="F46" i="44"/>
  <c r="F32" i="44"/>
  <c r="D32" i="44"/>
  <c r="D46" i="44"/>
  <c r="D18" i="44"/>
  <c r="C46" i="44"/>
  <c r="J11" i="78"/>
  <c r="J48" i="78" s="1"/>
  <c r="J85" i="78" s="1"/>
  <c r="U28" i="78"/>
  <c r="U65" i="78" s="1"/>
  <c r="U102" i="78" s="1"/>
  <c r="U11" i="78"/>
  <c r="U48" i="78" s="1"/>
  <c r="U85" i="78" s="1"/>
  <c r="U32" i="78"/>
  <c r="U69" i="78" s="1"/>
  <c r="U106" i="78" s="1"/>
  <c r="J24" i="78"/>
  <c r="J61" i="78" s="1"/>
  <c r="J98" i="78" s="1"/>
  <c r="U24" i="78"/>
  <c r="U61" i="78" s="1"/>
  <c r="U98" i="78" s="1"/>
  <c r="J19" i="78"/>
  <c r="J56" i="78" s="1"/>
  <c r="J93" i="78" s="1"/>
  <c r="J16" i="78"/>
  <c r="J53" i="78" s="1"/>
  <c r="J90" i="78" s="1"/>
  <c r="U19" i="78"/>
  <c r="U56" i="78" s="1"/>
  <c r="U93" i="78" s="1"/>
  <c r="U16" i="78"/>
  <c r="U53" i="78" s="1"/>
  <c r="U90" i="78" s="1"/>
  <c r="J28" i="78"/>
  <c r="J65" i="78" s="1"/>
  <c r="J102" i="78" s="1"/>
  <c r="U17" i="78"/>
  <c r="U54" i="78" s="1"/>
  <c r="U91" i="78" s="1"/>
  <c r="B36" i="44" l="1"/>
  <c r="F49" i="44"/>
  <c r="E52" i="44"/>
  <c r="F52" i="44"/>
  <c r="E49" i="44"/>
  <c r="B53" i="44"/>
  <c r="E40" i="44"/>
  <c r="E35" i="44"/>
  <c r="E38" i="44"/>
  <c r="E54" i="44"/>
  <c r="E39" i="44"/>
  <c r="E33" i="44"/>
  <c r="B39" i="44"/>
  <c r="E53" i="44"/>
  <c r="E37" i="44"/>
  <c r="F40" i="44"/>
  <c r="B40" i="44"/>
  <c r="F15" i="44"/>
  <c r="F19" i="44" s="1"/>
  <c r="E50" i="44"/>
  <c r="E41" i="44"/>
  <c r="E15" i="44"/>
  <c r="E25" i="44" s="1"/>
  <c r="E48" i="44"/>
  <c r="D48" i="44"/>
  <c r="E55" i="44"/>
  <c r="B48" i="44"/>
  <c r="B34" i="44"/>
  <c r="B38" i="44"/>
  <c r="B50" i="44"/>
  <c r="B55" i="44"/>
  <c r="C15" i="44"/>
  <c r="C20" i="44" s="1"/>
  <c r="B15" i="44"/>
  <c r="B21" i="44" s="1"/>
  <c r="B49" i="44"/>
  <c r="B51" i="44"/>
  <c r="B52" i="44"/>
  <c r="B41" i="44"/>
  <c r="B35" i="44"/>
  <c r="B33" i="44"/>
  <c r="B47" i="44"/>
  <c r="B37" i="44"/>
  <c r="C37" i="44"/>
  <c r="C41" i="44"/>
  <c r="D34" i="44"/>
  <c r="D36" i="44"/>
  <c r="C39" i="44"/>
  <c r="D39" i="44"/>
  <c r="F53" i="44"/>
  <c r="D55" i="44"/>
  <c r="F38" i="44"/>
  <c r="C38" i="44"/>
  <c r="D54" i="44"/>
  <c r="C40" i="44"/>
  <c r="D47" i="44"/>
  <c r="D52" i="44"/>
  <c r="C33" i="44"/>
  <c r="F51" i="44"/>
  <c r="F55" i="44"/>
  <c r="D37" i="44"/>
  <c r="C35" i="44"/>
  <c r="F35" i="44"/>
  <c r="D38" i="44"/>
  <c r="C51" i="44"/>
  <c r="F37" i="44"/>
  <c r="D49" i="44"/>
  <c r="C36" i="44"/>
  <c r="D35" i="44"/>
  <c r="C53" i="44"/>
  <c r="D50" i="44"/>
  <c r="C48" i="44"/>
  <c r="F34" i="44"/>
  <c r="C54" i="44"/>
  <c r="D40" i="44"/>
  <c r="D15" i="44"/>
  <c r="D22" i="44" s="1"/>
  <c r="C47" i="44"/>
  <c r="F54" i="44"/>
  <c r="F39" i="44"/>
  <c r="F47" i="44"/>
  <c r="C50" i="44"/>
  <c r="F36" i="44"/>
  <c r="C49" i="44"/>
  <c r="C55" i="44"/>
  <c r="D41" i="44"/>
  <c r="F41" i="44"/>
  <c r="C34" i="44"/>
  <c r="C52" i="44"/>
  <c r="F48" i="44"/>
  <c r="D51" i="44"/>
  <c r="D33" i="44"/>
  <c r="J19" i="71"/>
  <c r="J16" i="71"/>
  <c r="J11" i="71"/>
  <c r="J32" i="78"/>
  <c r="J69" i="78" s="1"/>
  <c r="J106" i="78" s="1"/>
  <c r="J24" i="71"/>
  <c r="J28" i="71"/>
  <c r="J22" i="78"/>
  <c r="J59" i="78" s="1"/>
  <c r="J96" i="78" s="1"/>
  <c r="U29" i="78"/>
  <c r="U66" i="78" s="1"/>
  <c r="U103" i="78" s="1"/>
  <c r="U22" i="78"/>
  <c r="U59" i="78" s="1"/>
  <c r="U96" i="78" s="1"/>
  <c r="J9" i="78"/>
  <c r="J46" i="78" s="1"/>
  <c r="J83" i="78" s="1"/>
  <c r="U15" i="78"/>
  <c r="U52" i="78" s="1"/>
  <c r="U89" i="78" s="1"/>
  <c r="J10" i="78"/>
  <c r="J47" i="78" s="1"/>
  <c r="J84" i="78" s="1"/>
  <c r="U25" i="78"/>
  <c r="U62" i="78" s="1"/>
  <c r="U99" i="78" s="1"/>
  <c r="J14" i="78"/>
  <c r="J51" i="78" s="1"/>
  <c r="J88" i="78" s="1"/>
  <c r="U21" i="78"/>
  <c r="U58" i="78" s="1"/>
  <c r="U95" i="78" s="1"/>
  <c r="U13" i="78"/>
  <c r="U50" i="78" s="1"/>
  <c r="U87" i="78" s="1"/>
  <c r="J13" i="78"/>
  <c r="J50" i="78" s="1"/>
  <c r="J87" i="78" s="1"/>
  <c r="J21" i="78"/>
  <c r="J58" i="78" s="1"/>
  <c r="J95" i="78" s="1"/>
  <c r="J25" i="78"/>
  <c r="J62" i="78" s="1"/>
  <c r="J99" i="78" s="1"/>
  <c r="U14" i="78"/>
  <c r="U51" i="78" s="1"/>
  <c r="U88" i="78" s="1"/>
  <c r="U9" i="78"/>
  <c r="U46" i="78" s="1"/>
  <c r="U83" i="78" s="1"/>
  <c r="J29" i="78"/>
  <c r="J66" i="78" s="1"/>
  <c r="J103" i="78" s="1"/>
  <c r="J15" i="78"/>
  <c r="J52" i="78" s="1"/>
  <c r="J89" i="78" s="1"/>
  <c r="U20" i="78"/>
  <c r="U57" i="78" s="1"/>
  <c r="U94" i="78" s="1"/>
  <c r="J20" i="78"/>
  <c r="J57" i="78" s="1"/>
  <c r="J94" i="78" s="1"/>
  <c r="U10" i="78"/>
  <c r="U47" i="78" s="1"/>
  <c r="U84" i="78" s="1"/>
  <c r="F21" i="44" l="1"/>
  <c r="C29" i="44"/>
  <c r="F27" i="44"/>
  <c r="B22" i="44"/>
  <c r="B27" i="44"/>
  <c r="F29" i="44"/>
  <c r="B25" i="44"/>
  <c r="C21" i="44"/>
  <c r="F25" i="44"/>
  <c r="E29" i="44"/>
  <c r="E21" i="44"/>
  <c r="C23" i="44"/>
  <c r="E20" i="44"/>
  <c r="E43" i="44"/>
  <c r="B43" i="44"/>
  <c r="F23" i="44"/>
  <c r="F22" i="44"/>
  <c r="F26" i="44"/>
  <c r="E57" i="44"/>
  <c r="E24" i="44"/>
  <c r="E19" i="44"/>
  <c r="E23" i="44"/>
  <c r="E27" i="44"/>
  <c r="B24" i="44"/>
  <c r="E26" i="44"/>
  <c r="F20" i="44"/>
  <c r="E22" i="44"/>
  <c r="B57" i="44"/>
  <c r="B26" i="44"/>
  <c r="B19" i="44"/>
  <c r="B29" i="44"/>
  <c r="B23" i="44"/>
  <c r="F24" i="44"/>
  <c r="C27" i="44"/>
  <c r="B20" i="44"/>
  <c r="C22" i="44"/>
  <c r="C26" i="44"/>
  <c r="C24" i="44"/>
  <c r="C25" i="44"/>
  <c r="C19" i="44"/>
  <c r="J53" i="71"/>
  <c r="J90" i="71" s="1"/>
  <c r="Q45" i="31"/>
  <c r="J65" i="71"/>
  <c r="J102" i="71" s="1"/>
  <c r="Q57" i="31"/>
  <c r="J61" i="71"/>
  <c r="J98" i="71" s="1"/>
  <c r="Q53" i="31"/>
  <c r="J48" i="71"/>
  <c r="J85" i="71" s="1"/>
  <c r="Q40" i="31"/>
  <c r="J56" i="71"/>
  <c r="J93" i="71" s="1"/>
  <c r="Q48" i="31"/>
  <c r="D27" i="44"/>
  <c r="D26" i="44"/>
  <c r="D19" i="44"/>
  <c r="D43" i="44"/>
  <c r="D23" i="44"/>
  <c r="D21" i="44"/>
  <c r="D25" i="44"/>
  <c r="C57" i="44"/>
  <c r="D29" i="44"/>
  <c r="F43" i="44"/>
  <c r="C43" i="44"/>
  <c r="D24" i="44"/>
  <c r="D57" i="44"/>
  <c r="D20" i="44"/>
  <c r="F57" i="44"/>
  <c r="T72" i="78"/>
  <c r="T109" i="78"/>
  <c r="J32" i="71"/>
  <c r="U35" i="78"/>
  <c r="U72" i="78" s="1"/>
  <c r="U109" i="78" s="1"/>
  <c r="J21" i="71"/>
  <c r="J14" i="71"/>
  <c r="J29" i="71"/>
  <c r="J22" i="71"/>
  <c r="J20" i="71"/>
  <c r="J10" i="71"/>
  <c r="J25" i="71"/>
  <c r="J13" i="71"/>
  <c r="J15" i="71"/>
  <c r="J35" i="71" l="1"/>
  <c r="J72" i="71" s="1"/>
  <c r="J57" i="71"/>
  <c r="J94" i="71" s="1"/>
  <c r="Q49" i="31"/>
  <c r="J66" i="71"/>
  <c r="J103" i="71" s="1"/>
  <c r="Q58" i="31"/>
  <c r="J59" i="71"/>
  <c r="J96" i="71" s="1"/>
  <c r="Q51" i="31"/>
  <c r="J58" i="71"/>
  <c r="J95" i="71" s="1"/>
  <c r="Q50" i="31"/>
  <c r="J51" i="71"/>
  <c r="J88" i="71" s="1"/>
  <c r="Q43" i="31"/>
  <c r="J50" i="71"/>
  <c r="J87" i="71" s="1"/>
  <c r="Q42" i="31"/>
  <c r="J69" i="71"/>
  <c r="J106" i="71" s="1"/>
  <c r="Q61" i="31"/>
  <c r="J52" i="71"/>
  <c r="J89" i="71" s="1"/>
  <c r="Q44" i="31"/>
  <c r="J62" i="71"/>
  <c r="J99" i="71" s="1"/>
  <c r="Q54" i="31"/>
  <c r="J47" i="71"/>
  <c r="J84" i="71" s="1"/>
  <c r="Q39" i="31"/>
  <c r="J46" i="71"/>
  <c r="J83" i="71" s="1"/>
  <c r="J35" i="78"/>
  <c r="J72" i="78" s="1"/>
  <c r="J109" i="78" s="1"/>
  <c r="J109" i="71" l="1"/>
  <c r="Q64" i="31"/>
  <c r="I47" i="16" l="1"/>
  <c r="I50" i="16"/>
  <c r="I52" i="16"/>
  <c r="I49" i="16"/>
  <c r="I54" i="16"/>
  <c r="C85" i="60"/>
  <c r="I85" i="60" s="1"/>
  <c r="O85" i="60" s="1"/>
  <c r="U85" i="60" s="1"/>
  <c r="J26" i="16" l="1"/>
  <c r="J46" i="16" s="1"/>
  <c r="I48" i="16"/>
  <c r="I51" i="16"/>
  <c r="J13" i="16"/>
  <c r="J31" i="16" s="1"/>
  <c r="J51" i="16" s="1"/>
  <c r="J10" i="16"/>
  <c r="J28" i="16" s="1"/>
  <c r="J48" i="16" s="1"/>
  <c r="J9" i="16"/>
  <c r="J27" i="16" s="1"/>
  <c r="J47" i="16" s="1"/>
  <c r="J11" i="16"/>
  <c r="J29" i="16" s="1"/>
  <c r="J49" i="16" s="1"/>
  <c r="J14" i="16"/>
  <c r="J32" i="16" s="1"/>
  <c r="J52" i="16" s="1"/>
  <c r="I18" i="16"/>
  <c r="I36" i="16" s="1"/>
  <c r="J12" i="16"/>
  <c r="J30" i="16" s="1"/>
  <c r="J50" i="16" s="1"/>
  <c r="J15" i="16"/>
  <c r="J33" i="16" s="1"/>
  <c r="J53" i="16" s="1"/>
  <c r="C58" i="60"/>
  <c r="I58" i="60" s="1"/>
  <c r="O58" i="60" s="1"/>
  <c r="U58" i="60" s="1"/>
  <c r="I6" i="60"/>
  <c r="O6" i="60" s="1"/>
  <c r="U6" i="60" s="1"/>
  <c r="A1" i="60"/>
  <c r="Y80" i="60"/>
  <c r="T89" i="60"/>
  <c r="H87" i="60"/>
  <c r="T61" i="60"/>
  <c r="N62" i="60"/>
  <c r="H63" i="60"/>
  <c r="T37" i="60"/>
  <c r="T21" i="60"/>
  <c r="N47" i="60"/>
  <c r="N31" i="60"/>
  <c r="N15" i="60"/>
  <c r="H41" i="60"/>
  <c r="H25" i="60"/>
  <c r="H9" i="60"/>
  <c r="B68" i="60"/>
  <c r="B15" i="60"/>
  <c r="B31" i="60"/>
  <c r="B47" i="60"/>
  <c r="N87" i="60"/>
  <c r="T68" i="60"/>
  <c r="N69" i="60"/>
  <c r="H70" i="60"/>
  <c r="T44" i="60"/>
  <c r="T28" i="60"/>
  <c r="T12" i="60"/>
  <c r="N38" i="60"/>
  <c r="N22" i="60"/>
  <c r="H48" i="60"/>
  <c r="H32" i="60"/>
  <c r="H16" i="60"/>
  <c r="B61" i="60"/>
  <c r="B60" i="60"/>
  <c r="B24" i="60"/>
  <c r="B40" i="60"/>
  <c r="N90" i="60"/>
  <c r="T71" i="60"/>
  <c r="N72" i="60"/>
  <c r="H73" i="60"/>
  <c r="T47" i="60"/>
  <c r="T31" i="60"/>
  <c r="T15" i="60"/>
  <c r="N41" i="60"/>
  <c r="N25" i="60"/>
  <c r="N9" i="60"/>
  <c r="H35" i="60"/>
  <c r="H19" i="60"/>
  <c r="B92" i="60"/>
  <c r="B74" i="60"/>
  <c r="B21" i="60"/>
  <c r="B37" i="60"/>
  <c r="T90" i="60"/>
  <c r="H88" i="60"/>
  <c r="T62" i="60"/>
  <c r="N63" i="60"/>
  <c r="H64" i="60"/>
  <c r="T38" i="60"/>
  <c r="T22" i="60"/>
  <c r="N48" i="60"/>
  <c r="N32" i="60"/>
  <c r="N16" i="60"/>
  <c r="H42" i="60"/>
  <c r="H26" i="60"/>
  <c r="H10" i="60"/>
  <c r="B67" i="60"/>
  <c r="B14" i="60"/>
  <c r="B30" i="60"/>
  <c r="B46" i="60"/>
  <c r="T94" i="60"/>
  <c r="H91" i="60"/>
  <c r="T65" i="60"/>
  <c r="N66" i="60"/>
  <c r="H67" i="60"/>
  <c r="T41" i="60"/>
  <c r="T25" i="60"/>
  <c r="T9" i="60"/>
  <c r="N35" i="60"/>
  <c r="N19" i="60"/>
  <c r="H45" i="60"/>
  <c r="H29" i="60"/>
  <c r="H13" i="60"/>
  <c r="B64" i="60"/>
  <c r="B11" i="60"/>
  <c r="B27" i="60"/>
  <c r="B43" i="60"/>
  <c r="N91" i="60"/>
  <c r="T72" i="60"/>
  <c r="N73" i="60"/>
  <c r="H74" i="60"/>
  <c r="T48" i="60"/>
  <c r="T32" i="60"/>
  <c r="T16" i="60"/>
  <c r="N42" i="60"/>
  <c r="N26" i="60"/>
  <c r="N10" i="60"/>
  <c r="H36" i="60"/>
  <c r="H20" i="60"/>
  <c r="B91" i="60"/>
  <c r="B73" i="60"/>
  <c r="B20" i="60"/>
  <c r="B36" i="60"/>
  <c r="T87" i="60"/>
  <c r="T75" i="60"/>
  <c r="N77" i="60"/>
  <c r="N60" i="60"/>
  <c r="H61" i="60"/>
  <c r="T35" i="60"/>
  <c r="T19" i="60"/>
  <c r="N45" i="60"/>
  <c r="N29" i="60"/>
  <c r="N13" i="60"/>
  <c r="H39" i="60"/>
  <c r="H23" i="60"/>
  <c r="B88" i="60"/>
  <c r="B70" i="60"/>
  <c r="B17" i="60"/>
  <c r="B33" i="60"/>
  <c r="B50" i="60"/>
  <c r="H92" i="60"/>
  <c r="T66" i="60"/>
  <c r="N67" i="60"/>
  <c r="H68" i="60"/>
  <c r="T42" i="60"/>
  <c r="T26" i="60"/>
  <c r="T10" i="60"/>
  <c r="N36" i="60"/>
  <c r="N20" i="60"/>
  <c r="H46" i="60"/>
  <c r="H30" i="60"/>
  <c r="H14" i="60"/>
  <c r="B63" i="60"/>
  <c r="B26" i="60"/>
  <c r="A80" i="60"/>
  <c r="Y53" i="60"/>
  <c r="A53" i="60"/>
  <c r="Y1" i="60"/>
  <c r="N88" i="60"/>
  <c r="T69" i="60"/>
  <c r="N70" i="60"/>
  <c r="H71" i="60"/>
  <c r="T45" i="60"/>
  <c r="T29" i="60"/>
  <c r="T13" i="60"/>
  <c r="N39" i="60"/>
  <c r="N23" i="60"/>
  <c r="H50" i="60"/>
  <c r="H33" i="60"/>
  <c r="H17" i="60"/>
  <c r="B87" i="60"/>
  <c r="B77" i="60"/>
  <c r="B23" i="60"/>
  <c r="B39" i="60"/>
  <c r="T88" i="60"/>
  <c r="T77" i="60"/>
  <c r="T60" i="60"/>
  <c r="N61" i="60"/>
  <c r="H62" i="60"/>
  <c r="T36" i="60"/>
  <c r="T20" i="60"/>
  <c r="N46" i="60"/>
  <c r="N30" i="60"/>
  <c r="N14" i="60"/>
  <c r="H40" i="60"/>
  <c r="H24" i="60"/>
  <c r="H8" i="60"/>
  <c r="B69" i="60"/>
  <c r="B16" i="60"/>
  <c r="B32" i="60"/>
  <c r="T91" i="60"/>
  <c r="H89" i="60"/>
  <c r="T63" i="60"/>
  <c r="N64" i="60"/>
  <c r="H65" i="60"/>
  <c r="T39" i="60"/>
  <c r="T23" i="60"/>
  <c r="N50" i="60"/>
  <c r="N33" i="60"/>
  <c r="N17" i="60"/>
  <c r="H43" i="60"/>
  <c r="H27" i="60"/>
  <c r="H11" i="60"/>
  <c r="B66" i="60"/>
  <c r="B13" i="60"/>
  <c r="B29" i="60"/>
  <c r="B45" i="60"/>
  <c r="N89" i="60"/>
  <c r="T70" i="60"/>
  <c r="N71" i="60"/>
  <c r="H72" i="60"/>
  <c r="T46" i="60"/>
  <c r="T30" i="60"/>
  <c r="T14" i="60"/>
  <c r="N40" i="60"/>
  <c r="N24" i="60"/>
  <c r="N8" i="60"/>
  <c r="H34" i="60"/>
  <c r="H18" i="60"/>
  <c r="B94" i="60"/>
  <c r="B75" i="60"/>
  <c r="B22" i="60"/>
  <c r="B38" i="60"/>
  <c r="B44" i="60"/>
  <c r="N92" i="60"/>
  <c r="T73" i="60"/>
  <c r="N74" i="60"/>
  <c r="H75" i="60"/>
  <c r="T50" i="60"/>
  <c r="T33" i="60"/>
  <c r="T17" i="60"/>
  <c r="N43" i="60"/>
  <c r="N27" i="60"/>
  <c r="N11" i="60"/>
  <c r="H37" i="60"/>
  <c r="H21" i="60"/>
  <c r="B90" i="60"/>
  <c r="B72" i="60"/>
  <c r="B19" i="60"/>
  <c r="B35" i="60"/>
  <c r="T92" i="60"/>
  <c r="H90" i="60"/>
  <c r="T64" i="60"/>
  <c r="N65" i="60"/>
  <c r="H66" i="60"/>
  <c r="T40" i="60"/>
  <c r="T24" i="60"/>
  <c r="T8" i="60"/>
  <c r="N34" i="60"/>
  <c r="N18" i="60"/>
  <c r="H44" i="60"/>
  <c r="H28" i="60"/>
  <c r="H12" i="60"/>
  <c r="B65" i="60"/>
  <c r="B12" i="60"/>
  <c r="B28" i="60"/>
  <c r="B48" i="60"/>
  <c r="H94" i="60"/>
  <c r="T67" i="60"/>
  <c r="N68" i="60"/>
  <c r="H69" i="60"/>
  <c r="T43" i="60"/>
  <c r="T27" i="60"/>
  <c r="T11" i="60"/>
  <c r="N37" i="60"/>
  <c r="N21" i="60"/>
  <c r="H47" i="60"/>
  <c r="H31" i="60"/>
  <c r="H15" i="60"/>
  <c r="B62" i="60"/>
  <c r="B9" i="60"/>
  <c r="B25" i="60"/>
  <c r="B41" i="60"/>
  <c r="N94" i="60"/>
  <c r="T74" i="60"/>
  <c r="N75" i="60"/>
  <c r="H77" i="60"/>
  <c r="H60" i="60"/>
  <c r="T34" i="60"/>
  <c r="T18" i="60"/>
  <c r="N44" i="60"/>
  <c r="N28" i="60"/>
  <c r="N12" i="60"/>
  <c r="H38" i="60"/>
  <c r="H22" i="60"/>
  <c r="B89" i="60"/>
  <c r="B71" i="60"/>
  <c r="B18" i="60"/>
  <c r="B34" i="60"/>
  <c r="B10" i="60"/>
  <c r="B42" i="60"/>
  <c r="B8" i="60"/>
  <c r="I56" i="16" l="1"/>
  <c r="J18" i="16"/>
  <c r="J36" i="16" s="1"/>
  <c r="J56" i="16" s="1"/>
  <c r="Q15" i="31"/>
  <c r="Q11" i="31"/>
  <c r="Q13" i="31"/>
  <c r="Q9" i="31"/>
  <c r="Q14" i="31"/>
  <c r="Q8" i="31"/>
  <c r="Q10" i="31"/>
  <c r="Q12" i="31"/>
  <c r="B61" i="12" l="1"/>
  <c r="B89" i="12"/>
  <c r="A31" i="11"/>
  <c r="B19" i="11"/>
  <c r="M230" i="21" s="1"/>
  <c r="B31" i="12"/>
  <c r="M4" i="11"/>
  <c r="B44" i="11"/>
  <c r="B5" i="15"/>
  <c r="A1" i="15" s="1"/>
  <c r="A59" i="12"/>
  <c r="A257" i="21" l="1"/>
  <c r="A227" i="21"/>
  <c r="B87" i="15"/>
  <c r="M6" i="19" s="1"/>
  <c r="A1" i="19" s="1"/>
  <c r="B110" i="15"/>
  <c r="M19" i="19" s="1"/>
  <c r="B104" i="15"/>
  <c r="M25" i="19" s="1"/>
  <c r="B118" i="15"/>
  <c r="M11" i="19" s="1"/>
  <c r="B111" i="15"/>
  <c r="M18" i="19" s="1"/>
  <c r="B105" i="15"/>
  <c r="M24" i="19" s="1"/>
  <c r="B112" i="15"/>
  <c r="M17" i="19" s="1"/>
  <c r="B119" i="15"/>
  <c r="M10" i="19" s="1"/>
  <c r="B113" i="15"/>
  <c r="M16" i="19" s="1"/>
  <c r="B108" i="15"/>
  <c r="M21" i="19" s="1"/>
  <c r="B114" i="15"/>
  <c r="M15" i="19" s="1"/>
  <c r="B120" i="15"/>
  <c r="M9" i="19" s="1"/>
  <c r="B93" i="15"/>
  <c r="M36" i="19" s="1"/>
  <c r="B109" i="15"/>
  <c r="M20" i="19" s="1"/>
  <c r="B115" i="15"/>
  <c r="M14" i="19" s="1"/>
  <c r="B103" i="15"/>
  <c r="M26" i="19" s="1"/>
  <c r="B65" i="15"/>
  <c r="A44" i="15"/>
  <c r="B81" i="15"/>
  <c r="B71" i="15"/>
  <c r="B76" i="15"/>
  <c r="B74" i="15"/>
  <c r="B75" i="15"/>
  <c r="B72" i="15"/>
  <c r="B73" i="15"/>
  <c r="B54" i="15"/>
  <c r="H5" i="15"/>
  <c r="B48" i="15" s="1"/>
  <c r="H48" i="15"/>
  <c r="B93" i="12" l="1"/>
  <c r="B66" i="12"/>
  <c r="B15" i="15"/>
  <c r="B97" i="15" s="1"/>
  <c r="M32" i="19" s="1"/>
  <c r="B47" i="11"/>
  <c r="M7" i="11"/>
  <c r="B18" i="15"/>
  <c r="B100" i="15" s="1"/>
  <c r="M29" i="19" s="1"/>
  <c r="B67" i="12"/>
  <c r="B16" i="15"/>
  <c r="B98" i="15" s="1"/>
  <c r="M31" i="19" s="1"/>
  <c r="B94" i="12"/>
  <c r="B50" i="11"/>
  <c r="B35" i="15"/>
  <c r="B117" i="15" s="1"/>
  <c r="M12" i="19" s="1"/>
  <c r="M10" i="11"/>
  <c r="B13" i="15"/>
  <c r="B95" i="15" s="1"/>
  <c r="M34" i="19" s="1"/>
  <c r="B46" i="11"/>
  <c r="M6" i="11"/>
  <c r="B104" i="12"/>
  <c r="B100" i="12"/>
  <c r="B97" i="12"/>
  <c r="B70" i="12"/>
  <c r="B95" i="12"/>
  <c r="B68" i="12"/>
  <c r="B10" i="15"/>
  <c r="B92" i="15" s="1"/>
  <c r="M37" i="19" s="1"/>
  <c r="B101" i="12"/>
  <c r="B90" i="12"/>
  <c r="B8" i="15"/>
  <c r="B90" i="15" s="1"/>
  <c r="M39" i="19" s="1"/>
  <c r="B9" i="15"/>
  <c r="B91" i="12"/>
  <c r="B64" i="12"/>
  <c r="B20" i="15"/>
  <c r="B102" i="15" s="1"/>
  <c r="M27" i="19" s="1"/>
  <c r="M8" i="11"/>
  <c r="B48" i="11"/>
  <c r="B105" i="12"/>
  <c r="M5" i="11"/>
  <c r="B45" i="11"/>
  <c r="B14" i="11"/>
  <c r="N268" i="21" s="1"/>
  <c r="B7" i="15"/>
  <c r="B99" i="12"/>
  <c r="B49" i="11"/>
  <c r="B25" i="15"/>
  <c r="B107" i="15" s="1"/>
  <c r="M22" i="19" s="1"/>
  <c r="M9" i="11"/>
  <c r="B103" i="12"/>
  <c r="B96" i="12"/>
  <c r="B69" i="12"/>
  <c r="B98" i="12"/>
  <c r="B71" i="12"/>
  <c r="B102" i="12"/>
  <c r="B65" i="12"/>
  <c r="B92" i="12"/>
  <c r="B14" i="15"/>
  <c r="B96" i="15" s="1"/>
  <c r="M33" i="19" s="1"/>
  <c r="B91" i="15" l="1"/>
  <c r="M38" i="19" s="1"/>
  <c r="B52" i="15"/>
  <c r="H54" i="15"/>
  <c r="B50" i="15"/>
  <c r="B89" i="15"/>
  <c r="M40" i="19" s="1"/>
  <c r="H72" i="15"/>
  <c r="H73" i="15"/>
  <c r="H76" i="15"/>
  <c r="H74" i="15"/>
  <c r="H75" i="15"/>
  <c r="B40" i="15"/>
  <c r="B41" i="11"/>
  <c r="R12" i="11"/>
  <c r="B52" i="11"/>
  <c r="B22" i="11"/>
  <c r="M234" i="21" s="1"/>
  <c r="B20" i="11"/>
  <c r="M236" i="21" s="1"/>
  <c r="B24" i="11"/>
  <c r="M232" i="21" s="1"/>
  <c r="H79" i="15"/>
  <c r="B79" i="15"/>
  <c r="H36" i="15"/>
  <c r="H14" i="15"/>
  <c r="B57" i="15"/>
  <c r="H57" i="15"/>
  <c r="B21" i="11"/>
  <c r="M235" i="21" s="1"/>
  <c r="B78" i="15"/>
  <c r="H35" i="15"/>
  <c r="H28" i="15"/>
  <c r="H71" i="15"/>
  <c r="H52" i="15"/>
  <c r="H9" i="15"/>
  <c r="B63" i="15"/>
  <c r="H20" i="15"/>
  <c r="H66" i="15"/>
  <c r="H23" i="15"/>
  <c r="B66" i="15"/>
  <c r="B23" i="11"/>
  <c r="M233" i="21" s="1"/>
  <c r="B70" i="15"/>
  <c r="H27" i="15"/>
  <c r="H70" i="15"/>
  <c r="B64" i="15"/>
  <c r="H64" i="15"/>
  <c r="H21" i="15"/>
  <c r="B25" i="11"/>
  <c r="M231" i="21" s="1"/>
  <c r="H58" i="15"/>
  <c r="H15" i="15"/>
  <c r="B58" i="15"/>
  <c r="H51" i="15"/>
  <c r="B51" i="15"/>
  <c r="H8" i="15"/>
  <c r="B27" i="11"/>
  <c r="M12" i="11"/>
  <c r="H25" i="15"/>
  <c r="B68" i="15"/>
  <c r="H69" i="15"/>
  <c r="H26" i="15"/>
  <c r="B69" i="15"/>
  <c r="H13" i="15"/>
  <c r="B56" i="15"/>
  <c r="H80" i="15"/>
  <c r="H37" i="15"/>
  <c r="B80" i="15"/>
  <c r="B61" i="15"/>
  <c r="H18" i="15"/>
  <c r="H22" i="15"/>
  <c r="H65" i="15"/>
  <c r="H38" i="15"/>
  <c r="H81" i="15"/>
  <c r="H7" i="15"/>
  <c r="B55" i="12"/>
  <c r="B53" i="15"/>
  <c r="H10" i="15"/>
  <c r="H53" i="15"/>
  <c r="B59" i="15"/>
  <c r="H16" i="15"/>
  <c r="H59" i="15"/>
  <c r="H78" i="15" l="1"/>
  <c r="B122" i="15"/>
  <c r="M7" i="19" s="1"/>
  <c r="H56" i="15"/>
  <c r="H61" i="15"/>
  <c r="H50" i="15"/>
  <c r="H68" i="15"/>
  <c r="H63" i="15"/>
  <c r="H40" i="15"/>
  <c r="B83" i="15"/>
  <c r="H83" i="15"/>
  <c r="H99" i="18"/>
  <c r="H80" i="18"/>
  <c r="H86" i="18"/>
  <c r="H95" i="18"/>
  <c r="H51" i="18"/>
  <c r="H63" i="18"/>
  <c r="H76" i="18"/>
  <c r="H59" i="18"/>
  <c r="B103" i="18"/>
  <c r="H91" i="18"/>
  <c r="H103" i="18"/>
  <c r="H69" i="18"/>
</calcChain>
</file>

<file path=xl/sharedStrings.xml><?xml version="1.0" encoding="utf-8"?>
<sst xmlns="http://schemas.openxmlformats.org/spreadsheetml/2006/main" count="2355" uniqueCount="531">
  <si>
    <t>All industries</t>
  </si>
  <si>
    <t>Pharmaceuticals</t>
  </si>
  <si>
    <t>Construction</t>
  </si>
  <si>
    <t>Education</t>
  </si>
  <si>
    <t>6-Industry</t>
  </si>
  <si>
    <t>Engineering</t>
  </si>
  <si>
    <t>Rest of manufacturing</t>
  </si>
  <si>
    <t>Health and social work</t>
  </si>
  <si>
    <t>Manufacturing</t>
  </si>
  <si>
    <t>Elementary occupations</t>
  </si>
  <si>
    <t>All occupations</t>
  </si>
  <si>
    <t xml:space="preserve"> </t>
  </si>
  <si>
    <t>Set new years here:-</t>
  </si>
  <si>
    <t>Levels (000s)</t>
  </si>
  <si>
    <t>Shares (per cent)</t>
  </si>
  <si>
    <t>Growth (% per annum)</t>
  </si>
  <si>
    <t>Change (000s)</t>
  </si>
  <si>
    <t>Existing years</t>
  </si>
  <si>
    <t>Levels</t>
  </si>
  <si>
    <t>Change</t>
  </si>
  <si>
    <t>Absolute levels and changes (000s)</t>
  </si>
  <si>
    <t>Annual growth and industry shares (percent)</t>
  </si>
  <si>
    <t>Annual growth and occupation shares (percent)</t>
  </si>
  <si>
    <t>1st</t>
  </si>
  <si>
    <t>2nd</t>
  </si>
  <si>
    <t>3rd</t>
  </si>
  <si>
    <t>4th</t>
  </si>
  <si>
    <t>5th</t>
  </si>
  <si>
    <t>to</t>
  </si>
  <si>
    <t>Years shown from</t>
  </si>
  <si>
    <t>Net</t>
  </si>
  <si>
    <t>Replacement</t>
  </si>
  <si>
    <t>Demand</t>
  </si>
  <si>
    <t>Total</t>
  </si>
  <si>
    <t>Requirement</t>
  </si>
  <si>
    <t>per cent</t>
  </si>
  <si>
    <t>thousands</t>
  </si>
  <si>
    <t>Shares</t>
  </si>
  <si>
    <t>% per annum</t>
  </si>
  <si>
    <t>Growth</t>
  </si>
  <si>
    <t>All qualifications</t>
  </si>
  <si>
    <t>Qualification</t>
  </si>
  <si>
    <t>Total Requirement</t>
  </si>
  <si>
    <t>Net Change</t>
  </si>
  <si>
    <t>Growth % per annum</t>
  </si>
  <si>
    <t>Shares of all qualifications (per cent)</t>
  </si>
  <si>
    <t>Shares of all occupations (per cent)</t>
  </si>
  <si>
    <t>Qualification levels (thousands)</t>
  </si>
  <si>
    <t>RD p.a%</t>
  </si>
  <si>
    <t>Replace-ment Demand</t>
  </si>
  <si>
    <t>Total Require-ment</t>
  </si>
  <si>
    <t>Years used in the formula for RD p.a%</t>
  </si>
  <si>
    <t>Pre-primary education</t>
  </si>
  <si>
    <t>Primary education (1st stage basic)</t>
  </si>
  <si>
    <t>Lower secondary education (2nd stage basic)</t>
  </si>
  <si>
    <t>Upper secondary education</t>
  </si>
  <si>
    <t>Post-secondary non-tertiary education</t>
  </si>
  <si>
    <t>First stage of tertiary education</t>
  </si>
  <si>
    <t>Second stage of tertiary education</t>
  </si>
  <si>
    <t>Components of change</t>
  </si>
  <si>
    <t>Base year</t>
  </si>
  <si>
    <t>Target year</t>
  </si>
  <si>
    <t>Scale effect</t>
  </si>
  <si>
    <t>Occupation effect</t>
  </si>
  <si>
    <t>Industry mix effect</t>
  </si>
  <si>
    <t>SOC2010 Sub-Major Groups</t>
  </si>
  <si>
    <t>000s</t>
  </si>
  <si>
    <t>% share</t>
  </si>
  <si>
    <t xml:space="preserve">%   </t>
  </si>
  <si>
    <t>Engineering [26-28]</t>
  </si>
  <si>
    <t>Pharmaceuticals [21]</t>
  </si>
  <si>
    <t>Construction [41-43]</t>
  </si>
  <si>
    <t>Education [85]</t>
  </si>
  <si>
    <t>Health and social work [86-88]</t>
  </si>
  <si>
    <t>Industry Mix Effect ("shift")</t>
  </si>
  <si>
    <t>Occupation effect                   ("share")</t>
  </si>
  <si>
    <t>occ share</t>
  </si>
  <si>
    <t>Target Year</t>
  </si>
  <si>
    <t>All Occupations (Base Year)</t>
  </si>
  <si>
    <t>Notes.    Benchmark projections generated by E3ME and WLME.</t>
  </si>
  <si>
    <r>
      <t>The “</t>
    </r>
    <r>
      <rPr>
        <b/>
        <i/>
        <sz val="9"/>
        <rFont val="Arial"/>
        <family val="2"/>
      </rPr>
      <t>Scale effect</t>
    </r>
    <r>
      <rPr>
        <sz val="9"/>
        <rFont val="Arial"/>
        <family val="2"/>
      </rPr>
      <t>”  shows the changes that would have occurred if employment in each occupation and industry grew at the same rate as for total employment.</t>
    </r>
  </si>
  <si>
    <r>
      <t xml:space="preserve">The </t>
    </r>
    <r>
      <rPr>
        <b/>
        <i/>
        <sz val="9"/>
        <rFont val="Arial"/>
        <family val="2"/>
      </rPr>
      <t>industry mix</t>
    </r>
    <r>
      <rPr>
        <sz val="9"/>
        <rFont val="Arial"/>
        <family val="2"/>
      </rPr>
      <t xml:space="preserve"> or “</t>
    </r>
    <r>
      <rPr>
        <b/>
        <i/>
        <sz val="9"/>
        <rFont val="Arial"/>
        <family val="2"/>
      </rPr>
      <t>shift</t>
    </r>
    <r>
      <rPr>
        <sz val="9"/>
        <rFont val="Arial"/>
        <family val="2"/>
      </rPr>
      <t xml:space="preserve">” effect  shows the contributions that would have been made if the occupational mix in each industry had remained constant (the industry mix or “shift” effect). </t>
    </r>
  </si>
  <si>
    <t xml:space="preserve">This has been calculated using ratios of change for total employment  in the industry,  divided by the ratio of change for all industries (to net out the scale effect). </t>
  </si>
  <si>
    <r>
      <t xml:space="preserve">It therefore differs from the “shift” effect reported in Meagher </t>
    </r>
    <r>
      <rPr>
        <i/>
        <sz val="9"/>
        <rFont val="Arial"/>
        <family val="2"/>
      </rPr>
      <t>et al.</t>
    </r>
    <r>
      <rPr>
        <sz val="9"/>
        <rFont val="Arial"/>
        <family val="2"/>
      </rPr>
      <t xml:space="preserve"> (2013) which also incorporates the scale effect.</t>
    </r>
  </si>
  <si>
    <r>
      <t xml:space="preserve">The contributions due to changes in </t>
    </r>
    <r>
      <rPr>
        <b/>
        <i/>
        <sz val="9"/>
        <rFont val="Arial"/>
        <family val="2"/>
      </rPr>
      <t>occupational mix</t>
    </r>
    <r>
      <rPr>
        <sz val="9"/>
        <rFont val="Arial"/>
        <family val="2"/>
      </rPr>
      <t xml:space="preserve"> (the “</t>
    </r>
    <r>
      <rPr>
        <b/>
        <i/>
        <sz val="9"/>
        <rFont val="Arial"/>
        <family val="2"/>
      </rPr>
      <t>share</t>
    </r>
    <r>
      <rPr>
        <sz val="9"/>
        <rFont val="Arial"/>
        <family val="2"/>
      </rPr>
      <t>”  effect) are calculated as the residual of the total change net of the scale effect and the industry mix (or “shift”) effect.</t>
    </r>
  </si>
  <si>
    <r>
      <t xml:space="preserve">Column 2 in the shift-share tables reported in Meagher </t>
    </r>
    <r>
      <rPr>
        <i/>
        <sz val="9"/>
        <rFont val="Arial"/>
        <family val="2"/>
      </rPr>
      <t>et al</t>
    </r>
    <r>
      <rPr>
        <sz val="9"/>
        <rFont val="Arial"/>
        <family val="2"/>
      </rPr>
      <t>. (2013)  (the “shift” effect) can be formed by adding the scale and industry effects  in % terms, as shown here.</t>
    </r>
  </si>
  <si>
    <t>Agriculture, etc</t>
  </si>
  <si>
    <t>Mining and quarrying</t>
  </si>
  <si>
    <t>Electrical equipment</t>
  </si>
  <si>
    <t>Wholesale and retail trade</t>
  </si>
  <si>
    <t>Media</t>
  </si>
  <si>
    <t>Telecommunications</t>
  </si>
  <si>
    <t>Health</t>
  </si>
  <si>
    <t>Arts and entertainment</t>
  </si>
  <si>
    <t>Mining and quarrying [05-09]</t>
  </si>
  <si>
    <t>Electrical equipment [27]</t>
  </si>
  <si>
    <t>Rest of manufacturing [13-25,29-33]</t>
  </si>
  <si>
    <t>Wholesale and retail trade [45-47]</t>
  </si>
  <si>
    <t>Telecommunications [61]</t>
  </si>
  <si>
    <t>Arts and entertainment [90-93]</t>
  </si>
  <si>
    <t>Media [58-60]</t>
  </si>
  <si>
    <t>Manufacturing [10-33]</t>
  </si>
  <si>
    <t>Current Input File:</t>
  </si>
  <si>
    <t>Manager</t>
  </si>
  <si>
    <t>Males</t>
  </si>
  <si>
    <t>Females</t>
  </si>
  <si>
    <t>Males and females</t>
  </si>
  <si>
    <t>Population</t>
  </si>
  <si>
    <t>Labour Force</t>
  </si>
  <si>
    <t>65+</t>
  </si>
  <si>
    <t>(in age bands)</t>
  </si>
  <si>
    <t>Where does the data come from for this? (LPB)</t>
  </si>
  <si>
    <t>Note: For Belgium there is no European LFS data for some of the ISCED Qualifications.</t>
  </si>
  <si>
    <t>15-19</t>
  </si>
  <si>
    <t>20-24</t>
  </si>
  <si>
    <t>25-29</t>
  </si>
  <si>
    <t>30-34</t>
  </si>
  <si>
    <t>35-39</t>
  </si>
  <si>
    <t>40-44</t>
  </si>
  <si>
    <t>45-49</t>
  </si>
  <si>
    <t>50-54</t>
  </si>
  <si>
    <t>55-59</t>
  </si>
  <si>
    <t>60-64</t>
  </si>
  <si>
    <t>15+</t>
  </si>
  <si>
    <t>All Low qualifications</t>
  </si>
  <si>
    <t>All Medium qualifications</t>
  </si>
  <si>
    <t>All High qualifications</t>
  </si>
  <si>
    <t>Date run</t>
  </si>
  <si>
    <t>Basic metals [24]</t>
  </si>
  <si>
    <t>Metal products [25]</t>
  </si>
  <si>
    <t>Publishing activities [58]</t>
  </si>
  <si>
    <t>Financial services [64]</t>
  </si>
  <si>
    <t>Employment activities [78]</t>
  </si>
  <si>
    <t>Membership organisations [94]</t>
  </si>
  <si>
    <t>Other manufacturing</t>
  </si>
  <si>
    <t>Sewerage</t>
  </si>
  <si>
    <t>Civil engineering</t>
  </si>
  <si>
    <t>Water transport</t>
  </si>
  <si>
    <t>Air transport</t>
  </si>
  <si>
    <t>Accommodation</t>
  </si>
  <si>
    <t>Publishing activities</t>
  </si>
  <si>
    <t>Scientific research and development</t>
  </si>
  <si>
    <t>Employment activities</t>
  </si>
  <si>
    <t>Choose Database File</t>
  </si>
  <si>
    <t>Replacement Demand rate</t>
  </si>
  <si>
    <t>Replacement Demand level</t>
  </si>
  <si>
    <t>Database</t>
  </si>
  <si>
    <t>Database current</t>
  </si>
  <si>
    <t>To return to this sheet from any page, just click the home icon</t>
  </si>
  <si>
    <t>Sheet name</t>
  </si>
  <si>
    <t>Contents</t>
  </si>
  <si>
    <t>WARNING</t>
  </si>
  <si>
    <t>BUSINESS REGISTER AND EMPLOYMENT SURVEY</t>
  </si>
  <si>
    <t>THESE DATA HAVE BEEN COLLECTED</t>
  </si>
  <si>
    <t>UNDER THE TERMS OF THE Statistics of Trade Act 1947</t>
  </si>
  <si>
    <t>THE ESTIMATES ARE BASED ON DATA ONS HAVE PLACED IN THE PUBLIC DOMAIN</t>
  </si>
  <si>
    <t>REPORTING</t>
  </si>
  <si>
    <t>The projections presented in this Workbook are calculated from a number of different data sources, using</t>
  </si>
  <si>
    <t>a variety of econometric and statistical techniques. As a result, precise margins of error cannot be assigned</t>
  </si>
  <si>
    <t>For unpublished analyses, a more lenient criterion can be used. However, the uncertainties associated with</t>
  </si>
  <si>
    <t>However, there is inevitably some degree of judgement required on the part of the researcher.</t>
  </si>
  <si>
    <t>For cases in between 1,000 and 10,000 individuals, it is difficult to prescribe general rules, and an element of</t>
  </si>
  <si>
    <t>publishable then the equivalent figures in the workbooks should not be published. Where the focus is on</t>
  </si>
  <si>
    <t>self-employment or upon occupations, a more stringent cut-off should be applied.</t>
  </si>
  <si>
    <t>PUBLISHED DATA: Ideally, a minimum of 10,000 individuals per cell</t>
  </si>
  <si>
    <t>UNPUBLISHED DATA: A minimum of 1,000 individuals per cell</t>
  </si>
  <si>
    <t>Aggregation of 75 detailed industries to 22 Industry groups</t>
  </si>
  <si>
    <t>Agriculture [01-03]</t>
  </si>
  <si>
    <t>Agriculture, etc [01-03]</t>
  </si>
  <si>
    <t>Coal, oil &amp; gas; Mining &amp; related [05-09]</t>
  </si>
  <si>
    <t>Food drink and tobacco [10-12]</t>
  </si>
  <si>
    <t>Food products [10]</t>
  </si>
  <si>
    <t>Beverages &amp; tobacco [11-12]</t>
  </si>
  <si>
    <t>Computers, etc [26]</t>
  </si>
  <si>
    <t>Machinery, etc [28]</t>
  </si>
  <si>
    <t>Textiles [13]</t>
  </si>
  <si>
    <t>Wearing apparel; Leather, etc [14,15]</t>
  </si>
  <si>
    <t>Wood, etc [16]</t>
  </si>
  <si>
    <t>Paper, etc [17]</t>
  </si>
  <si>
    <t>Printing &amp; recording [18]</t>
  </si>
  <si>
    <t>Coke &amp; refining; Chemicals,etc [19,20]</t>
  </si>
  <si>
    <t>Rubber &amp; plastic [22]</t>
  </si>
  <si>
    <t>Other non-metallic [23]</t>
  </si>
  <si>
    <t>Motor vehicles, etc [29]</t>
  </si>
  <si>
    <t>Other trans. equipment [30]</t>
  </si>
  <si>
    <t>Furniture [31]</t>
  </si>
  <si>
    <t>Other manufacturing [32]</t>
  </si>
  <si>
    <t>Repair &amp; installation [33]</t>
  </si>
  <si>
    <t>Electricity and gas [35]</t>
  </si>
  <si>
    <t>Electricity, gas, etc [35]</t>
  </si>
  <si>
    <t>Water and sewerage [36-39]</t>
  </si>
  <si>
    <t>Water [36]</t>
  </si>
  <si>
    <t>Sewerage [37]</t>
  </si>
  <si>
    <t>Waste management [38-39]</t>
  </si>
  <si>
    <t>Construction [41]</t>
  </si>
  <si>
    <t>Civil engineering [42]</t>
  </si>
  <si>
    <t>Specialised construction [43]</t>
  </si>
  <si>
    <t>Sale of motor vehicles [45]</t>
  </si>
  <si>
    <t>Wholesale trade [46]</t>
  </si>
  <si>
    <t>Retail trade [47]</t>
  </si>
  <si>
    <t>Transport and storage [49-53]</t>
  </si>
  <si>
    <t>Land transport, etc [49]</t>
  </si>
  <si>
    <t>Water transport [50]</t>
  </si>
  <si>
    <t>Air transport [51]</t>
  </si>
  <si>
    <t>Warehousing, etc [52]</t>
  </si>
  <si>
    <t>Postal, etc [53]</t>
  </si>
  <si>
    <t>Accommodation and food [55-56]</t>
  </si>
  <si>
    <t>Accommodation [55]</t>
  </si>
  <si>
    <t>Food &amp; beverage services [56]</t>
  </si>
  <si>
    <t>Film &amp;  music [59]</t>
  </si>
  <si>
    <t>Broadcasting [60]</t>
  </si>
  <si>
    <t>Information technology [61-63]</t>
  </si>
  <si>
    <t>Computer programming, etc [62]</t>
  </si>
  <si>
    <t>Information services [63]</t>
  </si>
  <si>
    <t>Finance and insurance [64-66]</t>
  </si>
  <si>
    <t>Insurance &amp; pensions [65]</t>
  </si>
  <si>
    <t>Auxiliary  services [66]</t>
  </si>
  <si>
    <t>Real estate [68]</t>
  </si>
  <si>
    <t>Professional services [69-75]</t>
  </si>
  <si>
    <t>Legal &amp; accounting [69]</t>
  </si>
  <si>
    <t>Head offices, etc [70]</t>
  </si>
  <si>
    <t>Architectural &amp; related [71]</t>
  </si>
  <si>
    <t>Scientific research [72]</t>
  </si>
  <si>
    <t>Advertising, etc [73]</t>
  </si>
  <si>
    <t>Other professional [74]</t>
  </si>
  <si>
    <t>Veterinary [75]</t>
  </si>
  <si>
    <t>Support services [77-82]</t>
  </si>
  <si>
    <t>Rental &amp; leasing [77]</t>
  </si>
  <si>
    <t>Travel, etc [79]</t>
  </si>
  <si>
    <t>Security, etc [80]</t>
  </si>
  <si>
    <t>Services to buildings [81]</t>
  </si>
  <si>
    <t>Office admin. [82]</t>
  </si>
  <si>
    <t>Public admin. and defence [84]</t>
  </si>
  <si>
    <t>Public admin. &amp; defence [84]</t>
  </si>
  <si>
    <t>Health [86]</t>
  </si>
  <si>
    <t>Residential care [87]</t>
  </si>
  <si>
    <t>Social work [88]</t>
  </si>
  <si>
    <t>Arts &amp; entertainment [90]</t>
  </si>
  <si>
    <t>Libraries, etc [91]</t>
  </si>
  <si>
    <t>Gambling [92]</t>
  </si>
  <si>
    <t>Sport &amp; recreation [93]</t>
  </si>
  <si>
    <t>Other services [94-99]</t>
  </si>
  <si>
    <t>Repair of  goods [95]</t>
  </si>
  <si>
    <t>Other personal service [96-99]</t>
  </si>
  <si>
    <t>Aggregation of 75 detailed industries to 6 Broad industrial sectors</t>
  </si>
  <si>
    <t>Primary sector and utilities [01-09,35-39]</t>
  </si>
  <si>
    <t>Trade, accomod. and transport [45-56]</t>
  </si>
  <si>
    <t>Business and other services [58-82,90-99]</t>
  </si>
  <si>
    <t>Non-market services [84-88]</t>
  </si>
  <si>
    <t>Primary sector and utilities</t>
  </si>
  <si>
    <t>Trade, accomod. and transport</t>
  </si>
  <si>
    <t>Business and other services</t>
  </si>
  <si>
    <t>75-Industry</t>
  </si>
  <si>
    <t>Coal, oil &amp; gas; Mining &amp; related</t>
  </si>
  <si>
    <t>Food products</t>
  </si>
  <si>
    <t>Beverages and tobacco</t>
  </si>
  <si>
    <t>Textiles</t>
  </si>
  <si>
    <t>Wearing apparel; Leather, etc</t>
  </si>
  <si>
    <t xml:space="preserve">Wood and cork </t>
  </si>
  <si>
    <t>Paper, etc</t>
  </si>
  <si>
    <t>Printing and recording</t>
  </si>
  <si>
    <t>Coke and petroleum; Chemicals, etc</t>
  </si>
  <si>
    <t>Rubber and plastic</t>
  </si>
  <si>
    <t>Other non-metallic</t>
  </si>
  <si>
    <t>Basic metals</t>
  </si>
  <si>
    <t>Metal products</t>
  </si>
  <si>
    <t>Computer, etc</t>
  </si>
  <si>
    <t>Machinery n.e.c.</t>
  </si>
  <si>
    <t>Motor vehicles, etc</t>
  </si>
  <si>
    <t>Other transport equipment</t>
  </si>
  <si>
    <t>Furniture</t>
  </si>
  <si>
    <t>Repair and installation</t>
  </si>
  <si>
    <t>Electricity, gas, etc</t>
  </si>
  <si>
    <t>Water</t>
  </si>
  <si>
    <t>Waste management</t>
  </si>
  <si>
    <t>Specialised construction</t>
  </si>
  <si>
    <t>Motor vehicle trade</t>
  </si>
  <si>
    <t>Wholesale trade</t>
  </si>
  <si>
    <t>Retail trade</t>
  </si>
  <si>
    <t>Land transport, etc</t>
  </si>
  <si>
    <t>Warehousing, etc</t>
  </si>
  <si>
    <t>Postal and courier</t>
  </si>
  <si>
    <t>Food and beverage services</t>
  </si>
  <si>
    <t>Film and music</t>
  </si>
  <si>
    <t>Broadcasting</t>
  </si>
  <si>
    <t>Computing services</t>
  </si>
  <si>
    <t>Information services</t>
  </si>
  <si>
    <t>Financial services</t>
  </si>
  <si>
    <t>Insurance and pensions</t>
  </si>
  <si>
    <t>Auxiliary financial services</t>
  </si>
  <si>
    <t>Real estate</t>
  </si>
  <si>
    <t>Legal and accounting</t>
  </si>
  <si>
    <t>Head offices, etc</t>
  </si>
  <si>
    <t>Architectural and related</t>
  </si>
  <si>
    <t>Advertising, etc</t>
  </si>
  <si>
    <t>Other professional</t>
  </si>
  <si>
    <t>Veterinary</t>
  </si>
  <si>
    <t>Rental and leasing</t>
  </si>
  <si>
    <t>Travel, etc</t>
  </si>
  <si>
    <t>Security, etc</t>
  </si>
  <si>
    <t>Services to buildings</t>
  </si>
  <si>
    <t>Office administrative</t>
  </si>
  <si>
    <t>Public administration and defence</t>
  </si>
  <si>
    <t xml:space="preserve">Education </t>
  </si>
  <si>
    <t>Residential care</t>
  </si>
  <si>
    <t>Social work</t>
  </si>
  <si>
    <t>Libraries, etc</t>
  </si>
  <si>
    <t>Gambling and betting</t>
  </si>
  <si>
    <t>Sport and recreation</t>
  </si>
  <si>
    <t>Membership organisations</t>
  </si>
  <si>
    <t>Repair of goods</t>
  </si>
  <si>
    <t>Other personal service</t>
  </si>
  <si>
    <t>22-Industry</t>
  </si>
  <si>
    <t>Agriculture</t>
  </si>
  <si>
    <t>Food drink and tobacco</t>
  </si>
  <si>
    <t>Electricity and gas</t>
  </si>
  <si>
    <t>Water and sewerage</t>
  </si>
  <si>
    <t>Transport and storage</t>
  </si>
  <si>
    <t>Accommodation and food</t>
  </si>
  <si>
    <t>Information technology</t>
  </si>
  <si>
    <t>Finance and insurance</t>
  </si>
  <si>
    <t>Professional services</t>
  </si>
  <si>
    <t>Support services</t>
  </si>
  <si>
    <t>Public admin. and defence</t>
  </si>
  <si>
    <t>Other services</t>
  </si>
  <si>
    <t>Sub-major group names:</t>
  </si>
  <si>
    <t>9-Occupation</t>
  </si>
  <si>
    <t>Major group names:</t>
  </si>
  <si>
    <t>Managers, directors and senior officials</t>
  </si>
  <si>
    <t>Professional occupations</t>
  </si>
  <si>
    <t>Skilled trades occupations</t>
  </si>
  <si>
    <t>Process, plant and machine operatives</t>
  </si>
  <si>
    <t>9-Qualification names:</t>
  </si>
  <si>
    <t>No Qualification</t>
  </si>
  <si>
    <t>Gender names:</t>
  </si>
  <si>
    <t>Status names:</t>
  </si>
  <si>
    <t>M+F</t>
  </si>
  <si>
    <t>All</t>
  </si>
  <si>
    <t>All in employment</t>
  </si>
  <si>
    <t>M</t>
  </si>
  <si>
    <t>EE</t>
  </si>
  <si>
    <t>Employees in employment</t>
  </si>
  <si>
    <t>F</t>
  </si>
  <si>
    <t>SE</t>
  </si>
  <si>
    <t>Self-employment</t>
  </si>
  <si>
    <t>FT</t>
  </si>
  <si>
    <t>Full-time employees</t>
  </si>
  <si>
    <t>PT</t>
  </si>
  <si>
    <t>Part-time employees</t>
  </si>
  <si>
    <t>Industry groups</t>
  </si>
  <si>
    <t>Industry sectors</t>
  </si>
  <si>
    <t>6-Qualification names:</t>
  </si>
  <si>
    <t>Qualification groups</t>
  </si>
  <si>
    <t>Industry</t>
  </si>
  <si>
    <t>Industry Group [SIC2007]</t>
  </si>
  <si>
    <t>Ind75 industry [SIC2007]</t>
  </si>
  <si>
    <t>Broad industry [SIC2007]</t>
  </si>
  <si>
    <t>9-Occupation (SOC2010)</t>
  </si>
  <si>
    <t>Aggregation of 9-Qualifications to 6-Qualification groups</t>
  </si>
  <si>
    <t>6-Qualifications (QCF)</t>
  </si>
  <si>
    <t>6-Qualification groups (QCF)</t>
  </si>
  <si>
    <t>Female</t>
  </si>
  <si>
    <t>Male</t>
  </si>
  <si>
    <t>Total employment</t>
  </si>
  <si>
    <t>Male employment</t>
  </si>
  <si>
    <t>Female employment</t>
  </si>
  <si>
    <t>(% share)</t>
  </si>
  <si>
    <t>Self employed</t>
  </si>
  <si>
    <t>Part time</t>
  </si>
  <si>
    <t>Full time</t>
  </si>
  <si>
    <t>Changes in Employment Status (000s)</t>
  </si>
  <si>
    <t>Employment by Gender</t>
  </si>
  <si>
    <t xml:space="preserve">Employment Status </t>
  </si>
  <si>
    <t xml:space="preserve">% p.a. changes </t>
  </si>
  <si>
    <t>Ind T1</t>
  </si>
  <si>
    <t>Ind T2</t>
  </si>
  <si>
    <t>Occ T2</t>
  </si>
  <si>
    <t>Employment by Industry Sector (6 industries)</t>
  </si>
  <si>
    <t>Employment by Industry Group (22 industries)</t>
  </si>
  <si>
    <t>Occ T3</t>
  </si>
  <si>
    <t>Ind T4</t>
  </si>
  <si>
    <t>Ind T6</t>
  </si>
  <si>
    <t>Occ T4</t>
  </si>
  <si>
    <t>Ind T5</t>
  </si>
  <si>
    <t>Employment by Industry Group in Sector (6 + 22 industries)</t>
  </si>
  <si>
    <t>Employment Status by Industry Group and Gender (22 industries)</t>
  </si>
  <si>
    <t>Ind F1</t>
  </si>
  <si>
    <t>Occ F1</t>
  </si>
  <si>
    <t>Ind F2</t>
  </si>
  <si>
    <t>Occ F2</t>
  </si>
  <si>
    <t>IndOcc T1</t>
  </si>
  <si>
    <t>Line Chart Employment by Industry (6 + 22 industries)</t>
  </si>
  <si>
    <t>Occ T1</t>
  </si>
  <si>
    <t>Bar Chart Growth in Employment by Industry Group (6 + 22 industries)</t>
  </si>
  <si>
    <t>Qual T1</t>
  </si>
  <si>
    <t>Employment by Qualification (9 qualifications)</t>
  </si>
  <si>
    <t>Qual F1</t>
  </si>
  <si>
    <t>Line chart Employment by Qualification (9 qualifications)</t>
  </si>
  <si>
    <t>ShiftShare T1</t>
  </si>
  <si>
    <t>RD F1</t>
  </si>
  <si>
    <t>RD T1</t>
  </si>
  <si>
    <t>Basic T1</t>
  </si>
  <si>
    <t>Basic T2</t>
  </si>
  <si>
    <t>Basic T3</t>
  </si>
  <si>
    <t>Employment by Industry Sector, Occupation Group and Qualification (9 occupations by 6 industries by 9 qualifications)</t>
  </si>
  <si>
    <t>IndOcc T2</t>
  </si>
  <si>
    <t>Linked to sheet IndustryTable4</t>
  </si>
  <si>
    <t>Select years for the Tables</t>
  </si>
  <si>
    <t>Linked to sheet Industry Table1</t>
  </si>
  <si>
    <t>Linked to sheet IndustryTable1</t>
  </si>
  <si>
    <r>
      <t xml:space="preserve">Uses the 1st, 2nd 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</t>
    </r>
  </si>
  <si>
    <t>Linked to sheet OccupationTable3</t>
  </si>
  <si>
    <r>
      <t xml:space="preserve">Uses the 3nd 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</t>
    </r>
  </si>
  <si>
    <t>Linked to sheet Occupation Table1</t>
  </si>
  <si>
    <r>
      <t xml:space="preserve">Uses the 1st, 3nd 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</t>
    </r>
  </si>
  <si>
    <r>
      <t xml:space="preserve">Uses the 3rd 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 (via OccupationTable1)</t>
    </r>
  </si>
  <si>
    <t>Absolute Changes (000s)</t>
  </si>
  <si>
    <t>Occ F3</t>
  </si>
  <si>
    <t>Occ F4</t>
  </si>
  <si>
    <t>Changes in Occupational Employment Structure (9 occupations)</t>
  </si>
  <si>
    <t>Occupational Change by Gender (9 occupations)</t>
  </si>
  <si>
    <t>Part-time</t>
  </si>
  <si>
    <t>Full-time</t>
  </si>
  <si>
    <t>Occ F5</t>
  </si>
  <si>
    <t>Occupational Change by Status (9 occupations)</t>
  </si>
  <si>
    <t>Employment Change by Occupation Group and Gender and Replacement Demand (9 occupations)</t>
  </si>
  <si>
    <t>Occ T5</t>
  </si>
  <si>
    <t>Employment Change by Occupation Group, Status and Gender (9 occupations)</t>
  </si>
  <si>
    <r>
      <t xml:space="preserve">Uses the 1st, 3rdand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</t>
    </r>
  </si>
  <si>
    <t>Aggregation of 22 industry groups to 6 Broad industrial sectors</t>
  </si>
  <si>
    <t>Scenario</t>
  </si>
  <si>
    <t>.Main</t>
  </si>
  <si>
    <t>MDM version</t>
  </si>
  <si>
    <t>Employment Status by Industry and Gender (22 industries)</t>
  </si>
  <si>
    <t>Occupation Composition by Gender (9 occupations by 22 industries)</t>
  </si>
  <si>
    <t>Occupation Composition by Employment Status (9 occupations by 22 industries)</t>
  </si>
  <si>
    <r>
      <t xml:space="preserve">Uses the 1st, 3rd 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</t>
    </r>
  </si>
  <si>
    <t>max</t>
  </si>
  <si>
    <t>min</t>
  </si>
  <si>
    <t>axis bounds</t>
  </si>
  <si>
    <t>major unit</t>
  </si>
  <si>
    <r>
      <t xml:space="preserve">Uses the 1st, 3rd and 5th years selected  for </t>
    </r>
    <r>
      <rPr>
        <b/>
        <sz val="10"/>
        <color indexed="54"/>
        <rFont val="Arial"/>
        <family val="2"/>
      </rPr>
      <t>Summary Tables</t>
    </r>
    <r>
      <rPr>
        <sz val="10"/>
        <color indexed="54"/>
        <rFont val="Arial"/>
        <family val="2"/>
      </rPr>
      <t xml:space="preserve"> in sheet Manager</t>
    </r>
  </si>
  <si>
    <t>RQF8 Doctorate</t>
  </si>
  <si>
    <t>RQF 7-8</t>
  </si>
  <si>
    <t>RQF7 Other higher degree</t>
  </si>
  <si>
    <t>RQF 4-6</t>
  </si>
  <si>
    <t>RQF6 First degree</t>
  </si>
  <si>
    <t>RQF3 A level &amp; equivalent</t>
  </si>
  <si>
    <t>RQF5 Foundation degree;Nursing;Teaching</t>
  </si>
  <si>
    <t>RQF2 GCSE(A-C) &amp; equivalent</t>
  </si>
  <si>
    <t>RQF4 HE below degree level</t>
  </si>
  <si>
    <t>RQF1 GCSE(below grade C) &amp; equivalent</t>
  </si>
  <si>
    <t>Non-marketed services</t>
  </si>
  <si>
    <t>THIS EXCEL WORKBOOK CONTAINS DATA</t>
  </si>
  <si>
    <t>BASED ON THE ANNUAL BUSINESS INQUIRY /</t>
  </si>
  <si>
    <t>based on counts of at least 10,000 individuals. This should provide a reasonable degree of statistical robustness to</t>
  </si>
  <si>
    <t>the estimates whether historic or forecast, and also ensure that you are not in breach of the Statistics of trade Act, 1947.</t>
  </si>
  <si>
    <t>judgement on behalf of the user is needed.  At an industry level, and focussing just on employees, the limits</t>
  </si>
  <si>
    <t>set by ONS in publishing ABI or BRES data can be used as a general guide. If ONS do not regard estimates as</t>
  </si>
  <si>
    <t>projections involving fewer than 1,000 individuals are probably too great for such estimates to be useful.</t>
  </si>
  <si>
    <t>Employment Change by Occupation and Replacement Demand (26 occupations)</t>
  </si>
  <si>
    <t>Employment Change by Occupation in Occupation Group (9 + 26 occupations)</t>
  </si>
  <si>
    <t>Occupation Composition by Gender (26 occupations)</t>
  </si>
  <si>
    <t>Bar Chart Growth in Employment by Occupation (9 + 26 occupations)</t>
  </si>
  <si>
    <t>Line Chart Employment by Occupation (9 + 26 occupations)</t>
  </si>
  <si>
    <t>Shift-Share by Occupation (26 occupations)</t>
  </si>
  <si>
    <t>Replacement Demand by Occupation and Qualification (26 occupations by 9 qualifications)</t>
  </si>
  <si>
    <t>Replacement Demand by Occupation Group (9 + 26 occupations)</t>
  </si>
  <si>
    <t>Employment Change by Occupation and Replacement Demand (26 occupations by 9 qualifications)</t>
  </si>
  <si>
    <t>Occupation by Qualification (26 occupations by 9 qualifications)</t>
  </si>
  <si>
    <t>11 Corporate managers and directors</t>
  </si>
  <si>
    <t>12 Other managers and proprietors</t>
  </si>
  <si>
    <t>21 Science, research, engineering and technology professionals</t>
  </si>
  <si>
    <t>22 Health professionals</t>
  </si>
  <si>
    <t>23 Teaching and other educational professionals</t>
  </si>
  <si>
    <t>24 Business, media and public service professionals</t>
  </si>
  <si>
    <t>31 Science, engineering and technology associate professionals</t>
  </si>
  <si>
    <t>32 Health and social care associate professionals</t>
  </si>
  <si>
    <t>33 Protective service occupations</t>
  </si>
  <si>
    <t>34 Culture, media and sports occupations</t>
  </si>
  <si>
    <t>35 Business and public service associate professionals</t>
  </si>
  <si>
    <t>41 Administrative occupations</t>
  </si>
  <si>
    <t>42 Secretarial and related occupations</t>
  </si>
  <si>
    <t>51 Skilled agricultural and related trades</t>
  </si>
  <si>
    <t>52 Skilled metal, electrical and electronic trades</t>
  </si>
  <si>
    <t>53 Skilled construction and building trades</t>
  </si>
  <si>
    <t>54 Textiles, printing and other skilled trades</t>
  </si>
  <si>
    <t>61 Caring personal service occupations</t>
  </si>
  <si>
    <t>62 Leisure, travel and related personal service occupations</t>
  </si>
  <si>
    <t>63 Community and civil enforcement occupations</t>
  </si>
  <si>
    <t>71 Sales occupations</t>
  </si>
  <si>
    <t>72 Customer service occupations</t>
  </si>
  <si>
    <t>81 Process, plant and machine operatives</t>
  </si>
  <si>
    <t>82 Transport and mobile machine drivers and operatives</t>
  </si>
  <si>
    <t>91 Elementary trades and related occupations</t>
  </si>
  <si>
    <t>92 Elementary administration and service occupations</t>
  </si>
  <si>
    <t>26-Occupation</t>
  </si>
  <si>
    <t>Associate professional occupations</t>
  </si>
  <si>
    <t>Administrative and secretarial occupations</t>
  </si>
  <si>
    <t>Caring, leisure and other service occupations</t>
  </si>
  <si>
    <t>Sales and customer service occupations</t>
  </si>
  <si>
    <t>Aggregation of 26-Sub major occupation groups to 9-Major occupation groups</t>
  </si>
  <si>
    <t>26-Occupation (SOC2020)</t>
  </si>
  <si>
    <t>SOC2020 Sub-Major Groups</t>
  </si>
  <si>
    <t>Nuffield - Rev 13547</t>
  </si>
  <si>
    <t>Date database created</t>
  </si>
  <si>
    <t>Copyright:  Warwick Institute for Employment Research / Cambridge Econometrics, 2023</t>
  </si>
  <si>
    <t>M:\IE\Projects\Nuffield via NFER AI and automation\Data\Results\Workbooks\LO\v2 Main\LO_Database.Main.xlsx</t>
  </si>
  <si>
    <t>M:\IE\Projects\Nuffield via NFER AI and automation\Data\Results\Workbooks\LEPs\OX_LEP\v2 Main\OX_LEP_Database.Main.xlsx</t>
  </si>
  <si>
    <r>
      <t xml:space="preserve">to the estimates. For further details, see the </t>
    </r>
    <r>
      <rPr>
        <i/>
        <sz val="12"/>
        <color theme="1"/>
        <rFont val="Arial"/>
        <family val="2"/>
      </rPr>
      <t xml:space="preserve">Skills Imperative 2035 </t>
    </r>
    <r>
      <rPr>
        <sz val="12"/>
        <color theme="1"/>
        <rFont val="Arial"/>
        <family val="2"/>
      </rPr>
      <t>Technical Report.</t>
    </r>
  </si>
  <si>
    <r>
      <t xml:space="preserve">The results update those previously produced under the </t>
    </r>
    <r>
      <rPr>
        <i/>
        <sz val="12"/>
        <color theme="1"/>
        <rFont val="Arial"/>
        <family val="2"/>
      </rPr>
      <t>Working Futures</t>
    </r>
    <r>
      <rPr>
        <sz val="12"/>
        <color theme="1"/>
        <rFont val="Arial"/>
        <family val="2"/>
      </rPr>
      <t xml:space="preserve"> banner.</t>
    </r>
  </si>
  <si>
    <t xml:space="preserve">As a general rule of thumb, it is advisable to only publish statistics or analyses which are </t>
  </si>
  <si>
    <t>Thus, in summary, we advise:</t>
  </si>
  <si>
    <t>6 Industries</t>
  </si>
  <si>
    <t>22 Industries</t>
  </si>
  <si>
    <t>6 + 22 Industries</t>
  </si>
  <si>
    <t>9 Occupations by 22 Industries</t>
  </si>
  <si>
    <t>9 Occupations</t>
  </si>
  <si>
    <t>26 Occupations</t>
  </si>
  <si>
    <t>9 + 26 Occupations</t>
  </si>
  <si>
    <t>9 Qualifications</t>
  </si>
  <si>
    <t>26 Occupations by 9 Qualifications</t>
  </si>
  <si>
    <t>9 Occupations by 9 Qualifications</t>
  </si>
  <si>
    <t>9 Occupations by 6 Industries by 9 Qualifications</t>
  </si>
  <si>
    <t>M:/IE/Projects/Nuffield via NFER AI and automation/Data/Results/Workbooks/MCAs/NE_MCA/NE_MCA_Database.Main.xlsx</t>
  </si>
  <si>
    <t>MCA</t>
  </si>
  <si>
    <t>4. North East</t>
  </si>
  <si>
    <t>28-02-2024 10:29:39</t>
  </si>
  <si>
    <t>MCA name</t>
  </si>
  <si>
    <t>North East</t>
  </si>
  <si>
    <t>29 02 2024 04:29:00 PM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</si>
</sst>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43" formatCode="_-* #,##0.00_-;\-* #,##0.00_-;_-* &quot;-&quot;??_-;_-@_-"/>
    <numFmt numFmtId="164" formatCode="0.0"/>
    <numFmt numFmtId="165" formatCode="0.00000"/>
    <numFmt numFmtId="166" formatCode="#,##0.0"/>
    <numFmt numFmtId="167" formatCode="0.0%"/>
    <numFmt numFmtId="168" formatCode="_-* #,##0_-;\-* #,##0_-;_-* &quot;-&quot;??_-;_-@_-"/>
    <numFmt numFmtId="169" formatCode="_-* #,##0.00000_-;\-* #,##0.00000_-;_-* &quot;-&quot;??_-;_-@_-"/>
    <numFmt numFmtId="170" formatCode="0.000000"/>
  </numFmts>
  <fonts count="35" x14ac:knownFonts="1">
    <font>
      <sz val="10"/>
      <name val="Arial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name val="Arial"/>
      <family val="2"/>
    </font>
    <font>
      <sz val="8"/>
      <name val="Arial"/>
      <family val="2"/>
    </font>
    <font>
      <b/>
      <sz val="10"/>
      <name val="Arial"/>
      <family val="2"/>
    </font>
    <font>
      <sz val="12"/>
      <name val="Times New Roman"/>
      <family val="1"/>
    </font>
    <font>
      <sz val="10"/>
      <name val="Arial"/>
      <family val="2"/>
    </font>
    <font>
      <sz val="10"/>
      <name val="Times New Roman"/>
      <family val="1"/>
    </font>
    <font>
      <b/>
      <sz val="12"/>
      <name val="Arial"/>
      <family val="2"/>
    </font>
    <font>
      <i/>
      <sz val="10"/>
      <name val="Arial"/>
      <family val="2"/>
    </font>
    <font>
      <b/>
      <sz val="10"/>
      <color indexed="54"/>
      <name val="Arial"/>
      <family val="2"/>
    </font>
    <font>
      <sz val="10"/>
      <color indexed="54"/>
      <name val="Arial"/>
      <family val="2"/>
    </font>
    <font>
      <sz val="11"/>
      <name val="Arial"/>
      <family val="2"/>
    </font>
    <font>
      <sz val="9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sz val="10"/>
      <color rgb="FFFF0000"/>
      <name val="Arial"/>
      <family val="2"/>
    </font>
    <font>
      <b/>
      <sz val="10"/>
      <color rgb="FFFF0000"/>
      <name val="Arial"/>
      <family val="2"/>
    </font>
    <font>
      <sz val="9"/>
      <color rgb="FFFF0000"/>
      <name val="Courier New"/>
      <family val="3"/>
    </font>
    <font>
      <b/>
      <i/>
      <sz val="9"/>
      <name val="Arial"/>
      <family val="2"/>
    </font>
    <font>
      <i/>
      <sz val="9"/>
      <name val="Arial"/>
      <family val="2"/>
    </font>
    <font>
      <b/>
      <sz val="16"/>
      <name val="Arial"/>
      <family val="2"/>
    </font>
    <font>
      <sz val="10"/>
      <name val="Arial"/>
      <family val="2"/>
    </font>
    <font>
      <b/>
      <sz val="14"/>
      <color theme="1"/>
      <name val="Arial"/>
      <family val="2"/>
    </font>
    <font>
      <u/>
      <sz val="10"/>
      <color theme="10"/>
      <name val="Arial"/>
      <family val="2"/>
    </font>
    <font>
      <b/>
      <sz val="11"/>
      <name val="Arial"/>
      <family val="2"/>
    </font>
    <font>
      <sz val="10"/>
      <color theme="1"/>
      <name val="Times New Roman"/>
      <family val="1"/>
    </font>
    <font>
      <b/>
      <sz val="15"/>
      <color rgb="FFFFFFFF"/>
      <name val="Arial"/>
      <family val="2"/>
    </font>
    <font>
      <b/>
      <sz val="15"/>
      <color rgb="FFFF0000"/>
      <name val="Arial"/>
      <family val="2"/>
    </font>
    <font>
      <b/>
      <sz val="15"/>
      <color theme="1"/>
      <name val="Arial"/>
      <family val="2"/>
    </font>
    <font>
      <b/>
      <sz val="12"/>
      <color theme="1"/>
      <name val="Arial"/>
      <family val="2"/>
    </font>
    <font>
      <sz val="12"/>
      <color theme="1"/>
      <name val="Arial"/>
      <family val="2"/>
    </font>
    <font>
      <i/>
      <sz val="12"/>
      <color theme="1"/>
      <name val="Arial"/>
      <family val="2"/>
    </font>
    <font>
      <sz val="12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0000"/>
        <bgColor indexed="64"/>
      </patternFill>
    </fill>
  </fills>
  <borders count="24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dashed">
        <color indexed="64"/>
      </bottom>
      <diagonal/>
    </border>
    <border>
      <left/>
      <right/>
      <top style="thin">
        <color indexed="64"/>
      </top>
      <bottom style="dashed">
        <color indexed="64"/>
      </bottom>
      <diagonal/>
    </border>
    <border>
      <left/>
      <right style="thin">
        <color indexed="64"/>
      </right>
      <top style="thin">
        <color indexed="64"/>
      </top>
      <bottom style="dashed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</borders>
  <cellStyleXfs count="17">
    <xf numFmtId="0" fontId="0" fillId="0" borderId="0"/>
    <xf numFmtId="43" fontId="3" fillId="0" borderId="0" applyFont="0" applyFill="0" applyBorder="0" applyAlignment="0" applyProtection="0"/>
    <xf numFmtId="0" fontId="6" fillId="0" borderId="0"/>
    <xf numFmtId="0" fontId="8" fillId="0" borderId="0"/>
    <xf numFmtId="0" fontId="3" fillId="0" borderId="0"/>
    <xf numFmtId="0" fontId="15" fillId="0" borderId="0"/>
    <xf numFmtId="0" fontId="8" fillId="0" borderId="0"/>
    <xf numFmtId="0" fontId="8" fillId="0" borderId="0"/>
    <xf numFmtId="0" fontId="15" fillId="0" borderId="0"/>
    <xf numFmtId="0" fontId="2" fillId="0" borderId="0"/>
    <xf numFmtId="9" fontId="3" fillId="0" borderId="0" applyFont="0" applyFill="0" applyBorder="0" applyAlignment="0" applyProtection="0"/>
    <xf numFmtId="9" fontId="23" fillId="0" borderId="0" applyFont="0" applyFill="0" applyBorder="0" applyAlignment="0" applyProtection="0"/>
    <xf numFmtId="0" fontId="25" fillId="0" borderId="0" applyNumberFormat="0" applyFill="0" applyBorder="0" applyAlignment="0" applyProtection="0"/>
    <xf numFmtId="0" fontId="8" fillId="0" borderId="0"/>
    <xf numFmtId="0" fontId="3" fillId="0" borderId="0"/>
    <xf numFmtId="0" fontId="1" fillId="0" borderId="0"/>
    <xf numFmtId="0" fontId="8" fillId="0" borderId="0"/>
  </cellStyleXfs>
  <cellXfs count="391">
    <xf numFmtId="0" fontId="0" fillId="0" borderId="0" xfId="0"/>
    <xf numFmtId="0" fontId="5" fillId="0" borderId="0" xfId="0" applyFont="1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1" fontId="0" fillId="0" borderId="0" xfId="0" applyNumberFormat="1"/>
    <xf numFmtId="3" fontId="0" fillId="0" borderId="0" xfId="0" applyNumberFormat="1"/>
    <xf numFmtId="0" fontId="0" fillId="0" borderId="0" xfId="0" applyAlignment="1">
      <alignment textRotation="90" wrapText="1"/>
    </xf>
    <xf numFmtId="0" fontId="7" fillId="0" borderId="0" xfId="0" applyFont="1"/>
    <xf numFmtId="1" fontId="7" fillId="0" borderId="0" xfId="2" applyNumberFormat="1" applyFont="1"/>
    <xf numFmtId="1" fontId="5" fillId="0" borderId="0" xfId="2" applyNumberFormat="1" applyFont="1"/>
    <xf numFmtId="0" fontId="0" fillId="0" borderId="0" xfId="0" applyAlignment="1">
      <alignment horizontal="right"/>
    </xf>
    <xf numFmtId="1" fontId="5" fillId="0" borderId="0" xfId="0" applyNumberFormat="1" applyFont="1"/>
    <xf numFmtId="164" fontId="7" fillId="0" borderId="0" xfId="3" applyNumberFormat="1" applyFont="1"/>
    <xf numFmtId="0" fontId="9" fillId="0" borderId="0" xfId="3" applyFont="1"/>
    <xf numFmtId="0" fontId="5" fillId="0" borderId="0" xfId="3" applyFont="1" applyAlignment="1">
      <alignment horizontal="right"/>
    </xf>
    <xf numFmtId="1" fontId="7" fillId="0" borderId="0" xfId="3" applyNumberFormat="1" applyFont="1"/>
    <xf numFmtId="0" fontId="0" fillId="0" borderId="9" xfId="0" applyBorder="1"/>
    <xf numFmtId="1" fontId="5" fillId="0" borderId="9" xfId="0" applyNumberFormat="1" applyFont="1" applyBorder="1"/>
    <xf numFmtId="0" fontId="0" fillId="0" borderId="10" xfId="0" applyBorder="1"/>
    <xf numFmtId="0" fontId="5" fillId="0" borderId="9" xfId="3" applyFont="1" applyBorder="1" applyAlignment="1">
      <alignment horizontal="right"/>
    </xf>
    <xf numFmtId="164" fontId="7" fillId="0" borderId="10" xfId="3" applyNumberFormat="1" applyFont="1" applyBorder="1"/>
    <xf numFmtId="3" fontId="7" fillId="0" borderId="0" xfId="3" applyNumberFormat="1" applyFont="1"/>
    <xf numFmtId="0" fontId="5" fillId="0" borderId="11" xfId="0" applyFont="1" applyBorder="1"/>
    <xf numFmtId="3" fontId="7" fillId="0" borderId="10" xfId="3" applyNumberFormat="1" applyFont="1" applyBorder="1"/>
    <xf numFmtId="0" fontId="10" fillId="0" borderId="0" xfId="0" applyFont="1"/>
    <xf numFmtId="3" fontId="10" fillId="0" borderId="0" xfId="0" applyNumberFormat="1" applyFont="1"/>
    <xf numFmtId="3" fontId="7" fillId="0" borderId="0" xfId="0" applyNumberFormat="1" applyFont="1"/>
    <xf numFmtId="3" fontId="7" fillId="0" borderId="10" xfId="0" applyNumberFormat="1" applyFont="1" applyBorder="1"/>
    <xf numFmtId="3" fontId="0" fillId="0" borderId="10" xfId="0" applyNumberFormat="1" applyBorder="1"/>
    <xf numFmtId="1" fontId="5" fillId="0" borderId="10" xfId="0" applyNumberFormat="1" applyFont="1" applyBorder="1"/>
    <xf numFmtId="0" fontId="0" fillId="0" borderId="11" xfId="0" applyBorder="1"/>
    <xf numFmtId="0" fontId="5" fillId="0" borderId="10" xfId="0" applyFont="1" applyBorder="1" applyAlignment="1">
      <alignment horizontal="right"/>
    </xf>
    <xf numFmtId="0" fontId="7" fillId="0" borderId="0" xfId="0" applyFont="1" applyAlignment="1">
      <alignment horizontal="right"/>
    </xf>
    <xf numFmtId="0" fontId="7" fillId="0" borderId="10" xfId="0" applyFont="1" applyBorder="1"/>
    <xf numFmtId="164" fontId="0" fillId="0" borderId="0" xfId="0" applyNumberFormat="1"/>
    <xf numFmtId="0" fontId="5" fillId="0" borderId="10" xfId="0" applyFont="1" applyBorder="1"/>
    <xf numFmtId="1" fontId="5" fillId="0" borderId="10" xfId="0" applyNumberFormat="1" applyFont="1" applyBorder="1" applyAlignment="1">
      <alignment horizontal="right"/>
    </xf>
    <xf numFmtId="164" fontId="0" fillId="0" borderId="10" xfId="0" applyNumberFormat="1" applyBorder="1"/>
    <xf numFmtId="164" fontId="10" fillId="0" borderId="0" xfId="0" applyNumberFormat="1" applyFont="1"/>
    <xf numFmtId="0" fontId="7" fillId="0" borderId="0" xfId="0" applyFont="1" applyAlignment="1">
      <alignment horizontal="left"/>
    </xf>
    <xf numFmtId="0" fontId="12" fillId="0" borderId="0" xfId="0" applyFont="1"/>
    <xf numFmtId="0" fontId="0" fillId="0" borderId="0" xfId="0" applyAlignment="1">
      <alignment horizontal="center"/>
    </xf>
    <xf numFmtId="1" fontId="0" fillId="0" borderId="0" xfId="0" applyNumberFormat="1" applyAlignment="1">
      <alignment horizontal="right"/>
    </xf>
    <xf numFmtId="164" fontId="7" fillId="0" borderId="0" xfId="0" applyNumberFormat="1" applyFont="1"/>
    <xf numFmtId="164" fontId="7" fillId="0" borderId="10" xfId="0" applyNumberFormat="1" applyFont="1" applyBorder="1"/>
    <xf numFmtId="0" fontId="0" fillId="2" borderId="13" xfId="0" applyFill="1" applyBorder="1"/>
    <xf numFmtId="0" fontId="0" fillId="2" borderId="14" xfId="0" applyFill="1" applyBorder="1"/>
    <xf numFmtId="0" fontId="0" fillId="2" borderId="15" xfId="0" applyFill="1" applyBorder="1"/>
    <xf numFmtId="0" fontId="0" fillId="2" borderId="0" xfId="0" applyFill="1"/>
    <xf numFmtId="0" fontId="0" fillId="2" borderId="16" xfId="0" applyFill="1" applyBorder="1"/>
    <xf numFmtId="0" fontId="0" fillId="2" borderId="17" xfId="0" applyFill="1" applyBorder="1"/>
    <xf numFmtId="0" fontId="0" fillId="2" borderId="18" xfId="0" applyFill="1" applyBorder="1"/>
    <xf numFmtId="0" fontId="0" fillId="2" borderId="19" xfId="0" applyFill="1" applyBorder="1"/>
    <xf numFmtId="0" fontId="0" fillId="2" borderId="0" xfId="0" applyFill="1" applyAlignment="1">
      <alignment horizontal="center"/>
    </xf>
    <xf numFmtId="1" fontId="0" fillId="2" borderId="0" xfId="0" applyNumberFormat="1" applyFill="1" applyAlignment="1">
      <alignment horizontal="center"/>
    </xf>
    <xf numFmtId="0" fontId="0" fillId="2" borderId="20" xfId="0" applyFill="1" applyBorder="1" applyAlignment="1">
      <alignment horizontal="center"/>
    </xf>
    <xf numFmtId="0" fontId="0" fillId="2" borderId="21" xfId="0" applyFill="1" applyBorder="1" applyAlignment="1">
      <alignment horizontal="center"/>
    </xf>
    <xf numFmtId="0" fontId="0" fillId="0" borderId="10" xfId="0" applyBorder="1" applyAlignment="1">
      <alignment horizontal="right"/>
    </xf>
    <xf numFmtId="0" fontId="5" fillId="0" borderId="10" xfId="3" applyFont="1" applyBorder="1" applyAlignment="1">
      <alignment horizontal="right"/>
    </xf>
    <xf numFmtId="3" fontId="0" fillId="0" borderId="11" xfId="0" applyNumberFormat="1" applyBorder="1"/>
    <xf numFmtId="164" fontId="7" fillId="0" borderId="11" xfId="3" applyNumberFormat="1" applyFont="1" applyBorder="1"/>
    <xf numFmtId="166" fontId="0" fillId="0" borderId="10" xfId="0" applyNumberFormat="1" applyBorder="1"/>
    <xf numFmtId="166" fontId="7" fillId="0" borderId="0" xfId="3" applyNumberFormat="1" applyFont="1"/>
    <xf numFmtId="166" fontId="0" fillId="0" borderId="0" xfId="0" applyNumberFormat="1"/>
    <xf numFmtId="166" fontId="7" fillId="0" borderId="10" xfId="3" applyNumberFormat="1" applyFont="1" applyBorder="1"/>
    <xf numFmtId="0" fontId="0" fillId="0" borderId="0" xfId="0" applyAlignment="1">
      <alignment wrapText="1"/>
    </xf>
    <xf numFmtId="0" fontId="0" fillId="0" borderId="0" xfId="0" applyAlignment="1">
      <alignment horizontal="right" wrapText="1"/>
    </xf>
    <xf numFmtId="167" fontId="0" fillId="0" borderId="0" xfId="0" applyNumberFormat="1"/>
    <xf numFmtId="1" fontId="5" fillId="0" borderId="0" xfId="0" applyNumberFormat="1" applyFont="1" applyAlignment="1">
      <alignment horizontal="right"/>
    </xf>
    <xf numFmtId="1" fontId="5" fillId="0" borderId="9" xfId="0" applyNumberFormat="1" applyFont="1" applyBorder="1" applyAlignment="1">
      <alignment horizontal="right"/>
    </xf>
    <xf numFmtId="0" fontId="5" fillId="0" borderId="17" xfId="0" applyFont="1" applyBorder="1"/>
    <xf numFmtId="3" fontId="7" fillId="0" borderId="0" xfId="1" applyNumberFormat="1" applyFont="1"/>
    <xf numFmtId="0" fontId="7" fillId="0" borderId="11" xfId="0" applyFont="1" applyBorder="1"/>
    <xf numFmtId="0" fontId="7" fillId="0" borderId="11" xfId="0" applyFont="1" applyBorder="1" applyAlignment="1">
      <alignment horizontal="center"/>
    </xf>
    <xf numFmtId="0" fontId="9" fillId="3" borderId="0" xfId="0" applyFont="1" applyFill="1"/>
    <xf numFmtId="0" fontId="0" fillId="3" borderId="0" xfId="0" applyFill="1"/>
    <xf numFmtId="0" fontId="3" fillId="0" borderId="0" xfId="0" applyFont="1" applyAlignment="1">
      <alignment horizontal="right"/>
    </xf>
    <xf numFmtId="0" fontId="3" fillId="0" borderId="0" xfId="0" applyFont="1"/>
    <xf numFmtId="0" fontId="3" fillId="0" borderId="0" xfId="0" applyFont="1" applyAlignment="1">
      <alignment horizontal="right" wrapText="1"/>
    </xf>
    <xf numFmtId="0" fontId="5" fillId="0" borderId="0" xfId="0" applyFont="1" applyAlignment="1">
      <alignment vertical="center" wrapText="1"/>
    </xf>
    <xf numFmtId="0" fontId="13" fillId="0" borderId="0" xfId="3" applyFont="1"/>
    <xf numFmtId="3" fontId="5" fillId="0" borderId="0" xfId="0" applyNumberFormat="1" applyFont="1"/>
    <xf numFmtId="0" fontId="0" fillId="0" borderId="9" xfId="0" applyBorder="1" applyAlignment="1">
      <alignment horizontal="right" wrapText="1"/>
    </xf>
    <xf numFmtId="1" fontId="3" fillId="0" borderId="0" xfId="2" applyNumberFormat="1" applyFont="1"/>
    <xf numFmtId="0" fontId="5" fillId="0" borderId="0" xfId="0" applyFont="1" applyAlignment="1">
      <alignment wrapText="1"/>
    </xf>
    <xf numFmtId="0" fontId="3" fillId="0" borderId="0" xfId="4"/>
    <xf numFmtId="0" fontId="3" fillId="0" borderId="10" xfId="4" applyBorder="1"/>
    <xf numFmtId="3" fontId="3" fillId="0" borderId="10" xfId="4" applyNumberFormat="1" applyBorder="1"/>
    <xf numFmtId="3" fontId="3" fillId="0" borderId="0" xfId="4" applyNumberFormat="1"/>
    <xf numFmtId="0" fontId="3" fillId="0" borderId="11" xfId="4" applyBorder="1" applyAlignment="1">
      <alignment horizontal="centerContinuous"/>
    </xf>
    <xf numFmtId="0" fontId="3" fillId="0" borderId="11" xfId="4" applyBorder="1"/>
    <xf numFmtId="164" fontId="3" fillId="0" borderId="0" xfId="4" applyNumberFormat="1"/>
    <xf numFmtId="164" fontId="3" fillId="0" borderId="10" xfId="4" applyNumberFormat="1" applyBorder="1"/>
    <xf numFmtId="0" fontId="5" fillId="0" borderId="11" xfId="0" applyFont="1" applyBorder="1" applyAlignment="1">
      <alignment horizontal="right"/>
    </xf>
    <xf numFmtId="1" fontId="5" fillId="0" borderId="10" xfId="4" applyNumberFormat="1" applyFont="1" applyBorder="1" applyAlignment="1">
      <alignment horizontal="left"/>
    </xf>
    <xf numFmtId="1" fontId="5" fillId="0" borderId="10" xfId="4" applyNumberFormat="1" applyFont="1" applyBorder="1" applyAlignment="1">
      <alignment horizontal="left" wrapText="1"/>
    </xf>
    <xf numFmtId="0" fontId="3" fillId="0" borderId="0" xfId="4" applyAlignment="1">
      <alignment wrapText="1"/>
    </xf>
    <xf numFmtId="0" fontId="3" fillId="0" borderId="0" xfId="4" applyAlignment="1">
      <alignment horizontal="centerContinuous"/>
    </xf>
    <xf numFmtId="0" fontId="3" fillId="0" borderId="0" xfId="4" applyAlignment="1">
      <alignment horizontal="right" wrapText="1"/>
    </xf>
    <xf numFmtId="0" fontId="0" fillId="0" borderId="10" xfId="0" applyBorder="1" applyAlignment="1">
      <alignment horizontal="right" wrapText="1"/>
    </xf>
    <xf numFmtId="0" fontId="3" fillId="0" borderId="10" xfId="4" applyBorder="1" applyAlignment="1">
      <alignment horizontal="right" wrapText="1"/>
    </xf>
    <xf numFmtId="1" fontId="3" fillId="0" borderId="0" xfId="4" applyNumberFormat="1"/>
    <xf numFmtId="1" fontId="3" fillId="0" borderId="10" xfId="4" applyNumberFormat="1" applyBorder="1"/>
    <xf numFmtId="1" fontId="3" fillId="0" borderId="0" xfId="4" applyNumberFormat="1" applyAlignment="1">
      <alignment horizontal="right" wrapText="1"/>
    </xf>
    <xf numFmtId="1" fontId="3" fillId="0" borderId="10" xfId="4" applyNumberFormat="1" applyBorder="1" applyAlignment="1">
      <alignment horizontal="right" wrapText="1"/>
    </xf>
    <xf numFmtId="0" fontId="5" fillId="0" borderId="0" xfId="4" applyFont="1" applyAlignment="1">
      <alignment horizontal="center"/>
    </xf>
    <xf numFmtId="3" fontId="3" fillId="0" borderId="11" xfId="4" applyNumberFormat="1" applyBorder="1"/>
    <xf numFmtId="1" fontId="5" fillId="0" borderId="10" xfId="4" applyNumberFormat="1" applyFont="1" applyBorder="1" applyAlignment="1">
      <alignment wrapText="1"/>
    </xf>
    <xf numFmtId="0" fontId="5" fillId="0" borderId="0" xfId="4" applyFont="1"/>
    <xf numFmtId="0" fontId="3" fillId="0" borderId="10" xfId="0" applyFont="1" applyBorder="1" applyAlignment="1">
      <alignment horizontal="right" wrapText="1"/>
    </xf>
    <xf numFmtId="0" fontId="3" fillId="0" borderId="10" xfId="4" applyBorder="1" applyAlignment="1">
      <alignment horizontal="right"/>
    </xf>
    <xf numFmtId="0" fontId="3" fillId="0" borderId="0" xfId="4" applyAlignment="1">
      <alignment horizontal="right"/>
    </xf>
    <xf numFmtId="0" fontId="5" fillId="0" borderId="11" xfId="4" applyFont="1" applyBorder="1"/>
    <xf numFmtId="0" fontId="3" fillId="0" borderId="11" xfId="4" applyBorder="1" applyAlignment="1">
      <alignment horizontal="right"/>
    </xf>
    <xf numFmtId="1" fontId="5" fillId="0" borderId="10" xfId="4" applyNumberFormat="1" applyFont="1" applyBorder="1"/>
    <xf numFmtId="0" fontId="5" fillId="0" borderId="10" xfId="4" applyFont="1" applyBorder="1" applyAlignment="1">
      <alignment horizontal="right"/>
    </xf>
    <xf numFmtId="0" fontId="10" fillId="0" borderId="0" xfId="4" applyFont="1"/>
    <xf numFmtId="3" fontId="10" fillId="0" borderId="0" xfId="4" applyNumberFormat="1" applyFont="1"/>
    <xf numFmtId="0" fontId="0" fillId="0" borderId="0" xfId="0" quotePrefix="1"/>
    <xf numFmtId="0" fontId="0" fillId="0" borderId="0" xfId="0" applyAlignment="1">
      <alignment textRotation="90"/>
    </xf>
    <xf numFmtId="1" fontId="3" fillId="0" borderId="0" xfId="0" applyNumberFormat="1" applyFont="1"/>
    <xf numFmtId="0" fontId="3" fillId="2" borderId="20" xfId="0" applyFont="1" applyFill="1" applyBorder="1" applyAlignment="1">
      <alignment horizontal="center"/>
    </xf>
    <xf numFmtId="0" fontId="16" fillId="4" borderId="0" xfId="5" applyFont="1" applyFill="1"/>
    <xf numFmtId="0" fontId="15" fillId="4" borderId="0" xfId="5" applyFill="1"/>
    <xf numFmtId="0" fontId="15" fillId="0" borderId="0" xfId="5"/>
    <xf numFmtId="0" fontId="16" fillId="4" borderId="11" xfId="5" applyFont="1" applyFill="1" applyBorder="1" applyAlignment="1">
      <alignment horizontal="right"/>
    </xf>
    <xf numFmtId="1" fontId="16" fillId="4" borderId="11" xfId="5" applyNumberFormat="1" applyFont="1" applyFill="1" applyBorder="1" applyAlignment="1">
      <alignment horizontal="right"/>
    </xf>
    <xf numFmtId="1" fontId="5" fillId="4" borderId="0" xfId="6" applyNumberFormat="1" applyFont="1" applyFill="1"/>
    <xf numFmtId="0" fontId="16" fillId="4" borderId="10" xfId="5" applyFont="1" applyFill="1" applyBorder="1" applyAlignment="1">
      <alignment horizontal="right"/>
    </xf>
    <xf numFmtId="1" fontId="15" fillId="0" borderId="0" xfId="5" applyNumberFormat="1"/>
    <xf numFmtId="0" fontId="16" fillId="0" borderId="0" xfId="5" applyFont="1"/>
    <xf numFmtId="0" fontId="17" fillId="0" borderId="0" xfId="5" applyFont="1"/>
    <xf numFmtId="1" fontId="17" fillId="0" borderId="0" xfId="0" applyNumberFormat="1" applyFont="1"/>
    <xf numFmtId="0" fontId="19" fillId="0" borderId="0" xfId="0" applyFont="1" applyAlignment="1">
      <alignment horizontal="left" vertical="center" readingOrder="1"/>
    </xf>
    <xf numFmtId="168" fontId="15" fillId="0" borderId="0" xfId="1" applyNumberFormat="1" applyFont="1"/>
    <xf numFmtId="164" fontId="15" fillId="0" borderId="0" xfId="5" applyNumberFormat="1"/>
    <xf numFmtId="164" fontId="15" fillId="0" borderId="11" xfId="5" applyNumberFormat="1" applyBorder="1"/>
    <xf numFmtId="1" fontId="5" fillId="0" borderId="0" xfId="6" applyNumberFormat="1" applyFont="1"/>
    <xf numFmtId="0" fontId="16" fillId="0" borderId="0" xfId="5" applyFont="1" applyAlignment="1">
      <alignment horizontal="right"/>
    </xf>
    <xf numFmtId="0" fontId="15" fillId="0" borderId="10" xfId="5" applyBorder="1"/>
    <xf numFmtId="0" fontId="15" fillId="0" borderId="11" xfId="5" applyBorder="1"/>
    <xf numFmtId="164" fontId="15" fillId="0" borderId="10" xfId="5" applyNumberFormat="1" applyBorder="1"/>
    <xf numFmtId="1" fontId="15" fillId="0" borderId="10" xfId="5" applyNumberFormat="1" applyBorder="1"/>
    <xf numFmtId="0" fontId="3" fillId="0" borderId="10" xfId="5" applyFont="1" applyBorder="1"/>
    <xf numFmtId="3" fontId="15" fillId="0" borderId="11" xfId="5" applyNumberFormat="1" applyBorder="1"/>
    <xf numFmtId="3" fontId="15" fillId="0" borderId="0" xfId="5" applyNumberFormat="1"/>
    <xf numFmtId="3" fontId="15" fillId="0" borderId="10" xfId="5" applyNumberFormat="1" applyBorder="1"/>
    <xf numFmtId="0" fontId="16" fillId="4" borderId="11" xfId="5" applyFont="1" applyFill="1" applyBorder="1" applyAlignment="1">
      <alignment horizontal="center"/>
    </xf>
    <xf numFmtId="0" fontId="16" fillId="4" borderId="0" xfId="5" applyFont="1" applyFill="1" applyAlignment="1">
      <alignment horizontal="right"/>
    </xf>
    <xf numFmtId="0" fontId="15" fillId="4" borderId="10" xfId="5" applyFill="1" applyBorder="1"/>
    <xf numFmtId="0" fontId="9" fillId="3" borderId="0" xfId="4" applyFont="1" applyFill="1"/>
    <xf numFmtId="0" fontId="3" fillId="3" borderId="0" xfId="4" applyFill="1"/>
    <xf numFmtId="0" fontId="12" fillId="0" borderId="0" xfId="4" applyFont="1"/>
    <xf numFmtId="0" fontId="16" fillId="4" borderId="9" xfId="5" applyFont="1" applyFill="1" applyBorder="1" applyAlignment="1">
      <alignment horizontal="right"/>
    </xf>
    <xf numFmtId="0" fontId="1" fillId="0" borderId="0" xfId="5" applyFont="1"/>
    <xf numFmtId="0" fontId="1" fillId="0" borderId="0" xfId="5" applyFont="1" applyAlignment="1">
      <alignment wrapText="1"/>
    </xf>
    <xf numFmtId="168" fontId="15" fillId="0" borderId="0" xfId="1" applyNumberFormat="1" applyFont="1" applyFill="1" applyBorder="1"/>
    <xf numFmtId="168" fontId="15" fillId="0" borderId="0" xfId="1" applyNumberFormat="1" applyFont="1" applyFill="1"/>
    <xf numFmtId="2" fontId="15" fillId="0" borderId="11" xfId="5" applyNumberFormat="1" applyBorder="1"/>
    <xf numFmtId="2" fontId="15" fillId="0" borderId="0" xfId="5" applyNumberFormat="1"/>
    <xf numFmtId="0" fontId="1" fillId="4" borderId="10" xfId="5" applyFont="1" applyFill="1" applyBorder="1"/>
    <xf numFmtId="168" fontId="15" fillId="0" borderId="10" xfId="1" applyNumberFormat="1" applyFont="1" applyFill="1" applyBorder="1"/>
    <xf numFmtId="0" fontId="15" fillId="0" borderId="0" xfId="5" applyAlignment="1">
      <alignment vertical="top" wrapText="1"/>
    </xf>
    <xf numFmtId="169" fontId="1" fillId="0" borderId="0" xfId="1" applyNumberFormat="1" applyFont="1" applyFill="1"/>
    <xf numFmtId="0" fontId="14" fillId="0" borderId="0" xfId="0" applyFont="1" applyAlignment="1">
      <alignment horizontal="left" vertical="top"/>
    </xf>
    <xf numFmtId="0" fontId="15" fillId="0" borderId="0" xfId="5" applyAlignment="1">
      <alignment horizontal="left" vertical="top"/>
    </xf>
    <xf numFmtId="4" fontId="0" fillId="0" borderId="0" xfId="0" applyNumberFormat="1"/>
    <xf numFmtId="2" fontId="7" fillId="0" borderId="0" xfId="3" applyNumberFormat="1" applyFont="1"/>
    <xf numFmtId="0" fontId="0" fillId="2" borderId="15" xfId="0" applyFill="1" applyBorder="1" applyAlignment="1">
      <alignment horizontal="right"/>
    </xf>
    <xf numFmtId="0" fontId="22" fillId="0" borderId="0" xfId="0" applyFont="1"/>
    <xf numFmtId="0" fontId="5" fillId="2" borderId="12" xfId="0" applyFont="1" applyFill="1" applyBorder="1" applyAlignment="1">
      <alignment horizontal="left" vertical="center"/>
    </xf>
    <xf numFmtId="0" fontId="5" fillId="2" borderId="12" xfId="0" applyFont="1" applyFill="1" applyBorder="1" applyAlignment="1">
      <alignment vertical="center"/>
    </xf>
    <xf numFmtId="1" fontId="3" fillId="0" borderId="0" xfId="4" applyNumberFormat="1" applyAlignment="1">
      <alignment horizontal="right"/>
    </xf>
    <xf numFmtId="0" fontId="5" fillId="0" borderId="9" xfId="4" applyFont="1" applyBorder="1"/>
    <xf numFmtId="0" fontId="5" fillId="0" borderId="10" xfId="4" applyFont="1" applyBorder="1"/>
    <xf numFmtId="0" fontId="18" fillId="0" borderId="0" xfId="4" applyFont="1"/>
    <xf numFmtId="0" fontId="5" fillId="0" borderId="0" xfId="3" applyFont="1"/>
    <xf numFmtId="0" fontId="5" fillId="0" borderId="0" xfId="4" applyFont="1" applyAlignment="1">
      <alignment horizontal="right"/>
    </xf>
    <xf numFmtId="0" fontId="5" fillId="0" borderId="11" xfId="4" applyFont="1" applyBorder="1" applyAlignment="1">
      <alignment horizontal="centerContinuous"/>
    </xf>
    <xf numFmtId="0" fontId="3" fillId="0" borderId="9" xfId="4" applyBorder="1" applyAlignment="1">
      <alignment horizontal="centerContinuous"/>
    </xf>
    <xf numFmtId="0" fontId="3" fillId="0" borderId="9" xfId="4" applyBorder="1"/>
    <xf numFmtId="1" fontId="5" fillId="0" borderId="10" xfId="4" applyNumberFormat="1" applyFont="1" applyBorder="1" applyAlignment="1">
      <alignment horizontal="right"/>
    </xf>
    <xf numFmtId="3" fontId="3" fillId="0" borderId="0" xfId="1" applyNumberFormat="1" applyFont="1"/>
    <xf numFmtId="3" fontId="3" fillId="0" borderId="0" xfId="1" applyNumberFormat="1" applyFont="1" applyBorder="1"/>
    <xf numFmtId="3" fontId="3" fillId="0" borderId="10" xfId="1" applyNumberFormat="1" applyFont="1" applyBorder="1"/>
    <xf numFmtId="3" fontId="3" fillId="0" borderId="11" xfId="1" applyNumberFormat="1" applyFont="1" applyBorder="1"/>
    <xf numFmtId="0" fontId="16" fillId="4" borderId="0" xfId="5" applyFont="1" applyFill="1" applyAlignment="1">
      <alignment horizontal="center"/>
    </xf>
    <xf numFmtId="0" fontId="16" fillId="4" borderId="11" xfId="5" applyFont="1" applyFill="1" applyBorder="1" applyAlignment="1">
      <alignment horizontal="center" wrapText="1"/>
    </xf>
    <xf numFmtId="0" fontId="9" fillId="0" borderId="0" xfId="0" applyFont="1"/>
    <xf numFmtId="0" fontId="5" fillId="0" borderId="9" xfId="0" applyFont="1" applyBorder="1"/>
    <xf numFmtId="1" fontId="18" fillId="0" borderId="0" xfId="0" applyNumberFormat="1" applyFont="1"/>
    <xf numFmtId="2" fontId="15" fillId="0" borderId="10" xfId="5" applyNumberFormat="1" applyBorder="1"/>
    <xf numFmtId="0" fontId="0" fillId="2" borderId="10" xfId="0" applyFill="1" applyBorder="1"/>
    <xf numFmtId="0" fontId="5" fillId="2" borderId="14" xfId="0" applyFont="1" applyFill="1" applyBorder="1" applyAlignment="1">
      <alignment horizontal="left" vertical="center"/>
    </xf>
    <xf numFmtId="167" fontId="0" fillId="0" borderId="0" xfId="11" applyNumberFormat="1" applyFont="1" applyAlignment="1"/>
    <xf numFmtId="0" fontId="5" fillId="0" borderId="9" xfId="0" applyFont="1" applyBorder="1" applyAlignment="1">
      <alignment vertical="center" wrapText="1"/>
    </xf>
    <xf numFmtId="0" fontId="0" fillId="0" borderId="9" xfId="0" applyBorder="1" applyAlignment="1">
      <alignment horizontal="right"/>
    </xf>
    <xf numFmtId="0" fontId="24" fillId="0" borderId="0" xfId="5" applyFont="1"/>
    <xf numFmtId="0" fontId="0" fillId="2" borderId="23" xfId="0" applyFill="1" applyBorder="1" applyAlignment="1">
      <alignment horizontal="right"/>
    </xf>
    <xf numFmtId="3" fontId="10" fillId="0" borderId="10" xfId="0" applyNumberFormat="1" applyFont="1" applyBorder="1"/>
    <xf numFmtId="164" fontId="10" fillId="0" borderId="10" xfId="0" applyNumberFormat="1" applyFont="1" applyBorder="1"/>
    <xf numFmtId="3" fontId="3" fillId="0" borderId="0" xfId="5" applyNumberFormat="1" applyFont="1"/>
    <xf numFmtId="0" fontId="5" fillId="0" borderId="0" xfId="0" applyFont="1" applyAlignment="1">
      <alignment horizontal="left"/>
    </xf>
    <xf numFmtId="0" fontId="5" fillId="0" borderId="22" xfId="0" applyFont="1" applyBorder="1"/>
    <xf numFmtId="0" fontId="25" fillId="0" borderId="22" xfId="12" applyBorder="1"/>
    <xf numFmtId="0" fontId="3" fillId="0" borderId="22" xfId="0" applyFont="1" applyBorder="1"/>
    <xf numFmtId="0" fontId="0" fillId="0" borderId="22" xfId="0" applyBorder="1"/>
    <xf numFmtId="0" fontId="26" fillId="0" borderId="0" xfId="0" applyFont="1"/>
    <xf numFmtId="0" fontId="3" fillId="0" borderId="0" xfId="13" applyFont="1" applyAlignment="1">
      <alignment horizontal="center"/>
    </xf>
    <xf numFmtId="0" fontId="1" fillId="0" borderId="0" xfId="7" applyFont="1" applyAlignment="1">
      <alignment horizontal="center" vertical="center"/>
    </xf>
    <xf numFmtId="0" fontId="27" fillId="0" borderId="0" xfId="7" applyFont="1" applyAlignment="1">
      <alignment horizontal="center"/>
    </xf>
    <xf numFmtId="0" fontId="31" fillId="0" borderId="0" xfId="7" applyFont="1" applyAlignment="1">
      <alignment horizontal="center" vertical="center"/>
    </xf>
    <xf numFmtId="0" fontId="27" fillId="0" borderId="5" xfId="7" applyFont="1" applyBorder="1" applyAlignment="1">
      <alignment horizontal="center"/>
    </xf>
    <xf numFmtId="0" fontId="1" fillId="0" borderId="1" xfId="7" applyFont="1" applyBorder="1" applyAlignment="1">
      <alignment horizontal="center" vertical="center"/>
    </xf>
    <xf numFmtId="0" fontId="1" fillId="0" borderId="2" xfId="7" applyFont="1" applyBorder="1" applyAlignment="1">
      <alignment horizontal="center" vertical="center"/>
    </xf>
    <xf numFmtId="0" fontId="31" fillId="0" borderId="2" xfId="7" applyFont="1" applyBorder="1" applyAlignment="1">
      <alignment horizontal="center" vertical="center"/>
    </xf>
    <xf numFmtId="0" fontId="1" fillId="0" borderId="3" xfId="7" applyFont="1" applyBorder="1" applyAlignment="1">
      <alignment horizontal="center" vertical="center"/>
    </xf>
    <xf numFmtId="0" fontId="32" fillId="0" borderId="4" xfId="7" applyFont="1" applyBorder="1" applyAlignment="1">
      <alignment horizontal="center" vertical="center"/>
    </xf>
    <xf numFmtId="0" fontId="32" fillId="0" borderId="0" xfId="7" applyFont="1" applyAlignment="1">
      <alignment horizontal="center" vertical="center"/>
    </xf>
    <xf numFmtId="0" fontId="1" fillId="0" borderId="5" xfId="7" applyFont="1" applyBorder="1" applyAlignment="1">
      <alignment horizontal="center" vertical="center"/>
    </xf>
    <xf numFmtId="0" fontId="31" fillId="0" borderId="4" xfId="7" applyFont="1" applyBorder="1" applyAlignment="1">
      <alignment horizontal="center" vertical="center"/>
    </xf>
    <xf numFmtId="0" fontId="8" fillId="0" borderId="0" xfId="7" applyAlignment="1">
      <alignment horizontal="center"/>
    </xf>
    <xf numFmtId="0" fontId="5" fillId="0" borderId="0" xfId="14" applyFont="1"/>
    <xf numFmtId="0" fontId="3" fillId="0" borderId="0" xfId="14"/>
    <xf numFmtId="1" fontId="16" fillId="0" borderId="0" xfId="0" applyNumberFormat="1" applyFont="1"/>
    <xf numFmtId="1" fontId="0" fillId="0" borderId="10" xfId="0" applyNumberFormat="1" applyBorder="1"/>
    <xf numFmtId="1" fontId="7" fillId="0" borderId="0" xfId="0" applyNumberFormat="1" applyFont="1"/>
    <xf numFmtId="1" fontId="5" fillId="0" borderId="11" xfId="0" applyNumberFormat="1" applyFont="1" applyBorder="1"/>
    <xf numFmtId="167" fontId="0" fillId="0" borderId="10" xfId="11" applyNumberFormat="1" applyFont="1" applyBorder="1" applyAlignment="1"/>
    <xf numFmtId="1" fontId="3" fillId="0" borderId="10" xfId="4" applyNumberFormat="1" applyBorder="1" applyAlignment="1">
      <alignment horizontal="center" wrapText="1"/>
    </xf>
    <xf numFmtId="0" fontId="3" fillId="0" borderId="0" xfId="15" applyFont="1"/>
    <xf numFmtId="1" fontId="3" fillId="0" borderId="0" xfId="15" applyNumberFormat="1" applyFont="1"/>
    <xf numFmtId="3" fontId="3" fillId="0" borderId="0" xfId="15" applyNumberFormat="1" applyFont="1"/>
    <xf numFmtId="3" fontId="3" fillId="0" borderId="0" xfId="15" applyNumberFormat="1" applyFont="1" applyAlignment="1">
      <alignment horizontal="right"/>
    </xf>
    <xf numFmtId="1" fontId="3" fillId="0" borderId="0" xfId="15" applyNumberFormat="1" applyFont="1" applyAlignment="1">
      <alignment horizontal="right"/>
    </xf>
    <xf numFmtId="1" fontId="5" fillId="0" borderId="0" xfId="15" applyNumberFormat="1" applyFont="1"/>
    <xf numFmtId="0" fontId="5" fillId="0" borderId="11" xfId="15" applyFont="1" applyBorder="1"/>
    <xf numFmtId="0" fontId="3" fillId="0" borderId="11" xfId="15" applyFont="1" applyBorder="1"/>
    <xf numFmtId="1" fontId="3" fillId="0" borderId="10" xfId="15" applyNumberFormat="1" applyFont="1" applyBorder="1"/>
    <xf numFmtId="0" fontId="5" fillId="0" borderId="10" xfId="15" applyFont="1" applyBorder="1" applyAlignment="1">
      <alignment horizontal="right"/>
    </xf>
    <xf numFmtId="0" fontId="5" fillId="0" borderId="0" xfId="15" applyFont="1" applyAlignment="1">
      <alignment horizontal="centerContinuous"/>
    </xf>
    <xf numFmtId="3" fontId="3" fillId="0" borderId="10" xfId="15" applyNumberFormat="1" applyFont="1" applyBorder="1"/>
    <xf numFmtId="0" fontId="3" fillId="0" borderId="0" xfId="15" applyFont="1" applyAlignment="1">
      <alignment horizontal="right"/>
    </xf>
    <xf numFmtId="3" fontId="3" fillId="0" borderId="0" xfId="3" applyNumberFormat="1" applyFont="1"/>
    <xf numFmtId="1" fontId="5" fillId="0" borderId="11" xfId="15" applyNumberFormat="1" applyFont="1" applyBorder="1"/>
    <xf numFmtId="3" fontId="3" fillId="0" borderId="10" xfId="3" applyNumberFormat="1" applyFont="1" applyBorder="1" applyAlignment="1">
      <alignment horizontal="right"/>
    </xf>
    <xf numFmtId="0" fontId="3" fillId="0" borderId="10" xfId="15" applyFont="1" applyBorder="1"/>
    <xf numFmtId="1" fontId="5" fillId="0" borderId="0" xfId="15" applyNumberFormat="1" applyFont="1" applyAlignment="1">
      <alignment horizontal="centerContinuous"/>
    </xf>
    <xf numFmtId="0" fontId="5" fillId="0" borderId="10" xfId="15" applyFont="1" applyBorder="1"/>
    <xf numFmtId="1" fontId="5" fillId="0" borderId="10" xfId="15" applyNumberFormat="1" applyFont="1" applyBorder="1" applyAlignment="1">
      <alignment horizontal="right"/>
    </xf>
    <xf numFmtId="1" fontId="3" fillId="0" borderId="10" xfId="3" applyNumberFormat="1" applyFont="1" applyBorder="1" applyAlignment="1">
      <alignment horizontal="right"/>
    </xf>
    <xf numFmtId="0" fontId="5" fillId="0" borderId="0" xfId="15" applyFont="1" applyAlignment="1">
      <alignment horizontal="right"/>
    </xf>
    <xf numFmtId="0" fontId="5" fillId="0" borderId="0" xfId="15" applyFont="1"/>
    <xf numFmtId="1" fontId="5" fillId="0" borderId="0" xfId="15" applyNumberFormat="1" applyFont="1" applyAlignment="1">
      <alignment horizontal="right"/>
    </xf>
    <xf numFmtId="1" fontId="3" fillId="0" borderId="0" xfId="16" applyNumberFormat="1" applyFont="1"/>
    <xf numFmtId="1" fontId="5" fillId="0" borderId="0" xfId="16" applyNumberFormat="1" applyFont="1"/>
    <xf numFmtId="1" fontId="10" fillId="0" borderId="0" xfId="16" applyNumberFormat="1" applyFont="1"/>
    <xf numFmtId="1" fontId="3" fillId="0" borderId="0" xfId="16" applyNumberFormat="1" applyFont="1" applyAlignment="1">
      <alignment horizontal="right"/>
    </xf>
    <xf numFmtId="1" fontId="3" fillId="0" borderId="10" xfId="16" applyNumberFormat="1" applyFont="1" applyBorder="1"/>
    <xf numFmtId="1" fontId="26" fillId="0" borderId="11" xfId="16" applyNumberFormat="1" applyFont="1" applyBorder="1"/>
    <xf numFmtId="1" fontId="3" fillId="0" borderId="11" xfId="16" applyNumberFormat="1" applyFont="1" applyBorder="1"/>
    <xf numFmtId="1" fontId="18" fillId="0" borderId="10" xfId="16" applyNumberFormat="1" applyFont="1" applyBorder="1"/>
    <xf numFmtId="1" fontId="5" fillId="0" borderId="10" xfId="16" applyNumberFormat="1" applyFont="1" applyBorder="1" applyAlignment="1">
      <alignment horizontal="right"/>
    </xf>
    <xf numFmtId="1" fontId="18" fillId="0" borderId="0" xfId="16" applyNumberFormat="1" applyFont="1"/>
    <xf numFmtId="0" fontId="16" fillId="0" borderId="11" xfId="5" applyFont="1" applyBorder="1" applyAlignment="1">
      <alignment horizontal="right"/>
    </xf>
    <xf numFmtId="1" fontId="16" fillId="0" borderId="11" xfId="5" applyNumberFormat="1" applyFont="1" applyBorder="1" applyAlignment="1">
      <alignment horizontal="right"/>
    </xf>
    <xf numFmtId="0" fontId="16" fillId="0" borderId="10" xfId="5" applyFont="1" applyBorder="1" applyAlignment="1">
      <alignment horizontal="right"/>
    </xf>
    <xf numFmtId="1" fontId="5" fillId="0" borderId="10" xfId="6" applyNumberFormat="1" applyFont="1" applyBorder="1"/>
    <xf numFmtId="0" fontId="16" fillId="0" borderId="10" xfId="5" applyFont="1" applyBorder="1"/>
    <xf numFmtId="0" fontId="16" fillId="0" borderId="11" xfId="5" applyFont="1" applyBorder="1"/>
    <xf numFmtId="0" fontId="31" fillId="0" borderId="0" xfId="5" applyFont="1"/>
    <xf numFmtId="1" fontId="5" fillId="0" borderId="11" xfId="6" applyNumberFormat="1" applyFont="1" applyBorder="1"/>
    <xf numFmtId="3" fontId="5" fillId="0" borderId="0" xfId="15" applyNumberFormat="1" applyFont="1" applyAlignment="1">
      <alignment horizontal="centerContinuous"/>
    </xf>
    <xf numFmtId="1" fontId="5" fillId="0" borderId="0" xfId="7" applyNumberFormat="1" applyFont="1"/>
    <xf numFmtId="3" fontId="5" fillId="0" borderId="10" xfId="15" applyNumberFormat="1" applyFont="1" applyBorder="1" applyAlignment="1">
      <alignment horizontal="right"/>
    </xf>
    <xf numFmtId="3" fontId="5" fillId="0" borderId="0" xfId="3" applyNumberFormat="1" applyFont="1"/>
    <xf numFmtId="0" fontId="3" fillId="0" borderId="0" xfId="3" applyFont="1"/>
    <xf numFmtId="1" fontId="3" fillId="0" borderId="0" xfId="3" applyNumberFormat="1" applyFont="1"/>
    <xf numFmtId="1" fontId="3" fillId="0" borderId="0" xfId="3" applyNumberFormat="1" applyFont="1" applyAlignment="1">
      <alignment horizontal="right"/>
    </xf>
    <xf numFmtId="1" fontId="5" fillId="0" borderId="0" xfId="3" applyNumberFormat="1" applyFont="1"/>
    <xf numFmtId="1" fontId="5" fillId="0" borderId="0" xfId="3" applyNumberFormat="1" applyFont="1" applyAlignment="1">
      <alignment horizontal="left"/>
    </xf>
    <xf numFmtId="1" fontId="5" fillId="0" borderId="0" xfId="3" applyNumberFormat="1" applyFont="1" applyAlignment="1">
      <alignment horizontal="right"/>
    </xf>
    <xf numFmtId="0" fontId="5" fillId="0" borderId="11" xfId="3" applyFont="1" applyBorder="1"/>
    <xf numFmtId="1" fontId="5" fillId="0" borderId="11" xfId="3" applyNumberFormat="1" applyFont="1" applyBorder="1"/>
    <xf numFmtId="0" fontId="3" fillId="0" borderId="11" xfId="3" applyFont="1" applyBorder="1"/>
    <xf numFmtId="1" fontId="3" fillId="0" borderId="11" xfId="3" applyNumberFormat="1" applyFont="1" applyBorder="1"/>
    <xf numFmtId="0" fontId="5" fillId="0" borderId="0" xfId="3" applyFont="1" applyAlignment="1">
      <alignment horizontal="left"/>
    </xf>
    <xf numFmtId="0" fontId="3" fillId="0" borderId="10" xfId="3" applyFont="1" applyBorder="1"/>
    <xf numFmtId="1" fontId="3" fillId="0" borderId="10" xfId="3" applyNumberFormat="1" applyFont="1" applyBorder="1"/>
    <xf numFmtId="0" fontId="4" fillId="0" borderId="0" xfId="3" applyFont="1"/>
    <xf numFmtId="0" fontId="5" fillId="0" borderId="10" xfId="3" applyFont="1" applyBorder="1"/>
    <xf numFmtId="1" fontId="5" fillId="0" borderId="10" xfId="3" applyNumberFormat="1" applyFont="1" applyBorder="1" applyAlignment="1">
      <alignment horizontal="right"/>
    </xf>
    <xf numFmtId="2" fontId="3" fillId="0" borderId="0" xfId="3" applyNumberFormat="1" applyFont="1" applyAlignment="1">
      <alignment horizontal="right"/>
    </xf>
    <xf numFmtId="164" fontId="3" fillId="0" borderId="0" xfId="3" applyNumberFormat="1" applyFont="1" applyAlignment="1">
      <alignment horizontal="right"/>
    </xf>
    <xf numFmtId="164" fontId="3" fillId="0" borderId="0" xfId="16" applyNumberFormat="1" applyFont="1" applyAlignment="1">
      <alignment horizontal="right"/>
    </xf>
    <xf numFmtId="164" fontId="3" fillId="0" borderId="10" xfId="16" applyNumberFormat="1" applyFont="1" applyBorder="1" applyAlignment="1">
      <alignment horizontal="right"/>
    </xf>
    <xf numFmtId="166" fontId="3" fillId="0" borderId="0" xfId="3" applyNumberFormat="1" applyFont="1"/>
    <xf numFmtId="166" fontId="3" fillId="0" borderId="0" xfId="15" applyNumberFormat="1" applyFont="1"/>
    <xf numFmtId="166" fontId="7" fillId="0" borderId="0" xfId="1" applyNumberFormat="1" applyFont="1"/>
    <xf numFmtId="166" fontId="7" fillId="0" borderId="0" xfId="1" applyNumberFormat="1" applyFont="1" applyBorder="1"/>
    <xf numFmtId="166" fontId="7" fillId="0" borderId="0" xfId="0" applyNumberFormat="1" applyFont="1"/>
    <xf numFmtId="166" fontId="7" fillId="0" borderId="10" xfId="1" applyNumberFormat="1" applyFont="1" applyBorder="1"/>
    <xf numFmtId="166" fontId="7" fillId="0" borderId="10" xfId="0" applyNumberFormat="1" applyFont="1" applyBorder="1"/>
    <xf numFmtId="166" fontId="3" fillId="0" borderId="0" xfId="4" applyNumberFormat="1"/>
    <xf numFmtId="166" fontId="3" fillId="0" borderId="10" xfId="4" applyNumberFormat="1" applyBorder="1"/>
    <xf numFmtId="166" fontId="3" fillId="0" borderId="10" xfId="15" applyNumberFormat="1" applyFont="1" applyBorder="1"/>
    <xf numFmtId="165" fontId="3" fillId="0" borderId="0" xfId="15" applyNumberFormat="1" applyFont="1"/>
    <xf numFmtId="170" fontId="0" fillId="0" borderId="0" xfId="0" applyNumberFormat="1"/>
    <xf numFmtId="1" fontId="10" fillId="0" borderId="0" xfId="16" applyNumberFormat="1" applyFont="1" applyAlignment="1">
      <alignment horizontal="right"/>
    </xf>
    <xf numFmtId="1" fontId="3" fillId="0" borderId="10" xfId="16" applyNumberFormat="1" applyFont="1" applyBorder="1" applyAlignment="1">
      <alignment horizontal="right"/>
    </xf>
    <xf numFmtId="1" fontId="10" fillId="0" borderId="10" xfId="16" applyNumberFormat="1" applyFont="1" applyBorder="1" applyAlignment="1">
      <alignment horizontal="right"/>
    </xf>
    <xf numFmtId="1" fontId="5" fillId="0" borderId="11" xfId="16" applyNumberFormat="1" applyFont="1" applyBorder="1" applyAlignment="1">
      <alignment horizontal="right"/>
    </xf>
    <xf numFmtId="1" fontId="5" fillId="0" borderId="11" xfId="16" applyNumberFormat="1" applyFont="1" applyBorder="1" applyAlignment="1">
      <alignment horizontal="center"/>
    </xf>
    <xf numFmtId="1" fontId="5" fillId="0" borderId="0" xfId="16" applyNumberFormat="1" applyFont="1" applyAlignment="1">
      <alignment horizontal="right"/>
    </xf>
    <xf numFmtId="1" fontId="3" fillId="0" borderId="11" xfId="16" applyNumberFormat="1" applyFont="1" applyBorder="1" applyAlignment="1">
      <alignment horizontal="right"/>
    </xf>
    <xf numFmtId="0" fontId="5" fillId="0" borderId="10" xfId="3" applyFont="1" applyBorder="1" applyAlignment="1">
      <alignment horizontal="center"/>
    </xf>
    <xf numFmtId="4" fontId="3" fillId="0" borderId="0" xfId="3" applyNumberFormat="1" applyFont="1"/>
    <xf numFmtId="4" fontId="3" fillId="0" borderId="0" xfId="15" applyNumberFormat="1" applyFont="1"/>
    <xf numFmtId="0" fontId="13" fillId="0" borderId="0" xfId="15" applyFont="1"/>
    <xf numFmtId="0" fontId="13" fillId="0" borderId="0" xfId="15" applyFont="1" applyAlignment="1">
      <alignment horizontal="centerContinuous"/>
    </xf>
    <xf numFmtId="0" fontId="13" fillId="0" borderId="0" xfId="4" applyFont="1"/>
    <xf numFmtId="0" fontId="3" fillId="0" borderId="0" xfId="4" applyAlignment="1">
      <alignment horizontal="center" vertical="center"/>
    </xf>
    <xf numFmtId="164" fontId="3" fillId="0" borderId="0" xfId="3" applyNumberFormat="1" applyFont="1" applyAlignment="1">
      <alignment horizontal="center" vertical="center"/>
    </xf>
    <xf numFmtId="1" fontId="3" fillId="0" borderId="0" xfId="15" applyNumberFormat="1" applyFont="1" applyAlignment="1">
      <alignment vertical="center"/>
    </xf>
    <xf numFmtId="3" fontId="3" fillId="0" borderId="0" xfId="3" applyNumberFormat="1" applyFont="1" applyAlignment="1">
      <alignment horizontal="center" vertical="center"/>
    </xf>
    <xf numFmtId="3" fontId="3" fillId="0" borderId="0" xfId="15" applyNumberFormat="1" applyFont="1" applyAlignment="1">
      <alignment horizontal="center" vertical="center"/>
    </xf>
    <xf numFmtId="1" fontId="5" fillId="0" borderId="10" xfId="15" applyNumberFormat="1" applyFont="1" applyBorder="1" applyAlignment="1">
      <alignment vertical="center"/>
    </xf>
    <xf numFmtId="3" fontId="5" fillId="0" borderId="10" xfId="15" applyNumberFormat="1" applyFont="1" applyBorder="1" applyAlignment="1">
      <alignment horizontal="center" vertical="center"/>
    </xf>
    <xf numFmtId="164" fontId="5" fillId="0" borderId="10" xfId="3" applyNumberFormat="1" applyFont="1" applyBorder="1" applyAlignment="1">
      <alignment horizontal="center" vertical="center"/>
    </xf>
    <xf numFmtId="0" fontId="5" fillId="0" borderId="10" xfId="4" applyFont="1" applyBorder="1" applyAlignment="1">
      <alignment horizontal="center" vertical="center"/>
    </xf>
    <xf numFmtId="9" fontId="0" fillId="0" borderId="0" xfId="11" applyFont="1"/>
    <xf numFmtId="9" fontId="5" fillId="0" borderId="0" xfId="11" applyFont="1"/>
    <xf numFmtId="0" fontId="5" fillId="0" borderId="10" xfId="0" applyFont="1" applyBorder="1" applyAlignment="1">
      <alignment horizontal="center"/>
    </xf>
    <xf numFmtId="1" fontId="5" fillId="0" borderId="10" xfId="0" applyNumberFormat="1" applyFont="1" applyBorder="1" applyAlignment="1">
      <alignment horizontal="center"/>
    </xf>
    <xf numFmtId="3" fontId="13" fillId="0" borderId="0" xfId="3" applyNumberFormat="1" applyFont="1"/>
    <xf numFmtId="3" fontId="5" fillId="0" borderId="0" xfId="0" applyNumberFormat="1" applyFont="1" applyAlignment="1">
      <alignment wrapText="1"/>
    </xf>
    <xf numFmtId="0" fontId="5" fillId="0" borderId="0" xfId="0" applyFont="1" applyAlignment="1">
      <alignment horizontal="right" wrapText="1"/>
    </xf>
    <xf numFmtId="0" fontId="3" fillId="0" borderId="0" xfId="0" applyFont="1" applyAlignment="1">
      <alignment wrapText="1"/>
    </xf>
    <xf numFmtId="1" fontId="3" fillId="0" borderId="9" xfId="0" applyNumberFormat="1" applyFont="1" applyBorder="1" applyAlignment="1">
      <alignment horizontal="right" wrapText="1"/>
    </xf>
    <xf numFmtId="3" fontId="3" fillId="0" borderId="0" xfId="0" applyNumberFormat="1" applyFont="1" applyAlignment="1">
      <alignment wrapText="1"/>
    </xf>
    <xf numFmtId="167" fontId="3" fillId="0" borderId="0" xfId="11" applyNumberFormat="1" applyFont="1" applyAlignment="1">
      <alignment wrapText="1"/>
    </xf>
    <xf numFmtId="0" fontId="10" fillId="0" borderId="10" xfId="0" applyFont="1" applyBorder="1"/>
    <xf numFmtId="167" fontId="3" fillId="0" borderId="0" xfId="10" applyNumberFormat="1" applyFont="1" applyAlignment="1">
      <alignment wrapText="1"/>
    </xf>
    <xf numFmtId="3" fontId="3" fillId="0" borderId="10" xfId="0" applyNumberFormat="1" applyFont="1" applyBorder="1" applyAlignment="1">
      <alignment wrapText="1"/>
    </xf>
    <xf numFmtId="167" fontId="3" fillId="0" borderId="10" xfId="10" applyNumberFormat="1" applyFont="1" applyBorder="1" applyAlignment="1">
      <alignment wrapText="1"/>
    </xf>
    <xf numFmtId="164" fontId="3" fillId="0" borderId="0" xfId="3" applyNumberFormat="1" applyFont="1"/>
    <xf numFmtId="1" fontId="3" fillId="0" borderId="0" xfId="0" applyNumberFormat="1" applyFont="1" applyAlignment="1">
      <alignment horizontal="right"/>
    </xf>
    <xf numFmtId="0" fontId="9" fillId="0" borderId="11" xfId="3" applyFont="1" applyBorder="1"/>
    <xf numFmtId="167" fontId="3" fillId="0" borderId="0" xfId="10" applyNumberFormat="1" applyFont="1" applyBorder="1" applyAlignment="1">
      <alignment wrapText="1"/>
    </xf>
    <xf numFmtId="0" fontId="30" fillId="0" borderId="0" xfId="7" applyFont="1" applyAlignment="1">
      <alignment horizontal="center" vertical="center"/>
    </xf>
    <xf numFmtId="0" fontId="29" fillId="0" borderId="0" xfId="7" applyFont="1" applyAlignment="1">
      <alignment horizontal="center" vertical="center"/>
    </xf>
    <xf numFmtId="0" fontId="34" fillId="0" borderId="0" xfId="7" applyFont="1" applyAlignment="1">
      <alignment horizontal="center" vertical="center"/>
    </xf>
    <xf numFmtId="1" fontId="3" fillId="0" borderId="0" xfId="0" applyNumberFormat="1" applyFont="1" applyAlignment="1">
      <alignment textRotation="90"/>
    </xf>
    <xf numFmtId="0" fontId="1" fillId="0" borderId="4" xfId="7" applyFont="1" applyBorder="1" applyAlignment="1">
      <alignment horizontal="center" vertical="center"/>
    </xf>
    <xf numFmtId="0" fontId="27" fillId="0" borderId="4" xfId="7" applyFont="1" applyBorder="1" applyAlignment="1">
      <alignment horizontal="center"/>
    </xf>
    <xf numFmtId="0" fontId="27" fillId="0" borderId="6" xfId="7" applyFont="1" applyBorder="1" applyAlignment="1">
      <alignment horizontal="center"/>
    </xf>
    <xf numFmtId="0" fontId="27" fillId="0" borderId="7" xfId="7" applyFont="1" applyBorder="1" applyAlignment="1">
      <alignment horizontal="center"/>
    </xf>
    <xf numFmtId="0" fontId="27" fillId="0" borderId="8" xfId="7" applyFont="1" applyBorder="1" applyAlignment="1">
      <alignment horizontal="center"/>
    </xf>
    <xf numFmtId="0" fontId="5" fillId="3" borderId="0" xfId="4" applyFont="1" applyFill="1"/>
    <xf numFmtId="0" fontId="26" fillId="0" borderId="0" xfId="3" applyFont="1"/>
    <xf numFmtId="0" fontId="27" fillId="0" borderId="0" xfId="7" applyFont="1" applyAlignment="1">
      <alignment horizontal="center"/>
    </xf>
    <xf numFmtId="0" fontId="1" fillId="0" borderId="0" xfId="7" applyFont="1" applyAlignment="1">
      <alignment horizontal="center" vertical="center"/>
    </xf>
    <xf numFmtId="0" fontId="28" fillId="5" borderId="0" xfId="7" applyFont="1" applyFill="1" applyAlignment="1">
      <alignment horizontal="center" vertical="center"/>
    </xf>
    <xf numFmtId="0" fontId="29" fillId="0" borderId="0" xfId="7" applyFont="1" applyAlignment="1">
      <alignment horizontal="center" vertical="center"/>
    </xf>
    <xf numFmtId="0" fontId="30" fillId="0" borderId="0" xfId="7" applyFont="1" applyAlignment="1">
      <alignment horizontal="center" vertical="center" wrapText="1"/>
    </xf>
    <xf numFmtId="0" fontId="30" fillId="0" borderId="0" xfId="7" applyFont="1" applyAlignment="1">
      <alignment horizontal="center" vertical="center"/>
    </xf>
    <xf numFmtId="0" fontId="5" fillId="0" borderId="0" xfId="3" applyFont="1" applyAlignment="1">
      <alignment horizontal="center"/>
    </xf>
    <xf numFmtId="0" fontId="5" fillId="0" borderId="10" xfId="3" applyFont="1" applyBorder="1" applyAlignment="1">
      <alignment horizontal="center"/>
    </xf>
    <xf numFmtId="1" fontId="5" fillId="0" borderId="11" xfId="16" applyNumberFormat="1" applyFont="1" applyBorder="1" applyAlignment="1">
      <alignment horizontal="center"/>
    </xf>
    <xf numFmtId="1" fontId="5" fillId="0" borderId="0" xfId="15" applyNumberFormat="1" applyFont="1" applyAlignment="1">
      <alignment horizontal="center"/>
    </xf>
    <xf numFmtId="0" fontId="5" fillId="0" borderId="0" xfId="15" applyFont="1" applyAlignment="1">
      <alignment horizontal="center"/>
    </xf>
    <xf numFmtId="1" fontId="5" fillId="0" borderId="0" xfId="16" applyNumberFormat="1" applyFont="1" applyAlignment="1">
      <alignment horizontal="center"/>
    </xf>
    <xf numFmtId="0" fontId="5" fillId="0" borderId="0" xfId="0" applyFont="1" applyAlignment="1">
      <alignment horizontal="center"/>
    </xf>
    <xf numFmtId="0" fontId="16" fillId="0" borderId="0" xfId="5" applyFont="1" applyAlignment="1">
      <alignment horizontal="center"/>
    </xf>
    <xf numFmtId="0" fontId="16" fillId="0" borderId="9" xfId="5" applyFont="1" applyBorder="1" applyAlignment="1">
      <alignment horizontal="center"/>
    </xf>
    <xf numFmtId="0" fontId="9" fillId="0" borderId="0" xfId="3" applyFont="1" applyAlignment="1">
      <alignment horizontal="left" vertical="top" wrapText="1"/>
    </xf>
    <xf numFmtId="0" fontId="7" fillId="0" borderId="11" xfId="0" applyFont="1" applyBorder="1" applyAlignment="1">
      <alignment horizontal="center" wrapText="1"/>
    </xf>
    <xf numFmtId="1" fontId="7" fillId="0" borderId="11" xfId="0" applyNumberFormat="1" applyFont="1" applyBorder="1" applyAlignment="1">
      <alignment horizontal="center" wrapText="1"/>
    </xf>
    <xf numFmtId="0" fontId="5" fillId="0" borderId="11" xfId="4" applyFont="1" applyBorder="1" applyAlignment="1">
      <alignment horizontal="center"/>
    </xf>
    <xf numFmtId="0" fontId="5" fillId="0" borderId="0" xfId="4" applyFont="1" applyAlignment="1">
      <alignment horizontal="center"/>
    </xf>
    <xf numFmtId="0" fontId="16" fillId="4" borderId="10" xfId="5" applyFont="1" applyFill="1" applyBorder="1" applyAlignment="1">
      <alignment horizontal="center"/>
    </xf>
    <xf numFmtId="0" fontId="16" fillId="4" borderId="11" xfId="5" applyFont="1" applyFill="1" applyBorder="1" applyAlignment="1">
      <alignment horizontal="center"/>
    </xf>
    <xf numFmtId="0" fontId="16" fillId="4" borderId="11" xfId="5" applyFont="1" applyFill="1" applyBorder="1" applyAlignment="1">
      <alignment horizontal="center" wrapText="1"/>
    </xf>
    <xf numFmtId="0" fontId="14" fillId="0" borderId="0" xfId="0" applyFont="1" applyAlignment="1">
      <alignment horizontal="left" vertical="top" wrapText="1"/>
    </xf>
    <xf numFmtId="0" fontId="5" fillId="0" borderId="9" xfId="4" applyFont="1" applyBorder="1" applyAlignment="1">
      <alignment horizontal="center"/>
    </xf>
  </cellXfs>
  <cellStyles count="17">
    <cellStyle name="Comma" xfId="1" builtinId="3"/>
    <cellStyle name="Hyperlink" xfId="12" builtinId="8"/>
    <cellStyle name="Normal" xfId="0" builtinId="0"/>
    <cellStyle name="Normal 2" xfId="4" xr:uid="{00000000-0005-0000-0000-000003000000}"/>
    <cellStyle name="Normal 2 2" xfId="7" xr:uid="{00000000-0005-0000-0000-000004000000}"/>
    <cellStyle name="Normal 3" xfId="6" xr:uid="{00000000-0005-0000-0000-000005000000}"/>
    <cellStyle name="Normal 3 2" xfId="14" xr:uid="{00000000-0005-0000-0000-000006000000}"/>
    <cellStyle name="Normal 4" xfId="8" xr:uid="{00000000-0005-0000-0000-000007000000}"/>
    <cellStyle name="Normal 5" xfId="5" xr:uid="{00000000-0005-0000-0000-000008000000}"/>
    <cellStyle name="Normal 6" xfId="9" xr:uid="{00000000-0005-0000-0000-000009000000}"/>
    <cellStyle name="Normal 7" xfId="15" xr:uid="{00000000-0005-0000-0000-00000A000000}"/>
    <cellStyle name="Normal_16UK" xfId="2" xr:uid="{00000000-0005-0000-0000-00000B000000}"/>
    <cellStyle name="Normal_Book2" xfId="16" xr:uid="{00000000-0005-0000-0000-00000C000000}"/>
    <cellStyle name="Normal_SSDAtables" xfId="3" xr:uid="{00000000-0005-0000-0000-00000E000000}"/>
    <cellStyle name="Normal_WarningSheet" xfId="13" xr:uid="{00000000-0005-0000-0000-00000F000000}"/>
    <cellStyle name="Percent" xfId="11" builtinId="5"/>
    <cellStyle name="Percent 2" xfId="10" xr:uid="{00000000-0005-0000-0000-000011000000}"/>
  </cellStyles>
  <dxfs count="13">
    <dxf>
      <font>
        <b/>
        <i val="0"/>
        <condense val="0"/>
        <extend val="0"/>
        <color auto="1"/>
      </font>
    </dxf>
    <dxf>
      <font>
        <color theme="1" tint="0.34998626667073579"/>
      </font>
    </dxf>
    <dxf>
      <font>
        <b/>
        <i val="0"/>
        <condense val="0"/>
        <extend val="0"/>
        <color auto="1"/>
      </font>
    </dxf>
    <dxf>
      <font>
        <color theme="1" tint="0.34998626667073579"/>
      </font>
    </dxf>
    <dxf>
      <font>
        <b/>
        <i val="0"/>
        <condense val="0"/>
        <extend val="0"/>
        <color auto="1"/>
      </font>
    </dxf>
    <dxf>
      <font>
        <color theme="1" tint="0.3499862666707357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styles" Target="styles.xml"/><Relationship Id="rId47" Type="http://schemas.openxmlformats.org/officeDocument/2006/relationships/customXml" Target="../customXml/item2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externalLink" Target="externalLinks/externalLink1.xml"/><Relationship Id="rId45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sharedStrings" Target="sharedStrings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customXml" Target="../customXml/item1.xml"/><Relationship Id="rId20" Type="http://schemas.openxmlformats.org/officeDocument/2006/relationships/worksheet" Target="worksheets/sheet20.xml"/><Relationship Id="rId41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49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7.xml"/></Relationships>
</file>

<file path=xl/charts/_rels/chart5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32756178915522327"/>
          <c:y val="2.8320326004183771E-2"/>
          <c:w val="0.63925054006941662"/>
          <c:h val="0.89648480247726559"/>
        </c:manualLayout>
      </c:layout>
      <c:barChart>
        <c:barDir val="bar"/>
        <c:grouping val="clustered"/>
        <c:varyColors val="0"/>
        <c:ser>
          <c:idx val="1"/>
          <c:order val="0"/>
          <c:tx>
            <c:strRef>
              <c:f>'Ind F1'!$M$6</c:f>
              <c:strCache>
                <c:ptCount val="1"/>
                <c:pt idx="0">
                  <c:v>2015-2020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'Ind F1'!$L$7:$L$40</c:f>
              <c:strCache>
                <c:ptCount val="34"/>
                <c:pt idx="0">
                  <c:v>All industries</c:v>
                </c:pt>
                <c:pt idx="2">
                  <c:v>Health and social work</c:v>
                </c:pt>
                <c:pt idx="3">
                  <c:v>Education</c:v>
                </c:pt>
                <c:pt idx="4">
                  <c:v>Public admin. and defence</c:v>
                </c:pt>
                <c:pt idx="5">
                  <c:v>[Non-marketed services]</c:v>
                </c:pt>
                <c:pt idx="7">
                  <c:v>Other services</c:v>
                </c:pt>
                <c:pt idx="8">
                  <c:v>Arts and entertainment</c:v>
                </c:pt>
                <c:pt idx="9">
                  <c:v>Support services</c:v>
                </c:pt>
                <c:pt idx="10">
                  <c:v>Professional services</c:v>
                </c:pt>
                <c:pt idx="11">
                  <c:v>Real estate</c:v>
                </c:pt>
                <c:pt idx="12">
                  <c:v>Finance and insurance</c:v>
                </c:pt>
                <c:pt idx="13">
                  <c:v>Information technology</c:v>
                </c:pt>
                <c:pt idx="14">
                  <c:v>Media</c:v>
                </c:pt>
                <c:pt idx="15">
                  <c:v>[Business and other services]</c:v>
                </c:pt>
                <c:pt idx="17">
                  <c:v>Accommodation and food</c:v>
                </c:pt>
                <c:pt idx="18">
                  <c:v>Transport and storage</c:v>
                </c:pt>
                <c:pt idx="19">
                  <c:v>Wholesale and retail trade</c:v>
                </c:pt>
                <c:pt idx="20">
                  <c:v>[Trade, accomod. and transport]</c:v>
                </c:pt>
                <c:pt idx="22">
                  <c:v>[Construction]</c:v>
                </c:pt>
                <c:pt idx="24">
                  <c:v>Rest of manufacturing</c:v>
                </c:pt>
                <c:pt idx="25">
                  <c:v>Engineering</c:v>
                </c:pt>
                <c:pt idx="26">
                  <c:v>Food drink and tobacco</c:v>
                </c:pt>
                <c:pt idx="27">
                  <c:v>[Manufacturing]</c:v>
                </c:pt>
                <c:pt idx="29">
                  <c:v>Water and sewerage</c:v>
                </c:pt>
                <c:pt idx="30">
                  <c:v>Electricity and gas</c:v>
                </c:pt>
                <c:pt idx="31">
                  <c:v>Mining and quarrying</c:v>
                </c:pt>
                <c:pt idx="32">
                  <c:v>Agriculture</c:v>
                </c:pt>
                <c:pt idx="33">
                  <c:v>[Primary sector and utilities]</c:v>
                </c:pt>
              </c:strCache>
            </c:strRef>
          </c:cat>
          <c:val>
            <c:numRef>
              <c:f>'Ind F1'!$M$7:$M$40</c:f>
              <c:numCache>
                <c:formatCode>General</c:formatCode>
                <c:ptCount val="34"/>
                <c:pt idx="0">
                  <c:v>-0.44439610986766187</c:v>
                </c:pt>
                <c:pt idx="2">
                  <c:v>-0.91428864386136066</c:v>
                </c:pt>
                <c:pt idx="3">
                  <c:v>-0.56111387121730028</c:v>
                </c:pt>
                <c:pt idx="4">
                  <c:v>0.66810307094815613</c:v>
                </c:pt>
                <c:pt idx="5">
                  <c:v>-0.46148600098521175</c:v>
                </c:pt>
                <c:pt idx="7">
                  <c:v>-1.4713347556971401</c:v>
                </c:pt>
                <c:pt idx="8">
                  <c:v>0.76558996799549472</c:v>
                </c:pt>
                <c:pt idx="9">
                  <c:v>1.250824446137333E-2</c:v>
                </c:pt>
                <c:pt idx="10">
                  <c:v>-1.8576882983515675</c:v>
                </c:pt>
                <c:pt idx="11">
                  <c:v>-1.3746463837722933</c:v>
                </c:pt>
                <c:pt idx="12">
                  <c:v>-3.1571485087396822</c:v>
                </c:pt>
                <c:pt idx="13">
                  <c:v>-7.9659464170241057</c:v>
                </c:pt>
                <c:pt idx="14">
                  <c:v>2.473127289150967</c:v>
                </c:pt>
                <c:pt idx="15">
                  <c:v>-1.2952392760916642</c:v>
                </c:pt>
                <c:pt idx="17">
                  <c:v>0.4856135990428001</c:v>
                </c:pt>
                <c:pt idx="18">
                  <c:v>4.2420930187336614</c:v>
                </c:pt>
                <c:pt idx="19">
                  <c:v>-0.69605210709524634</c:v>
                </c:pt>
                <c:pt idx="20">
                  <c:v>0.51686864742230831</c:v>
                </c:pt>
                <c:pt idx="22">
                  <c:v>1.2656848581371394</c:v>
                </c:pt>
                <c:pt idx="24">
                  <c:v>-3.5225917625843151</c:v>
                </c:pt>
                <c:pt idx="25">
                  <c:v>-2.3571353240735005</c:v>
                </c:pt>
                <c:pt idx="26">
                  <c:v>1.8275403697670001</c:v>
                </c:pt>
                <c:pt idx="27">
                  <c:v>-2.9356597593099942</c:v>
                </c:pt>
                <c:pt idx="29">
                  <c:v>4.5094265216973239</c:v>
                </c:pt>
                <c:pt idx="30">
                  <c:v>16.357624389764737</c:v>
                </c:pt>
                <c:pt idx="31">
                  <c:v>12.513186170685199</c:v>
                </c:pt>
                <c:pt idx="32">
                  <c:v>-5.761569320990767</c:v>
                </c:pt>
                <c:pt idx="33">
                  <c:v>6.9428190332837092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B93-4BE8-A289-BE30E28486EE}"/>
            </c:ext>
          </c:extLst>
        </c:ser>
        <c:ser>
          <c:idx val="0"/>
          <c:order val="1"/>
          <c:tx>
            <c:strRef>
              <c:f>'Ind F1'!$N$6</c:f>
              <c:strCache>
                <c:ptCount val="1"/>
                <c:pt idx="0">
                  <c:v>2020-2035</c:v>
                </c:pt>
              </c:strCache>
            </c:strRef>
          </c:tx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'Ind F1'!$L$7:$L$40</c:f>
              <c:strCache>
                <c:ptCount val="34"/>
                <c:pt idx="0">
                  <c:v>All industries</c:v>
                </c:pt>
                <c:pt idx="2">
                  <c:v>Health and social work</c:v>
                </c:pt>
                <c:pt idx="3">
                  <c:v>Education</c:v>
                </c:pt>
                <c:pt idx="4">
                  <c:v>Public admin. and defence</c:v>
                </c:pt>
                <c:pt idx="5">
                  <c:v>[Non-marketed services]</c:v>
                </c:pt>
                <c:pt idx="7">
                  <c:v>Other services</c:v>
                </c:pt>
                <c:pt idx="8">
                  <c:v>Arts and entertainment</c:v>
                </c:pt>
                <c:pt idx="9">
                  <c:v>Support services</c:v>
                </c:pt>
                <c:pt idx="10">
                  <c:v>Professional services</c:v>
                </c:pt>
                <c:pt idx="11">
                  <c:v>Real estate</c:v>
                </c:pt>
                <c:pt idx="12">
                  <c:v>Finance and insurance</c:v>
                </c:pt>
                <c:pt idx="13">
                  <c:v>Information technology</c:v>
                </c:pt>
                <c:pt idx="14">
                  <c:v>Media</c:v>
                </c:pt>
                <c:pt idx="15">
                  <c:v>[Business and other services]</c:v>
                </c:pt>
                <c:pt idx="17">
                  <c:v>Accommodation and food</c:v>
                </c:pt>
                <c:pt idx="18">
                  <c:v>Transport and storage</c:v>
                </c:pt>
                <c:pt idx="19">
                  <c:v>Wholesale and retail trade</c:v>
                </c:pt>
                <c:pt idx="20">
                  <c:v>[Trade, accomod. and transport]</c:v>
                </c:pt>
                <c:pt idx="22">
                  <c:v>[Construction]</c:v>
                </c:pt>
                <c:pt idx="24">
                  <c:v>Rest of manufacturing</c:v>
                </c:pt>
                <c:pt idx="25">
                  <c:v>Engineering</c:v>
                </c:pt>
                <c:pt idx="26">
                  <c:v>Food drink and tobacco</c:v>
                </c:pt>
                <c:pt idx="27">
                  <c:v>[Manufacturing]</c:v>
                </c:pt>
                <c:pt idx="29">
                  <c:v>Water and sewerage</c:v>
                </c:pt>
                <c:pt idx="30">
                  <c:v>Electricity and gas</c:v>
                </c:pt>
                <c:pt idx="31">
                  <c:v>Mining and quarrying</c:v>
                </c:pt>
                <c:pt idx="32">
                  <c:v>Agriculture</c:v>
                </c:pt>
                <c:pt idx="33">
                  <c:v>[Primary sector and utilities]</c:v>
                </c:pt>
              </c:strCache>
            </c:strRef>
          </c:cat>
          <c:val>
            <c:numRef>
              <c:f>'Ind F1'!$N$7:$N$40</c:f>
              <c:numCache>
                <c:formatCode>General</c:formatCode>
                <c:ptCount val="34"/>
                <c:pt idx="0">
                  <c:v>0.1902652511108327</c:v>
                </c:pt>
                <c:pt idx="2">
                  <c:v>0.64273989089609351</c:v>
                </c:pt>
                <c:pt idx="3">
                  <c:v>0.61482200035680723</c:v>
                </c:pt>
                <c:pt idx="4">
                  <c:v>-0.20541431369721641</c:v>
                </c:pt>
                <c:pt idx="5">
                  <c:v>0.45167180345637714</c:v>
                </c:pt>
                <c:pt idx="7">
                  <c:v>-1.8153652892971439</c:v>
                </c:pt>
                <c:pt idx="8">
                  <c:v>0.70790895696333234</c:v>
                </c:pt>
                <c:pt idx="9">
                  <c:v>0.45806764410025735</c:v>
                </c:pt>
                <c:pt idx="10">
                  <c:v>0.68260230370200681</c:v>
                </c:pt>
                <c:pt idx="11">
                  <c:v>0.9745640091332497</c:v>
                </c:pt>
                <c:pt idx="12">
                  <c:v>0.18898298620708687</c:v>
                </c:pt>
                <c:pt idx="13">
                  <c:v>1.1754522234323828</c:v>
                </c:pt>
                <c:pt idx="14">
                  <c:v>-1.8439989577501148E-2</c:v>
                </c:pt>
                <c:pt idx="15">
                  <c:v>0.33508303269660367</c:v>
                </c:pt>
                <c:pt idx="17">
                  <c:v>0.94873860508719599</c:v>
                </c:pt>
                <c:pt idx="18">
                  <c:v>0.20535495618057009</c:v>
                </c:pt>
                <c:pt idx="19">
                  <c:v>-3.1526055855657376E-2</c:v>
                </c:pt>
                <c:pt idx="20">
                  <c:v>0.27834332595311206</c:v>
                </c:pt>
                <c:pt idx="22">
                  <c:v>-0.26734421291025878</c:v>
                </c:pt>
                <c:pt idx="24">
                  <c:v>-0.90255666362821785</c:v>
                </c:pt>
                <c:pt idx="25">
                  <c:v>-0.58412201020501264</c:v>
                </c:pt>
                <c:pt idx="26">
                  <c:v>-0.14461330577412168</c:v>
                </c:pt>
                <c:pt idx="27">
                  <c:v>-0.77856367999591392</c:v>
                </c:pt>
                <c:pt idx="29">
                  <c:v>0.10834068684364428</c:v>
                </c:pt>
                <c:pt idx="30">
                  <c:v>4.6770741458757037E-2</c:v>
                </c:pt>
                <c:pt idx="31">
                  <c:v>-1.5936148180109688</c:v>
                </c:pt>
                <c:pt idx="32">
                  <c:v>0.41863206905279338</c:v>
                </c:pt>
                <c:pt idx="33">
                  <c:v>6.8968468615326906E-2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B93-4BE8-A289-BE30E28486E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1426392"/>
        <c:axId val="137969896"/>
      </c:barChart>
      <c:catAx>
        <c:axId val="251426392"/>
        <c:scaling>
          <c:orientation val="minMax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 rtl="0">
              <a:defRPr sz="10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3796989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37969896"/>
        <c:scaling>
          <c:orientation val="minMax"/>
        </c:scaling>
        <c:delete val="0"/>
        <c:axPos val="b"/>
        <c:majorGridlines>
          <c:spPr>
            <a:ln w="12700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05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% per annum</a:t>
                </a:r>
              </a:p>
            </c:rich>
          </c:tx>
          <c:layout>
            <c:manualLayout>
              <c:xMode val="edge"/>
              <c:yMode val="edge"/>
              <c:x val="0.85281505458472884"/>
              <c:y val="0.95703170634829804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1426392"/>
        <c:crosses val="autoZero"/>
        <c:crossBetween val="between"/>
        <c:minorUnit val="1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55699934191150069"/>
          <c:y val="0.95507858041695559"/>
          <c:w val="0.11544027811637315"/>
          <c:h val="4.1992207523444923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50393659" l="0.748031496063017" r="0.748031496063017" t="0.98425196850393659" header="0.51181102362204722" footer="0.51181102362204722"/>
    <c:pageSetup paperSize="9" orientation="portrait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8328143736555897E-2"/>
          <c:y val="6.9182531574561834E-2"/>
          <c:w val="0.87224041939852393"/>
          <c:h val="0.7861651315291116"/>
        </c:manualLayout>
      </c:layout>
      <c:areaChart>
        <c:grouping val="stacked"/>
        <c:varyColors val="0"/>
        <c:ser>
          <c:idx val="1"/>
          <c:order val="0"/>
          <c:tx>
            <c:strRef>
              <c:f>'Ind F2'!$L$6</c:f>
              <c:strCache>
                <c:ptCount val="1"/>
                <c:pt idx="0">
                  <c:v>Agriculture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F2'!$M$6:$AL$6</c:f>
              <c:numCache>
                <c:formatCode>#,##0</c:formatCode>
                <c:ptCount val="26"/>
                <c:pt idx="0">
                  <c:v>3.469000000000003</c:v>
                </c:pt>
                <c:pt idx="1">
                  <c:v>6.1270000000000007</c:v>
                </c:pt>
                <c:pt idx="2">
                  <c:v>2.1400000000000015</c:v>
                </c:pt>
                <c:pt idx="3">
                  <c:v>3.1939999999999964</c:v>
                </c:pt>
                <c:pt idx="4">
                  <c:v>4.5760000000000023</c:v>
                </c:pt>
                <c:pt idx="5">
                  <c:v>2.5589999999999962</c:v>
                </c:pt>
                <c:pt idx="6">
                  <c:v>1.514999999999997</c:v>
                </c:pt>
                <c:pt idx="7">
                  <c:v>2.8229999999999986</c:v>
                </c:pt>
                <c:pt idx="8">
                  <c:v>3.818999999999992</c:v>
                </c:pt>
                <c:pt idx="9">
                  <c:v>1.9729999999999996</c:v>
                </c:pt>
                <c:pt idx="10">
                  <c:v>1.9019999999999981</c:v>
                </c:pt>
                <c:pt idx="11">
                  <c:v>1.9169999999999989</c:v>
                </c:pt>
                <c:pt idx="12">
                  <c:v>1.9299999999999986</c:v>
                </c:pt>
                <c:pt idx="13">
                  <c:v>1.9519999999999997</c:v>
                </c:pt>
                <c:pt idx="14">
                  <c:v>1.965999999999998</c:v>
                </c:pt>
                <c:pt idx="15">
                  <c:v>1.9700000000000037</c:v>
                </c:pt>
                <c:pt idx="16">
                  <c:v>1.9750000000000025</c:v>
                </c:pt>
                <c:pt idx="17">
                  <c:v>1.9799999999999984</c:v>
                </c:pt>
                <c:pt idx="18">
                  <c:v>1.9850000000000008</c:v>
                </c:pt>
                <c:pt idx="19">
                  <c:v>1.9890000000000003</c:v>
                </c:pt>
                <c:pt idx="20">
                  <c:v>1.9960000000000029</c:v>
                </c:pt>
                <c:pt idx="21">
                  <c:v>2.0020000000000033</c:v>
                </c:pt>
                <c:pt idx="22">
                  <c:v>2.0080000000000009</c:v>
                </c:pt>
                <c:pt idx="23">
                  <c:v>2.0140000000000033</c:v>
                </c:pt>
                <c:pt idx="24" formatCode="#,##0.00">
                  <c:v>2.0199999999999987</c:v>
                </c:pt>
                <c:pt idx="25">
                  <c:v>2.025000000000003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CA4-40D6-BD1E-474194B8C77E}"/>
            </c:ext>
          </c:extLst>
        </c:ser>
        <c:ser>
          <c:idx val="2"/>
          <c:order val="1"/>
          <c:tx>
            <c:strRef>
              <c:f>'Ind F2'!$L$7</c:f>
              <c:strCache>
                <c:ptCount val="1"/>
                <c:pt idx="0">
                  <c:v>Mining and quarrying</c:v>
                </c:pt>
              </c:strCache>
            </c:strRef>
          </c:tx>
          <c:spPr>
            <a:solidFill>
              <a:srgbClr val="969696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F2'!$M$7:$AL$7</c:f>
              <c:numCache>
                <c:formatCode>#,##0</c:formatCode>
                <c:ptCount val="26"/>
                <c:pt idx="0">
                  <c:v>0.70200000000000029</c:v>
                </c:pt>
                <c:pt idx="1">
                  <c:v>0.61799999999999777</c:v>
                </c:pt>
                <c:pt idx="2">
                  <c:v>0.52199999999999913</c:v>
                </c:pt>
                <c:pt idx="3">
                  <c:v>0.49799999999999867</c:v>
                </c:pt>
                <c:pt idx="4">
                  <c:v>0.25500000000000023</c:v>
                </c:pt>
                <c:pt idx="5">
                  <c:v>0.25900000000000067</c:v>
                </c:pt>
                <c:pt idx="6">
                  <c:v>0.6389999999999989</c:v>
                </c:pt>
                <c:pt idx="7">
                  <c:v>0.28600000000000059</c:v>
                </c:pt>
                <c:pt idx="8">
                  <c:v>0.34900000000000031</c:v>
                </c:pt>
                <c:pt idx="9">
                  <c:v>0.38199999999999923</c:v>
                </c:pt>
                <c:pt idx="10">
                  <c:v>0.46699999999999953</c:v>
                </c:pt>
                <c:pt idx="11">
                  <c:v>0.45500000000000079</c:v>
                </c:pt>
                <c:pt idx="12">
                  <c:v>0.45099999999999996</c:v>
                </c:pt>
                <c:pt idx="13">
                  <c:v>0.43899999999999884</c:v>
                </c:pt>
                <c:pt idx="14">
                  <c:v>0.42600000000000082</c:v>
                </c:pt>
                <c:pt idx="15">
                  <c:v>0.4160000000000007</c:v>
                </c:pt>
                <c:pt idx="16">
                  <c:v>0.41000000000000053</c:v>
                </c:pt>
                <c:pt idx="17">
                  <c:v>0.40300000000000014</c:v>
                </c:pt>
                <c:pt idx="18">
                  <c:v>0.39799999999999996</c:v>
                </c:pt>
                <c:pt idx="19">
                  <c:v>0.39199999999999952</c:v>
                </c:pt>
                <c:pt idx="20">
                  <c:v>0.3879999999999984</c:v>
                </c:pt>
                <c:pt idx="21">
                  <c:v>0.38300000000000006</c:v>
                </c:pt>
                <c:pt idx="22">
                  <c:v>0.37900000000000011</c:v>
                </c:pt>
                <c:pt idx="23">
                  <c:v>0.37399999999999989</c:v>
                </c:pt>
                <c:pt idx="24" formatCode="#,##0.00">
                  <c:v>0.37099999999999944</c:v>
                </c:pt>
                <c:pt idx="25">
                  <c:v>0.36699999999999977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CA4-40D6-BD1E-474194B8C77E}"/>
            </c:ext>
          </c:extLst>
        </c:ser>
        <c:ser>
          <c:idx val="3"/>
          <c:order val="2"/>
          <c:tx>
            <c:strRef>
              <c:f>'Ind F2'!$L$8</c:f>
              <c:strCache>
                <c:ptCount val="1"/>
                <c:pt idx="0">
                  <c:v>Electricity and gas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F2'!$M$8:$AL$8</c:f>
              <c:numCache>
                <c:formatCode>#,##0</c:formatCode>
                <c:ptCount val="26"/>
                <c:pt idx="0">
                  <c:v>4.3660000000000077</c:v>
                </c:pt>
                <c:pt idx="1">
                  <c:v>3.6390000000000033</c:v>
                </c:pt>
                <c:pt idx="2">
                  <c:v>5.5129999999999919</c:v>
                </c:pt>
                <c:pt idx="3">
                  <c:v>5.6320000000000006</c:v>
                </c:pt>
                <c:pt idx="4">
                  <c:v>3.9609999999999945</c:v>
                </c:pt>
                <c:pt idx="5">
                  <c:v>2.7310000000000025</c:v>
                </c:pt>
                <c:pt idx="6">
                  <c:v>2.6430000000000033</c:v>
                </c:pt>
                <c:pt idx="7">
                  <c:v>4.3110000000000035</c:v>
                </c:pt>
                <c:pt idx="8">
                  <c:v>3.4450000000000012</c:v>
                </c:pt>
                <c:pt idx="9">
                  <c:v>5.5930000000000026</c:v>
                </c:pt>
                <c:pt idx="10">
                  <c:v>5.8249999999999913</c:v>
                </c:pt>
                <c:pt idx="11">
                  <c:v>5.8260000000000076</c:v>
                </c:pt>
                <c:pt idx="12">
                  <c:v>5.7470000000000008</c:v>
                </c:pt>
                <c:pt idx="13">
                  <c:v>5.7309999999999865</c:v>
                </c:pt>
                <c:pt idx="14">
                  <c:v>5.7379999999999987</c:v>
                </c:pt>
                <c:pt idx="15">
                  <c:v>5.740999999999989</c:v>
                </c:pt>
                <c:pt idx="16">
                  <c:v>5.7419999999999938</c:v>
                </c:pt>
                <c:pt idx="17">
                  <c:v>5.747999999999994</c:v>
                </c:pt>
                <c:pt idx="18">
                  <c:v>5.7549999999999857</c:v>
                </c:pt>
                <c:pt idx="19">
                  <c:v>5.7640000000000056</c:v>
                </c:pt>
                <c:pt idx="20">
                  <c:v>5.7779999999999969</c:v>
                </c:pt>
                <c:pt idx="21">
                  <c:v>5.793999999999988</c:v>
                </c:pt>
                <c:pt idx="22">
                  <c:v>5.8099999999999952</c:v>
                </c:pt>
                <c:pt idx="23">
                  <c:v>5.827999999999987</c:v>
                </c:pt>
                <c:pt idx="24" formatCode="#,##0.00">
                  <c:v>5.8470000000000004</c:v>
                </c:pt>
                <c:pt idx="25">
                  <c:v>5.8660000000000023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CA4-40D6-BD1E-474194B8C77E}"/>
            </c:ext>
          </c:extLst>
        </c:ser>
        <c:ser>
          <c:idx val="0"/>
          <c:order val="3"/>
          <c:tx>
            <c:strRef>
              <c:f>'Ind F2'!$L$9</c:f>
              <c:strCache>
                <c:ptCount val="1"/>
                <c:pt idx="0">
                  <c:v>Water and sewerage</c:v>
                </c:pt>
              </c:strCache>
            </c:strRef>
          </c:tx>
          <c:spPr>
            <a:solidFill>
              <a:schemeClr val="bg1">
                <a:lumMod val="95000"/>
              </a:schemeClr>
            </a:solidFill>
            <a:ln>
              <a:solidFill>
                <a:schemeClr val="tx1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F2'!$M$9:$AL$9</c:f>
              <c:numCache>
                <c:formatCode>#,##0</c:formatCode>
                <c:ptCount val="26"/>
                <c:pt idx="0">
                  <c:v>2.2900000000000023</c:v>
                </c:pt>
                <c:pt idx="1">
                  <c:v>3.0980000000000008</c:v>
                </c:pt>
                <c:pt idx="2">
                  <c:v>2.9230000000000063</c:v>
                </c:pt>
                <c:pt idx="3">
                  <c:v>2.554000000000006</c:v>
                </c:pt>
                <c:pt idx="4">
                  <c:v>2.7170000000000014</c:v>
                </c:pt>
                <c:pt idx="5">
                  <c:v>2.8409999999999953</c:v>
                </c:pt>
                <c:pt idx="6">
                  <c:v>2.6950000000000056</c:v>
                </c:pt>
                <c:pt idx="7">
                  <c:v>3.6899999999999982</c:v>
                </c:pt>
                <c:pt idx="8">
                  <c:v>4.6510000000000042</c:v>
                </c:pt>
                <c:pt idx="9">
                  <c:v>3.1260000000000017</c:v>
                </c:pt>
                <c:pt idx="10">
                  <c:v>3.5420000000000074</c:v>
                </c:pt>
                <c:pt idx="11">
                  <c:v>3.4650000000000012</c:v>
                </c:pt>
                <c:pt idx="12">
                  <c:v>3.4370000000000118</c:v>
                </c:pt>
                <c:pt idx="13">
                  <c:v>3.4460000000000037</c:v>
                </c:pt>
                <c:pt idx="14">
                  <c:v>3.5330000000000044</c:v>
                </c:pt>
                <c:pt idx="15">
                  <c:v>3.5780000000000012</c:v>
                </c:pt>
                <c:pt idx="16">
                  <c:v>3.6079999999999992</c:v>
                </c:pt>
                <c:pt idx="17">
                  <c:v>3.6239999999999997</c:v>
                </c:pt>
                <c:pt idx="18">
                  <c:v>3.6310000000000007</c:v>
                </c:pt>
                <c:pt idx="19">
                  <c:v>3.6320000000000059</c:v>
                </c:pt>
                <c:pt idx="20">
                  <c:v>3.6300000000000017</c:v>
                </c:pt>
                <c:pt idx="21">
                  <c:v>3.6260000000000003</c:v>
                </c:pt>
                <c:pt idx="22">
                  <c:v>3.6210000000000018</c:v>
                </c:pt>
                <c:pt idx="23">
                  <c:v>3.6140000000000012</c:v>
                </c:pt>
                <c:pt idx="24" formatCode="#,##0.00">
                  <c:v>3.6069999999999949</c:v>
                </c:pt>
                <c:pt idx="25">
                  <c:v>3.6000000000000028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CBB-4C95-A899-B448F94DD7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4626528"/>
        <c:axId val="254626912"/>
      </c:areaChart>
      <c:catAx>
        <c:axId val="25462652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462691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54626912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2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7.8864414050499442E-3"/>
              <c:y val="1.0482201753721488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462652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18815128382492435"/>
          <c:y val="0.95968676636462247"/>
          <c:w val="0.67507859518612257"/>
          <c:h val="4.0103619672626593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9905432017565845E-2"/>
          <c:y val="7.3221832118928271E-2"/>
          <c:w val="0.87539499596050963"/>
          <c:h val="0.76569115872938642"/>
        </c:manualLayout>
      </c:layout>
      <c:areaChart>
        <c:grouping val="stacked"/>
        <c:varyColors val="0"/>
        <c:ser>
          <c:idx val="1"/>
          <c:order val="0"/>
          <c:tx>
            <c:strRef>
              <c:f>'Ind F2'!$L$12</c:f>
              <c:strCache>
                <c:ptCount val="1"/>
                <c:pt idx="0">
                  <c:v>Food drink and tobacco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F2'!$M$12:$AL$12</c:f>
              <c:numCache>
                <c:formatCode>#,##0</c:formatCode>
                <c:ptCount val="26"/>
                <c:pt idx="0">
                  <c:v>5.8859999999999841</c:v>
                </c:pt>
                <c:pt idx="1">
                  <c:v>5.1229999999999833</c:v>
                </c:pt>
                <c:pt idx="2">
                  <c:v>4.8090000000000082</c:v>
                </c:pt>
                <c:pt idx="3">
                  <c:v>4.3009999999999975</c:v>
                </c:pt>
                <c:pt idx="4">
                  <c:v>4.502999999999985</c:v>
                </c:pt>
                <c:pt idx="5">
                  <c:v>4.0409999999999942</c:v>
                </c:pt>
                <c:pt idx="6">
                  <c:v>4.626000000000003</c:v>
                </c:pt>
                <c:pt idx="7">
                  <c:v>4.2979999999999965</c:v>
                </c:pt>
                <c:pt idx="8">
                  <c:v>6.3509999999999902</c:v>
                </c:pt>
                <c:pt idx="9">
                  <c:v>4.6129999999999987</c:v>
                </c:pt>
                <c:pt idx="10">
                  <c:v>4.4239999999999942</c:v>
                </c:pt>
                <c:pt idx="11">
                  <c:v>4.4290000000000074</c:v>
                </c:pt>
                <c:pt idx="12">
                  <c:v>4.4380000000000095</c:v>
                </c:pt>
                <c:pt idx="13">
                  <c:v>4.4720000000000004</c:v>
                </c:pt>
                <c:pt idx="14">
                  <c:v>4.4739999999999931</c:v>
                </c:pt>
                <c:pt idx="15">
                  <c:v>4.4560000000000102</c:v>
                </c:pt>
                <c:pt idx="16">
                  <c:v>4.4490000000000016</c:v>
                </c:pt>
                <c:pt idx="17">
                  <c:v>4.4389999999999938</c:v>
                </c:pt>
                <c:pt idx="18">
                  <c:v>4.426000000000001</c:v>
                </c:pt>
                <c:pt idx="19">
                  <c:v>4.4129999999999869</c:v>
                </c:pt>
                <c:pt idx="20">
                  <c:v>4.3999999999999968</c:v>
                </c:pt>
                <c:pt idx="21">
                  <c:v>4.3869999999999933</c:v>
                </c:pt>
                <c:pt idx="22">
                  <c:v>4.3740000000000059</c:v>
                </c:pt>
                <c:pt idx="23">
                  <c:v>4.3589999999999982</c:v>
                </c:pt>
                <c:pt idx="24" formatCode="#,##0.00">
                  <c:v>4.3450000000000051</c:v>
                </c:pt>
                <c:pt idx="25">
                  <c:v>4.328999999999998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EA0-41D5-BF7E-8A4B7EBE3C25}"/>
            </c:ext>
          </c:extLst>
        </c:ser>
        <c:ser>
          <c:idx val="2"/>
          <c:order val="1"/>
          <c:tx>
            <c:strRef>
              <c:f>'Ind F2'!$L$13</c:f>
              <c:strCache>
                <c:ptCount val="1"/>
                <c:pt idx="0">
                  <c:v>Engineering</c:v>
                </c:pt>
              </c:strCache>
            </c:strRef>
          </c:tx>
          <c:spPr>
            <a:solidFill>
              <a:srgbClr val="969696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F2'!$M$13:$AL$13</c:f>
              <c:numCache>
                <c:formatCode>#,##0</c:formatCode>
                <c:ptCount val="26"/>
                <c:pt idx="0">
                  <c:v>11.901000000000019</c:v>
                </c:pt>
                <c:pt idx="1">
                  <c:v>13.696999999999985</c:v>
                </c:pt>
                <c:pt idx="2">
                  <c:v>13.873000000000003</c:v>
                </c:pt>
                <c:pt idx="3">
                  <c:v>12.453000000000024</c:v>
                </c:pt>
                <c:pt idx="4">
                  <c:v>11.491999999999987</c:v>
                </c:pt>
                <c:pt idx="5">
                  <c:v>11.625000000000009</c:v>
                </c:pt>
                <c:pt idx="6">
                  <c:v>10.776999999999983</c:v>
                </c:pt>
                <c:pt idx="7">
                  <c:v>11.606000000000011</c:v>
                </c:pt>
                <c:pt idx="8">
                  <c:v>13.099999999999978</c:v>
                </c:pt>
                <c:pt idx="9">
                  <c:v>11.173999999999978</c:v>
                </c:pt>
                <c:pt idx="10">
                  <c:v>10.317999999999991</c:v>
                </c:pt>
                <c:pt idx="11">
                  <c:v>10.682000000000018</c:v>
                </c:pt>
                <c:pt idx="12">
                  <c:v>10.586999999999994</c:v>
                </c:pt>
                <c:pt idx="13">
                  <c:v>10.596999999999971</c:v>
                </c:pt>
                <c:pt idx="14">
                  <c:v>10.570000000000013</c:v>
                </c:pt>
                <c:pt idx="15">
                  <c:v>10.549999999999999</c:v>
                </c:pt>
                <c:pt idx="16">
                  <c:v>10.430000000000003</c:v>
                </c:pt>
                <c:pt idx="17">
                  <c:v>10.309000000000026</c:v>
                </c:pt>
                <c:pt idx="18">
                  <c:v>10.18999999999998</c:v>
                </c:pt>
                <c:pt idx="19">
                  <c:v>10.07299999999999</c:v>
                </c:pt>
                <c:pt idx="20">
                  <c:v>9.9729999999999599</c:v>
                </c:pt>
                <c:pt idx="21">
                  <c:v>9.8680000000000074</c:v>
                </c:pt>
                <c:pt idx="22">
                  <c:v>9.7630000000000035</c:v>
                </c:pt>
                <c:pt idx="23">
                  <c:v>9.6580000000000226</c:v>
                </c:pt>
                <c:pt idx="24" formatCode="#,##0.00">
                  <c:v>9.5530000000000133</c:v>
                </c:pt>
                <c:pt idx="25">
                  <c:v>9.4499999999999833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EA0-41D5-BF7E-8A4B7EBE3C25}"/>
            </c:ext>
          </c:extLst>
        </c:ser>
        <c:ser>
          <c:idx val="3"/>
          <c:order val="2"/>
          <c:tx>
            <c:strRef>
              <c:f>'Ind F2'!$L$14</c:f>
              <c:strCache>
                <c:ptCount val="1"/>
                <c:pt idx="0">
                  <c:v>Rest of manufacturing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F2'!$M$14:$AL$14</c:f>
              <c:numCache>
                <c:formatCode>#,##0</c:formatCode>
                <c:ptCount val="26"/>
                <c:pt idx="0">
                  <c:v>40.960999999999963</c:v>
                </c:pt>
                <c:pt idx="1">
                  <c:v>40.980999999999995</c:v>
                </c:pt>
                <c:pt idx="2">
                  <c:v>40.553999999999974</c:v>
                </c:pt>
                <c:pt idx="3">
                  <c:v>44.250999999999991</c:v>
                </c:pt>
                <c:pt idx="4">
                  <c:v>44.7139999999998</c:v>
                </c:pt>
                <c:pt idx="5">
                  <c:v>48.351999999999869</c:v>
                </c:pt>
                <c:pt idx="6">
                  <c:v>46.666999999999746</c:v>
                </c:pt>
                <c:pt idx="7">
                  <c:v>51.996000000000031</c:v>
                </c:pt>
                <c:pt idx="8">
                  <c:v>48.514999999999858</c:v>
                </c:pt>
                <c:pt idx="9">
                  <c:v>43.597999999999935</c:v>
                </c:pt>
                <c:pt idx="10">
                  <c:v>40.414999999999914</c:v>
                </c:pt>
                <c:pt idx="11">
                  <c:v>40.655999999999906</c:v>
                </c:pt>
                <c:pt idx="12">
                  <c:v>40.118000000000215</c:v>
                </c:pt>
                <c:pt idx="13">
                  <c:v>39.736000000000118</c:v>
                </c:pt>
                <c:pt idx="14">
                  <c:v>39.403000000000063</c:v>
                </c:pt>
                <c:pt idx="15">
                  <c:v>38.93199999999991</c:v>
                </c:pt>
                <c:pt idx="16">
                  <c:v>38.506999999999934</c:v>
                </c:pt>
                <c:pt idx="17">
                  <c:v>38.079000000000093</c:v>
                </c:pt>
                <c:pt idx="18">
                  <c:v>37.670000000000073</c:v>
                </c:pt>
                <c:pt idx="19">
                  <c:v>37.277000000000108</c:v>
                </c:pt>
                <c:pt idx="20">
                  <c:v>36.927000000000056</c:v>
                </c:pt>
                <c:pt idx="21">
                  <c:v>36.567000000000029</c:v>
                </c:pt>
                <c:pt idx="22">
                  <c:v>36.222999999999978</c:v>
                </c:pt>
                <c:pt idx="23">
                  <c:v>35.893000000000129</c:v>
                </c:pt>
                <c:pt idx="24" formatCode="#,##0.00">
                  <c:v>35.576000000000008</c:v>
                </c:pt>
                <c:pt idx="25">
                  <c:v>35.275999999999975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EA0-41D5-BF7E-8A4B7EBE3C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1989464"/>
        <c:axId val="253597832"/>
      </c:areaChart>
      <c:catAx>
        <c:axId val="25198946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59783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53597832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9.4637296860595726E-3"/>
              <c:y val="1.2552314077530559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1989464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33123053901208482"/>
          <c:y val="0.93514739877602659"/>
          <c:w val="0.50157767336115666"/>
          <c:h val="4.602515161761204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9905432017565845E-2"/>
          <c:y val="7.3221832118928271E-2"/>
          <c:w val="0.87539499596050963"/>
          <c:h val="0.76987526342190526"/>
        </c:manualLayout>
      </c:layout>
      <c:areaChart>
        <c:grouping val="stacked"/>
        <c:varyColors val="0"/>
        <c:ser>
          <c:idx val="1"/>
          <c:order val="0"/>
          <c:tx>
            <c:strRef>
              <c:f>'Ind F2'!$L$16</c:f>
              <c:strCache>
                <c:ptCount val="1"/>
                <c:pt idx="0">
                  <c:v>Construction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F2'!$M$16:$AL$16</c:f>
              <c:numCache>
                <c:formatCode>#,##0</c:formatCode>
                <c:ptCount val="26"/>
                <c:pt idx="0">
                  <c:v>35.017000000000053</c:v>
                </c:pt>
                <c:pt idx="1">
                  <c:v>32.852999999999987</c:v>
                </c:pt>
                <c:pt idx="2">
                  <c:v>31.235999999999944</c:v>
                </c:pt>
                <c:pt idx="3">
                  <c:v>30.245999999999967</c:v>
                </c:pt>
                <c:pt idx="4">
                  <c:v>28.798999999999953</c:v>
                </c:pt>
                <c:pt idx="5">
                  <c:v>28.748999999999974</c:v>
                </c:pt>
                <c:pt idx="6">
                  <c:v>27.629000000000016</c:v>
                </c:pt>
                <c:pt idx="7">
                  <c:v>28.657000000000028</c:v>
                </c:pt>
                <c:pt idx="8">
                  <c:v>32.411000000000037</c:v>
                </c:pt>
                <c:pt idx="9">
                  <c:v>32.118000000000016</c:v>
                </c:pt>
                <c:pt idx="10">
                  <c:v>30.615000000000023</c:v>
                </c:pt>
                <c:pt idx="11">
                  <c:v>29.946000000000019</c:v>
                </c:pt>
                <c:pt idx="12">
                  <c:v>29.845000000000031</c:v>
                </c:pt>
                <c:pt idx="13">
                  <c:v>29.673999999999864</c:v>
                </c:pt>
                <c:pt idx="14">
                  <c:v>29.611000000000011</c:v>
                </c:pt>
                <c:pt idx="15">
                  <c:v>29.636999999999983</c:v>
                </c:pt>
                <c:pt idx="16">
                  <c:v>29.635000000000009</c:v>
                </c:pt>
                <c:pt idx="17">
                  <c:v>29.571999999999957</c:v>
                </c:pt>
                <c:pt idx="18">
                  <c:v>29.538000000000114</c:v>
                </c:pt>
                <c:pt idx="19">
                  <c:v>29.486999999999931</c:v>
                </c:pt>
                <c:pt idx="20">
                  <c:v>29.465000000000032</c:v>
                </c:pt>
                <c:pt idx="21">
                  <c:v>29.447999999999986</c:v>
                </c:pt>
                <c:pt idx="22">
                  <c:v>29.435000000000045</c:v>
                </c:pt>
                <c:pt idx="23">
                  <c:v>29.426000000000016</c:v>
                </c:pt>
                <c:pt idx="24" formatCode="#,##0.00">
                  <c:v>29.417999999999978</c:v>
                </c:pt>
                <c:pt idx="25">
                  <c:v>29.409999999999986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091-4833-92D7-C94527035F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3598616"/>
        <c:axId val="253599008"/>
      </c:areaChart>
      <c:catAx>
        <c:axId val="253598616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59900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53599008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7.8864414050499442E-3"/>
              <c:y val="1.2552314077530559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598616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51577326789024558"/>
          <c:y val="0.93514739877602659"/>
          <c:w val="0.12776035076180794"/>
          <c:h val="4.602515161761204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0332874972819527E-2"/>
          <c:y val="7.3221832118928271E-2"/>
          <c:w val="0.8795569405248217"/>
          <c:h val="0.7719673157681296"/>
        </c:manualLayout>
      </c:layout>
      <c:areaChart>
        <c:grouping val="stacked"/>
        <c:varyColors val="0"/>
        <c:ser>
          <c:idx val="1"/>
          <c:order val="0"/>
          <c:tx>
            <c:strRef>
              <c:f>'Ind F2'!$L$19</c:f>
              <c:strCache>
                <c:ptCount val="1"/>
                <c:pt idx="0">
                  <c:v>Wholesale and retail trade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F2'!$M$19:$AL$19</c:f>
              <c:numCache>
                <c:formatCode>#,##0</c:formatCode>
                <c:ptCount val="26"/>
                <c:pt idx="0">
                  <c:v>68.515000000000015</c:v>
                </c:pt>
                <c:pt idx="1">
                  <c:v>67.419999999999916</c:v>
                </c:pt>
                <c:pt idx="2">
                  <c:v>64.776000000000195</c:v>
                </c:pt>
                <c:pt idx="3">
                  <c:v>66.855999999999867</c:v>
                </c:pt>
                <c:pt idx="4">
                  <c:v>75.68899999999995</c:v>
                </c:pt>
                <c:pt idx="5">
                  <c:v>74.617999999999881</c:v>
                </c:pt>
                <c:pt idx="6">
                  <c:v>70.554999999999936</c:v>
                </c:pt>
                <c:pt idx="7">
                  <c:v>69.49200000000009</c:v>
                </c:pt>
                <c:pt idx="8">
                  <c:v>66.981000000000122</c:v>
                </c:pt>
                <c:pt idx="9">
                  <c:v>71.895000000000067</c:v>
                </c:pt>
                <c:pt idx="10">
                  <c:v>72.056999999999917</c:v>
                </c:pt>
                <c:pt idx="11">
                  <c:v>71.638999999999854</c:v>
                </c:pt>
                <c:pt idx="12">
                  <c:v>71.380999999999986</c:v>
                </c:pt>
                <c:pt idx="13">
                  <c:v>71.361000000000089</c:v>
                </c:pt>
                <c:pt idx="14">
                  <c:v>71.369999999999791</c:v>
                </c:pt>
                <c:pt idx="15">
                  <c:v>71.422999999999917</c:v>
                </c:pt>
                <c:pt idx="16">
                  <c:v>71.440999999999988</c:v>
                </c:pt>
                <c:pt idx="17">
                  <c:v>71.451999999999799</c:v>
                </c:pt>
                <c:pt idx="18">
                  <c:v>71.461000000000055</c:v>
                </c:pt>
                <c:pt idx="19">
                  <c:v>71.472000000000094</c:v>
                </c:pt>
                <c:pt idx="20">
                  <c:v>71.494000000000128</c:v>
                </c:pt>
                <c:pt idx="21">
                  <c:v>71.522000000000006</c:v>
                </c:pt>
                <c:pt idx="22">
                  <c:v>71.547999999999902</c:v>
                </c:pt>
                <c:pt idx="23">
                  <c:v>71.611000000000047</c:v>
                </c:pt>
                <c:pt idx="24" formatCode="#,##0.00">
                  <c:v>71.667000000000073</c:v>
                </c:pt>
                <c:pt idx="25">
                  <c:v>71.717000000000127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82F-44B2-8BA6-32F17547BDD2}"/>
            </c:ext>
          </c:extLst>
        </c:ser>
        <c:ser>
          <c:idx val="2"/>
          <c:order val="1"/>
          <c:tx>
            <c:strRef>
              <c:f>'Ind F2'!$L$20</c:f>
              <c:strCache>
                <c:ptCount val="1"/>
                <c:pt idx="0">
                  <c:v>Transport and storage</c:v>
                </c:pt>
              </c:strCache>
            </c:strRef>
          </c:tx>
          <c:spPr>
            <a:solidFill>
              <a:srgbClr val="969696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F2'!$M$20:$AL$20</c:f>
              <c:numCache>
                <c:formatCode>#,##0</c:formatCode>
                <c:ptCount val="26"/>
                <c:pt idx="0">
                  <c:v>17.201999999999916</c:v>
                </c:pt>
                <c:pt idx="1">
                  <c:v>23.583000000000037</c:v>
                </c:pt>
                <c:pt idx="2">
                  <c:v>19.362999999999928</c:v>
                </c:pt>
                <c:pt idx="3">
                  <c:v>21.732999999999993</c:v>
                </c:pt>
                <c:pt idx="4">
                  <c:v>21.475000000000005</c:v>
                </c:pt>
                <c:pt idx="5">
                  <c:v>22.279999999999951</c:v>
                </c:pt>
                <c:pt idx="6">
                  <c:v>23.06499999999993</c:v>
                </c:pt>
                <c:pt idx="7">
                  <c:v>23.218999999999991</c:v>
                </c:pt>
                <c:pt idx="8">
                  <c:v>29.123000000000072</c:v>
                </c:pt>
                <c:pt idx="9">
                  <c:v>26.582999999999938</c:v>
                </c:pt>
                <c:pt idx="10">
                  <c:v>27.424000000000007</c:v>
                </c:pt>
                <c:pt idx="11">
                  <c:v>28.239000000000019</c:v>
                </c:pt>
                <c:pt idx="12">
                  <c:v>28.166999999999987</c:v>
                </c:pt>
                <c:pt idx="13">
                  <c:v>28.13199999999998</c:v>
                </c:pt>
                <c:pt idx="14">
                  <c:v>28.197999999999983</c:v>
                </c:pt>
                <c:pt idx="15">
                  <c:v>28.243000000000062</c:v>
                </c:pt>
                <c:pt idx="16">
                  <c:v>28.252000000000042</c:v>
                </c:pt>
                <c:pt idx="17">
                  <c:v>28.258000000000102</c:v>
                </c:pt>
                <c:pt idx="18">
                  <c:v>28.263000000000048</c:v>
                </c:pt>
                <c:pt idx="19">
                  <c:v>28.268000000000011</c:v>
                </c:pt>
                <c:pt idx="20">
                  <c:v>28.278000000000027</c:v>
                </c:pt>
                <c:pt idx="21">
                  <c:v>28.282000000000021</c:v>
                </c:pt>
                <c:pt idx="22">
                  <c:v>28.28499999999995</c:v>
                </c:pt>
                <c:pt idx="23">
                  <c:v>28.284999999999986</c:v>
                </c:pt>
                <c:pt idx="24" formatCode="#,##0.00">
                  <c:v>28.283000000000012</c:v>
                </c:pt>
                <c:pt idx="25">
                  <c:v>28.280999999999995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82F-44B2-8BA6-32F17547BDD2}"/>
            </c:ext>
          </c:extLst>
        </c:ser>
        <c:ser>
          <c:idx val="3"/>
          <c:order val="2"/>
          <c:tx>
            <c:strRef>
              <c:f>'Ind F2'!$L$21</c:f>
              <c:strCache>
                <c:ptCount val="1"/>
                <c:pt idx="0">
                  <c:v>Accommodation and food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F2'!$M$21:$AL$21</c:f>
              <c:numCache>
                <c:formatCode>#,##0</c:formatCode>
                <c:ptCount val="26"/>
                <c:pt idx="0">
                  <c:v>26.904999999999959</c:v>
                </c:pt>
                <c:pt idx="1">
                  <c:v>28.817000000000018</c:v>
                </c:pt>
                <c:pt idx="2">
                  <c:v>27.322000000000049</c:v>
                </c:pt>
                <c:pt idx="3">
                  <c:v>30.475999999999992</c:v>
                </c:pt>
                <c:pt idx="4">
                  <c:v>26.880999999999997</c:v>
                </c:pt>
                <c:pt idx="5">
                  <c:v>33.11899999999995</c:v>
                </c:pt>
                <c:pt idx="6">
                  <c:v>31.863000000000014</c:v>
                </c:pt>
                <c:pt idx="7">
                  <c:v>34.628999999999941</c:v>
                </c:pt>
                <c:pt idx="8">
                  <c:v>29.283000000000044</c:v>
                </c:pt>
                <c:pt idx="9">
                  <c:v>34.905000000000037</c:v>
                </c:pt>
                <c:pt idx="10">
                  <c:v>33.931000000000061</c:v>
                </c:pt>
                <c:pt idx="11">
                  <c:v>32.71100000000002</c:v>
                </c:pt>
                <c:pt idx="12">
                  <c:v>33.010999999999981</c:v>
                </c:pt>
                <c:pt idx="13">
                  <c:v>33.535999999999973</c:v>
                </c:pt>
                <c:pt idx="14">
                  <c:v>34.190000000000005</c:v>
                </c:pt>
                <c:pt idx="15">
                  <c:v>34.780999999999956</c:v>
                </c:pt>
                <c:pt idx="16">
                  <c:v>35.294999999999995</c:v>
                </c:pt>
                <c:pt idx="17">
                  <c:v>35.771000000000015</c:v>
                </c:pt>
                <c:pt idx="18">
                  <c:v>36.225999999999971</c:v>
                </c:pt>
                <c:pt idx="19">
                  <c:v>36.666999999999973</c:v>
                </c:pt>
                <c:pt idx="20">
                  <c:v>37.102000000000004</c:v>
                </c:pt>
                <c:pt idx="21">
                  <c:v>37.525000000000055</c:v>
                </c:pt>
                <c:pt idx="22">
                  <c:v>37.936000000000043</c:v>
                </c:pt>
                <c:pt idx="23">
                  <c:v>38.337000000000032</c:v>
                </c:pt>
                <c:pt idx="24" formatCode="#,##0.00">
                  <c:v>38.722000000000051</c:v>
                </c:pt>
                <c:pt idx="25">
                  <c:v>39.093999999999973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82F-44B2-8BA6-32F17547BD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3599792"/>
        <c:axId val="253600184"/>
      </c:areaChart>
      <c:catAx>
        <c:axId val="25359979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60018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53600184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7.9239364011245532E-3"/>
              <c:y val="1.0460261731275467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59979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30427915780318149"/>
          <c:y val="0.93514739877602659"/>
          <c:w val="0.55467554807872665"/>
          <c:h val="4.602515161761204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9905432017565845E-2"/>
          <c:y val="7.337541227605042E-2"/>
          <c:w val="0.87381770767952038"/>
          <c:h val="0.7777793701261565"/>
        </c:manualLayout>
      </c:layout>
      <c:areaChart>
        <c:grouping val="stacked"/>
        <c:varyColors val="0"/>
        <c:ser>
          <c:idx val="1"/>
          <c:order val="0"/>
          <c:tx>
            <c:strRef>
              <c:f>'Ind F2'!$L$24</c:f>
              <c:strCache>
                <c:ptCount val="1"/>
                <c:pt idx="0">
                  <c:v>Media</c:v>
                </c:pt>
              </c:strCache>
            </c:strRef>
          </c:tx>
          <c:spPr>
            <a:solidFill>
              <a:schemeClr val="tx1">
                <a:lumMod val="95000"/>
                <a:lumOff val="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F2'!$M$24:$AL$24</c:f>
              <c:numCache>
                <c:formatCode>#,##0</c:formatCode>
                <c:ptCount val="26"/>
                <c:pt idx="0">
                  <c:v>1.4169999999999994</c:v>
                </c:pt>
                <c:pt idx="1">
                  <c:v>1.4059999999999997</c:v>
                </c:pt>
                <c:pt idx="2">
                  <c:v>1.048999999999999</c:v>
                </c:pt>
                <c:pt idx="3">
                  <c:v>2.5299999999999976</c:v>
                </c:pt>
                <c:pt idx="4">
                  <c:v>1.6110000000000013</c:v>
                </c:pt>
                <c:pt idx="5">
                  <c:v>2.5630000000000068</c:v>
                </c:pt>
                <c:pt idx="6">
                  <c:v>1.5859999999999996</c:v>
                </c:pt>
                <c:pt idx="7">
                  <c:v>2.2600000000000029</c:v>
                </c:pt>
                <c:pt idx="8">
                  <c:v>0.95300000000000118</c:v>
                </c:pt>
                <c:pt idx="9">
                  <c:v>2.9880000000000035</c:v>
                </c:pt>
                <c:pt idx="10">
                  <c:v>2.8960000000000048</c:v>
                </c:pt>
                <c:pt idx="11">
                  <c:v>2.858000000000005</c:v>
                </c:pt>
                <c:pt idx="12">
                  <c:v>2.8470000000000009</c:v>
                </c:pt>
                <c:pt idx="13">
                  <c:v>2.8339999999999983</c:v>
                </c:pt>
                <c:pt idx="14">
                  <c:v>2.8270000000000048</c:v>
                </c:pt>
                <c:pt idx="15">
                  <c:v>2.8369999999999993</c:v>
                </c:pt>
                <c:pt idx="16">
                  <c:v>2.8429999999999991</c:v>
                </c:pt>
                <c:pt idx="17">
                  <c:v>2.8479999999999972</c:v>
                </c:pt>
                <c:pt idx="18">
                  <c:v>2.8539999999999957</c:v>
                </c:pt>
                <c:pt idx="19">
                  <c:v>2.8589999999999951</c:v>
                </c:pt>
                <c:pt idx="20">
                  <c:v>2.8639999999999999</c:v>
                </c:pt>
                <c:pt idx="21">
                  <c:v>2.8690000000000029</c:v>
                </c:pt>
                <c:pt idx="22">
                  <c:v>2.8739999999999988</c:v>
                </c:pt>
                <c:pt idx="23">
                  <c:v>2.8790000000000022</c:v>
                </c:pt>
                <c:pt idx="24" formatCode="#,##0.00">
                  <c:v>2.8830000000000049</c:v>
                </c:pt>
                <c:pt idx="25">
                  <c:v>2.8879999999999977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F7B-4588-829A-546C63534D57}"/>
            </c:ext>
          </c:extLst>
        </c:ser>
        <c:ser>
          <c:idx val="2"/>
          <c:order val="1"/>
          <c:tx>
            <c:strRef>
              <c:f>'Ind F2'!$L$25</c:f>
              <c:strCache>
                <c:ptCount val="1"/>
                <c:pt idx="0">
                  <c:v>Information technology</c:v>
                </c:pt>
              </c:strCache>
            </c:strRef>
          </c:tx>
          <c:spPr>
            <a:solidFill>
              <a:schemeClr val="tx1">
                <a:lumMod val="65000"/>
                <a:lumOff val="3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F2'!$M$25:$AL$25</c:f>
              <c:numCache>
                <c:formatCode>#,##0</c:formatCode>
                <c:ptCount val="26"/>
                <c:pt idx="0">
                  <c:v>7.1530000000000076</c:v>
                </c:pt>
                <c:pt idx="1">
                  <c:v>9.1459999999999937</c:v>
                </c:pt>
                <c:pt idx="2">
                  <c:v>8.434999999999981</c:v>
                </c:pt>
                <c:pt idx="3">
                  <c:v>7.7899999999999983</c:v>
                </c:pt>
                <c:pt idx="4">
                  <c:v>7.6469999999999869</c:v>
                </c:pt>
                <c:pt idx="5">
                  <c:v>8.537000000000015</c:v>
                </c:pt>
                <c:pt idx="6">
                  <c:v>7.2070000000000185</c:v>
                </c:pt>
                <c:pt idx="7">
                  <c:v>8.9850000000000012</c:v>
                </c:pt>
                <c:pt idx="8">
                  <c:v>8.5630000000000006</c:v>
                </c:pt>
                <c:pt idx="9">
                  <c:v>6.4880000000000049</c:v>
                </c:pt>
                <c:pt idx="10">
                  <c:v>5.6369999999999907</c:v>
                </c:pt>
                <c:pt idx="11">
                  <c:v>5.7910000000000021</c:v>
                </c:pt>
                <c:pt idx="12">
                  <c:v>5.8489999999999984</c:v>
                </c:pt>
                <c:pt idx="13">
                  <c:v>5.9610000000000145</c:v>
                </c:pt>
                <c:pt idx="14">
                  <c:v>6.0500000000000096</c:v>
                </c:pt>
                <c:pt idx="15">
                  <c:v>6.1230000000000224</c:v>
                </c:pt>
                <c:pt idx="16">
                  <c:v>6.1919999999999913</c:v>
                </c:pt>
                <c:pt idx="17">
                  <c:v>6.2540000000000182</c:v>
                </c:pt>
                <c:pt idx="18">
                  <c:v>6.3130000000000148</c:v>
                </c:pt>
                <c:pt idx="19">
                  <c:v>6.371000000000028</c:v>
                </c:pt>
                <c:pt idx="20">
                  <c:v>6.4329999999999927</c:v>
                </c:pt>
                <c:pt idx="21">
                  <c:v>6.4929999999999799</c:v>
                </c:pt>
                <c:pt idx="22">
                  <c:v>6.551999999999973</c:v>
                </c:pt>
                <c:pt idx="23">
                  <c:v>6.6100000000000021</c:v>
                </c:pt>
                <c:pt idx="24" formatCode="#,##0.00">
                  <c:v>6.6640000000000006</c:v>
                </c:pt>
                <c:pt idx="25">
                  <c:v>6.7169999999999943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F7B-4588-829A-546C63534D57}"/>
            </c:ext>
          </c:extLst>
        </c:ser>
        <c:ser>
          <c:idx val="3"/>
          <c:order val="2"/>
          <c:tx>
            <c:strRef>
              <c:f>'Ind F2'!$L$26</c:f>
              <c:strCache>
                <c:ptCount val="1"/>
                <c:pt idx="0">
                  <c:v>Finance and insurance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F2'!$M$26:$AL$26</c:f>
              <c:numCache>
                <c:formatCode>#,##0</c:formatCode>
                <c:ptCount val="26"/>
                <c:pt idx="0">
                  <c:v>10.026000000000005</c:v>
                </c:pt>
                <c:pt idx="1">
                  <c:v>10.042000000000005</c:v>
                </c:pt>
                <c:pt idx="2">
                  <c:v>8.7819999999999947</c:v>
                </c:pt>
                <c:pt idx="3">
                  <c:v>8.9300000000000015</c:v>
                </c:pt>
                <c:pt idx="4">
                  <c:v>9.192999999999989</c:v>
                </c:pt>
                <c:pt idx="5">
                  <c:v>9.3589999999999769</c:v>
                </c:pt>
                <c:pt idx="6">
                  <c:v>9.1660000000000039</c:v>
                </c:pt>
                <c:pt idx="7">
                  <c:v>8.8440000000000243</c:v>
                </c:pt>
                <c:pt idx="8">
                  <c:v>9.525000000000011</c:v>
                </c:pt>
                <c:pt idx="9">
                  <c:v>8.4649999999999928</c:v>
                </c:pt>
                <c:pt idx="10">
                  <c:v>7.9720000000000066</c:v>
                </c:pt>
                <c:pt idx="11">
                  <c:v>8.2539999999999996</c:v>
                </c:pt>
                <c:pt idx="12">
                  <c:v>8.2549999999999635</c:v>
                </c:pt>
                <c:pt idx="13">
                  <c:v>8.2520000000000095</c:v>
                </c:pt>
                <c:pt idx="14">
                  <c:v>8.2299999999999898</c:v>
                </c:pt>
                <c:pt idx="15">
                  <c:v>8.2219999999999889</c:v>
                </c:pt>
                <c:pt idx="16">
                  <c:v>8.2239999999999842</c:v>
                </c:pt>
                <c:pt idx="17">
                  <c:v>8.2250000000000032</c:v>
                </c:pt>
                <c:pt idx="18">
                  <c:v>8.2249999999999925</c:v>
                </c:pt>
                <c:pt idx="19">
                  <c:v>8.2250000000000014</c:v>
                </c:pt>
                <c:pt idx="20">
                  <c:v>8.2260000000000062</c:v>
                </c:pt>
                <c:pt idx="21">
                  <c:v>8.2210000000000054</c:v>
                </c:pt>
                <c:pt idx="22">
                  <c:v>8.2160000000000046</c:v>
                </c:pt>
                <c:pt idx="23">
                  <c:v>8.2110000000000039</c:v>
                </c:pt>
                <c:pt idx="24" formatCode="#,##0.00">
                  <c:v>8.2059999999999977</c:v>
                </c:pt>
                <c:pt idx="25">
                  <c:v>8.2010000000000023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F7B-4588-829A-546C63534D57}"/>
            </c:ext>
          </c:extLst>
        </c:ser>
        <c:ser>
          <c:idx val="0"/>
          <c:order val="3"/>
          <c:tx>
            <c:strRef>
              <c:f>'Ind F2'!$L$27</c:f>
              <c:strCache>
                <c:ptCount val="1"/>
                <c:pt idx="0">
                  <c:v>Real estate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F2'!$M$27:$AL$27</c:f>
              <c:numCache>
                <c:formatCode>#,##0</c:formatCode>
                <c:ptCount val="26"/>
                <c:pt idx="0">
                  <c:v>9.1929999999999854</c:v>
                </c:pt>
                <c:pt idx="1">
                  <c:v>6.68799999999999</c:v>
                </c:pt>
                <c:pt idx="2">
                  <c:v>6.327</c:v>
                </c:pt>
                <c:pt idx="3">
                  <c:v>7.8990000000000089</c:v>
                </c:pt>
                <c:pt idx="4">
                  <c:v>8.2780000000000058</c:v>
                </c:pt>
                <c:pt idx="5">
                  <c:v>7.2680000000000007</c:v>
                </c:pt>
                <c:pt idx="6">
                  <c:v>6.5809999999999969</c:v>
                </c:pt>
                <c:pt idx="7">
                  <c:v>5.1460000000000008</c:v>
                </c:pt>
                <c:pt idx="8">
                  <c:v>6.6580000000000048</c:v>
                </c:pt>
                <c:pt idx="9">
                  <c:v>7.5290000000000097</c:v>
                </c:pt>
                <c:pt idx="10">
                  <c:v>6.7819999999999885</c:v>
                </c:pt>
                <c:pt idx="11">
                  <c:v>6.707000000000007</c:v>
                </c:pt>
                <c:pt idx="12">
                  <c:v>6.6339999999999977</c:v>
                </c:pt>
                <c:pt idx="13">
                  <c:v>6.637999999999999</c:v>
                </c:pt>
                <c:pt idx="14">
                  <c:v>6.6949999999999878</c:v>
                </c:pt>
                <c:pt idx="15">
                  <c:v>6.7620000000000191</c:v>
                </c:pt>
                <c:pt idx="16">
                  <c:v>6.8489999999999966</c:v>
                </c:pt>
                <c:pt idx="17">
                  <c:v>6.9480000000000004</c:v>
                </c:pt>
                <c:pt idx="18">
                  <c:v>7.0530000000000124</c:v>
                </c:pt>
                <c:pt idx="19">
                  <c:v>7.160999999999996</c:v>
                </c:pt>
                <c:pt idx="20">
                  <c:v>7.2719999999999949</c:v>
                </c:pt>
                <c:pt idx="21">
                  <c:v>7.3849999999999936</c:v>
                </c:pt>
                <c:pt idx="22">
                  <c:v>7.498000000000002</c:v>
                </c:pt>
                <c:pt idx="23">
                  <c:v>7.6130000000000067</c:v>
                </c:pt>
                <c:pt idx="24" formatCode="#,##0.00">
                  <c:v>7.7290000000000081</c:v>
                </c:pt>
                <c:pt idx="25">
                  <c:v>7.8439999999999861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7F6-40CB-8490-F63AF969C3B0}"/>
            </c:ext>
          </c:extLst>
        </c:ser>
        <c:ser>
          <c:idx val="4"/>
          <c:order val="4"/>
          <c:tx>
            <c:strRef>
              <c:f>'Ind F2'!$L$28</c:f>
              <c:strCache>
                <c:ptCount val="1"/>
                <c:pt idx="0">
                  <c:v>Professional services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F2'!$M$28:$AL$28</c:f>
              <c:numCache>
                <c:formatCode>#,##0</c:formatCode>
                <c:ptCount val="26"/>
                <c:pt idx="0">
                  <c:v>19.226000000000024</c:v>
                </c:pt>
                <c:pt idx="1">
                  <c:v>21.485000000000028</c:v>
                </c:pt>
                <c:pt idx="2">
                  <c:v>18.284000000000084</c:v>
                </c:pt>
                <c:pt idx="3">
                  <c:v>18.245000000000047</c:v>
                </c:pt>
                <c:pt idx="4">
                  <c:v>21.285999999999987</c:v>
                </c:pt>
                <c:pt idx="5">
                  <c:v>25.363999999999997</c:v>
                </c:pt>
                <c:pt idx="6">
                  <c:v>24.499000000000031</c:v>
                </c:pt>
                <c:pt idx="7">
                  <c:v>17.012999999999966</c:v>
                </c:pt>
                <c:pt idx="8">
                  <c:v>21.92299999999997</c:v>
                </c:pt>
                <c:pt idx="9">
                  <c:v>22.099000000000004</c:v>
                </c:pt>
                <c:pt idx="10">
                  <c:v>23.094000000000012</c:v>
                </c:pt>
                <c:pt idx="11">
                  <c:v>23.430000000000032</c:v>
                </c:pt>
                <c:pt idx="12">
                  <c:v>23.495000000000072</c:v>
                </c:pt>
                <c:pt idx="13">
                  <c:v>23.622000000000046</c:v>
                </c:pt>
                <c:pt idx="14">
                  <c:v>23.777000000000008</c:v>
                </c:pt>
                <c:pt idx="15">
                  <c:v>23.910999999999991</c:v>
                </c:pt>
                <c:pt idx="16">
                  <c:v>24.032999999999952</c:v>
                </c:pt>
                <c:pt idx="17">
                  <c:v>24.166999999999984</c:v>
                </c:pt>
                <c:pt idx="18">
                  <c:v>24.313999999999993</c:v>
                </c:pt>
                <c:pt idx="19">
                  <c:v>24.473999999999979</c:v>
                </c:pt>
                <c:pt idx="20">
                  <c:v>24.650999999999943</c:v>
                </c:pt>
                <c:pt idx="21">
                  <c:v>24.831000000000007</c:v>
                </c:pt>
                <c:pt idx="22">
                  <c:v>25.015000000000001</c:v>
                </c:pt>
                <c:pt idx="23">
                  <c:v>25.200000000000014</c:v>
                </c:pt>
                <c:pt idx="24" formatCode="#,##0.00">
                  <c:v>25.386999999999983</c:v>
                </c:pt>
                <c:pt idx="25">
                  <c:v>25.574999999999996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7F6-40CB-8490-F63AF969C3B0}"/>
            </c:ext>
          </c:extLst>
        </c:ser>
        <c:ser>
          <c:idx val="5"/>
          <c:order val="5"/>
          <c:tx>
            <c:strRef>
              <c:f>'Ind F2'!$L$29</c:f>
              <c:strCache>
                <c:ptCount val="1"/>
                <c:pt idx="0">
                  <c:v>Support services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F2'!$M$29:$AL$29</c:f>
              <c:numCache>
                <c:formatCode>#,##0</c:formatCode>
                <c:ptCount val="26"/>
                <c:pt idx="0">
                  <c:v>32.386000000000102</c:v>
                </c:pt>
                <c:pt idx="1">
                  <c:v>26.951000000000075</c:v>
                </c:pt>
                <c:pt idx="2">
                  <c:v>33.883000000000116</c:v>
                </c:pt>
                <c:pt idx="3">
                  <c:v>32.910999999999937</c:v>
                </c:pt>
                <c:pt idx="4">
                  <c:v>33.418999999999947</c:v>
                </c:pt>
                <c:pt idx="5">
                  <c:v>35.167999999999999</c:v>
                </c:pt>
                <c:pt idx="6">
                  <c:v>37.344999999999999</c:v>
                </c:pt>
                <c:pt idx="7">
                  <c:v>38.414999999999964</c:v>
                </c:pt>
                <c:pt idx="8">
                  <c:v>40.082999999999998</c:v>
                </c:pt>
                <c:pt idx="9">
                  <c:v>36.009999999999856</c:v>
                </c:pt>
                <c:pt idx="10">
                  <c:v>35.190000000000062</c:v>
                </c:pt>
                <c:pt idx="11">
                  <c:v>35.433000000000114</c:v>
                </c:pt>
                <c:pt idx="12">
                  <c:v>35.65499999999993</c:v>
                </c:pt>
                <c:pt idx="13">
                  <c:v>35.707999999999956</c:v>
                </c:pt>
                <c:pt idx="14">
                  <c:v>35.888999999999989</c:v>
                </c:pt>
                <c:pt idx="15">
                  <c:v>36.036999999999985</c:v>
                </c:pt>
                <c:pt idx="16">
                  <c:v>36.21</c:v>
                </c:pt>
                <c:pt idx="17">
                  <c:v>36.377999999999901</c:v>
                </c:pt>
                <c:pt idx="18">
                  <c:v>36.542999999999978</c:v>
                </c:pt>
                <c:pt idx="19">
                  <c:v>36.706999999999958</c:v>
                </c:pt>
                <c:pt idx="20">
                  <c:v>36.877000000000066</c:v>
                </c:pt>
                <c:pt idx="21">
                  <c:v>37.03900000000003</c:v>
                </c:pt>
                <c:pt idx="22">
                  <c:v>37.201000000000043</c:v>
                </c:pt>
                <c:pt idx="23">
                  <c:v>37.363000000000078</c:v>
                </c:pt>
                <c:pt idx="24" formatCode="#,##0.00">
                  <c:v>37.524999999999999</c:v>
                </c:pt>
                <c:pt idx="25">
                  <c:v>37.686999999999948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7F6-40CB-8490-F63AF969C3B0}"/>
            </c:ext>
          </c:extLst>
        </c:ser>
        <c:ser>
          <c:idx val="6"/>
          <c:order val="6"/>
          <c:tx>
            <c:strRef>
              <c:f>'Ind F2'!$L$30</c:f>
              <c:strCache>
                <c:ptCount val="1"/>
                <c:pt idx="0">
                  <c:v>Arts and entertainment</c:v>
                </c:pt>
              </c:strCache>
            </c:strRef>
          </c:tx>
          <c:spPr>
            <a:solidFill>
              <a:schemeClr val="bg1">
                <a:lumMod val="9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F2'!$M$30:$AL$30</c:f>
              <c:numCache>
                <c:formatCode>#,##0</c:formatCode>
                <c:ptCount val="26"/>
                <c:pt idx="0">
                  <c:v>9.8969999999999949</c:v>
                </c:pt>
                <c:pt idx="1">
                  <c:v>10.068000000000039</c:v>
                </c:pt>
                <c:pt idx="2">
                  <c:v>13.116000000000017</c:v>
                </c:pt>
                <c:pt idx="3">
                  <c:v>12.807999999999986</c:v>
                </c:pt>
                <c:pt idx="4">
                  <c:v>11.186999999999987</c:v>
                </c:pt>
                <c:pt idx="5">
                  <c:v>12.142999999999999</c:v>
                </c:pt>
                <c:pt idx="6">
                  <c:v>11.165999999999993</c:v>
                </c:pt>
                <c:pt idx="7">
                  <c:v>11.347999999999999</c:v>
                </c:pt>
                <c:pt idx="8">
                  <c:v>10.802</c:v>
                </c:pt>
                <c:pt idx="9">
                  <c:v>13.485999999999997</c:v>
                </c:pt>
                <c:pt idx="10">
                  <c:v>12.614999999999977</c:v>
                </c:pt>
                <c:pt idx="11">
                  <c:v>12.756000000000004</c:v>
                </c:pt>
                <c:pt idx="12">
                  <c:v>12.587000000000005</c:v>
                </c:pt>
                <c:pt idx="13">
                  <c:v>12.645000000000001</c:v>
                </c:pt>
                <c:pt idx="14">
                  <c:v>12.812999999999967</c:v>
                </c:pt>
                <c:pt idx="15">
                  <c:v>12.903000000000011</c:v>
                </c:pt>
                <c:pt idx="16">
                  <c:v>13.024000000000004</c:v>
                </c:pt>
                <c:pt idx="17">
                  <c:v>13.138000000000005</c:v>
                </c:pt>
                <c:pt idx="18">
                  <c:v>13.241000000000019</c:v>
                </c:pt>
                <c:pt idx="19">
                  <c:v>13.339000000000004</c:v>
                </c:pt>
                <c:pt idx="20">
                  <c:v>13.445000000000009</c:v>
                </c:pt>
                <c:pt idx="21">
                  <c:v>13.558000000000019</c:v>
                </c:pt>
                <c:pt idx="22">
                  <c:v>13.673999999999985</c:v>
                </c:pt>
                <c:pt idx="23">
                  <c:v>13.791999999999966</c:v>
                </c:pt>
                <c:pt idx="24" formatCode="#,##0.00">
                  <c:v>13.908000000000024</c:v>
                </c:pt>
                <c:pt idx="25">
                  <c:v>14.023000000000003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7F6-40CB-8490-F63AF969C3B0}"/>
            </c:ext>
          </c:extLst>
        </c:ser>
        <c:ser>
          <c:idx val="7"/>
          <c:order val="7"/>
          <c:tx>
            <c:strRef>
              <c:f>'Ind F2'!$L$31</c:f>
              <c:strCache>
                <c:ptCount val="1"/>
                <c:pt idx="0">
                  <c:v>Other services</c:v>
                </c:pt>
              </c:strCache>
            </c:strRef>
          </c:tx>
          <c:spPr>
            <a:solidFill>
              <a:schemeClr val="bg1"/>
            </a:solidFill>
            <a:ln>
              <a:solidFill>
                <a:srgbClr val="000000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F2'!$M$31:$AL$31</c:f>
              <c:numCache>
                <c:formatCode>#,##0</c:formatCode>
                <c:ptCount val="26"/>
                <c:pt idx="0">
                  <c:v>10.668000000000008</c:v>
                </c:pt>
                <c:pt idx="1">
                  <c:v>12.33500000000002</c:v>
                </c:pt>
                <c:pt idx="2">
                  <c:v>9.4600000000000044</c:v>
                </c:pt>
                <c:pt idx="3">
                  <c:v>10.58599999999999</c:v>
                </c:pt>
                <c:pt idx="4">
                  <c:v>13.056999999999968</c:v>
                </c:pt>
                <c:pt idx="5">
                  <c:v>14.405000000000024</c:v>
                </c:pt>
                <c:pt idx="6">
                  <c:v>9.4270000000000049</c:v>
                </c:pt>
                <c:pt idx="7">
                  <c:v>11.649000000000004</c:v>
                </c:pt>
                <c:pt idx="8">
                  <c:v>15.211000000000027</c:v>
                </c:pt>
                <c:pt idx="9">
                  <c:v>12.608000000000022</c:v>
                </c:pt>
                <c:pt idx="10">
                  <c:v>13.376000000000015</c:v>
                </c:pt>
                <c:pt idx="11">
                  <c:v>12.012999999999995</c:v>
                </c:pt>
                <c:pt idx="12">
                  <c:v>11.263000000000011</c:v>
                </c:pt>
                <c:pt idx="13">
                  <c:v>11.135000000000012</c:v>
                </c:pt>
                <c:pt idx="14">
                  <c:v>11.041999999999991</c:v>
                </c:pt>
                <c:pt idx="15">
                  <c:v>10.957000000000017</c:v>
                </c:pt>
                <c:pt idx="16">
                  <c:v>10.870000000000019</c:v>
                </c:pt>
                <c:pt idx="17">
                  <c:v>10.783999999999972</c:v>
                </c:pt>
                <c:pt idx="18">
                  <c:v>10.70000000000001</c:v>
                </c:pt>
                <c:pt idx="19">
                  <c:v>10.618999999999989</c:v>
                </c:pt>
                <c:pt idx="20">
                  <c:v>10.541000000000007</c:v>
                </c:pt>
                <c:pt idx="21">
                  <c:v>10.463999999999997</c:v>
                </c:pt>
                <c:pt idx="22">
                  <c:v>10.386999999999995</c:v>
                </c:pt>
                <c:pt idx="23">
                  <c:v>10.311999999999996</c:v>
                </c:pt>
                <c:pt idx="24" formatCode="#,##0.00">
                  <c:v>10.235999999999997</c:v>
                </c:pt>
                <c:pt idx="25">
                  <c:v>10.162000000000006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7F6-40CB-8490-F63AF969C3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3600968"/>
        <c:axId val="313462488"/>
      </c:areaChart>
      <c:catAx>
        <c:axId val="25360096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248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462488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7.8864414050499442E-3"/>
              <c:y val="1.0482201753721488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60096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28075731401976695"/>
          <c:y val="0.93501239643194956"/>
          <c:w val="0.71924266962684369"/>
          <c:h val="6.498766817958584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9905432017565845E-2"/>
          <c:y val="7.3068893528183729E-2"/>
          <c:w val="0.87539499596050963"/>
          <c:h val="0.78079331941544883"/>
        </c:manualLayout>
      </c:layout>
      <c:areaChart>
        <c:grouping val="stacked"/>
        <c:varyColors val="0"/>
        <c:ser>
          <c:idx val="1"/>
          <c:order val="0"/>
          <c:tx>
            <c:strRef>
              <c:f>'Ind F2'!$L$34</c:f>
              <c:strCache>
                <c:ptCount val="1"/>
                <c:pt idx="0">
                  <c:v>Public admin. and defence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F2'!$M$34:$AL$34</c:f>
              <c:numCache>
                <c:formatCode>#,##0</c:formatCode>
                <c:ptCount val="26"/>
                <c:pt idx="0">
                  <c:v>44.36500000000008</c:v>
                </c:pt>
                <c:pt idx="1">
                  <c:v>38.439000000000121</c:v>
                </c:pt>
                <c:pt idx="2">
                  <c:v>33.214999999999982</c:v>
                </c:pt>
                <c:pt idx="3">
                  <c:v>35.925999999999895</c:v>
                </c:pt>
                <c:pt idx="4">
                  <c:v>32.759000000000036</c:v>
                </c:pt>
                <c:pt idx="5">
                  <c:v>30.572000000000074</c:v>
                </c:pt>
                <c:pt idx="6">
                  <c:v>30.080000000000052</c:v>
                </c:pt>
                <c:pt idx="7">
                  <c:v>30.942000000000039</c:v>
                </c:pt>
                <c:pt idx="8">
                  <c:v>29.14599999999999</c:v>
                </c:pt>
                <c:pt idx="9">
                  <c:v>30.999999999999993</c:v>
                </c:pt>
                <c:pt idx="10">
                  <c:v>31.607000000000031</c:v>
                </c:pt>
                <c:pt idx="11">
                  <c:v>31.210999999999977</c:v>
                </c:pt>
                <c:pt idx="12">
                  <c:v>30.885999999999925</c:v>
                </c:pt>
                <c:pt idx="13">
                  <c:v>30.713000000000044</c:v>
                </c:pt>
                <c:pt idx="14">
                  <c:v>30.46899999999993</c:v>
                </c:pt>
                <c:pt idx="15">
                  <c:v>30.495000000000008</c:v>
                </c:pt>
                <c:pt idx="16">
                  <c:v>30.517000000000021</c:v>
                </c:pt>
                <c:pt idx="17">
                  <c:v>30.538000000000032</c:v>
                </c:pt>
                <c:pt idx="18">
                  <c:v>30.559000000000029</c:v>
                </c:pt>
                <c:pt idx="19">
                  <c:v>30.579999999999941</c:v>
                </c:pt>
                <c:pt idx="20">
                  <c:v>30.598999999999986</c:v>
                </c:pt>
                <c:pt idx="21">
                  <c:v>30.614000000000001</c:v>
                </c:pt>
                <c:pt idx="22">
                  <c:v>30.625999999999973</c:v>
                </c:pt>
                <c:pt idx="23">
                  <c:v>30.636999999999951</c:v>
                </c:pt>
                <c:pt idx="24" formatCode="#,##0.00">
                  <c:v>30.643999999999998</c:v>
                </c:pt>
                <c:pt idx="25">
                  <c:v>30.647000000000016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392-44C2-845B-192CC1F663B9}"/>
            </c:ext>
          </c:extLst>
        </c:ser>
        <c:ser>
          <c:idx val="2"/>
          <c:order val="1"/>
          <c:tx>
            <c:strRef>
              <c:f>'Ind F2'!$L$35</c:f>
              <c:strCache>
                <c:ptCount val="1"/>
                <c:pt idx="0">
                  <c:v>Education</c:v>
                </c:pt>
              </c:strCache>
            </c:strRef>
          </c:tx>
          <c:spPr>
            <a:solidFill>
              <a:srgbClr val="969696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F2'!$M$35:$AL$35</c:f>
              <c:numCache>
                <c:formatCode>#,##0</c:formatCode>
                <c:ptCount val="26"/>
                <c:pt idx="0">
                  <c:v>41.121000000000087</c:v>
                </c:pt>
                <c:pt idx="1">
                  <c:v>42.486000000000054</c:v>
                </c:pt>
                <c:pt idx="2">
                  <c:v>46.101999999999997</c:v>
                </c:pt>
                <c:pt idx="3">
                  <c:v>39.436000000000085</c:v>
                </c:pt>
                <c:pt idx="4">
                  <c:v>41.717999999999925</c:v>
                </c:pt>
                <c:pt idx="5">
                  <c:v>44.228000000000037</c:v>
                </c:pt>
                <c:pt idx="6">
                  <c:v>42.595999999999954</c:v>
                </c:pt>
                <c:pt idx="7">
                  <c:v>41.814999999999955</c:v>
                </c:pt>
                <c:pt idx="8">
                  <c:v>41.493999999999943</c:v>
                </c:pt>
                <c:pt idx="9">
                  <c:v>44.338000000000008</c:v>
                </c:pt>
                <c:pt idx="10">
                  <c:v>43.000999999999983</c:v>
                </c:pt>
                <c:pt idx="11">
                  <c:v>43.93399999999987</c:v>
                </c:pt>
                <c:pt idx="12">
                  <c:v>44.858000000000047</c:v>
                </c:pt>
                <c:pt idx="13">
                  <c:v>45.177999999999976</c:v>
                </c:pt>
                <c:pt idx="14">
                  <c:v>45.455999999999868</c:v>
                </c:pt>
                <c:pt idx="15">
                  <c:v>45.634999999999962</c:v>
                </c:pt>
                <c:pt idx="16">
                  <c:v>45.722999999999992</c:v>
                </c:pt>
                <c:pt idx="17">
                  <c:v>45.826000000000057</c:v>
                </c:pt>
                <c:pt idx="18">
                  <c:v>45.94099999999991</c:v>
                </c:pt>
                <c:pt idx="19">
                  <c:v>46.073</c:v>
                </c:pt>
                <c:pt idx="20">
                  <c:v>46.24999999999995</c:v>
                </c:pt>
                <c:pt idx="21">
                  <c:v>46.422999999999973</c:v>
                </c:pt>
                <c:pt idx="22">
                  <c:v>46.600000000000009</c:v>
                </c:pt>
                <c:pt idx="23">
                  <c:v>46.780000000000058</c:v>
                </c:pt>
                <c:pt idx="24" formatCode="#,##0.00">
                  <c:v>46.961000000000055</c:v>
                </c:pt>
                <c:pt idx="25">
                  <c:v>47.142000000000053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392-44C2-845B-192CC1F663B9}"/>
            </c:ext>
          </c:extLst>
        </c:ser>
        <c:ser>
          <c:idx val="3"/>
          <c:order val="2"/>
          <c:tx>
            <c:strRef>
              <c:f>'Ind F2'!$L$36</c:f>
              <c:strCache>
                <c:ptCount val="1"/>
                <c:pt idx="0">
                  <c:v>Health and social work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F2'!$M$36:$AL$36</c:f>
              <c:numCache>
                <c:formatCode>#,##0</c:formatCode>
                <c:ptCount val="26"/>
                <c:pt idx="0">
                  <c:v>63.61000000000007</c:v>
                </c:pt>
                <c:pt idx="1">
                  <c:v>60.638999999999847</c:v>
                </c:pt>
                <c:pt idx="2">
                  <c:v>62.111000000000082</c:v>
                </c:pt>
                <c:pt idx="3">
                  <c:v>62.96099999999997</c:v>
                </c:pt>
                <c:pt idx="4">
                  <c:v>70.45099999999988</c:v>
                </c:pt>
                <c:pt idx="5">
                  <c:v>68.929999999999978</c:v>
                </c:pt>
                <c:pt idx="6">
                  <c:v>62.967999999999989</c:v>
                </c:pt>
                <c:pt idx="7">
                  <c:v>65.183999999999941</c:v>
                </c:pt>
                <c:pt idx="8">
                  <c:v>63.425999999999881</c:v>
                </c:pt>
                <c:pt idx="9">
                  <c:v>62.603999999999978</c:v>
                </c:pt>
                <c:pt idx="10">
                  <c:v>65.835999999999956</c:v>
                </c:pt>
                <c:pt idx="11">
                  <c:v>66.591999999999899</c:v>
                </c:pt>
                <c:pt idx="12">
                  <c:v>67.301999999999964</c:v>
                </c:pt>
                <c:pt idx="13">
                  <c:v>67.933999999999926</c:v>
                </c:pt>
                <c:pt idx="14">
                  <c:v>68.610999999999834</c:v>
                </c:pt>
                <c:pt idx="15">
                  <c:v>69.141999999999953</c:v>
                </c:pt>
                <c:pt idx="16">
                  <c:v>69.542000000000002</c:v>
                </c:pt>
                <c:pt idx="17">
                  <c:v>69.898999999999972</c:v>
                </c:pt>
                <c:pt idx="18">
                  <c:v>70.239999999999995</c:v>
                </c:pt>
                <c:pt idx="19">
                  <c:v>70.57500000000006</c:v>
                </c:pt>
                <c:pt idx="20">
                  <c:v>70.903000000000063</c:v>
                </c:pt>
                <c:pt idx="21">
                  <c:v>71.221000000000004</c:v>
                </c:pt>
                <c:pt idx="22">
                  <c:v>71.533000000000015</c:v>
                </c:pt>
                <c:pt idx="23">
                  <c:v>71.847000000000065</c:v>
                </c:pt>
                <c:pt idx="24" formatCode="#,##0.00">
                  <c:v>72.161000000000072</c:v>
                </c:pt>
                <c:pt idx="25">
                  <c:v>72.47699999999999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392-44C2-845B-192CC1F663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463272"/>
        <c:axId val="313463664"/>
      </c:areaChart>
      <c:catAx>
        <c:axId val="31346327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366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463664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2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9.4637296860595726E-3"/>
              <c:y val="1.2526096033402922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327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19716103512624344"/>
          <c:y val="0.93528183716075164"/>
          <c:w val="0.68769769052034602"/>
          <c:h val="4.5929018789143947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8234248861974835E-2"/>
          <c:y val="5.2464228934819425E-2"/>
          <c:w val="0.87959010384091241"/>
          <c:h val="0.77705763910488324"/>
        </c:manualLayout>
      </c:layout>
      <c:lineChart>
        <c:grouping val="standard"/>
        <c:varyColors val="0"/>
        <c:ser>
          <c:idx val="0"/>
          <c:order val="0"/>
          <c:tx>
            <c:strRef>
              <c:f>'Ind F2'!$L$5</c:f>
              <c:strCache>
                <c:ptCount val="1"/>
                <c:pt idx="0">
                  <c:v>Primary sector and utilities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F2'!$M$5:$AL$5</c:f>
              <c:numCache>
                <c:formatCode>#,##0</c:formatCode>
                <c:ptCount val="26"/>
                <c:pt idx="0">
                  <c:v>10.827000000000012</c:v>
                </c:pt>
                <c:pt idx="1">
                  <c:v>13.482000000000003</c:v>
                </c:pt>
                <c:pt idx="2">
                  <c:v>11.097999999999999</c:v>
                </c:pt>
                <c:pt idx="3">
                  <c:v>11.878</c:v>
                </c:pt>
                <c:pt idx="4">
                  <c:v>11.508999999999997</c:v>
                </c:pt>
                <c:pt idx="5">
                  <c:v>8.3899999999999952</c:v>
                </c:pt>
                <c:pt idx="6">
                  <c:v>7.4920000000000044</c:v>
                </c:pt>
                <c:pt idx="7">
                  <c:v>11.110000000000001</c:v>
                </c:pt>
                <c:pt idx="8">
                  <c:v>12.263999999999998</c:v>
                </c:pt>
                <c:pt idx="9">
                  <c:v>11.074000000000003</c:v>
                </c:pt>
                <c:pt idx="10">
                  <c:v>11.735999999999995</c:v>
                </c:pt>
                <c:pt idx="11">
                  <c:v>11.663000000000009</c:v>
                </c:pt>
                <c:pt idx="12">
                  <c:v>11.565000000000012</c:v>
                </c:pt>
                <c:pt idx="13">
                  <c:v>11.567999999999989</c:v>
                </c:pt>
                <c:pt idx="14">
                  <c:v>11.663000000000002</c:v>
                </c:pt>
                <c:pt idx="15">
                  <c:v>11.704999999999995</c:v>
                </c:pt>
                <c:pt idx="16">
                  <c:v>11.734999999999996</c:v>
                </c:pt>
                <c:pt idx="17">
                  <c:v>11.754999999999992</c:v>
                </c:pt>
                <c:pt idx="18">
                  <c:v>11.768999999999988</c:v>
                </c:pt>
                <c:pt idx="19">
                  <c:v>11.777000000000012</c:v>
                </c:pt>
                <c:pt idx="20">
                  <c:v>11.792000000000002</c:v>
                </c:pt>
                <c:pt idx="21">
                  <c:v>11.804999999999993</c:v>
                </c:pt>
                <c:pt idx="22">
                  <c:v>11.817999999999998</c:v>
                </c:pt>
                <c:pt idx="23">
                  <c:v>11.829999999999991</c:v>
                </c:pt>
                <c:pt idx="24">
                  <c:v>11.844999999999995</c:v>
                </c:pt>
                <c:pt idx="25">
                  <c:v>11.858000000000009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805-44CD-8692-A81F93CACC92}"/>
            </c:ext>
          </c:extLst>
        </c:ser>
        <c:ser>
          <c:idx val="1"/>
          <c:order val="1"/>
          <c:tx>
            <c:strRef>
              <c:f>'Ind F2'!$L$11</c:f>
              <c:strCache>
                <c:ptCount val="1"/>
                <c:pt idx="0">
                  <c:v>Manufacturing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ysDash"/>
            </a:ln>
          </c:spPr>
          <c:marker>
            <c:symbol val="none"/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F2'!$M$11:$AL$11</c:f>
              <c:numCache>
                <c:formatCode>#,##0</c:formatCode>
                <c:ptCount val="26"/>
                <c:pt idx="0">
                  <c:v>58.747999999999962</c:v>
                </c:pt>
                <c:pt idx="1">
                  <c:v>59.800999999999959</c:v>
                </c:pt>
                <c:pt idx="2">
                  <c:v>59.235999999999983</c:v>
                </c:pt>
                <c:pt idx="3">
                  <c:v>61.00500000000001</c:v>
                </c:pt>
                <c:pt idx="4">
                  <c:v>60.708999999999776</c:v>
                </c:pt>
                <c:pt idx="5">
                  <c:v>64.017999999999873</c:v>
                </c:pt>
                <c:pt idx="6">
                  <c:v>62.06999999999973</c:v>
                </c:pt>
                <c:pt idx="7">
                  <c:v>67.900000000000034</c:v>
                </c:pt>
                <c:pt idx="8">
                  <c:v>67.965999999999823</c:v>
                </c:pt>
                <c:pt idx="9">
                  <c:v>59.384999999999913</c:v>
                </c:pt>
                <c:pt idx="10">
                  <c:v>55.156999999999897</c:v>
                </c:pt>
                <c:pt idx="11">
                  <c:v>55.766999999999932</c:v>
                </c:pt>
                <c:pt idx="12">
                  <c:v>55.143000000000221</c:v>
                </c:pt>
                <c:pt idx="13">
                  <c:v>54.805000000000092</c:v>
                </c:pt>
                <c:pt idx="14">
                  <c:v>54.447000000000067</c:v>
                </c:pt>
                <c:pt idx="15">
                  <c:v>53.937999999999917</c:v>
                </c:pt>
                <c:pt idx="16">
                  <c:v>53.385999999999939</c:v>
                </c:pt>
                <c:pt idx="17">
                  <c:v>52.827000000000112</c:v>
                </c:pt>
                <c:pt idx="18">
                  <c:v>52.286000000000058</c:v>
                </c:pt>
                <c:pt idx="19">
                  <c:v>51.763000000000083</c:v>
                </c:pt>
                <c:pt idx="20">
                  <c:v>51.300000000000011</c:v>
                </c:pt>
                <c:pt idx="21">
                  <c:v>50.822000000000031</c:v>
                </c:pt>
                <c:pt idx="22">
                  <c:v>50.359999999999985</c:v>
                </c:pt>
                <c:pt idx="23">
                  <c:v>49.910000000000153</c:v>
                </c:pt>
                <c:pt idx="24">
                  <c:v>49.474000000000025</c:v>
                </c:pt>
                <c:pt idx="25">
                  <c:v>49.054999999999957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805-44CD-8692-A81F93CACC92}"/>
            </c:ext>
          </c:extLst>
        </c:ser>
        <c:ser>
          <c:idx val="2"/>
          <c:order val="2"/>
          <c:tx>
            <c:strRef>
              <c:f>'Ind F2'!$L$16</c:f>
              <c:strCache>
                <c:ptCount val="1"/>
                <c:pt idx="0">
                  <c:v>Construction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none"/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F2'!$M$16:$AL$16</c:f>
              <c:numCache>
                <c:formatCode>#,##0</c:formatCode>
                <c:ptCount val="26"/>
                <c:pt idx="0">
                  <c:v>35.017000000000053</c:v>
                </c:pt>
                <c:pt idx="1">
                  <c:v>32.852999999999987</c:v>
                </c:pt>
                <c:pt idx="2">
                  <c:v>31.235999999999944</c:v>
                </c:pt>
                <c:pt idx="3">
                  <c:v>30.245999999999967</c:v>
                </c:pt>
                <c:pt idx="4">
                  <c:v>28.798999999999953</c:v>
                </c:pt>
                <c:pt idx="5">
                  <c:v>28.748999999999974</c:v>
                </c:pt>
                <c:pt idx="6">
                  <c:v>27.629000000000016</c:v>
                </c:pt>
                <c:pt idx="7">
                  <c:v>28.657000000000028</c:v>
                </c:pt>
                <c:pt idx="8">
                  <c:v>32.411000000000037</c:v>
                </c:pt>
                <c:pt idx="9">
                  <c:v>32.118000000000016</c:v>
                </c:pt>
                <c:pt idx="10">
                  <c:v>30.615000000000023</c:v>
                </c:pt>
                <c:pt idx="11">
                  <c:v>29.946000000000019</c:v>
                </c:pt>
                <c:pt idx="12">
                  <c:v>29.845000000000031</c:v>
                </c:pt>
                <c:pt idx="13">
                  <c:v>29.673999999999864</c:v>
                </c:pt>
                <c:pt idx="14">
                  <c:v>29.611000000000011</c:v>
                </c:pt>
                <c:pt idx="15">
                  <c:v>29.636999999999983</c:v>
                </c:pt>
                <c:pt idx="16">
                  <c:v>29.635000000000009</c:v>
                </c:pt>
                <c:pt idx="17">
                  <c:v>29.571999999999957</c:v>
                </c:pt>
                <c:pt idx="18">
                  <c:v>29.538000000000114</c:v>
                </c:pt>
                <c:pt idx="19">
                  <c:v>29.486999999999931</c:v>
                </c:pt>
                <c:pt idx="20">
                  <c:v>29.465000000000032</c:v>
                </c:pt>
                <c:pt idx="21">
                  <c:v>29.447999999999986</c:v>
                </c:pt>
                <c:pt idx="22">
                  <c:v>29.435000000000045</c:v>
                </c:pt>
                <c:pt idx="23">
                  <c:v>29.426000000000016</c:v>
                </c:pt>
                <c:pt idx="24" formatCode="#,##0.00">
                  <c:v>29.417999999999978</c:v>
                </c:pt>
                <c:pt idx="25">
                  <c:v>29.409999999999986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805-44CD-8692-A81F93CACC92}"/>
            </c:ext>
          </c:extLst>
        </c:ser>
        <c:ser>
          <c:idx val="3"/>
          <c:order val="3"/>
          <c:tx>
            <c:strRef>
              <c:f>'Ind F2'!$L$18</c:f>
              <c:strCache>
                <c:ptCount val="1"/>
                <c:pt idx="0">
                  <c:v>Trade, accomod. and transport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diamond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F2'!$M$18:$AL$18</c:f>
              <c:numCache>
                <c:formatCode>#,##0</c:formatCode>
                <c:ptCount val="26"/>
                <c:pt idx="0">
                  <c:v>112.62199999999989</c:v>
                </c:pt>
                <c:pt idx="1">
                  <c:v>119.81999999999998</c:v>
                </c:pt>
                <c:pt idx="2">
                  <c:v>111.46100000000017</c:v>
                </c:pt>
                <c:pt idx="3">
                  <c:v>119.06499999999986</c:v>
                </c:pt>
                <c:pt idx="4">
                  <c:v>124.04499999999996</c:v>
                </c:pt>
                <c:pt idx="5">
                  <c:v>130.01699999999977</c:v>
                </c:pt>
                <c:pt idx="6">
                  <c:v>125.48299999999988</c:v>
                </c:pt>
                <c:pt idx="7">
                  <c:v>127.34000000000003</c:v>
                </c:pt>
                <c:pt idx="8">
                  <c:v>125.38700000000024</c:v>
                </c:pt>
                <c:pt idx="9">
                  <c:v>133.38300000000004</c:v>
                </c:pt>
                <c:pt idx="10">
                  <c:v>133.41199999999998</c:v>
                </c:pt>
                <c:pt idx="11">
                  <c:v>132.58899999999988</c:v>
                </c:pt>
                <c:pt idx="12">
                  <c:v>132.55899999999997</c:v>
                </c:pt>
                <c:pt idx="13">
                  <c:v>133.02900000000005</c:v>
                </c:pt>
                <c:pt idx="14">
                  <c:v>133.75799999999978</c:v>
                </c:pt>
                <c:pt idx="15">
                  <c:v>134.44699999999995</c:v>
                </c:pt>
                <c:pt idx="16">
                  <c:v>134.98800000000003</c:v>
                </c:pt>
                <c:pt idx="17">
                  <c:v>135.48099999999991</c:v>
                </c:pt>
                <c:pt idx="18">
                  <c:v>135.95000000000007</c:v>
                </c:pt>
                <c:pt idx="19">
                  <c:v>136.4070000000001</c:v>
                </c:pt>
                <c:pt idx="20">
                  <c:v>136.87400000000017</c:v>
                </c:pt>
                <c:pt idx="21">
                  <c:v>137.32900000000009</c:v>
                </c:pt>
                <c:pt idx="22">
                  <c:v>137.76899999999989</c:v>
                </c:pt>
                <c:pt idx="23">
                  <c:v>138.23300000000006</c:v>
                </c:pt>
                <c:pt idx="24">
                  <c:v>138.67200000000014</c:v>
                </c:pt>
                <c:pt idx="25">
                  <c:v>139.0920000000001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2805-44CD-8692-A81F93CACC92}"/>
            </c:ext>
          </c:extLst>
        </c:ser>
        <c:ser>
          <c:idx val="4"/>
          <c:order val="4"/>
          <c:tx>
            <c:strRef>
              <c:f>'Ind F2'!$L$23</c:f>
              <c:strCache>
                <c:ptCount val="1"/>
                <c:pt idx="0">
                  <c:v>Business and other services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quar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F2'!$M$23:$AL$23</c:f>
              <c:numCache>
                <c:formatCode>#,##0</c:formatCode>
                <c:ptCount val="26"/>
                <c:pt idx="0">
                  <c:v>99.966000000000122</c:v>
                </c:pt>
                <c:pt idx="1">
                  <c:v>98.121000000000151</c:v>
                </c:pt>
                <c:pt idx="2">
                  <c:v>99.336000000000197</c:v>
                </c:pt>
                <c:pt idx="3">
                  <c:v>101.69899999999996</c:v>
                </c:pt>
                <c:pt idx="4">
                  <c:v>105.67799999999987</c:v>
                </c:pt>
                <c:pt idx="5">
                  <c:v>114.80700000000002</c:v>
                </c:pt>
                <c:pt idx="6">
                  <c:v>106.97700000000005</c:v>
                </c:pt>
                <c:pt idx="7">
                  <c:v>103.65999999999995</c:v>
                </c:pt>
                <c:pt idx="8">
                  <c:v>113.718</c:v>
                </c:pt>
                <c:pt idx="9">
                  <c:v>109.67299999999987</c:v>
                </c:pt>
                <c:pt idx="10">
                  <c:v>107.56200000000005</c:v>
                </c:pt>
                <c:pt idx="11">
                  <c:v>107.24200000000015</c:v>
                </c:pt>
                <c:pt idx="12">
                  <c:v>106.58499999999997</c:v>
                </c:pt>
                <c:pt idx="13">
                  <c:v>106.79500000000002</c:v>
                </c:pt>
                <c:pt idx="14">
                  <c:v>107.32299999999994</c:v>
                </c:pt>
                <c:pt idx="15">
                  <c:v>107.75200000000002</c:v>
                </c:pt>
                <c:pt idx="16">
                  <c:v>108.24499999999993</c:v>
                </c:pt>
                <c:pt idx="17">
                  <c:v>108.74199999999989</c:v>
                </c:pt>
                <c:pt idx="18">
                  <c:v>109.24300000000002</c:v>
                </c:pt>
                <c:pt idx="19">
                  <c:v>109.75499999999995</c:v>
                </c:pt>
                <c:pt idx="20">
                  <c:v>110.30900000000003</c:v>
                </c:pt>
                <c:pt idx="21">
                  <c:v>110.86000000000004</c:v>
                </c:pt>
                <c:pt idx="22">
                  <c:v>111.417</c:v>
                </c:pt>
                <c:pt idx="23">
                  <c:v>111.98000000000009</c:v>
                </c:pt>
                <c:pt idx="24">
                  <c:v>112.53800000000004</c:v>
                </c:pt>
                <c:pt idx="25">
                  <c:v>113.09699999999992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2805-44CD-8692-A81F93CACC92}"/>
            </c:ext>
          </c:extLst>
        </c:ser>
        <c:ser>
          <c:idx val="5"/>
          <c:order val="5"/>
          <c:tx>
            <c:strRef>
              <c:f>'Ind F2'!$L$33</c:f>
              <c:strCache>
                <c:ptCount val="1"/>
                <c:pt idx="0">
                  <c:v>Non-marketed services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triang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F2'!$M$33:$AL$33</c:f>
              <c:numCache>
                <c:formatCode>#,##0</c:formatCode>
                <c:ptCount val="26"/>
                <c:pt idx="0">
                  <c:v>149.09600000000023</c:v>
                </c:pt>
                <c:pt idx="1">
                  <c:v>141.56400000000002</c:v>
                </c:pt>
                <c:pt idx="2">
                  <c:v>141.42800000000005</c:v>
                </c:pt>
                <c:pt idx="3">
                  <c:v>138.32299999999995</c:v>
                </c:pt>
                <c:pt idx="4">
                  <c:v>144.92799999999983</c:v>
                </c:pt>
                <c:pt idx="5">
                  <c:v>143.73000000000008</c:v>
                </c:pt>
                <c:pt idx="6">
                  <c:v>135.64400000000001</c:v>
                </c:pt>
                <c:pt idx="7">
                  <c:v>137.94099999999992</c:v>
                </c:pt>
                <c:pt idx="8">
                  <c:v>134.0659999999998</c:v>
                </c:pt>
                <c:pt idx="9">
                  <c:v>137.94199999999998</c:v>
                </c:pt>
                <c:pt idx="10">
                  <c:v>140.44399999999996</c:v>
                </c:pt>
                <c:pt idx="11">
                  <c:v>141.73699999999974</c:v>
                </c:pt>
                <c:pt idx="12">
                  <c:v>143.04599999999994</c:v>
                </c:pt>
                <c:pt idx="13">
                  <c:v>143.82499999999993</c:v>
                </c:pt>
                <c:pt idx="14">
                  <c:v>144.53599999999963</c:v>
                </c:pt>
                <c:pt idx="15">
                  <c:v>145.27199999999993</c:v>
                </c:pt>
                <c:pt idx="16">
                  <c:v>145.78200000000001</c:v>
                </c:pt>
                <c:pt idx="17">
                  <c:v>146.26300000000006</c:v>
                </c:pt>
                <c:pt idx="18">
                  <c:v>146.73999999999995</c:v>
                </c:pt>
                <c:pt idx="19">
                  <c:v>147.22800000000001</c:v>
                </c:pt>
                <c:pt idx="20">
                  <c:v>147.75200000000001</c:v>
                </c:pt>
                <c:pt idx="21">
                  <c:v>148.25799999999998</c:v>
                </c:pt>
                <c:pt idx="22">
                  <c:v>148.75900000000001</c:v>
                </c:pt>
                <c:pt idx="23">
                  <c:v>149.26400000000007</c:v>
                </c:pt>
                <c:pt idx="24">
                  <c:v>149.76600000000013</c:v>
                </c:pt>
                <c:pt idx="25">
                  <c:v>150.26600000000008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2805-44CD-8692-A81F93CACC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3464448"/>
        <c:axId val="313464840"/>
      </c:lineChart>
      <c:catAx>
        <c:axId val="31346444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484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464840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 rot="0" vert="horz"/>
              <a:lstStyle/>
              <a:p>
                <a:pPr algn="ctr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 sz="1000"/>
                  <a:t>thousands</a:t>
                </a:r>
              </a:p>
            </c:rich>
          </c:tx>
          <c:layout>
            <c:manualLayout>
              <c:xMode val="edge"/>
              <c:yMode val="edge"/>
              <c:x val="7.8864414050499442E-3"/>
              <c:y val="7.9491255961844434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4448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8.8855016216081883E-2"/>
          <c:y val="0.90754563164012003"/>
          <c:w val="0.88489191349766172"/>
          <c:h val="7.9735786664920538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0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317476310572159"/>
          <c:y val="3.9501079600076011E-2"/>
          <c:w val="0.62857240292101169"/>
          <c:h val="0.89605080566489914"/>
        </c:manualLayout>
      </c:layout>
      <c:barChart>
        <c:barDir val="col"/>
        <c:grouping val="percentStacked"/>
        <c:varyColors val="0"/>
        <c:ser>
          <c:idx val="0"/>
          <c:order val="0"/>
          <c:tx>
            <c:strRef>
              <c:f>'Ind F2'!$L$231</c:f>
              <c:strCache>
                <c:ptCount val="1"/>
                <c:pt idx="0">
                  <c:v>Non-marketed services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F2'!$M$231:$O$231</c:f>
              <c:numCache>
                <c:formatCode>0.0</c:formatCode>
                <c:ptCount val="3"/>
                <c:pt idx="0">
                  <c:v>29.349963549930504</c:v>
                </c:pt>
                <c:pt idx="1">
                  <c:v>29.324780863849526</c:v>
                </c:pt>
                <c:pt idx="2">
                  <c:v>30.493650284712398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D03-4130-A9FF-BEAED71CB078}"/>
            </c:ext>
          </c:extLst>
        </c:ser>
        <c:ser>
          <c:idx val="1"/>
          <c:order val="1"/>
          <c:tx>
            <c:strRef>
              <c:f>'Ind F2'!$L$232</c:f>
              <c:strCache>
                <c:ptCount val="1"/>
                <c:pt idx="0">
                  <c:v>Business and other services</c:v>
                </c:pt>
              </c:strCache>
            </c:strRef>
          </c:tx>
          <c:spPr>
            <a:solidFill>
              <a:srgbClr val="333333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F2'!$M$232:$O$232</c:f>
              <c:numCache>
                <c:formatCode>0.0</c:formatCode>
                <c:ptCount val="3"/>
                <c:pt idx="0">
                  <c:v>23.443827073518889</c:v>
                </c:pt>
                <c:pt idx="1">
                  <c:v>22.459002017013081</c:v>
                </c:pt>
                <c:pt idx="2">
                  <c:v>22.950902840630043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D03-4130-A9FF-BEAED71CB078}"/>
            </c:ext>
          </c:extLst>
        </c:ser>
        <c:ser>
          <c:idx val="2"/>
          <c:order val="2"/>
          <c:tx>
            <c:strRef>
              <c:f>'Ind F2'!$L$233</c:f>
              <c:strCache>
                <c:ptCount val="1"/>
                <c:pt idx="0">
                  <c:v>Trade, accomod. and transport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F2'!$M$233:$O$233</c:f>
              <c:numCache>
                <c:formatCode>0.0</c:formatCode>
                <c:ptCount val="3"/>
                <c:pt idx="0">
                  <c:v>26.549740561269779</c:v>
                </c:pt>
                <c:pt idx="1">
                  <c:v>27.856495575516888</c:v>
                </c:pt>
                <c:pt idx="2">
                  <c:v>28.226097755987499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D03-4130-A9FF-BEAED71CB078}"/>
            </c:ext>
          </c:extLst>
        </c:ser>
        <c:ser>
          <c:idx val="3"/>
          <c:order val="3"/>
          <c:tx>
            <c:strRef>
              <c:f>'Ind F2'!$L$234</c:f>
              <c:strCache>
                <c:ptCount val="1"/>
                <c:pt idx="0">
                  <c:v>Construction</c:v>
                </c:pt>
              </c:strCache>
            </c:strRef>
          </c:tx>
          <c:spPr>
            <a:solidFill>
              <a:srgbClr val="96969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F2'!$M$234:$O$234</c:f>
              <c:numCache>
                <c:formatCode>0.0</c:formatCode>
                <c:ptCount val="3"/>
                <c:pt idx="0">
                  <c:v>5.8706053161966931</c:v>
                </c:pt>
                <c:pt idx="1">
                  <c:v>6.3924280577792869</c:v>
                </c:pt>
                <c:pt idx="2">
                  <c:v>5.9682047494003356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5D03-4130-A9FF-BEAED71CB078}"/>
            </c:ext>
          </c:extLst>
        </c:ser>
        <c:ser>
          <c:idx val="4"/>
          <c:order val="4"/>
          <c:tx>
            <c:strRef>
              <c:f>'Ind F2'!$L$235</c:f>
              <c:strCache>
                <c:ptCount val="1"/>
                <c:pt idx="0">
                  <c:v>Manufacturing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F2'!$M$235:$O$235</c:f>
              <c:numCache>
                <c:formatCode>0.0</c:formatCode>
                <c:ptCount val="3"/>
                <c:pt idx="0">
                  <c:v>13.072608130101205</c:v>
                </c:pt>
                <c:pt idx="1">
                  <c:v>11.516810530228032</c:v>
                </c:pt>
                <c:pt idx="2">
                  <c:v>9.95478694259889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5D03-4130-A9FF-BEAED71CB078}"/>
            </c:ext>
          </c:extLst>
        </c:ser>
        <c:ser>
          <c:idx val="5"/>
          <c:order val="5"/>
          <c:tx>
            <c:strRef>
              <c:f>'Ind F2'!$L$236</c:f>
              <c:strCache>
                <c:ptCount val="1"/>
                <c:pt idx="0">
                  <c:v>Primary sector and utilities</c:v>
                </c:pt>
              </c:strCache>
            </c:strRef>
          </c:tx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F2'!$M$236:$O$236</c:f>
              <c:numCache>
                <c:formatCode>0.0</c:formatCode>
                <c:ptCount val="3"/>
                <c:pt idx="0">
                  <c:v>1.7132553689829306</c:v>
                </c:pt>
                <c:pt idx="1">
                  <c:v>2.4504829556131837</c:v>
                </c:pt>
                <c:pt idx="2">
                  <c:v>2.4063574266708354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5D03-4130-A9FF-BEAED71CB078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100"/>
        <c:axId val="313465624"/>
        <c:axId val="313466016"/>
      </c:barChart>
      <c:catAx>
        <c:axId val="31346562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601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466016"/>
        <c:scaling>
          <c:orientation val="minMax"/>
          <c:min val="0"/>
        </c:scaling>
        <c:delete val="0"/>
        <c:axPos val="l"/>
        <c:numFmt formatCode="0%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5624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75238211864787763"/>
          <c:y val="0.34095668707435578"/>
          <c:w val="0.23174639097593544"/>
          <c:h val="0.23908548178993969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5555595169263345"/>
          <c:y val="1.6701461377870683E-2"/>
          <c:w val="0.70317569316670592"/>
          <c:h val="0.83507306889352861"/>
        </c:manualLayout>
      </c:layout>
      <c:barChart>
        <c:barDir val="bar"/>
        <c:grouping val="clustered"/>
        <c:varyColors val="0"/>
        <c:ser>
          <c:idx val="1"/>
          <c:order val="0"/>
          <c:tx>
            <c:strRef>
              <c:f>'Ind F2'!$N$260</c:f>
              <c:strCache>
                <c:ptCount val="1"/>
                <c:pt idx="0">
                  <c:v>2015-2020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'Ind F2'!$L$261:$L$268</c:f>
              <c:strCache>
                <c:ptCount val="8"/>
                <c:pt idx="0">
                  <c:v>Non-marketed services</c:v>
                </c:pt>
                <c:pt idx="1">
                  <c:v>Business and other services</c:v>
                </c:pt>
                <c:pt idx="2">
                  <c:v>Trade, accomod. and transport</c:v>
                </c:pt>
                <c:pt idx="3">
                  <c:v>Construction</c:v>
                </c:pt>
                <c:pt idx="4">
                  <c:v>Manufacturing</c:v>
                </c:pt>
                <c:pt idx="5">
                  <c:v>Primary sector and utilities</c:v>
                </c:pt>
                <c:pt idx="7">
                  <c:v>All industries</c:v>
                </c:pt>
              </c:strCache>
            </c:strRef>
          </c:cat>
          <c:val>
            <c:numRef>
              <c:f>'Ind F2'!$N$261:$N$268</c:f>
              <c:numCache>
                <c:formatCode>#,##0</c:formatCode>
                <c:ptCount val="8"/>
                <c:pt idx="0">
                  <c:v>-3.2860000000001151</c:v>
                </c:pt>
                <c:pt idx="1">
                  <c:v>-7.2449999999999619</c:v>
                </c:pt>
                <c:pt idx="2">
                  <c:v>3.3950000000002092</c:v>
                </c:pt>
                <c:pt idx="3">
                  <c:v>1.8660000000000494</c:v>
                </c:pt>
                <c:pt idx="4">
                  <c:v>-8.8609999999999758</c:v>
                </c:pt>
                <c:pt idx="5">
                  <c:v>3.3460000000000001</c:v>
                </c:pt>
                <c:pt idx="7">
                  <c:v>-10.784999999999798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6B3-45E8-A7D6-A7274F9997D3}"/>
            </c:ext>
          </c:extLst>
        </c:ser>
        <c:ser>
          <c:idx val="2"/>
          <c:order val="1"/>
          <c:tx>
            <c:strRef>
              <c:f>'Ind F2'!$O$260</c:f>
              <c:strCache>
                <c:ptCount val="1"/>
                <c:pt idx="0">
                  <c:v>2020-2035</c:v>
                </c:pt>
              </c:strCache>
            </c:strRef>
          </c:tx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'Ind F2'!$L$261:$L$268</c:f>
              <c:strCache>
                <c:ptCount val="8"/>
                <c:pt idx="0">
                  <c:v>Non-marketed services</c:v>
                </c:pt>
                <c:pt idx="1">
                  <c:v>Business and other services</c:v>
                </c:pt>
                <c:pt idx="2">
                  <c:v>Trade, accomod. and transport</c:v>
                </c:pt>
                <c:pt idx="3">
                  <c:v>Construction</c:v>
                </c:pt>
                <c:pt idx="4">
                  <c:v>Manufacturing</c:v>
                </c:pt>
                <c:pt idx="5">
                  <c:v>Primary sector and utilities</c:v>
                </c:pt>
                <c:pt idx="7">
                  <c:v>All industries</c:v>
                </c:pt>
              </c:strCache>
            </c:strRef>
          </c:cat>
          <c:val>
            <c:numRef>
              <c:f>'Ind F2'!$O$261:$O$268</c:f>
              <c:numCache>
                <c:formatCode>#,##0</c:formatCode>
                <c:ptCount val="8"/>
                <c:pt idx="0">
                  <c:v>9.8220000000001164</c:v>
                </c:pt>
                <c:pt idx="1">
                  <c:v>5.5349999999998687</c:v>
                </c:pt>
                <c:pt idx="2">
                  <c:v>5.6800000000001205</c:v>
                </c:pt>
                <c:pt idx="3">
                  <c:v>-1.2050000000000374</c:v>
                </c:pt>
                <c:pt idx="4">
                  <c:v>-6.1019999999999399</c:v>
                </c:pt>
                <c:pt idx="5">
                  <c:v>0.1220000000000141</c:v>
                </c:pt>
                <c:pt idx="7">
                  <c:v>13.852000000000142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6B3-45E8-A7D6-A7274F9997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3552992"/>
        <c:axId val="313553384"/>
      </c:barChart>
      <c:catAx>
        <c:axId val="31355299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338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553384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numFmt formatCode="#,##0" sourceLinked="1"/>
        <c:majorTickMark val="out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2992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34444497836833232"/>
          <c:y val="0.93528183716075164"/>
          <c:w val="0.29841316098271448"/>
          <c:h val="4.5929018789143947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5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48571462452191999"/>
          <c:y val="1.2452118927463975E-2"/>
          <c:w val="0.48285747967179132"/>
          <c:h val="0.91379395821543363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'Occ F1'!$N$6</c:f>
              <c:strCache>
                <c:ptCount val="1"/>
                <c:pt idx="0">
                  <c:v>2020-2035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F1'!$L$7:$L$51</c:f>
              <c:strCache>
                <c:ptCount val="45"/>
                <c:pt idx="0">
                  <c:v>All occupations</c:v>
                </c:pt>
                <c:pt idx="2">
                  <c:v>92 Elementary administration and service occupations</c:v>
                </c:pt>
                <c:pt idx="3">
                  <c:v>91 Elementary trades and related occupations</c:v>
                </c:pt>
                <c:pt idx="4">
                  <c:v>[Elementary occupations]</c:v>
                </c:pt>
                <c:pt idx="6">
                  <c:v>82 Transport and mobile machine drivers and operatives</c:v>
                </c:pt>
                <c:pt idx="7">
                  <c:v>81 Process, plant and machine operatives</c:v>
                </c:pt>
                <c:pt idx="8">
                  <c:v>[Process, plant and machine operatives]</c:v>
                </c:pt>
                <c:pt idx="10">
                  <c:v>72 Customer service occupations</c:v>
                </c:pt>
                <c:pt idx="11">
                  <c:v>71 Sales occupations</c:v>
                </c:pt>
                <c:pt idx="12">
                  <c:v>[Sales and customer service occupations]</c:v>
                </c:pt>
                <c:pt idx="14">
                  <c:v>63 Community and civil enforcement occupations</c:v>
                </c:pt>
                <c:pt idx="15">
                  <c:v>62 Leisure, travel and related personal service occupations</c:v>
                </c:pt>
                <c:pt idx="16">
                  <c:v>61 Caring personal service occupations</c:v>
                </c:pt>
                <c:pt idx="17">
                  <c:v>[Caring, leisure and other service occupations]</c:v>
                </c:pt>
                <c:pt idx="19">
                  <c:v>54 Textiles, printing and other skilled trades</c:v>
                </c:pt>
                <c:pt idx="20">
                  <c:v>53 Skilled construction and building trades</c:v>
                </c:pt>
                <c:pt idx="21">
                  <c:v>52 Skilled metal, electrical and electronic trades</c:v>
                </c:pt>
                <c:pt idx="22">
                  <c:v>51 Skilled agricultural and related trades</c:v>
                </c:pt>
                <c:pt idx="23">
                  <c:v>[Skilled trades occupations]</c:v>
                </c:pt>
                <c:pt idx="25">
                  <c:v>42 Secretarial and related occupations</c:v>
                </c:pt>
                <c:pt idx="26">
                  <c:v>41 Administrative occupations</c:v>
                </c:pt>
                <c:pt idx="27">
                  <c:v>[Administrative and secretarial occupations]</c:v>
                </c:pt>
                <c:pt idx="29">
                  <c:v>35 Business and public service associate professionals</c:v>
                </c:pt>
                <c:pt idx="30">
                  <c:v>34 Culture, media and sports occupations</c:v>
                </c:pt>
                <c:pt idx="31">
                  <c:v>33 Protective service occupations</c:v>
                </c:pt>
                <c:pt idx="32">
                  <c:v>32 Health and social care associate professionals</c:v>
                </c:pt>
                <c:pt idx="33">
                  <c:v>31 Science, engineering and technology associate professionals</c:v>
                </c:pt>
                <c:pt idx="34">
                  <c:v>[Associate professional occupations]</c:v>
                </c:pt>
                <c:pt idx="36">
                  <c:v>24 Business, media and public service professionals</c:v>
                </c:pt>
                <c:pt idx="37">
                  <c:v>23 Teaching and other educational professionals</c:v>
                </c:pt>
                <c:pt idx="38">
                  <c:v>22 Health professionals</c:v>
                </c:pt>
                <c:pt idx="39">
                  <c:v>21 Science, research, engineering and technology professionals</c:v>
                </c:pt>
                <c:pt idx="40">
                  <c:v>[Professional occupations]</c:v>
                </c:pt>
                <c:pt idx="42">
                  <c:v>12 Other managers and proprietors</c:v>
                </c:pt>
                <c:pt idx="43">
                  <c:v>11 Corporate managers and directors</c:v>
                </c:pt>
                <c:pt idx="44">
                  <c:v>[Managers, directors and senior officials]</c:v>
                </c:pt>
              </c:strCache>
            </c:strRef>
          </c:cat>
          <c:val>
            <c:numRef>
              <c:f>'Occ F1'!$N$7:$N$51</c:f>
              <c:numCache>
                <c:formatCode>General</c:formatCode>
                <c:ptCount val="45"/>
                <c:pt idx="0">
                  <c:v>0.1902652511108327</c:v>
                </c:pt>
                <c:pt idx="2">
                  <c:v>-0.18459713568840241</c:v>
                </c:pt>
                <c:pt idx="3">
                  <c:v>-2.084172380804461</c:v>
                </c:pt>
                <c:pt idx="4">
                  <c:v>-0.39906925598005571</c:v>
                </c:pt>
                <c:pt idx="6">
                  <c:v>-0.42598922609481393</c:v>
                </c:pt>
                <c:pt idx="7">
                  <c:v>0.66924231029923398</c:v>
                </c:pt>
                <c:pt idx="8">
                  <c:v>0.10263494685138763</c:v>
                </c:pt>
                <c:pt idx="10">
                  <c:v>2.6517879076727313</c:v>
                </c:pt>
                <c:pt idx="11">
                  <c:v>-0.64152779647695946</c:v>
                </c:pt>
                <c:pt idx="12">
                  <c:v>4.4715274753626133E-2</c:v>
                </c:pt>
                <c:pt idx="14">
                  <c:v>-0.90513177589852667</c:v>
                </c:pt>
                <c:pt idx="15">
                  <c:v>1.3665141931684666E-2</c:v>
                </c:pt>
                <c:pt idx="16">
                  <c:v>0.65812083404137578</c:v>
                </c:pt>
                <c:pt idx="17">
                  <c:v>0.48260005426963293</c:v>
                </c:pt>
                <c:pt idx="19">
                  <c:v>-0.49698807594252825</c:v>
                </c:pt>
                <c:pt idx="20">
                  <c:v>-0.81896598386120845</c:v>
                </c:pt>
                <c:pt idx="21">
                  <c:v>-1.1158902143306393</c:v>
                </c:pt>
                <c:pt idx="22">
                  <c:v>0.76575007290091701</c:v>
                </c:pt>
                <c:pt idx="23">
                  <c:v>-0.73734079315734835</c:v>
                </c:pt>
                <c:pt idx="25">
                  <c:v>-0.39194284862599238</c:v>
                </c:pt>
                <c:pt idx="26">
                  <c:v>-0.99616532864348351</c:v>
                </c:pt>
                <c:pt idx="27">
                  <c:v>-0.896566229350515</c:v>
                </c:pt>
                <c:pt idx="29">
                  <c:v>-9.8822758130379107E-2</c:v>
                </c:pt>
                <c:pt idx="30">
                  <c:v>0.30069753214485573</c:v>
                </c:pt>
                <c:pt idx="31">
                  <c:v>1.6671156181951918</c:v>
                </c:pt>
                <c:pt idx="32">
                  <c:v>0.47354217872870308</c:v>
                </c:pt>
                <c:pt idx="33">
                  <c:v>-0.88924154174949699</c:v>
                </c:pt>
                <c:pt idx="34">
                  <c:v>0.15778954122582789</c:v>
                </c:pt>
                <c:pt idx="36">
                  <c:v>1.4074343417149748</c:v>
                </c:pt>
                <c:pt idx="37">
                  <c:v>1.0437268786075427</c:v>
                </c:pt>
                <c:pt idx="38">
                  <c:v>1.1239250003088008</c:v>
                </c:pt>
                <c:pt idx="39">
                  <c:v>0.80647699734308631</c:v>
                </c:pt>
                <c:pt idx="40">
                  <c:v>1.1040145644863442</c:v>
                </c:pt>
                <c:pt idx="42">
                  <c:v>2.1660096790900418</c:v>
                </c:pt>
                <c:pt idx="43">
                  <c:v>-4.7109400992328965E-2</c:v>
                </c:pt>
                <c:pt idx="44">
                  <c:v>0.84940619850819576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0B3-408C-89EB-52C0D9681FCD}"/>
            </c:ext>
          </c:extLst>
        </c:ser>
        <c:ser>
          <c:idx val="1"/>
          <c:order val="1"/>
          <c:tx>
            <c:strRef>
              <c:f>'Occ F1'!$M$6</c:f>
              <c:strCache>
                <c:ptCount val="1"/>
                <c:pt idx="0">
                  <c:v>2015-2020</c:v>
                </c:pt>
              </c:strCache>
            </c:strRef>
          </c:tx>
          <c:spPr>
            <a:solidFill>
              <a:schemeClr val="bg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F1'!$L$7:$L$51</c:f>
              <c:strCache>
                <c:ptCount val="45"/>
                <c:pt idx="0">
                  <c:v>All occupations</c:v>
                </c:pt>
                <c:pt idx="2">
                  <c:v>92 Elementary administration and service occupations</c:v>
                </c:pt>
                <c:pt idx="3">
                  <c:v>91 Elementary trades and related occupations</c:v>
                </c:pt>
                <c:pt idx="4">
                  <c:v>[Elementary occupations]</c:v>
                </c:pt>
                <c:pt idx="6">
                  <c:v>82 Transport and mobile machine drivers and operatives</c:v>
                </c:pt>
                <c:pt idx="7">
                  <c:v>81 Process, plant and machine operatives</c:v>
                </c:pt>
                <c:pt idx="8">
                  <c:v>[Process, plant and machine operatives]</c:v>
                </c:pt>
                <c:pt idx="10">
                  <c:v>72 Customer service occupations</c:v>
                </c:pt>
                <c:pt idx="11">
                  <c:v>71 Sales occupations</c:v>
                </c:pt>
                <c:pt idx="12">
                  <c:v>[Sales and customer service occupations]</c:v>
                </c:pt>
                <c:pt idx="14">
                  <c:v>63 Community and civil enforcement occupations</c:v>
                </c:pt>
                <c:pt idx="15">
                  <c:v>62 Leisure, travel and related personal service occupations</c:v>
                </c:pt>
                <c:pt idx="16">
                  <c:v>61 Caring personal service occupations</c:v>
                </c:pt>
                <c:pt idx="17">
                  <c:v>[Caring, leisure and other service occupations]</c:v>
                </c:pt>
                <c:pt idx="19">
                  <c:v>54 Textiles, printing and other skilled trades</c:v>
                </c:pt>
                <c:pt idx="20">
                  <c:v>53 Skilled construction and building trades</c:v>
                </c:pt>
                <c:pt idx="21">
                  <c:v>52 Skilled metal, electrical and electronic trades</c:v>
                </c:pt>
                <c:pt idx="22">
                  <c:v>51 Skilled agricultural and related trades</c:v>
                </c:pt>
                <c:pt idx="23">
                  <c:v>[Skilled trades occupations]</c:v>
                </c:pt>
                <c:pt idx="25">
                  <c:v>42 Secretarial and related occupations</c:v>
                </c:pt>
                <c:pt idx="26">
                  <c:v>41 Administrative occupations</c:v>
                </c:pt>
                <c:pt idx="27">
                  <c:v>[Administrative and secretarial occupations]</c:v>
                </c:pt>
                <c:pt idx="29">
                  <c:v>35 Business and public service associate professionals</c:v>
                </c:pt>
                <c:pt idx="30">
                  <c:v>34 Culture, media and sports occupations</c:v>
                </c:pt>
                <c:pt idx="31">
                  <c:v>33 Protective service occupations</c:v>
                </c:pt>
                <c:pt idx="32">
                  <c:v>32 Health and social care associate professionals</c:v>
                </c:pt>
                <c:pt idx="33">
                  <c:v>31 Science, engineering and technology associate professionals</c:v>
                </c:pt>
                <c:pt idx="34">
                  <c:v>[Associate professional occupations]</c:v>
                </c:pt>
                <c:pt idx="36">
                  <c:v>24 Business, media and public service professionals</c:v>
                </c:pt>
                <c:pt idx="37">
                  <c:v>23 Teaching and other educational professionals</c:v>
                </c:pt>
                <c:pt idx="38">
                  <c:v>22 Health professionals</c:v>
                </c:pt>
                <c:pt idx="39">
                  <c:v>21 Science, research, engineering and technology professionals</c:v>
                </c:pt>
                <c:pt idx="40">
                  <c:v>[Professional occupations]</c:v>
                </c:pt>
                <c:pt idx="42">
                  <c:v>12 Other managers and proprietors</c:v>
                </c:pt>
                <c:pt idx="43">
                  <c:v>11 Corporate managers and directors</c:v>
                </c:pt>
                <c:pt idx="44">
                  <c:v>[Managers, directors and senior officials]</c:v>
                </c:pt>
              </c:strCache>
            </c:strRef>
          </c:cat>
          <c:val>
            <c:numRef>
              <c:f>'Occ F1'!$M$7:$M$51</c:f>
              <c:numCache>
                <c:formatCode>General</c:formatCode>
                <c:ptCount val="45"/>
                <c:pt idx="0">
                  <c:v>-0.44439610986766187</c:v>
                </c:pt>
                <c:pt idx="2">
                  <c:v>-2.255324327152386</c:v>
                </c:pt>
                <c:pt idx="3">
                  <c:v>-5.1225631721883218</c:v>
                </c:pt>
                <c:pt idx="4">
                  <c:v>-2.6484153285311396</c:v>
                </c:pt>
                <c:pt idx="6">
                  <c:v>1.429269565071567</c:v>
                </c:pt>
                <c:pt idx="7">
                  <c:v>-4.253506799318707</c:v>
                </c:pt>
                <c:pt idx="8">
                  <c:v>-1.4504435088838363</c:v>
                </c:pt>
                <c:pt idx="10">
                  <c:v>1.446371877353414</c:v>
                </c:pt>
                <c:pt idx="11">
                  <c:v>-2.2842027485898586</c:v>
                </c:pt>
                <c:pt idx="12">
                  <c:v>-1.6982363604291617</c:v>
                </c:pt>
                <c:pt idx="14">
                  <c:v>1.9708862402542771</c:v>
                </c:pt>
                <c:pt idx="15">
                  <c:v>-0.19591845732614965</c:v>
                </c:pt>
                <c:pt idx="16">
                  <c:v>-1.2205236166964006</c:v>
                </c:pt>
                <c:pt idx="17">
                  <c:v>-0.92887600847602059</c:v>
                </c:pt>
                <c:pt idx="19">
                  <c:v>-4.4013757840393293</c:v>
                </c:pt>
                <c:pt idx="20">
                  <c:v>-2.3026974287221447</c:v>
                </c:pt>
                <c:pt idx="21">
                  <c:v>-3.5550210541292593</c:v>
                </c:pt>
                <c:pt idx="22">
                  <c:v>-3.3641730775179401</c:v>
                </c:pt>
                <c:pt idx="23">
                  <c:v>-3.2874517651660384</c:v>
                </c:pt>
                <c:pt idx="25">
                  <c:v>-2.9627137766229161</c:v>
                </c:pt>
                <c:pt idx="26">
                  <c:v>-0.63442779025502105</c:v>
                </c:pt>
                <c:pt idx="27">
                  <c:v>-1.0275010638791882</c:v>
                </c:pt>
                <c:pt idx="29">
                  <c:v>1.5258222585743164</c:v>
                </c:pt>
                <c:pt idx="30">
                  <c:v>-0.6033393535862186</c:v>
                </c:pt>
                <c:pt idx="31">
                  <c:v>2.0886276078930344</c:v>
                </c:pt>
                <c:pt idx="32">
                  <c:v>1.4886650136358037</c:v>
                </c:pt>
                <c:pt idx="33">
                  <c:v>3.4128552192368877</c:v>
                </c:pt>
                <c:pt idx="34">
                  <c:v>1.6989546787445464</c:v>
                </c:pt>
                <c:pt idx="36">
                  <c:v>4.0760997932378196</c:v>
                </c:pt>
                <c:pt idx="37">
                  <c:v>0.94027612040923358</c:v>
                </c:pt>
                <c:pt idx="38">
                  <c:v>1.0338543531010158</c:v>
                </c:pt>
                <c:pt idx="39">
                  <c:v>1.8387300943991436</c:v>
                </c:pt>
                <c:pt idx="40">
                  <c:v>1.9100338169437014</c:v>
                </c:pt>
                <c:pt idx="42">
                  <c:v>0.77137036970995609</c:v>
                </c:pt>
                <c:pt idx="43">
                  <c:v>3.1779136222073401</c:v>
                </c:pt>
                <c:pt idx="44">
                  <c:v>2.2508869728540271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0B3-408C-89EB-52C0D9681F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3554168"/>
        <c:axId val="313554560"/>
      </c:barChart>
      <c:catAx>
        <c:axId val="313554168"/>
        <c:scaling>
          <c:orientation val="minMax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 rtl="0"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5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554560"/>
        <c:scaling>
          <c:orientation val="minMax"/>
        </c:scaling>
        <c:delete val="0"/>
        <c:axPos val="b"/>
        <c:majorGridlines>
          <c:spPr>
            <a:ln w="12700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% per annum</a:t>
                </a:r>
              </a:p>
            </c:rich>
          </c:tx>
          <c:layout>
            <c:manualLayout>
              <c:xMode val="edge"/>
              <c:yMode val="edge"/>
              <c:x val="0.87285769431129534"/>
              <c:y val="0.9458227286150016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168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57242033227521949"/>
          <c:y val="0.97204833412938918"/>
          <c:w val="0.29895970048008641"/>
          <c:h val="2.0045067988449593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50393659" l="0.748031496063017" r="0.748031496063017" t="0.98425196850393659" header="0.51181102362204722" footer="0.51181102362204722"/>
    <c:pageSetup paperSize="9" orientation="portrait"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48571462452191999"/>
          <c:y val="1.2452118927463975E-2"/>
          <c:w val="0.48285747967179132"/>
          <c:h val="0.91379395821543363"/>
        </c:manualLayout>
      </c:layout>
      <c:barChart>
        <c:barDir val="bar"/>
        <c:grouping val="clustered"/>
        <c:varyColors val="0"/>
        <c:ser>
          <c:idx val="1"/>
          <c:order val="0"/>
          <c:tx>
            <c:strRef>
              <c:f>'Occ F1'!$M$6</c:f>
              <c:strCache>
                <c:ptCount val="1"/>
                <c:pt idx="0">
                  <c:v>2015-2020</c:v>
                </c:pt>
              </c:strCache>
            </c:strRef>
          </c:tx>
          <c:spPr>
            <a:solidFill>
              <a:schemeClr val="bg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F1'!$L$82:$L$106</c:f>
              <c:strCache>
                <c:ptCount val="25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</c:strCache>
            </c:strRef>
          </c:cat>
          <c:val>
            <c:numRef>
              <c:f>'Occ F1'!$M$82:$M$106</c:f>
              <c:numCache>
                <c:formatCode>#,##0</c:formatCode>
                <c:ptCount val="25"/>
                <c:pt idx="0">
                  <c:v>3.6798079149795839</c:v>
                </c:pt>
                <c:pt idx="1">
                  <c:v>0.55906484751431407</c:v>
                </c:pt>
                <c:pt idx="2">
                  <c:v>2.0436176296022381</c:v>
                </c:pt>
                <c:pt idx="3">
                  <c:v>1.455084609767539</c:v>
                </c:pt>
                <c:pt idx="4">
                  <c:v>1.0095388737527173</c:v>
                </c:pt>
                <c:pt idx="5">
                  <c:v>4.4340132100180938</c:v>
                </c:pt>
                <c:pt idx="6">
                  <c:v>1.6543838201707004</c:v>
                </c:pt>
                <c:pt idx="7">
                  <c:v>0.74092483267046738</c:v>
                </c:pt>
                <c:pt idx="8">
                  <c:v>0.69221717059772914</c:v>
                </c:pt>
                <c:pt idx="9">
                  <c:v>-0.17574945111185869</c:v>
                </c:pt>
                <c:pt idx="10">
                  <c:v>1.6183549362113396</c:v>
                </c:pt>
                <c:pt idx="11">
                  <c:v>-1.4276728197651067</c:v>
                </c:pt>
                <c:pt idx="12">
                  <c:v>-1.3548575603624986</c:v>
                </c:pt>
                <c:pt idx="13">
                  <c:v>-0.73036033977020676</c:v>
                </c:pt>
                <c:pt idx="14">
                  <c:v>-3.9313733489225839</c:v>
                </c:pt>
                <c:pt idx="15">
                  <c:v>-1.9874149655950575</c:v>
                </c:pt>
                <c:pt idx="16">
                  <c:v>-2.1274206747525835</c:v>
                </c:pt>
                <c:pt idx="17">
                  <c:v>-2.0017438027646648</c:v>
                </c:pt>
                <c:pt idx="18">
                  <c:v>-0.10435250654524175</c:v>
                </c:pt>
                <c:pt idx="19">
                  <c:v>5.9673950395268238E-2</c:v>
                </c:pt>
                <c:pt idx="20">
                  <c:v>-5.2269330067576618</c:v>
                </c:pt>
                <c:pt idx="21">
                  <c:v>0.61594383622964166</c:v>
                </c:pt>
                <c:pt idx="22">
                  <c:v>-4.0038286977330522</c:v>
                </c:pt>
                <c:pt idx="23">
                  <c:v>1.3073588341639386</c:v>
                </c:pt>
                <c:pt idx="24">
                  <c:v>-2.0132461123014354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A3B-487F-80E9-0567EF603948}"/>
            </c:ext>
          </c:extLst>
        </c:ser>
        <c:ser>
          <c:idx val="0"/>
          <c:order val="1"/>
          <c:tx>
            <c:strRef>
              <c:f>'Occ F1'!$N$6</c:f>
              <c:strCache>
                <c:ptCount val="1"/>
                <c:pt idx="0">
                  <c:v>2020-2035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F1'!$L$82:$L$106</c:f>
              <c:strCache>
                <c:ptCount val="25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</c:strCache>
            </c:strRef>
          </c:cat>
          <c:val>
            <c:numRef>
              <c:f>'Occ F1'!$N$82:$N$106</c:f>
              <c:numCache>
                <c:formatCode>#,##0</c:formatCode>
                <c:ptCount val="25"/>
                <c:pt idx="0">
                  <c:v>-0.1789845582760563</c:v>
                </c:pt>
                <c:pt idx="1">
                  <c:v>5.6230436494307945</c:v>
                </c:pt>
                <c:pt idx="2">
                  <c:v>3.0051780574364457</c:v>
                </c:pt>
                <c:pt idx="3">
                  <c:v>5.2981705426432093</c:v>
                </c:pt>
                <c:pt idx="4">
                  <c:v>3.7216334370332511</c:v>
                </c:pt>
                <c:pt idx="5">
                  <c:v>5.7113881371266508</c:v>
                </c:pt>
                <c:pt idx="6">
                  <c:v>-1.3429596124176317</c:v>
                </c:pt>
                <c:pt idx="7">
                  <c:v>0.76395423180199451</c:v>
                </c:pt>
                <c:pt idx="8">
                  <c:v>1.9842019589937738</c:v>
                </c:pt>
                <c:pt idx="9">
                  <c:v>0.26354035848689428</c:v>
                </c:pt>
                <c:pt idx="10">
                  <c:v>-0.32672037905998863</c:v>
                </c:pt>
                <c:pt idx="11">
                  <c:v>-6.1568661400787192</c:v>
                </c:pt>
                <c:pt idx="12">
                  <c:v>-0.47763365821413561</c:v>
                </c:pt>
                <c:pt idx="13">
                  <c:v>0.47446004355916571</c:v>
                </c:pt>
                <c:pt idx="14">
                  <c:v>-3.069804290544532</c:v>
                </c:pt>
                <c:pt idx="15">
                  <c:v>-1.8669184254696489</c:v>
                </c:pt>
                <c:pt idx="16">
                  <c:v>-0.60696235767244744</c:v>
                </c:pt>
                <c:pt idx="17">
                  <c:v>3.2684360730787816</c:v>
                </c:pt>
                <c:pt idx="18">
                  <c:v>2.1728094785634866E-2</c:v>
                </c:pt>
                <c:pt idx="19">
                  <c:v>-8.1830023026183474E-2</c:v>
                </c:pt>
                <c:pt idx="20">
                  <c:v>-3.9274776221846395</c:v>
                </c:pt>
                <c:pt idx="21">
                  <c:v>4.2744457069809609</c:v>
                </c:pt>
                <c:pt idx="22">
                  <c:v>1.7355589637515365</c:v>
                </c:pt>
                <c:pt idx="23">
                  <c:v>-1.1838558734370928</c:v>
                </c:pt>
                <c:pt idx="24">
                  <c:v>-1.8135103276913602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A3B-487F-80E9-0567EF6039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3554168"/>
        <c:axId val="313554560"/>
      </c:barChart>
      <c:catAx>
        <c:axId val="313554168"/>
        <c:scaling>
          <c:orientation val="maxMin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 rtl="0"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5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554560"/>
        <c:scaling>
          <c:orientation val="minMax"/>
        </c:scaling>
        <c:delete val="0"/>
        <c:axPos val="b"/>
        <c:majorGridlines>
          <c:spPr>
            <a:ln w="12700">
              <a:solidFill>
                <a:srgbClr val="000000"/>
              </a:solidFill>
              <a:prstDash val="sysDash"/>
            </a:ln>
          </c:spPr>
        </c:majorGridlines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168"/>
        <c:crosses val="max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56480491104723274"/>
          <c:y val="0.96198037540801984"/>
          <c:w val="0.28182500271711636"/>
          <c:h val="2.910623083768191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50393659" l="0.748031496063017" r="0.748031496063017" t="0.98425196850393659" header="0.51181102362204722" footer="0.51181102362204722"/>
    <c:pageSetup paperSize="9" orientation="portrait"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48571462452191999"/>
          <c:y val="1.2452118927463975E-2"/>
          <c:w val="0.48285747967179132"/>
          <c:h val="0.8893494313210849"/>
        </c:manualLayout>
      </c:layout>
      <c:barChart>
        <c:barDir val="bar"/>
        <c:grouping val="clustered"/>
        <c:varyColors val="0"/>
        <c:ser>
          <c:idx val="1"/>
          <c:order val="0"/>
          <c:tx>
            <c:strRef>
              <c:f>'Occ F1'!$M$6</c:f>
              <c:strCache>
                <c:ptCount val="1"/>
                <c:pt idx="0">
                  <c:v>2015-2020</c:v>
                </c:pt>
              </c:strCache>
            </c:strRef>
          </c:tx>
          <c:spPr>
            <a:solidFill>
              <a:schemeClr val="bg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F1'!$L$153:$L$161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F1'!$M$153:$M$161</c:f>
              <c:numCache>
                <c:formatCode>#,##0</c:formatCode>
                <c:ptCount val="9"/>
                <c:pt idx="0">
                  <c:v>4.238872762493898</c:v>
                </c:pt>
                <c:pt idx="1">
                  <c:v>8.9422543231405882</c:v>
                </c:pt>
                <c:pt idx="2">
                  <c:v>4.5301313085383867</c:v>
                </c:pt>
                <c:pt idx="3">
                  <c:v>-2.7825303801276036</c:v>
                </c:pt>
                <c:pt idx="4">
                  <c:v>-8.7765693290404272</c:v>
                </c:pt>
                <c:pt idx="5">
                  <c:v>-2.04642235891464</c:v>
                </c:pt>
                <c:pt idx="6">
                  <c:v>-4.6109891705280219</c:v>
                </c:pt>
                <c:pt idx="7">
                  <c:v>-2.6964698635691136</c:v>
                </c:pt>
                <c:pt idx="8">
                  <c:v>-7.5832772919930633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E34-4989-9EE7-3CDF027722D3}"/>
            </c:ext>
          </c:extLst>
        </c:ser>
        <c:ser>
          <c:idx val="0"/>
          <c:order val="1"/>
          <c:tx>
            <c:strRef>
              <c:f>'Occ F1'!$N$6</c:f>
              <c:strCache>
                <c:ptCount val="1"/>
                <c:pt idx="0">
                  <c:v>2020-2035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F1'!$L$153:$L$161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F1'!$N$153:$N$161</c:f>
              <c:numCache>
                <c:formatCode>#,##0</c:formatCode>
                <c:ptCount val="9"/>
                <c:pt idx="0">
                  <c:v>5.4440590911547417</c:v>
                </c:pt>
                <c:pt idx="1">
                  <c:v>17.736370174239553</c:v>
                </c:pt>
                <c:pt idx="2">
                  <c:v>1.3420165578050387</c:v>
                </c:pt>
                <c:pt idx="3">
                  <c:v>-6.6344997982928575</c:v>
                </c:pt>
                <c:pt idx="4">
                  <c:v>-5.0692250301274626</c:v>
                </c:pt>
                <c:pt idx="5">
                  <c:v>3.2083341448382399</c:v>
                </c:pt>
                <c:pt idx="6">
                  <c:v>0.34696808479632324</c:v>
                </c:pt>
                <c:pt idx="7">
                  <c:v>0.55170309031444731</c:v>
                </c:pt>
                <c:pt idx="8">
                  <c:v>-3.0737263147282761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E34-4989-9EE7-3CDF027722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3554168"/>
        <c:axId val="313554560"/>
      </c:barChart>
      <c:catAx>
        <c:axId val="313554168"/>
        <c:scaling>
          <c:orientation val="maxMin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 rtl="0"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5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554560"/>
        <c:scaling>
          <c:orientation val="minMax"/>
        </c:scaling>
        <c:delete val="0"/>
        <c:axPos val="b"/>
        <c:majorGridlines>
          <c:spPr>
            <a:ln w="12700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0.89275972821341165"/>
              <c:y val="0.94782764654418195"/>
            </c:manualLayout>
          </c:layout>
          <c:overlay val="0"/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168"/>
        <c:crosses val="max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56480491104723274"/>
          <c:y val="0.96198037540801984"/>
          <c:w val="0.28182500271711636"/>
          <c:h val="2.910623083768191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50393659" l="0.748031496063017" r="0.748031496063017" t="0.98425196850393659" header="0.51181102362204722" footer="0.51181102362204722"/>
    <c:pageSetup paperSize="9" orientation="portrait"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3291178359361627E-2"/>
          <c:y val="6.1930893405078492E-2"/>
          <c:w val="0.90000055627012265"/>
          <c:h val="0.80874460799574588"/>
        </c:manualLayout>
      </c:layout>
      <c:areaChart>
        <c:grouping val="stacked"/>
        <c:varyColors val="0"/>
        <c:ser>
          <c:idx val="0"/>
          <c:order val="0"/>
          <c:tx>
            <c:strRef>
              <c:f>'Occ F2'!$L$6</c:f>
              <c:strCache>
                <c:ptCount val="1"/>
                <c:pt idx="0">
                  <c:v>11 Corporate managers and directors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F2'!$M$6:$AL$6</c:f>
              <c:numCache>
                <c:formatCode>#,##0</c:formatCode>
                <c:ptCount val="26"/>
                <c:pt idx="0">
                  <c:v>19.063861545216135</c:v>
                </c:pt>
                <c:pt idx="1">
                  <c:v>20.493398093237104</c:v>
                </c:pt>
                <c:pt idx="2">
                  <c:v>20.33859945851605</c:v>
                </c:pt>
                <c:pt idx="3">
                  <c:v>21.473495143334627</c:v>
                </c:pt>
                <c:pt idx="4">
                  <c:v>20.506251419462309</c:v>
                </c:pt>
                <c:pt idx="5">
                  <c:v>21.732746128315462</c:v>
                </c:pt>
                <c:pt idx="6">
                  <c:v>21.477006215724533</c:v>
                </c:pt>
                <c:pt idx="7">
                  <c:v>22.465186898110243</c:v>
                </c:pt>
                <c:pt idx="8">
                  <c:v>23.983815098223165</c:v>
                </c:pt>
                <c:pt idx="9">
                  <c:v>24.68359891633521</c:v>
                </c:pt>
                <c:pt idx="10">
                  <c:v>25.412554043295046</c:v>
                </c:pt>
                <c:pt idx="11">
                  <c:v>22.530132994912663</c:v>
                </c:pt>
                <c:pt idx="12">
                  <c:v>22.612384099482568</c:v>
                </c:pt>
                <c:pt idx="13">
                  <c:v>22.783180002790665</c:v>
                </c:pt>
                <c:pt idx="14">
                  <c:v>22.989403767934519</c:v>
                </c:pt>
                <c:pt idx="15">
                  <c:v>23.185685027332152</c:v>
                </c:pt>
                <c:pt idx="16">
                  <c:v>23.37087241218072</c:v>
                </c:pt>
                <c:pt idx="17">
                  <c:v>23.562937092586459</c:v>
                </c:pt>
                <c:pt idx="18">
                  <c:v>23.761993869068359</c:v>
                </c:pt>
                <c:pt idx="19">
                  <c:v>23.95589431461886</c:v>
                </c:pt>
                <c:pt idx="20">
                  <c:v>24.160769773090927</c:v>
                </c:pt>
                <c:pt idx="21">
                  <c:v>24.380643693703</c:v>
                </c:pt>
                <c:pt idx="22">
                  <c:v>24.618648729952316</c:v>
                </c:pt>
                <c:pt idx="23">
                  <c:v>24.828645211981073</c:v>
                </c:pt>
                <c:pt idx="24">
                  <c:v>25.043477459198741</c:v>
                </c:pt>
                <c:pt idx="25">
                  <c:v>25.23356948501899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720-4568-BDF9-576543F0797E}"/>
            </c:ext>
          </c:extLst>
        </c:ser>
        <c:ser>
          <c:idx val="1"/>
          <c:order val="1"/>
          <c:tx>
            <c:strRef>
              <c:f>'Occ F2'!$L$7</c:f>
              <c:strCache>
                <c:ptCount val="1"/>
                <c:pt idx="0">
                  <c:v>12 Other managers and proprietors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F2'!$M$7:$AL$7</c:f>
              <c:numCache>
                <c:formatCode>#,##0</c:formatCode>
                <c:ptCount val="26"/>
                <c:pt idx="0">
                  <c:v>11.099502450374549</c:v>
                </c:pt>
                <c:pt idx="1">
                  <c:v>12.431673585631827</c:v>
                </c:pt>
                <c:pt idx="2">
                  <c:v>12.40985174974009</c:v>
                </c:pt>
                <c:pt idx="3">
                  <c:v>13.114807576500446</c:v>
                </c:pt>
                <c:pt idx="4">
                  <c:v>13.246394368421342</c:v>
                </c:pt>
                <c:pt idx="5">
                  <c:v>14.273459833951772</c:v>
                </c:pt>
                <c:pt idx="6">
                  <c:v>11.352471206193497</c:v>
                </c:pt>
                <c:pt idx="7">
                  <c:v>12.247933009827268</c:v>
                </c:pt>
                <c:pt idx="8">
                  <c:v>12.687863389701961</c:v>
                </c:pt>
                <c:pt idx="9">
                  <c:v>15.284069755960404</c:v>
                </c:pt>
                <c:pt idx="10">
                  <c:v>14.832524681466086</c:v>
                </c:pt>
                <c:pt idx="11">
                  <c:v>16.688779059013633</c:v>
                </c:pt>
                <c:pt idx="12">
                  <c:v>16.849591405804244</c:v>
                </c:pt>
                <c:pt idx="13">
                  <c:v>17.093716700284808</c:v>
                </c:pt>
                <c:pt idx="14">
                  <c:v>17.387564098810767</c:v>
                </c:pt>
                <c:pt idx="15">
                  <c:v>17.676835656186935</c:v>
                </c:pt>
                <c:pt idx="16">
                  <c:v>17.946595560551458</c:v>
                </c:pt>
                <c:pt idx="17">
                  <c:v>18.228374042299354</c:v>
                </c:pt>
                <c:pt idx="18">
                  <c:v>18.516687922097493</c:v>
                </c:pt>
                <c:pt idx="19">
                  <c:v>18.803403955594764</c:v>
                </c:pt>
                <c:pt idx="20">
                  <c:v>19.097942905230859</c:v>
                </c:pt>
                <c:pt idx="21">
                  <c:v>19.421992543634339</c:v>
                </c:pt>
                <c:pt idx="22">
                  <c:v>19.779885088886367</c:v>
                </c:pt>
                <c:pt idx="23">
                  <c:v>20.080243343348275</c:v>
                </c:pt>
                <c:pt idx="24">
                  <c:v>20.351133118530747</c:v>
                </c:pt>
                <c:pt idx="25">
                  <c:v>20.455568330896881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DE7-4E1A-BA1B-1644D5E32C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970568"/>
        <c:axId val="313970960"/>
      </c:areaChart>
      <c:catAx>
        <c:axId val="31397056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09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970960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291178359361714E-3"/>
              <c:y val="9.1074843242764068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056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14190505958714619"/>
          <c:y val="0.94227478861151881"/>
          <c:w val="0.68071850393700783"/>
          <c:h val="3.9719368015269679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9108989445751968E-2"/>
          <c:y val="8.3510768667333396E-2"/>
          <c:w val="0.89593908629441665"/>
          <c:h val="0.73360490940421352"/>
        </c:manualLayout>
      </c:layout>
      <c:areaChart>
        <c:grouping val="stacked"/>
        <c:varyColors val="0"/>
        <c:ser>
          <c:idx val="1"/>
          <c:order val="0"/>
          <c:tx>
            <c:strRef>
              <c:f>'Occ F2'!$L$10</c:f>
              <c:strCache>
                <c:ptCount val="1"/>
                <c:pt idx="0">
                  <c:v>21 Science, research, engineering and technology professionals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F2'!$M$10:$AL$10</c:f>
              <c:numCache>
                <c:formatCode>#,##0</c:formatCode>
                <c:ptCount val="26"/>
                <c:pt idx="0">
                  <c:v>20.661142206096748</c:v>
                </c:pt>
                <c:pt idx="1">
                  <c:v>19.995198492116373</c:v>
                </c:pt>
                <c:pt idx="2">
                  <c:v>19.993069572735614</c:v>
                </c:pt>
                <c:pt idx="3">
                  <c:v>19.703430537251997</c:v>
                </c:pt>
                <c:pt idx="4">
                  <c:v>20.173330119521985</c:v>
                </c:pt>
                <c:pt idx="5">
                  <c:v>21.426021449350184</c:v>
                </c:pt>
                <c:pt idx="6">
                  <c:v>20.515697199383911</c:v>
                </c:pt>
                <c:pt idx="7">
                  <c:v>20.76466889820043</c:v>
                </c:pt>
                <c:pt idx="8">
                  <c:v>22.609944614454747</c:v>
                </c:pt>
                <c:pt idx="9">
                  <c:v>22.375685399680563</c:v>
                </c:pt>
                <c:pt idx="10">
                  <c:v>23.469639078952422</c:v>
                </c:pt>
                <c:pt idx="11">
                  <c:v>23.530646412265231</c:v>
                </c:pt>
                <c:pt idx="12">
                  <c:v>23.652334325547187</c:v>
                </c:pt>
                <c:pt idx="13">
                  <c:v>23.854255592952111</c:v>
                </c:pt>
                <c:pt idx="14">
                  <c:v>24.099086189263836</c:v>
                </c:pt>
                <c:pt idx="15">
                  <c:v>24.314393776822961</c:v>
                </c:pt>
                <c:pt idx="16">
                  <c:v>24.510437327176053</c:v>
                </c:pt>
                <c:pt idx="17">
                  <c:v>24.710464639901929</c:v>
                </c:pt>
                <c:pt idx="18">
                  <c:v>24.918381817534339</c:v>
                </c:pt>
                <c:pt idx="19">
                  <c:v>25.123090632331863</c:v>
                </c:pt>
                <c:pt idx="20">
                  <c:v>25.344586352131206</c:v>
                </c:pt>
                <c:pt idx="21">
                  <c:v>25.566046274578024</c:v>
                </c:pt>
                <c:pt idx="22">
                  <c:v>25.790028303721343</c:v>
                </c:pt>
                <c:pt idx="23">
                  <c:v>26.013096037357403</c:v>
                </c:pt>
                <c:pt idx="24">
                  <c:v>26.245759620710217</c:v>
                </c:pt>
                <c:pt idx="25">
                  <c:v>26.474817136388868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E8B-4FD0-A846-3B80B7CA18B9}"/>
            </c:ext>
          </c:extLst>
        </c:ser>
        <c:ser>
          <c:idx val="2"/>
          <c:order val="1"/>
          <c:tx>
            <c:strRef>
              <c:f>'Occ F2'!$L$11</c:f>
              <c:strCache>
                <c:ptCount val="1"/>
                <c:pt idx="0">
                  <c:v>22 Health professionals</c:v>
                </c:pt>
              </c:strCache>
            </c:strRef>
          </c:tx>
          <c:spPr>
            <a:solidFill>
              <a:schemeClr val="tx1">
                <a:lumMod val="65000"/>
                <a:lumOff val="3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F2'!$M$11:$AL$11</c:f>
              <c:numCache>
                <c:formatCode>#,##0</c:formatCode>
                <c:ptCount val="26"/>
                <c:pt idx="0">
                  <c:v>23.004197545390937</c:v>
                </c:pt>
                <c:pt idx="1">
                  <c:v>22.962396677335022</c:v>
                </c:pt>
                <c:pt idx="2">
                  <c:v>24.023782540773439</c:v>
                </c:pt>
                <c:pt idx="3">
                  <c:v>24.877832215253726</c:v>
                </c:pt>
                <c:pt idx="4">
                  <c:v>27.614832615139875</c:v>
                </c:pt>
                <c:pt idx="5">
                  <c:v>27.572687353088558</c:v>
                </c:pt>
                <c:pt idx="6">
                  <c:v>26.202035430279949</c:v>
                </c:pt>
                <c:pt idx="7">
                  <c:v>27.472103775112938</c:v>
                </c:pt>
                <c:pt idx="8">
                  <c:v>27.412441509935586</c:v>
                </c:pt>
                <c:pt idx="9">
                  <c:v>27.845345060706606</c:v>
                </c:pt>
                <c:pt idx="10">
                  <c:v>29.027771962856097</c:v>
                </c:pt>
                <c:pt idx="11">
                  <c:v>29.96547771759143</c:v>
                </c:pt>
                <c:pt idx="12">
                  <c:v>30.347933391805537</c:v>
                </c:pt>
                <c:pt idx="13">
                  <c:v>30.750360854118906</c:v>
                </c:pt>
                <c:pt idx="14">
                  <c:v>31.135144941360615</c:v>
                </c:pt>
                <c:pt idx="15">
                  <c:v>31.484028005298615</c:v>
                </c:pt>
                <c:pt idx="16">
                  <c:v>31.804879860923606</c:v>
                </c:pt>
                <c:pt idx="17">
                  <c:v>32.098047456950844</c:v>
                </c:pt>
                <c:pt idx="18">
                  <c:v>32.360620782346665</c:v>
                </c:pt>
                <c:pt idx="19">
                  <c:v>32.622953702367568</c:v>
                </c:pt>
                <c:pt idx="20">
                  <c:v>32.898613517642879</c:v>
                </c:pt>
                <c:pt idx="21">
                  <c:v>33.196391078004346</c:v>
                </c:pt>
                <c:pt idx="22">
                  <c:v>33.495281339908594</c:v>
                </c:pt>
                <c:pt idx="23">
                  <c:v>33.795005764769734</c:v>
                </c:pt>
                <c:pt idx="24">
                  <c:v>34.080129458102491</c:v>
                </c:pt>
                <c:pt idx="25">
                  <c:v>34.325942505499306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E8B-4FD0-A846-3B80B7CA18B9}"/>
            </c:ext>
          </c:extLst>
        </c:ser>
        <c:ser>
          <c:idx val="3"/>
          <c:order val="2"/>
          <c:tx>
            <c:strRef>
              <c:f>'Occ F2'!$L$12</c:f>
              <c:strCache>
                <c:ptCount val="1"/>
                <c:pt idx="0">
                  <c:v>23 Teaching and other educational professionals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F2'!$M$12:$AL$12</c:f>
              <c:numCache>
                <c:formatCode>#,##0</c:formatCode>
                <c:ptCount val="26"/>
                <c:pt idx="0">
                  <c:v>19.858949033006741</c:v>
                </c:pt>
                <c:pt idx="1">
                  <c:v>20.724409719361976</c:v>
                </c:pt>
                <c:pt idx="2">
                  <c:v>22.893903406865359</c:v>
                </c:pt>
                <c:pt idx="3">
                  <c:v>19.582565576479624</c:v>
                </c:pt>
                <c:pt idx="4">
                  <c:v>20.204339892937735</c:v>
                </c:pt>
                <c:pt idx="5">
                  <c:v>21.073206393473654</c:v>
                </c:pt>
                <c:pt idx="6">
                  <c:v>20.01447977467047</c:v>
                </c:pt>
                <c:pt idx="7">
                  <c:v>19.829562533939871</c:v>
                </c:pt>
                <c:pt idx="8">
                  <c:v>20.463522279358855</c:v>
                </c:pt>
                <c:pt idx="9">
                  <c:v>21.064663212375553</c:v>
                </c:pt>
                <c:pt idx="10">
                  <c:v>22.082745267226372</c:v>
                </c:pt>
                <c:pt idx="11">
                  <c:v>22.697194228846726</c:v>
                </c:pt>
                <c:pt idx="12">
                  <c:v>23.272417323365399</c:v>
                </c:pt>
                <c:pt idx="13">
                  <c:v>23.58057289105551</c:v>
                </c:pt>
                <c:pt idx="14">
                  <c:v>23.879011624859942</c:v>
                </c:pt>
                <c:pt idx="15">
                  <c:v>24.074771011161502</c:v>
                </c:pt>
                <c:pt idx="16">
                  <c:v>24.235324889989602</c:v>
                </c:pt>
                <c:pt idx="17">
                  <c:v>24.404368529158383</c:v>
                </c:pt>
                <c:pt idx="18">
                  <c:v>24.576184502347012</c:v>
                </c:pt>
                <c:pt idx="19">
                  <c:v>24.743766910854184</c:v>
                </c:pt>
                <c:pt idx="20">
                  <c:v>24.913386773500495</c:v>
                </c:pt>
                <c:pt idx="21">
                  <c:v>25.09336732702636</c:v>
                </c:pt>
                <c:pt idx="22">
                  <c:v>25.274030566839055</c:v>
                </c:pt>
                <c:pt idx="23">
                  <c:v>25.453296230165098</c:v>
                </c:pt>
                <c:pt idx="24">
                  <c:v>25.630168942387211</c:v>
                </c:pt>
                <c:pt idx="25">
                  <c:v>25.804378704259623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E8B-4FD0-A846-3B80B7CA18B9}"/>
            </c:ext>
          </c:extLst>
        </c:ser>
        <c:ser>
          <c:idx val="0"/>
          <c:order val="3"/>
          <c:tx>
            <c:strRef>
              <c:f>'Occ F2'!$L$13</c:f>
              <c:strCache>
                <c:ptCount val="1"/>
                <c:pt idx="0">
                  <c:v>24 Business, media and public service professionals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F2'!$M$13:$AL$13</c:f>
              <c:numCache>
                <c:formatCode>#,##0</c:formatCode>
                <c:ptCount val="26"/>
                <c:pt idx="0">
                  <c:v>21.313969863124317</c:v>
                </c:pt>
                <c:pt idx="1">
                  <c:v>19.746091331294902</c:v>
                </c:pt>
                <c:pt idx="2">
                  <c:v>18.177307216385454</c:v>
                </c:pt>
                <c:pt idx="3">
                  <c:v>19.370158650255171</c:v>
                </c:pt>
                <c:pt idx="4">
                  <c:v>19.192677370177368</c:v>
                </c:pt>
                <c:pt idx="5">
                  <c:v>20.053361439408231</c:v>
                </c:pt>
                <c:pt idx="6">
                  <c:v>19.411986291350718</c:v>
                </c:pt>
                <c:pt idx="7">
                  <c:v>19.102422051302639</c:v>
                </c:pt>
                <c:pt idx="8">
                  <c:v>20.702256653701554</c:v>
                </c:pt>
                <c:pt idx="9">
                  <c:v>21.593011873697176</c:v>
                </c:pt>
                <c:pt idx="10">
                  <c:v>24.487374649426325</c:v>
                </c:pt>
                <c:pt idx="11">
                  <c:v>25.546777472720898</c:v>
                </c:pt>
                <c:pt idx="12">
                  <c:v>25.6712574394871</c:v>
                </c:pt>
                <c:pt idx="13">
                  <c:v>25.957799640284847</c:v>
                </c:pt>
                <c:pt idx="14">
                  <c:v>26.286254292183433</c:v>
                </c:pt>
                <c:pt idx="15">
                  <c:v>26.623308945695321</c:v>
                </c:pt>
                <c:pt idx="16">
                  <c:v>26.952957305475621</c:v>
                </c:pt>
                <c:pt idx="17">
                  <c:v>27.28265622898698</c:v>
                </c:pt>
                <c:pt idx="18">
                  <c:v>27.629655396502567</c:v>
                </c:pt>
                <c:pt idx="19">
                  <c:v>27.97786921370475</c:v>
                </c:pt>
                <c:pt idx="20">
                  <c:v>28.352643796339528</c:v>
                </c:pt>
                <c:pt idx="21">
                  <c:v>28.733965603101193</c:v>
                </c:pt>
                <c:pt idx="22">
                  <c:v>29.099217667080424</c:v>
                </c:pt>
                <c:pt idx="23">
                  <c:v>29.463797393668543</c:v>
                </c:pt>
                <c:pt idx="24">
                  <c:v>29.834299194156394</c:v>
                </c:pt>
                <c:pt idx="25">
                  <c:v>30.198762786552976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E8B-4FD0-A846-3B80B7CA18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971744"/>
        <c:axId val="313972136"/>
      </c:areaChart>
      <c:catAx>
        <c:axId val="31397174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213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972136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1.650609719509024E-2"/>
              <c:y val="3.059099723446913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1744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10238887370238754"/>
          <c:y val="0.89684729480371306"/>
          <c:w val="0.8703594311506998"/>
          <c:h val="8.1685800008451534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25729671010754E-2"/>
          <c:y val="8.1573294356169543E-2"/>
          <c:w val="0.89593908629441665"/>
          <c:h val="0.7258418595879107"/>
        </c:manualLayout>
      </c:layout>
      <c:areaChart>
        <c:grouping val="stacked"/>
        <c:varyColors val="0"/>
        <c:ser>
          <c:idx val="0"/>
          <c:order val="0"/>
          <c:tx>
            <c:strRef>
              <c:f>'Occ F2'!$L$16</c:f>
              <c:strCache>
                <c:ptCount val="1"/>
                <c:pt idx="0">
                  <c:v>31 Science, engineering and technology associate professionals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F2'!$M$16:$AL$16</c:f>
              <c:numCache>
                <c:formatCode>#,##0</c:formatCode>
                <c:ptCount val="26"/>
                <c:pt idx="0">
                  <c:v>9.7200570514138729</c:v>
                </c:pt>
                <c:pt idx="1">
                  <c:v>9.5534611874831796</c:v>
                </c:pt>
                <c:pt idx="2">
                  <c:v>9.7242987307515989</c:v>
                </c:pt>
                <c:pt idx="3">
                  <c:v>9.8060954007296459</c:v>
                </c:pt>
                <c:pt idx="4">
                  <c:v>8.8644480610007701</c:v>
                </c:pt>
                <c:pt idx="5">
                  <c:v>9.0554566906705691</c:v>
                </c:pt>
                <c:pt idx="6">
                  <c:v>8.9810175137671795</c:v>
                </c:pt>
                <c:pt idx="7">
                  <c:v>10.167279189303025</c:v>
                </c:pt>
                <c:pt idx="8">
                  <c:v>10.611653784202169</c:v>
                </c:pt>
                <c:pt idx="9">
                  <c:v>9.8720265188058818</c:v>
                </c:pt>
                <c:pt idx="10">
                  <c:v>10.70984051084127</c:v>
                </c:pt>
                <c:pt idx="11">
                  <c:v>9.0481456145588997</c:v>
                </c:pt>
                <c:pt idx="12">
                  <c:v>9.0578863488402988</c:v>
                </c:pt>
                <c:pt idx="13">
                  <c:v>9.0768564418053739</c:v>
                </c:pt>
                <c:pt idx="14">
                  <c:v>9.1112364382677438</c:v>
                </c:pt>
                <c:pt idx="15">
                  <c:v>9.1332068964074171</c:v>
                </c:pt>
                <c:pt idx="16">
                  <c:v>9.1499947890084048</c:v>
                </c:pt>
                <c:pt idx="17">
                  <c:v>9.1675687493800542</c:v>
                </c:pt>
                <c:pt idx="18">
                  <c:v>9.187349917927337</c:v>
                </c:pt>
                <c:pt idx="19">
                  <c:v>9.2009133972066213</c:v>
                </c:pt>
                <c:pt idx="20">
                  <c:v>9.2262647610249573</c:v>
                </c:pt>
                <c:pt idx="21">
                  <c:v>9.2485459415471301</c:v>
                </c:pt>
                <c:pt idx="22">
                  <c:v>9.2805694613333358</c:v>
                </c:pt>
                <c:pt idx="23">
                  <c:v>9.3059417809119758</c:v>
                </c:pt>
                <c:pt idx="24">
                  <c:v>9.3409742276955328</c:v>
                </c:pt>
                <c:pt idx="25">
                  <c:v>9.3668808984236378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009-4252-A8BB-3F6EBC820C2C}"/>
            </c:ext>
          </c:extLst>
        </c:ser>
        <c:ser>
          <c:idx val="1"/>
          <c:order val="1"/>
          <c:tx>
            <c:strRef>
              <c:f>'Occ F2'!$L$17</c:f>
              <c:strCache>
                <c:ptCount val="1"/>
                <c:pt idx="0">
                  <c:v>32 Health and social care associate professionals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F2'!$M$17:$AL$17</c:f>
              <c:numCache>
                <c:formatCode>#,##0</c:formatCode>
                <c:ptCount val="26"/>
                <c:pt idx="0">
                  <c:v>7.2004867239717223</c:v>
                </c:pt>
                <c:pt idx="1">
                  <c:v>8.9682739373475737</c:v>
                </c:pt>
                <c:pt idx="2">
                  <c:v>9.0265579771180953</c:v>
                </c:pt>
                <c:pt idx="3">
                  <c:v>8.9384687710445263</c:v>
                </c:pt>
                <c:pt idx="4">
                  <c:v>9.7776036423453547</c:v>
                </c:pt>
                <c:pt idx="5">
                  <c:v>9.6622274795413947</c:v>
                </c:pt>
                <c:pt idx="6">
                  <c:v>9.1078879981596366</c:v>
                </c:pt>
                <c:pt idx="7">
                  <c:v>9.252664713729839</c:v>
                </c:pt>
                <c:pt idx="8">
                  <c:v>9.9955073132360166</c:v>
                </c:pt>
                <c:pt idx="9">
                  <c:v>9.7417880098546501</c:v>
                </c:pt>
                <c:pt idx="10">
                  <c:v>10.403152312211862</c:v>
                </c:pt>
                <c:pt idx="11">
                  <c:v>10.006542214262511</c:v>
                </c:pt>
                <c:pt idx="12">
                  <c:v>10.108583182011001</c:v>
                </c:pt>
                <c:pt idx="13">
                  <c:v>10.2182735446777</c:v>
                </c:pt>
                <c:pt idx="14">
                  <c:v>10.322301721204916</c:v>
                </c:pt>
                <c:pt idx="15">
                  <c:v>10.414924512502774</c:v>
                </c:pt>
                <c:pt idx="16">
                  <c:v>10.492389587748301</c:v>
                </c:pt>
                <c:pt idx="17">
                  <c:v>10.565735780270941</c:v>
                </c:pt>
                <c:pt idx="18">
                  <c:v>10.641301789996712</c:v>
                </c:pt>
                <c:pt idx="19">
                  <c:v>10.710486170974892</c:v>
                </c:pt>
                <c:pt idx="20">
                  <c:v>10.784574945393041</c:v>
                </c:pt>
                <c:pt idx="21">
                  <c:v>10.851983534240681</c:v>
                </c:pt>
                <c:pt idx="22">
                  <c:v>10.918795669913859</c:v>
                </c:pt>
                <c:pt idx="23">
                  <c:v>10.998960535862846</c:v>
                </c:pt>
                <c:pt idx="24">
                  <c:v>11.080522102159252</c:v>
                </c:pt>
                <c:pt idx="25">
                  <c:v>11.167106544013857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009-4252-A8BB-3F6EBC820C2C}"/>
            </c:ext>
          </c:extLst>
        </c:ser>
        <c:ser>
          <c:idx val="2"/>
          <c:order val="2"/>
          <c:tx>
            <c:strRef>
              <c:f>'Occ F2'!$L$18</c:f>
              <c:strCache>
                <c:ptCount val="1"/>
                <c:pt idx="0">
                  <c:v>33 Protective service occupations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F2'!$M$18:$AL$18</c:f>
              <c:numCache>
                <c:formatCode>#,##0</c:formatCode>
                <c:ptCount val="26"/>
                <c:pt idx="0">
                  <c:v>7.4210031131010457</c:v>
                </c:pt>
                <c:pt idx="1">
                  <c:v>7.9780678317844282</c:v>
                </c:pt>
                <c:pt idx="2">
                  <c:v>7.1626436539709006</c:v>
                </c:pt>
                <c:pt idx="3">
                  <c:v>6.9820047311140154</c:v>
                </c:pt>
                <c:pt idx="4">
                  <c:v>6.5536449997768376</c:v>
                </c:pt>
                <c:pt idx="5">
                  <c:v>6.3572759436806443</c:v>
                </c:pt>
                <c:pt idx="6">
                  <c:v>6.7732339455555044</c:v>
                </c:pt>
                <c:pt idx="7">
                  <c:v>6.7547978258827577</c:v>
                </c:pt>
                <c:pt idx="8">
                  <c:v>6.6400979220714822</c:v>
                </c:pt>
                <c:pt idx="9">
                  <c:v>6.7089345467370718</c:v>
                </c:pt>
                <c:pt idx="10">
                  <c:v>7.0494931142783734</c:v>
                </c:pt>
                <c:pt idx="11">
                  <c:v>7.7037640038821529</c:v>
                </c:pt>
                <c:pt idx="12">
                  <c:v>7.7305410455093488</c:v>
                </c:pt>
                <c:pt idx="13">
                  <c:v>7.8096728301199168</c:v>
                </c:pt>
                <c:pt idx="14">
                  <c:v>7.8825558844783847</c:v>
                </c:pt>
                <c:pt idx="15">
                  <c:v>7.9951903969727285</c:v>
                </c:pt>
                <c:pt idx="16">
                  <c:v>8.1043905870355992</c:v>
                </c:pt>
                <c:pt idx="17">
                  <c:v>8.211751508147918</c:v>
                </c:pt>
                <c:pt idx="18">
                  <c:v>8.3147443872969209</c:v>
                </c:pt>
                <c:pt idx="19">
                  <c:v>8.4214773512430376</c:v>
                </c:pt>
                <c:pt idx="20">
                  <c:v>8.5190798920881576</c:v>
                </c:pt>
                <c:pt idx="21">
                  <c:v>8.6144278192297019</c:v>
                </c:pt>
                <c:pt idx="22">
                  <c:v>8.7215142895926334</c:v>
                </c:pt>
                <c:pt idx="23">
                  <c:v>8.8314564917735545</c:v>
                </c:pt>
                <c:pt idx="24">
                  <c:v>8.9284365253837059</c:v>
                </c:pt>
                <c:pt idx="25">
                  <c:v>9.0336950732721473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009-4252-A8BB-3F6EBC820C2C}"/>
            </c:ext>
          </c:extLst>
        </c:ser>
        <c:ser>
          <c:idx val="3"/>
          <c:order val="3"/>
          <c:tx>
            <c:strRef>
              <c:f>'Occ F2'!$L$19</c:f>
              <c:strCache>
                <c:ptCount val="1"/>
                <c:pt idx="0">
                  <c:v>34 Culture, media and sports occupations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F2'!$M$19:$AL$19</c:f>
              <c:numCache>
                <c:formatCode>#,##0</c:formatCode>
                <c:ptCount val="26"/>
                <c:pt idx="0">
                  <c:v>3.9769687302892303</c:v>
                </c:pt>
                <c:pt idx="1">
                  <c:v>3.9527397107658691</c:v>
                </c:pt>
                <c:pt idx="2">
                  <c:v>4.5437246819902137</c:v>
                </c:pt>
                <c:pt idx="3">
                  <c:v>5.080259456741345</c:v>
                </c:pt>
                <c:pt idx="4">
                  <c:v>4.9582678675935483</c:v>
                </c:pt>
                <c:pt idx="5">
                  <c:v>5.8966157276684097</c:v>
                </c:pt>
                <c:pt idx="6">
                  <c:v>4.8903661777244682</c:v>
                </c:pt>
                <c:pt idx="7">
                  <c:v>5.2797341141220437</c:v>
                </c:pt>
                <c:pt idx="8">
                  <c:v>5.4720406008644558</c:v>
                </c:pt>
                <c:pt idx="9">
                  <c:v>6.113108843472463</c:v>
                </c:pt>
                <c:pt idx="10">
                  <c:v>5.720866276556551</c:v>
                </c:pt>
                <c:pt idx="11">
                  <c:v>5.2363173534153402</c:v>
                </c:pt>
                <c:pt idx="12">
                  <c:v>5.184613644012984</c:v>
                </c:pt>
                <c:pt idx="13">
                  <c:v>5.2171818786105124</c:v>
                </c:pt>
                <c:pt idx="14">
                  <c:v>5.2762339204554429</c:v>
                </c:pt>
                <c:pt idx="15">
                  <c:v>5.3345050395726972</c:v>
                </c:pt>
                <c:pt idx="16">
                  <c:v>5.3892322957158836</c:v>
                </c:pt>
                <c:pt idx="17">
                  <c:v>5.4474367607306355</c:v>
                </c:pt>
                <c:pt idx="18">
                  <c:v>5.5051837916604383</c:v>
                </c:pt>
                <c:pt idx="19">
                  <c:v>5.5635260576838999</c:v>
                </c:pt>
                <c:pt idx="20">
                  <c:v>5.6311148738726473</c:v>
                </c:pt>
                <c:pt idx="21">
                  <c:v>5.6989621184057384</c:v>
                </c:pt>
                <c:pt idx="22">
                  <c:v>5.7544462992758953</c:v>
                </c:pt>
                <c:pt idx="23">
                  <c:v>5.8117327397266356</c:v>
                </c:pt>
                <c:pt idx="24">
                  <c:v>5.8612557245896006</c:v>
                </c:pt>
                <c:pt idx="25">
                  <c:v>5.9844066350434453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009-4252-A8BB-3F6EBC820C2C}"/>
            </c:ext>
          </c:extLst>
        </c:ser>
        <c:ser>
          <c:idx val="4"/>
          <c:order val="4"/>
          <c:tx>
            <c:strRef>
              <c:f>'Occ F2'!$L$20</c:f>
              <c:strCache>
                <c:ptCount val="1"/>
                <c:pt idx="0">
                  <c:v>35 Business and public service associate professionals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F2'!$M$20:$AL$20</c:f>
              <c:numCache>
                <c:formatCode>#,##0</c:formatCode>
                <c:ptCount val="26"/>
                <c:pt idx="0">
                  <c:v>21.962015465236185</c:v>
                </c:pt>
                <c:pt idx="1">
                  <c:v>19.666690508743883</c:v>
                </c:pt>
                <c:pt idx="2">
                  <c:v>19.280615078467655</c:v>
                </c:pt>
                <c:pt idx="3">
                  <c:v>19.698126809268615</c:v>
                </c:pt>
                <c:pt idx="4">
                  <c:v>20.41880948657554</c:v>
                </c:pt>
                <c:pt idx="5">
                  <c:v>20.575349082820939</c:v>
                </c:pt>
                <c:pt idx="6">
                  <c:v>19.602281319290359</c:v>
                </c:pt>
                <c:pt idx="7">
                  <c:v>20.02142604676305</c:v>
                </c:pt>
                <c:pt idx="8">
                  <c:v>20.905266611876858</c:v>
                </c:pt>
                <c:pt idx="9">
                  <c:v>21.093783119003387</c:v>
                </c:pt>
                <c:pt idx="10">
                  <c:v>22.193704019032278</c:v>
                </c:pt>
                <c:pt idx="11">
                  <c:v>20.686679182584346</c:v>
                </c:pt>
                <c:pt idx="12">
                  <c:v>20.654507607576594</c:v>
                </c:pt>
                <c:pt idx="13">
                  <c:v>20.726481305521506</c:v>
                </c:pt>
                <c:pt idx="14">
                  <c:v>20.829218612169207</c:v>
                </c:pt>
                <c:pt idx="15">
                  <c:v>20.914274058722345</c:v>
                </c:pt>
                <c:pt idx="16">
                  <c:v>20.984164984208409</c:v>
                </c:pt>
                <c:pt idx="17">
                  <c:v>21.057705342477853</c:v>
                </c:pt>
                <c:pt idx="18">
                  <c:v>21.145597581920256</c:v>
                </c:pt>
                <c:pt idx="19">
                  <c:v>21.21918148372886</c:v>
                </c:pt>
                <c:pt idx="20">
                  <c:v>21.318680646377036</c:v>
                </c:pt>
                <c:pt idx="21">
                  <c:v>21.430669787590574</c:v>
                </c:pt>
                <c:pt idx="22">
                  <c:v>21.540760513884241</c:v>
                </c:pt>
                <c:pt idx="23">
                  <c:v>21.646569289289914</c:v>
                </c:pt>
                <c:pt idx="24">
                  <c:v>21.767404977632275</c:v>
                </c:pt>
                <c:pt idx="25">
                  <c:v>21.86698363997229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009-4252-A8BB-3F6EBC820C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972920"/>
        <c:axId val="313973312"/>
      </c:areaChart>
      <c:catAx>
        <c:axId val="313972920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331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973312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451776649747034E-3"/>
              <c:y val="9.1575255364398228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2920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4.1148813232878253E-3"/>
          <c:y val="0.89011570559668052"/>
          <c:w val="0.98572853805885341"/>
          <c:h val="9.07226177566127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3417766896859499E-2"/>
          <c:y val="6.5573887134788983E-2"/>
          <c:w val="0.88101320276229866"/>
          <c:h val="0.74458099825073987"/>
        </c:manualLayout>
      </c:layout>
      <c:areaChart>
        <c:grouping val="stacked"/>
        <c:varyColors val="0"/>
        <c:ser>
          <c:idx val="1"/>
          <c:order val="0"/>
          <c:tx>
            <c:strRef>
              <c:f>'Occ F2'!$L$23</c:f>
              <c:strCache>
                <c:ptCount val="1"/>
                <c:pt idx="0">
                  <c:v>41 Administrative occupations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F2'!$M$23:$AL$23</c:f>
              <c:numCache>
                <c:formatCode>#,##0</c:formatCode>
                <c:ptCount val="26"/>
                <c:pt idx="0">
                  <c:v>44.457169080464233</c:v>
                </c:pt>
                <c:pt idx="1">
                  <c:v>44.136781410943335</c:v>
                </c:pt>
                <c:pt idx="2">
                  <c:v>41.956823777291063</c:v>
                </c:pt>
                <c:pt idx="3">
                  <c:v>41.80891223874233</c:v>
                </c:pt>
                <c:pt idx="4">
                  <c:v>43.436692009491196</c:v>
                </c:pt>
                <c:pt idx="5">
                  <c:v>45.581332961093828</c:v>
                </c:pt>
                <c:pt idx="6">
                  <c:v>42.448752295348775</c:v>
                </c:pt>
                <c:pt idx="7">
                  <c:v>42.42994683470581</c:v>
                </c:pt>
                <c:pt idx="8">
                  <c:v>43.266087612929837</c:v>
                </c:pt>
                <c:pt idx="9">
                  <c:v>42.127551018988008</c:v>
                </c:pt>
                <c:pt idx="10">
                  <c:v>44.153660141328722</c:v>
                </c:pt>
                <c:pt idx="11">
                  <c:v>40.849644875719882</c:v>
                </c:pt>
                <c:pt idx="12">
                  <c:v>40.552227273479524</c:v>
                </c:pt>
                <c:pt idx="13">
                  <c:v>40.366324332232836</c:v>
                </c:pt>
                <c:pt idx="14">
                  <c:v>40.231473132028889</c:v>
                </c:pt>
                <c:pt idx="15">
                  <c:v>40.122971669022455</c:v>
                </c:pt>
                <c:pt idx="16">
                  <c:v>39.949401344812529</c:v>
                </c:pt>
                <c:pt idx="17">
                  <c:v>39.765015091737993</c:v>
                </c:pt>
                <c:pt idx="18">
                  <c:v>39.528131688413822</c:v>
                </c:pt>
                <c:pt idx="19">
                  <c:v>39.319525057802188</c:v>
                </c:pt>
                <c:pt idx="20">
                  <c:v>39.114112781079619</c:v>
                </c:pt>
                <c:pt idx="21">
                  <c:v>38.915470804994996</c:v>
                </c:pt>
                <c:pt idx="22">
                  <c:v>38.707022237437883</c:v>
                </c:pt>
                <c:pt idx="23">
                  <c:v>38.458984623023611</c:v>
                </c:pt>
                <c:pt idx="24">
                  <c:v>38.188480634715354</c:v>
                </c:pt>
                <c:pt idx="25">
                  <c:v>37.996794001250002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B2-4194-831E-E9E810E854CB}"/>
            </c:ext>
          </c:extLst>
        </c:ser>
        <c:ser>
          <c:idx val="2"/>
          <c:order val="1"/>
          <c:tx>
            <c:strRef>
              <c:f>'Occ F2'!$L$24</c:f>
              <c:strCache>
                <c:ptCount val="1"/>
                <c:pt idx="0">
                  <c:v>42 Secretarial and related occupations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F2'!$M$24:$AL$24</c:f>
              <c:numCache>
                <c:formatCode>#,##0</c:formatCode>
                <c:ptCount val="26"/>
                <c:pt idx="0">
                  <c:v>10.515957482072258</c:v>
                </c:pt>
                <c:pt idx="1">
                  <c:v>9.7907571541377898</c:v>
                </c:pt>
                <c:pt idx="2">
                  <c:v>9.214567885050549</c:v>
                </c:pt>
                <c:pt idx="3">
                  <c:v>9.4910351715316601</c:v>
                </c:pt>
                <c:pt idx="4">
                  <c:v>9.9803929886229916</c:v>
                </c:pt>
                <c:pt idx="5">
                  <c:v>9.7042932340862489</c:v>
                </c:pt>
                <c:pt idx="6">
                  <c:v>8.6669237178229519</c:v>
                </c:pt>
                <c:pt idx="7">
                  <c:v>8.6789749050434715</c:v>
                </c:pt>
                <c:pt idx="8">
                  <c:v>9.1793171142746601</c:v>
                </c:pt>
                <c:pt idx="9">
                  <c:v>8.3038609134571253</c:v>
                </c:pt>
                <c:pt idx="10">
                  <c:v>8.3494356737237503</c:v>
                </c:pt>
                <c:pt idx="11">
                  <c:v>9.3876398613757388</c:v>
                </c:pt>
                <c:pt idx="12">
                  <c:v>9.3044091142376537</c:v>
                </c:pt>
                <c:pt idx="13">
                  <c:v>9.2193152280401787</c:v>
                </c:pt>
                <c:pt idx="14">
                  <c:v>9.1461431451104378</c:v>
                </c:pt>
                <c:pt idx="15">
                  <c:v>9.0736631080249186</c:v>
                </c:pt>
                <c:pt idx="16">
                  <c:v>8.9801042026643216</c:v>
                </c:pt>
                <c:pt idx="17">
                  <c:v>8.8724087491017869</c:v>
                </c:pt>
                <c:pt idx="18">
                  <c:v>8.7610328187511364</c:v>
                </c:pt>
                <c:pt idx="19">
                  <c:v>8.665553608673779</c:v>
                </c:pt>
                <c:pt idx="20">
                  <c:v>8.5507079785222242</c:v>
                </c:pt>
                <c:pt idx="21">
                  <c:v>8.2743916446807031</c:v>
                </c:pt>
                <c:pt idx="22">
                  <c:v>7.9411814640961387</c:v>
                </c:pt>
                <c:pt idx="23">
                  <c:v>7.796966234884021</c:v>
                </c:pt>
                <c:pt idx="24">
                  <c:v>7.7308935849558669</c:v>
                </c:pt>
                <c:pt idx="25">
                  <c:v>7.8718020155096147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7B2-4194-831E-E9E810E854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974096"/>
        <c:axId val="315371928"/>
      </c:areaChart>
      <c:catAx>
        <c:axId val="313974096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192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371928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291178359361714E-3"/>
              <c:y val="9.1074843242764068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4096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3.1846802511172591E-2"/>
          <c:y val="0.91216406466166122"/>
          <c:w val="0.9236807033411365"/>
          <c:h val="5.448274891785042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4873096446700524E-2"/>
          <c:y val="6.5693430656934934E-2"/>
          <c:w val="0.89593908629441665"/>
          <c:h val="0.79379562043795615"/>
        </c:manualLayout>
      </c:layout>
      <c:areaChart>
        <c:grouping val="stacked"/>
        <c:varyColors val="0"/>
        <c:ser>
          <c:idx val="1"/>
          <c:order val="0"/>
          <c:tx>
            <c:strRef>
              <c:f>'Occ F2'!$L$27</c:f>
              <c:strCache>
                <c:ptCount val="1"/>
                <c:pt idx="0">
                  <c:v>51 Skilled agricultural and related trades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F2'!$M$27:$AL$27</c:f>
              <c:numCache>
                <c:formatCode>#,##0</c:formatCode>
                <c:ptCount val="26"/>
                <c:pt idx="0">
                  <c:v>4.2978997611605214</c:v>
                </c:pt>
                <c:pt idx="1">
                  <c:v>6.694354401847967</c:v>
                </c:pt>
                <c:pt idx="2">
                  <c:v>3.9816702683469152</c:v>
                </c:pt>
                <c:pt idx="3">
                  <c:v>4.7967936730830969</c:v>
                </c:pt>
                <c:pt idx="4">
                  <c:v>5.4920550141397229</c:v>
                </c:pt>
                <c:pt idx="5">
                  <c:v>4.6441267016966554</c:v>
                </c:pt>
                <c:pt idx="6">
                  <c:v>3.442776084402551</c:v>
                </c:pt>
                <c:pt idx="7">
                  <c:v>4.2339988313997754</c:v>
                </c:pt>
                <c:pt idx="8">
                  <c:v>4.7369958179753917</c:v>
                </c:pt>
                <c:pt idx="9">
                  <c:v>3.9176639986628095</c:v>
                </c:pt>
                <c:pt idx="10">
                  <c:v>3.9137663619264487</c:v>
                </c:pt>
                <c:pt idx="11">
                  <c:v>3.7646056067979732</c:v>
                </c:pt>
                <c:pt idx="12">
                  <c:v>3.7960025900674625</c:v>
                </c:pt>
                <c:pt idx="13">
                  <c:v>3.8485062312093254</c:v>
                </c:pt>
                <c:pt idx="14">
                  <c:v>3.9054841322281559</c:v>
                </c:pt>
                <c:pt idx="15">
                  <c:v>3.9545639006839899</c:v>
                </c:pt>
                <c:pt idx="16">
                  <c:v>4.0005677439919101</c:v>
                </c:pt>
                <c:pt idx="17">
                  <c:v>4.0449109572394075</c:v>
                </c:pt>
                <c:pt idx="18">
                  <c:v>4.0909894275859742</c:v>
                </c:pt>
                <c:pt idx="19">
                  <c:v>4.1361118843549614</c:v>
                </c:pt>
                <c:pt idx="20">
                  <c:v>4.1826343080728154</c:v>
                </c:pt>
                <c:pt idx="21">
                  <c:v>4.227634390195675</c:v>
                </c:pt>
                <c:pt idx="22">
                  <c:v>4.2700539837312652</c:v>
                </c:pt>
                <c:pt idx="23">
                  <c:v>4.3124146141480102</c:v>
                </c:pt>
                <c:pt idx="24">
                  <c:v>4.3503889176947297</c:v>
                </c:pt>
                <c:pt idx="25">
                  <c:v>4.3882264054856144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E9E-4BB9-B42D-40A8655AC298}"/>
            </c:ext>
          </c:extLst>
        </c:ser>
        <c:ser>
          <c:idx val="2"/>
          <c:order val="1"/>
          <c:tx>
            <c:strRef>
              <c:f>'Occ F2'!$L$28</c:f>
              <c:strCache>
                <c:ptCount val="1"/>
                <c:pt idx="0">
                  <c:v>52 Skilled metal, electrical and electronic trades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F2'!$M$28:$AL$28</c:f>
              <c:numCache>
                <c:formatCode>#,##0</c:formatCode>
                <c:ptCount val="26"/>
                <c:pt idx="0">
                  <c:v>23.439319276330334</c:v>
                </c:pt>
                <c:pt idx="1">
                  <c:v>24.483083044275123</c:v>
                </c:pt>
                <c:pt idx="2">
                  <c:v>21.269811732198413</c:v>
                </c:pt>
                <c:pt idx="3">
                  <c:v>23.248657655987014</c:v>
                </c:pt>
                <c:pt idx="4">
                  <c:v>23.896382287236868</c:v>
                </c:pt>
                <c:pt idx="5">
                  <c:v>23.746739359376484</c:v>
                </c:pt>
                <c:pt idx="6">
                  <c:v>23.207782732598563</c:v>
                </c:pt>
                <c:pt idx="7">
                  <c:v>23.310827191028139</c:v>
                </c:pt>
                <c:pt idx="8">
                  <c:v>23.774386327313245</c:v>
                </c:pt>
                <c:pt idx="9">
                  <c:v>23.284125331339183</c:v>
                </c:pt>
                <c:pt idx="10">
                  <c:v>19.8153660104539</c:v>
                </c:pt>
                <c:pt idx="11">
                  <c:v>19.57068827267241</c:v>
                </c:pt>
                <c:pt idx="12">
                  <c:v>19.289882312967748</c:v>
                </c:pt>
                <c:pt idx="13">
                  <c:v>19.068624791422984</c:v>
                </c:pt>
                <c:pt idx="14">
                  <c:v>18.885060072913173</c:v>
                </c:pt>
                <c:pt idx="15">
                  <c:v>18.71073724003908</c:v>
                </c:pt>
                <c:pt idx="16">
                  <c:v>18.511726550585145</c:v>
                </c:pt>
                <c:pt idx="17">
                  <c:v>18.306777829922684</c:v>
                </c:pt>
                <c:pt idx="18">
                  <c:v>18.098259029942895</c:v>
                </c:pt>
                <c:pt idx="19">
                  <c:v>17.890730716958071</c:v>
                </c:pt>
                <c:pt idx="20">
                  <c:v>17.698115493978367</c:v>
                </c:pt>
                <c:pt idx="21">
                  <c:v>17.510711277074144</c:v>
                </c:pt>
                <c:pt idx="22">
                  <c:v>17.32123315810292</c:v>
                </c:pt>
                <c:pt idx="23">
                  <c:v>17.126395903650561</c:v>
                </c:pt>
                <c:pt idx="24">
                  <c:v>16.93807925258923</c:v>
                </c:pt>
                <c:pt idx="25">
                  <c:v>16.745561719909368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E9E-4BB9-B42D-40A8655AC298}"/>
            </c:ext>
          </c:extLst>
        </c:ser>
        <c:ser>
          <c:idx val="0"/>
          <c:order val="2"/>
          <c:tx>
            <c:strRef>
              <c:f>'Occ F2'!$L$29</c:f>
              <c:strCache>
                <c:ptCount val="1"/>
                <c:pt idx="0">
                  <c:v>53 Skilled construction and building trades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F2'!$M$29:$AL$29</c:f>
              <c:numCache>
                <c:formatCode>#,##0</c:formatCode>
                <c:ptCount val="26"/>
                <c:pt idx="0">
                  <c:v>22.163924269137379</c:v>
                </c:pt>
                <c:pt idx="1">
                  <c:v>20.152365517266233</c:v>
                </c:pt>
                <c:pt idx="2">
                  <c:v>18.750782307276054</c:v>
                </c:pt>
                <c:pt idx="3">
                  <c:v>19.923391470846799</c:v>
                </c:pt>
                <c:pt idx="4">
                  <c:v>18.391977861309734</c:v>
                </c:pt>
                <c:pt idx="5">
                  <c:v>18.075106264951447</c:v>
                </c:pt>
                <c:pt idx="6">
                  <c:v>16.589405032604226</c:v>
                </c:pt>
                <c:pt idx="7">
                  <c:v>17.875341101504269</c:v>
                </c:pt>
                <c:pt idx="8">
                  <c:v>18.849977253518588</c:v>
                </c:pt>
                <c:pt idx="9">
                  <c:v>19.872573195366002</c:v>
                </c:pt>
                <c:pt idx="10">
                  <c:v>16.08769129935639</c:v>
                </c:pt>
                <c:pt idx="11">
                  <c:v>16.65646728418875</c:v>
                </c:pt>
                <c:pt idx="12">
                  <c:v>16.461354541131531</c:v>
                </c:pt>
                <c:pt idx="13">
                  <c:v>16.16848695893766</c:v>
                </c:pt>
                <c:pt idx="14">
                  <c:v>15.961129538047844</c:v>
                </c:pt>
                <c:pt idx="15">
                  <c:v>15.823444092159617</c:v>
                </c:pt>
                <c:pt idx="16">
                  <c:v>15.665508679840942</c:v>
                </c:pt>
                <c:pt idx="17">
                  <c:v>15.493705009912773</c:v>
                </c:pt>
                <c:pt idx="18">
                  <c:v>15.339022905213984</c:v>
                </c:pt>
                <c:pt idx="19">
                  <c:v>15.176642149996329</c:v>
                </c:pt>
                <c:pt idx="20">
                  <c:v>15.017029602222269</c:v>
                </c:pt>
                <c:pt idx="21">
                  <c:v>14.856010667697596</c:v>
                </c:pt>
                <c:pt idx="22">
                  <c:v>14.698570980761621</c:v>
                </c:pt>
                <c:pt idx="23">
                  <c:v>14.539204546586147</c:v>
                </c:pt>
                <c:pt idx="24">
                  <c:v>14.381423895045124</c:v>
                </c:pt>
                <c:pt idx="25">
                  <c:v>14.220772873886741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E9E-4BB9-B42D-40A8655AC298}"/>
            </c:ext>
          </c:extLst>
        </c:ser>
        <c:ser>
          <c:idx val="3"/>
          <c:order val="3"/>
          <c:tx>
            <c:strRef>
              <c:f>'Occ F2'!$L$30</c:f>
              <c:strCache>
                <c:ptCount val="1"/>
                <c:pt idx="0">
                  <c:v>54 Textiles, printing and other skilled trades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F2'!$M$30:$AL$30</c:f>
              <c:numCache>
                <c:formatCode>#,##0</c:formatCode>
                <c:ptCount val="26"/>
                <c:pt idx="0">
                  <c:v>8.5287778207718841</c:v>
                </c:pt>
                <c:pt idx="1">
                  <c:v>8.9771017039950145</c:v>
                </c:pt>
                <c:pt idx="2">
                  <c:v>9.1025109823227677</c:v>
                </c:pt>
                <c:pt idx="3">
                  <c:v>9.0626856277079035</c:v>
                </c:pt>
                <c:pt idx="4">
                  <c:v>9.0874533059234892</c:v>
                </c:pt>
                <c:pt idx="5">
                  <c:v>10.556309552348026</c:v>
                </c:pt>
                <c:pt idx="6">
                  <c:v>9.1571366638625626</c:v>
                </c:pt>
                <c:pt idx="7">
                  <c:v>9.5989537954456559</c:v>
                </c:pt>
                <c:pt idx="8">
                  <c:v>8.5949093787150712</c:v>
                </c:pt>
                <c:pt idx="9">
                  <c:v>8.9509468616808654</c:v>
                </c:pt>
                <c:pt idx="10">
                  <c:v>8.4288888775954423</c:v>
                </c:pt>
                <c:pt idx="11">
                  <c:v>8.3787155384484464</c:v>
                </c:pt>
                <c:pt idx="12">
                  <c:v>8.3299760422376785</c:v>
                </c:pt>
                <c:pt idx="13">
                  <c:v>8.2920582555057898</c:v>
                </c:pt>
                <c:pt idx="14">
                  <c:v>8.2716256342837386</c:v>
                </c:pt>
                <c:pt idx="15">
                  <c:v>8.2440020603760154</c:v>
                </c:pt>
                <c:pt idx="16">
                  <c:v>8.2105340378462355</c:v>
                </c:pt>
                <c:pt idx="17">
                  <c:v>8.1658355428805329</c:v>
                </c:pt>
                <c:pt idx="18">
                  <c:v>8.1298172389238399</c:v>
                </c:pt>
                <c:pt idx="19">
                  <c:v>8.0957136352502275</c:v>
                </c:pt>
                <c:pt idx="20">
                  <c:v>8.0628053200794962</c:v>
                </c:pt>
                <c:pt idx="21">
                  <c:v>8.036734484557714</c:v>
                </c:pt>
                <c:pt idx="22">
                  <c:v>8.012640896238242</c:v>
                </c:pt>
                <c:pt idx="23">
                  <c:v>7.9709911755395719</c:v>
                </c:pt>
                <c:pt idx="24">
                  <c:v>7.9181073138908431</c:v>
                </c:pt>
                <c:pt idx="25">
                  <c:v>7.8219265199229948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E9E-4BB9-B42D-40A8655AC2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5372712"/>
        <c:axId val="315373104"/>
      </c:areaChart>
      <c:catAx>
        <c:axId val="31537271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310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373104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451776649747034E-3"/>
              <c:y val="9.1240875912408752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271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7.8990073341974887E-2"/>
          <c:y val="0.93978106853588406"/>
          <c:w val="0.8744421378136028"/>
          <c:h val="6.0218931464115909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4873096446700524E-2"/>
          <c:y val="6.6055045871559345E-2"/>
          <c:w val="0.89720812182739207"/>
          <c:h val="0.76880623875224952"/>
        </c:manualLayout>
      </c:layout>
      <c:areaChart>
        <c:grouping val="stacked"/>
        <c:varyColors val="0"/>
        <c:ser>
          <c:idx val="1"/>
          <c:order val="0"/>
          <c:tx>
            <c:strRef>
              <c:f>'Occ F2'!$L$33</c:f>
              <c:strCache>
                <c:ptCount val="1"/>
                <c:pt idx="0">
                  <c:v>61 Caring personal service occupations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F2'!$M$33:$AL$33</c:f>
              <c:numCache>
                <c:formatCode>#,##0</c:formatCode>
                <c:ptCount val="26"/>
                <c:pt idx="0">
                  <c:v>32.875857848599466</c:v>
                </c:pt>
                <c:pt idx="1">
                  <c:v>30.179145822938825</c:v>
                </c:pt>
                <c:pt idx="2">
                  <c:v>31.099931483960855</c:v>
                </c:pt>
                <c:pt idx="3">
                  <c:v>30.827394159631616</c:v>
                </c:pt>
                <c:pt idx="4">
                  <c:v>33.480580981228179</c:v>
                </c:pt>
                <c:pt idx="5">
                  <c:v>33.611923724291344</c:v>
                </c:pt>
                <c:pt idx="6">
                  <c:v>31.995501223992949</c:v>
                </c:pt>
                <c:pt idx="7">
                  <c:v>32.287170032650103</c:v>
                </c:pt>
                <c:pt idx="8">
                  <c:v>31.520115306655448</c:v>
                </c:pt>
                <c:pt idx="9">
                  <c:v>31.35753209221701</c:v>
                </c:pt>
                <c:pt idx="10">
                  <c:v>31.610179921526679</c:v>
                </c:pt>
                <c:pt idx="11">
                  <c:v>32.778441941758942</c:v>
                </c:pt>
                <c:pt idx="12">
                  <c:v>33.039144191446127</c:v>
                </c:pt>
                <c:pt idx="13">
                  <c:v>33.271101933061964</c:v>
                </c:pt>
                <c:pt idx="14">
                  <c:v>33.479502808188329</c:v>
                </c:pt>
                <c:pt idx="15">
                  <c:v>33.638633531936662</c:v>
                </c:pt>
                <c:pt idx="16">
                  <c:v>33.740996402613959</c:v>
                </c:pt>
                <c:pt idx="17">
                  <c:v>33.819524994299378</c:v>
                </c:pt>
                <c:pt idx="18">
                  <c:v>33.920915973192308</c:v>
                </c:pt>
                <c:pt idx="19">
                  <c:v>34.004148307931771</c:v>
                </c:pt>
                <c:pt idx="20">
                  <c:v>34.120284613089879</c:v>
                </c:pt>
                <c:pt idx="21">
                  <c:v>34.2488124832118</c:v>
                </c:pt>
                <c:pt idx="22">
                  <c:v>34.395280345801638</c:v>
                </c:pt>
                <c:pt idx="23">
                  <c:v>34.541360954407331</c:v>
                </c:pt>
                <c:pt idx="24">
                  <c:v>34.704990093749366</c:v>
                </c:pt>
                <c:pt idx="25">
                  <c:v>34.878615994605461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5C8-4082-9485-6635190C6423}"/>
            </c:ext>
          </c:extLst>
        </c:ser>
        <c:ser>
          <c:idx val="2"/>
          <c:order val="1"/>
          <c:tx>
            <c:strRef>
              <c:f>'Occ F2'!$L$34</c:f>
              <c:strCache>
                <c:ptCount val="1"/>
                <c:pt idx="0">
                  <c:v>62 Leisure, travel and related personal service occupations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F2'!$M$34:$AL$34</c:f>
              <c:numCache>
                <c:formatCode>#,##0</c:formatCode>
                <c:ptCount val="26"/>
                <c:pt idx="0">
                  <c:v>9.050919190720343</c:v>
                </c:pt>
                <c:pt idx="1">
                  <c:v>9.8831843632077696</c:v>
                </c:pt>
                <c:pt idx="2">
                  <c:v>9.3359091736255468</c:v>
                </c:pt>
                <c:pt idx="3">
                  <c:v>9.2782799211524072</c:v>
                </c:pt>
                <c:pt idx="4">
                  <c:v>10.022684415635798</c:v>
                </c:pt>
                <c:pt idx="5">
                  <c:v>10.694469678421898</c:v>
                </c:pt>
                <c:pt idx="6">
                  <c:v>9.4027441314373963</c:v>
                </c:pt>
                <c:pt idx="7">
                  <c:v>10.080797901186013</c:v>
                </c:pt>
                <c:pt idx="8">
                  <c:v>11.061157122646057</c:v>
                </c:pt>
                <c:pt idx="9">
                  <c:v>11.35031775343238</c:v>
                </c:pt>
                <c:pt idx="10">
                  <c:v>10.590117171876656</c:v>
                </c:pt>
                <c:pt idx="11">
                  <c:v>10.348636902364607</c:v>
                </c:pt>
                <c:pt idx="12">
                  <c:v>10.278235306065765</c:v>
                </c:pt>
                <c:pt idx="13">
                  <c:v>10.312669981628311</c:v>
                </c:pt>
                <c:pt idx="14">
                  <c:v>10.368253284113383</c:v>
                </c:pt>
                <c:pt idx="15">
                  <c:v>10.409965299818033</c:v>
                </c:pt>
                <c:pt idx="16">
                  <c:v>10.443908917229118</c:v>
                </c:pt>
                <c:pt idx="17">
                  <c:v>10.474443932134724</c:v>
                </c:pt>
                <c:pt idx="18">
                  <c:v>10.498053837174758</c:v>
                </c:pt>
                <c:pt idx="19">
                  <c:v>10.517800324922453</c:v>
                </c:pt>
                <c:pt idx="20">
                  <c:v>10.542309123147476</c:v>
                </c:pt>
                <c:pt idx="21">
                  <c:v>10.564926669015147</c:v>
                </c:pt>
                <c:pt idx="22">
                  <c:v>10.583390882738783</c:v>
                </c:pt>
                <c:pt idx="23">
                  <c:v>10.609692009595502</c:v>
                </c:pt>
                <c:pt idx="24">
                  <c:v>10.622475868266001</c:v>
                </c:pt>
                <c:pt idx="25">
                  <c:v>10.611845266662291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5C8-4082-9485-6635190C6423}"/>
            </c:ext>
          </c:extLst>
        </c:ser>
        <c:ser>
          <c:idx val="0"/>
          <c:order val="2"/>
          <c:tx>
            <c:strRef>
              <c:f>'Occ F2'!$L$35</c:f>
              <c:strCache>
                <c:ptCount val="1"/>
                <c:pt idx="0">
                  <c:v>63 Community and civil enforcement occupations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F2'!$M$35:$AL$35</c:f>
              <c:numCache>
                <c:formatCode>#,##0</c:formatCode>
                <c:ptCount val="26"/>
                <c:pt idx="0">
                  <c:v>0.9401943778313594</c:v>
                </c:pt>
                <c:pt idx="1">
                  <c:v>0.66499078801284428</c:v>
                </c:pt>
                <c:pt idx="2">
                  <c:v>0.62674569101522493</c:v>
                </c:pt>
                <c:pt idx="3">
                  <c:v>0.61907638673867915</c:v>
                </c:pt>
                <c:pt idx="4">
                  <c:v>0.65815832123759754</c:v>
                </c:pt>
                <c:pt idx="5">
                  <c:v>0.58215069720671409</c:v>
                </c:pt>
                <c:pt idx="6">
                  <c:v>0.50523023820106472</c:v>
                </c:pt>
                <c:pt idx="7">
                  <c:v>0.56432566900510828</c:v>
                </c:pt>
                <c:pt idx="8">
                  <c:v>0.55148498584366923</c:v>
                </c:pt>
                <c:pt idx="9">
                  <c:v>0.52557261517291309</c:v>
                </c:pt>
                <c:pt idx="10">
                  <c:v>0.64182464760198232</c:v>
                </c:pt>
                <c:pt idx="11">
                  <c:v>0.52598448898879746</c:v>
                </c:pt>
                <c:pt idx="12">
                  <c:v>0.52477978452928287</c:v>
                </c:pt>
                <c:pt idx="13">
                  <c:v>0.52636520197813152</c:v>
                </c:pt>
                <c:pt idx="14">
                  <c:v>0.52801443710274687</c:v>
                </c:pt>
                <c:pt idx="15">
                  <c:v>0.53165090900297174</c:v>
                </c:pt>
                <c:pt idx="16">
                  <c:v>0.53489466122740414</c:v>
                </c:pt>
                <c:pt idx="17">
                  <c:v>0.53806237085688713</c:v>
                </c:pt>
                <c:pt idx="18">
                  <c:v>0.54094340843564492</c:v>
                </c:pt>
                <c:pt idx="19">
                  <c:v>0.54422924289046126</c:v>
                </c:pt>
                <c:pt idx="20">
                  <c:v>0.54688398242887171</c:v>
                </c:pt>
                <c:pt idx="21">
                  <c:v>0.54936297670416157</c:v>
                </c:pt>
                <c:pt idx="22">
                  <c:v>0.55198368789921537</c:v>
                </c:pt>
                <c:pt idx="23">
                  <c:v>0.5550238336268436</c:v>
                </c:pt>
                <c:pt idx="24">
                  <c:v>0.55726055637615901</c:v>
                </c:pt>
                <c:pt idx="25">
                  <c:v>0.55999462457579885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1AB-47D9-842C-4D85019F2F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5373888"/>
        <c:axId val="315374280"/>
      </c:areaChart>
      <c:catAx>
        <c:axId val="31537388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428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374280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451776649747034E-3"/>
              <c:y val="1.1009174311927029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388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2.7013305520474776E-2"/>
          <c:y val="0.91785384655352398"/>
          <c:w val="0.94062625582720483"/>
          <c:h val="7.3598571624257841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4683590464046934E-2"/>
          <c:y val="6.5693430656934934E-2"/>
          <c:w val="0.89367143843421171"/>
          <c:h val="0.78186251479901514"/>
        </c:manualLayout>
      </c:layout>
      <c:areaChart>
        <c:grouping val="stacked"/>
        <c:varyColors val="0"/>
        <c:ser>
          <c:idx val="1"/>
          <c:order val="0"/>
          <c:tx>
            <c:strRef>
              <c:f>'Occ F2'!$L$38</c:f>
              <c:strCache>
                <c:ptCount val="1"/>
                <c:pt idx="0">
                  <c:v>71 Sales occupations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F2'!$M$38:$AL$38</c:f>
              <c:numCache>
                <c:formatCode>#,##0</c:formatCode>
                <c:ptCount val="26"/>
                <c:pt idx="0">
                  <c:v>40.909376604646653</c:v>
                </c:pt>
                <c:pt idx="1">
                  <c:v>42.010705679764619</c:v>
                </c:pt>
                <c:pt idx="2">
                  <c:v>42.978399378681786</c:v>
                </c:pt>
                <c:pt idx="3">
                  <c:v>40.391522524422541</c:v>
                </c:pt>
                <c:pt idx="4">
                  <c:v>47.022555434912235</c:v>
                </c:pt>
                <c:pt idx="5">
                  <c:v>47.90500212035964</c:v>
                </c:pt>
                <c:pt idx="6">
                  <c:v>46.643289242869635</c:v>
                </c:pt>
                <c:pt idx="7">
                  <c:v>44.154604502421051</c:v>
                </c:pt>
                <c:pt idx="8">
                  <c:v>41.273321895037931</c:v>
                </c:pt>
                <c:pt idx="9">
                  <c:v>42.371397183233768</c:v>
                </c:pt>
                <c:pt idx="10">
                  <c:v>42.678069113601978</c:v>
                </c:pt>
                <c:pt idx="11">
                  <c:v>40.164419275234657</c:v>
                </c:pt>
                <c:pt idx="12">
                  <c:v>40.080147100517472</c:v>
                </c:pt>
                <c:pt idx="13">
                  <c:v>40.102380943406992</c:v>
                </c:pt>
                <c:pt idx="14">
                  <c:v>40.156718149228034</c:v>
                </c:pt>
                <c:pt idx="15">
                  <c:v>40.14254357355194</c:v>
                </c:pt>
                <c:pt idx="16">
                  <c:v>40.090140262043938</c:v>
                </c:pt>
                <c:pt idx="17">
                  <c:v>40.00066797474441</c:v>
                </c:pt>
                <c:pt idx="18">
                  <c:v>39.890560275556425</c:v>
                </c:pt>
                <c:pt idx="19">
                  <c:v>39.777391233186584</c:v>
                </c:pt>
                <c:pt idx="20">
                  <c:v>39.653365180255825</c:v>
                </c:pt>
                <c:pt idx="21">
                  <c:v>39.504717127658701</c:v>
                </c:pt>
                <c:pt idx="22">
                  <c:v>39.319553150589584</c:v>
                </c:pt>
                <c:pt idx="23">
                  <c:v>39.15817506855857</c:v>
                </c:pt>
                <c:pt idx="24">
                  <c:v>38.979865660753937</c:v>
                </c:pt>
                <c:pt idx="25">
                  <c:v>38.750591491417339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34F-4C1D-B059-F6A3CE93115D}"/>
            </c:ext>
          </c:extLst>
        </c:ser>
        <c:ser>
          <c:idx val="0"/>
          <c:order val="1"/>
          <c:tx>
            <c:strRef>
              <c:f>'Occ F2'!$L$39</c:f>
              <c:strCache>
                <c:ptCount val="1"/>
                <c:pt idx="0">
                  <c:v>72 Customer service occupations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F2'!$M$39:$AL$39</c:f>
              <c:numCache>
                <c:formatCode>#,##0</c:formatCode>
                <c:ptCount val="26"/>
                <c:pt idx="0">
                  <c:v>7.5343175119424375</c:v>
                </c:pt>
                <c:pt idx="1">
                  <c:v>7.4896282934420775</c:v>
                </c:pt>
                <c:pt idx="2">
                  <c:v>7.5962632771634064</c:v>
                </c:pt>
                <c:pt idx="3">
                  <c:v>7.5109759003760495</c:v>
                </c:pt>
                <c:pt idx="4">
                  <c:v>7.4558717381216129</c:v>
                </c:pt>
                <c:pt idx="5">
                  <c:v>8.2742482733071885</c:v>
                </c:pt>
                <c:pt idx="6">
                  <c:v>7.7853081705455907</c:v>
                </c:pt>
                <c:pt idx="7">
                  <c:v>8.625135282885493</c:v>
                </c:pt>
                <c:pt idx="8">
                  <c:v>8.9095589678155687</c:v>
                </c:pt>
                <c:pt idx="9">
                  <c:v>8.4928938898411648</c:v>
                </c:pt>
                <c:pt idx="10">
                  <c:v>8.8901921095368301</c:v>
                </c:pt>
                <c:pt idx="11">
                  <c:v>10.672703726324499</c:v>
                </c:pt>
                <c:pt idx="12">
                  <c:v>10.809098083463876</c:v>
                </c:pt>
                <c:pt idx="13">
                  <c:v>10.966929429939286</c:v>
                </c:pt>
                <c:pt idx="14">
                  <c:v>11.150589434382718</c:v>
                </c:pt>
                <c:pt idx="15">
                  <c:v>11.332063340210611</c:v>
                </c:pt>
                <c:pt idx="16">
                  <c:v>11.500096979142858</c:v>
                </c:pt>
                <c:pt idx="17">
                  <c:v>11.663811843501586</c:v>
                </c:pt>
                <c:pt idx="18">
                  <c:v>11.835488633670092</c:v>
                </c:pt>
                <c:pt idx="19">
                  <c:v>12.020309471662488</c:v>
                </c:pt>
                <c:pt idx="20">
                  <c:v>12.207317756632122</c:v>
                </c:pt>
                <c:pt idx="21">
                  <c:v>12.40185868428248</c:v>
                </c:pt>
                <c:pt idx="22">
                  <c:v>12.592861718763393</c:v>
                </c:pt>
                <c:pt idx="23">
                  <c:v>12.785190533819428</c:v>
                </c:pt>
                <c:pt idx="24">
                  <c:v>12.971658977067605</c:v>
                </c:pt>
                <c:pt idx="25">
                  <c:v>13.164637816517791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34F-4C1D-B059-F6A3CE9311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5375064"/>
        <c:axId val="315375456"/>
      </c:areaChart>
      <c:catAx>
        <c:axId val="31537506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545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375456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291178359361714E-3"/>
              <c:y val="9.1240875912408752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5064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6.5138726324749957E-2"/>
          <c:y val="0.93023452915640914"/>
          <c:w val="0.89873975845924681"/>
          <c:h val="5.0672392084640971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3417766896859499E-2"/>
          <c:y val="5.8500966297851828E-2"/>
          <c:w val="0.89746890913572896"/>
          <c:h val="0.75210547335308831"/>
        </c:manualLayout>
      </c:layout>
      <c:areaChart>
        <c:grouping val="stacked"/>
        <c:varyColors val="0"/>
        <c:ser>
          <c:idx val="1"/>
          <c:order val="0"/>
          <c:tx>
            <c:strRef>
              <c:f>'Occ F2'!$L$42</c:f>
              <c:strCache>
                <c:ptCount val="1"/>
                <c:pt idx="0">
                  <c:v>81 Process, plant and machine operatives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F2'!$M$42:$AL$42</c:f>
              <c:numCache>
                <c:formatCode>#,##0</c:formatCode>
                <c:ptCount val="26"/>
                <c:pt idx="0">
                  <c:v>20.524708548830038</c:v>
                </c:pt>
                <c:pt idx="1">
                  <c:v>18.452539498454254</c:v>
                </c:pt>
                <c:pt idx="2">
                  <c:v>19.090689812770211</c:v>
                </c:pt>
                <c:pt idx="3">
                  <c:v>21.417116471862055</c:v>
                </c:pt>
                <c:pt idx="4">
                  <c:v>20.302536154105471</c:v>
                </c:pt>
                <c:pt idx="5">
                  <c:v>20.497099930923987</c:v>
                </c:pt>
                <c:pt idx="6">
                  <c:v>19.654787945150183</c:v>
                </c:pt>
                <c:pt idx="7">
                  <c:v>20.800544640975097</c:v>
                </c:pt>
                <c:pt idx="8">
                  <c:v>21.222373285978701</c:v>
                </c:pt>
                <c:pt idx="9">
                  <c:v>18.90603423685317</c:v>
                </c:pt>
                <c:pt idx="10">
                  <c:v>16.493271233190935</c:v>
                </c:pt>
                <c:pt idx="11">
                  <c:v>19.607081740333221</c:v>
                </c:pt>
                <c:pt idx="12">
                  <c:v>19.490483444437693</c:v>
                </c:pt>
                <c:pt idx="13">
                  <c:v>19.424566836368577</c:v>
                </c:pt>
                <c:pt idx="14">
                  <c:v>19.359973903810996</c:v>
                </c:pt>
                <c:pt idx="15">
                  <c:v>19.238164300614457</c:v>
                </c:pt>
                <c:pt idx="16">
                  <c:v>19.135752020860139</c:v>
                </c:pt>
                <c:pt idx="17">
                  <c:v>19.021439630303082</c:v>
                </c:pt>
                <c:pt idx="18">
                  <c:v>18.892922184186354</c:v>
                </c:pt>
                <c:pt idx="19">
                  <c:v>18.770969876773908</c:v>
                </c:pt>
                <c:pt idx="20">
                  <c:v>18.67109572318936</c:v>
                </c:pt>
                <c:pt idx="21">
                  <c:v>18.579498719946375</c:v>
                </c:pt>
                <c:pt idx="22">
                  <c:v>18.494569408087077</c:v>
                </c:pt>
                <c:pt idx="23">
                  <c:v>18.404826638497557</c:v>
                </c:pt>
                <c:pt idx="24">
                  <c:v>18.310802417397689</c:v>
                </c:pt>
                <c:pt idx="25">
                  <c:v>18.228830196942472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64B-4418-B5FD-BA328BECFEED}"/>
            </c:ext>
          </c:extLst>
        </c:ser>
        <c:ser>
          <c:idx val="0"/>
          <c:order val="1"/>
          <c:tx>
            <c:strRef>
              <c:f>'Occ F2'!$L$43</c:f>
              <c:strCache>
                <c:ptCount val="1"/>
                <c:pt idx="0">
                  <c:v>82 Transport and mobile machine drivers and operatives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F2'!$M$43:$AL$43</c:f>
              <c:numCache>
                <c:formatCode>#,##0</c:formatCode>
                <c:ptCount val="26"/>
                <c:pt idx="0">
                  <c:v>17.408659538386683</c:v>
                </c:pt>
                <c:pt idx="1">
                  <c:v>19.345991874045897</c:v>
                </c:pt>
                <c:pt idx="2">
                  <c:v>16.892404332295737</c:v>
                </c:pt>
                <c:pt idx="3">
                  <c:v>19.629599567818254</c:v>
                </c:pt>
                <c:pt idx="4">
                  <c:v>17.919186953718231</c:v>
                </c:pt>
                <c:pt idx="5">
                  <c:v>17.778560622425232</c:v>
                </c:pt>
                <c:pt idx="6">
                  <c:v>19.080637823328448</c:v>
                </c:pt>
                <c:pt idx="7">
                  <c:v>19.632922402435433</c:v>
                </c:pt>
                <c:pt idx="8">
                  <c:v>23.40434525356596</c:v>
                </c:pt>
                <c:pt idx="9">
                  <c:v>21.33316791771556</c:v>
                </c:pt>
                <c:pt idx="10">
                  <c:v>19.085919456589171</c:v>
                </c:pt>
                <c:pt idx="11">
                  <c:v>19.685794325813227</c:v>
                </c:pt>
                <c:pt idx="12">
                  <c:v>19.419546884897859</c:v>
                </c:pt>
                <c:pt idx="13">
                  <c:v>19.257289021235501</c:v>
                </c:pt>
                <c:pt idx="14">
                  <c:v>19.151977613876994</c:v>
                </c:pt>
                <c:pt idx="15">
                  <c:v>19.057044026799424</c:v>
                </c:pt>
                <c:pt idx="16">
                  <c:v>18.944863723858123</c:v>
                </c:pt>
                <c:pt idx="17">
                  <c:v>18.818692244581133</c:v>
                </c:pt>
                <c:pt idx="18">
                  <c:v>18.684052780232417</c:v>
                </c:pt>
                <c:pt idx="19">
                  <c:v>18.554583908509226</c:v>
                </c:pt>
                <c:pt idx="20">
                  <c:v>18.42576791490163</c:v>
                </c:pt>
                <c:pt idx="21">
                  <c:v>18.316653158858511</c:v>
                </c:pt>
                <c:pt idx="22">
                  <c:v>18.220953697340406</c:v>
                </c:pt>
                <c:pt idx="23">
                  <c:v>18.115865587055318</c:v>
                </c:pt>
                <c:pt idx="24">
                  <c:v>18.007310745483647</c:v>
                </c:pt>
                <c:pt idx="25">
                  <c:v>17.902063583152078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64B-4418-B5FD-BA328BECFE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5607792"/>
        <c:axId val="315608184"/>
      </c:areaChart>
      <c:catAx>
        <c:axId val="31560779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0818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608184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8.8607649703107728E-3"/>
              <c:y val="9.1407759840393486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0779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egendEntry>
        <c:idx val="0"/>
        <c:txPr>
          <a:bodyPr/>
          <a:lstStyle/>
          <a:p>
            <a:pPr>
              <a:defRPr sz="97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</c:legendEntry>
      <c:layout>
        <c:manualLayout>
          <c:xMode val="edge"/>
          <c:yMode val="edge"/>
          <c:x val="4.5796446052351572E-2"/>
          <c:y val="0.915818537710964"/>
          <c:w val="0.9001494998935945"/>
          <c:h val="7.6667373372317202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4873096446700524E-2"/>
          <c:y val="6.6176529986688937E-2"/>
          <c:w val="0.8946700507614217"/>
          <c:h val="0.77573599039955177"/>
        </c:manualLayout>
      </c:layout>
      <c:areaChart>
        <c:grouping val="stacked"/>
        <c:varyColors val="0"/>
        <c:ser>
          <c:idx val="1"/>
          <c:order val="0"/>
          <c:tx>
            <c:strRef>
              <c:f>'Occ F2'!$L$46</c:f>
              <c:strCache>
                <c:ptCount val="1"/>
                <c:pt idx="0">
                  <c:v>91 Elementary trades and related occupations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F2'!$M$46:$AL$46</c:f>
              <c:numCache>
                <c:formatCode>#,##0</c:formatCode>
                <c:ptCount val="26"/>
                <c:pt idx="0">
                  <c:v>7.8377391805773762</c:v>
                </c:pt>
                <c:pt idx="1">
                  <c:v>7.7636704848301941</c:v>
                </c:pt>
                <c:pt idx="2">
                  <c:v>7.4834317897554703</c:v>
                </c:pt>
                <c:pt idx="3">
                  <c:v>7.7825401778549077</c:v>
                </c:pt>
                <c:pt idx="4">
                  <c:v>8.7858675603967047</c:v>
                </c:pt>
                <c:pt idx="5">
                  <c:v>8.7079014188987056</c:v>
                </c:pt>
                <c:pt idx="6">
                  <c:v>8.4123452358504789</c:v>
                </c:pt>
                <c:pt idx="7">
                  <c:v>8.0713339828674346</c:v>
                </c:pt>
                <c:pt idx="8">
                  <c:v>8.6790593158713225</c:v>
                </c:pt>
                <c:pt idx="9">
                  <c:v>7.6248517810092737</c:v>
                </c:pt>
                <c:pt idx="10">
                  <c:v>6.6946553065972703</c:v>
                </c:pt>
                <c:pt idx="11">
                  <c:v>5.5436804697718172</c:v>
                </c:pt>
                <c:pt idx="12">
                  <c:v>5.4839602237962719</c:v>
                </c:pt>
                <c:pt idx="13">
                  <c:v>5.4288286508223056</c:v>
                </c:pt>
                <c:pt idx="14">
                  <c:v>5.3860601064470108</c:v>
                </c:pt>
                <c:pt idx="15">
                  <c:v>5.3429118918296057</c:v>
                </c:pt>
                <c:pt idx="16">
                  <c:v>5.294009306292601</c:v>
                </c:pt>
                <c:pt idx="17">
                  <c:v>5.245095311348809</c:v>
                </c:pt>
                <c:pt idx="18">
                  <c:v>5.1967438172778406</c:v>
                </c:pt>
                <c:pt idx="19">
                  <c:v>5.1480800652356811</c:v>
                </c:pt>
                <c:pt idx="20">
                  <c:v>5.1020284560399292</c:v>
                </c:pt>
                <c:pt idx="21">
                  <c:v>5.0574032665160624</c:v>
                </c:pt>
                <c:pt idx="22">
                  <c:v>5.0116082737490437</c:v>
                </c:pt>
                <c:pt idx="23">
                  <c:v>4.9665949487679653</c:v>
                </c:pt>
                <c:pt idx="24">
                  <c:v>4.9247465042556575</c:v>
                </c:pt>
                <c:pt idx="25">
                  <c:v>4.88114497890591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016-496A-AB20-744818E50B15}"/>
            </c:ext>
          </c:extLst>
        </c:ser>
        <c:ser>
          <c:idx val="0"/>
          <c:order val="1"/>
          <c:tx>
            <c:strRef>
              <c:f>'Occ F2'!$L$47</c:f>
              <c:strCache>
                <c:ptCount val="1"/>
                <c:pt idx="0">
                  <c:v>92 Elementary administration and service occupations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F2'!$M$47:$AL$47</c:f>
              <c:numCache>
                <c:formatCode>#,##0</c:formatCode>
                <c:ptCount val="26"/>
                <c:pt idx="0">
                  <c:v>50.509025781307621</c:v>
                </c:pt>
                <c:pt idx="1">
                  <c:v>49.144298887736142</c:v>
                </c:pt>
                <c:pt idx="2">
                  <c:v>46.840704040931605</c:v>
                </c:pt>
                <c:pt idx="3">
                  <c:v>47.800774184270665</c:v>
                </c:pt>
                <c:pt idx="4">
                  <c:v>48.225005130967233</c:v>
                </c:pt>
                <c:pt idx="5">
                  <c:v>51.673327938642913</c:v>
                </c:pt>
                <c:pt idx="6">
                  <c:v>49.973916389884252</c:v>
                </c:pt>
                <c:pt idx="7">
                  <c:v>52.905343870153267</c:v>
                </c:pt>
                <c:pt idx="8">
                  <c:v>49.304500584231803</c:v>
                </c:pt>
                <c:pt idx="9">
                  <c:v>48.780495954401637</c:v>
                </c:pt>
                <c:pt idx="10">
                  <c:v>46.103296758951288</c:v>
                </c:pt>
                <c:pt idx="11">
                  <c:v>47.369039436153265</c:v>
                </c:pt>
                <c:pt idx="12">
                  <c:v>46.741703293281915</c:v>
                </c:pt>
                <c:pt idx="13">
                  <c:v>46.374200521988456</c:v>
                </c:pt>
                <c:pt idx="14">
                  <c:v>46.157983117248499</c:v>
                </c:pt>
                <c:pt idx="15">
                  <c:v>45.977517729254544</c:v>
                </c:pt>
                <c:pt idx="16">
                  <c:v>45.827255566977207</c:v>
                </c:pt>
                <c:pt idx="17">
                  <c:v>45.672562386543511</c:v>
                </c:pt>
                <c:pt idx="18">
                  <c:v>45.56136422274448</c:v>
                </c:pt>
                <c:pt idx="19">
                  <c:v>45.452647325542536</c:v>
                </c:pt>
                <c:pt idx="20">
                  <c:v>45.349883529668524</c:v>
                </c:pt>
                <c:pt idx="21">
                  <c:v>45.240817923544853</c:v>
                </c:pt>
                <c:pt idx="22">
                  <c:v>45.163918184274614</c:v>
                </c:pt>
                <c:pt idx="23">
                  <c:v>45.072568508984432</c:v>
                </c:pt>
                <c:pt idx="24">
                  <c:v>44.962954227212855</c:v>
                </c:pt>
                <c:pt idx="25">
                  <c:v>44.843080771914373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016-496A-AB20-744818E50B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5608968"/>
        <c:axId val="315609360"/>
      </c:areaChart>
      <c:catAx>
        <c:axId val="31560896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093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609360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451776649747034E-3"/>
              <c:y val="9.1911847203734638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0896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6.8844899891323919E-2"/>
          <c:y val="0.91770442156268928"/>
          <c:w val="0.87492742704367699"/>
          <c:h val="7.678168534221684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4000718237922956E-2"/>
          <c:y val="5.3619302949061684E-2"/>
          <c:w val="0.86958661417322847"/>
          <c:h val="0.74962385222351946"/>
        </c:manualLayout>
      </c:layout>
      <c:lineChart>
        <c:grouping val="standard"/>
        <c:varyColors val="0"/>
        <c:ser>
          <c:idx val="0"/>
          <c:order val="0"/>
          <c:tx>
            <c:strRef>
              <c:f>'Occ F2'!$L$5</c:f>
              <c:strCache>
                <c:ptCount val="1"/>
                <c:pt idx="0">
                  <c:v>Managers, directors and senior officials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F2'!$M$5:$AL$5</c:f>
              <c:numCache>
                <c:formatCode>#,##0</c:formatCode>
                <c:ptCount val="26"/>
                <c:pt idx="0">
                  <c:v>30.163363995590686</c:v>
                </c:pt>
                <c:pt idx="1">
                  <c:v>32.925071678868932</c:v>
                </c:pt>
                <c:pt idx="2">
                  <c:v>32.748451208256142</c:v>
                </c:pt>
                <c:pt idx="3">
                  <c:v>34.58830271983507</c:v>
                </c:pt>
                <c:pt idx="4">
                  <c:v>33.752645787883651</c:v>
                </c:pt>
                <c:pt idx="5">
                  <c:v>36.006205962267231</c:v>
                </c:pt>
                <c:pt idx="6">
                  <c:v>32.829477421918028</c:v>
                </c:pt>
                <c:pt idx="7">
                  <c:v>34.713119907937511</c:v>
                </c:pt>
                <c:pt idx="8">
                  <c:v>36.671678487925128</c:v>
                </c:pt>
                <c:pt idx="9">
                  <c:v>39.967668672295616</c:v>
                </c:pt>
                <c:pt idx="10">
                  <c:v>40.245078724761129</c:v>
                </c:pt>
                <c:pt idx="11">
                  <c:v>39.218912053926296</c:v>
                </c:pt>
                <c:pt idx="12">
                  <c:v>39.461975505286816</c:v>
                </c:pt>
                <c:pt idx="13">
                  <c:v>39.876896703075474</c:v>
                </c:pt>
                <c:pt idx="14">
                  <c:v>40.376967866745289</c:v>
                </c:pt>
                <c:pt idx="15">
                  <c:v>40.862520683519087</c:v>
                </c:pt>
                <c:pt idx="16">
                  <c:v>41.317467972732175</c:v>
                </c:pt>
                <c:pt idx="17">
                  <c:v>41.791311134885817</c:v>
                </c:pt>
                <c:pt idx="18">
                  <c:v>42.278681791165852</c:v>
                </c:pt>
                <c:pt idx="19">
                  <c:v>42.75929827021362</c:v>
                </c:pt>
                <c:pt idx="20">
                  <c:v>43.258712678321785</c:v>
                </c:pt>
                <c:pt idx="21">
                  <c:v>43.802636237337339</c:v>
                </c:pt>
                <c:pt idx="22">
                  <c:v>44.398533818838686</c:v>
                </c:pt>
                <c:pt idx="23">
                  <c:v>44.908888555329348</c:v>
                </c:pt>
                <c:pt idx="24">
                  <c:v>45.394610577729487</c:v>
                </c:pt>
                <c:pt idx="25">
                  <c:v>45.689137815915871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EA5-4D32-A8A8-47EDF4EA3691}"/>
            </c:ext>
          </c:extLst>
        </c:ser>
        <c:ser>
          <c:idx val="1"/>
          <c:order val="1"/>
          <c:tx>
            <c:strRef>
              <c:f>'Occ F2'!$L$9</c:f>
              <c:strCache>
                <c:ptCount val="1"/>
                <c:pt idx="0">
                  <c:v>Professional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quar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F2'!$M$9:$AL$9</c:f>
              <c:numCache>
                <c:formatCode>#,##0</c:formatCode>
                <c:ptCount val="26"/>
                <c:pt idx="0">
                  <c:v>84.838258647618744</c:v>
                </c:pt>
                <c:pt idx="1">
                  <c:v>83.428096220108273</c:v>
                </c:pt>
                <c:pt idx="2">
                  <c:v>85.088062736759866</c:v>
                </c:pt>
                <c:pt idx="3">
                  <c:v>83.533986979240524</c:v>
                </c:pt>
                <c:pt idx="4">
                  <c:v>87.185179997776956</c:v>
                </c:pt>
                <c:pt idx="5">
                  <c:v>90.125276635320631</c:v>
                </c:pt>
                <c:pt idx="6">
                  <c:v>86.144198695685034</c:v>
                </c:pt>
                <c:pt idx="7">
                  <c:v>87.168757258555885</c:v>
                </c:pt>
                <c:pt idx="8">
                  <c:v>91.188165057450746</c:v>
                </c:pt>
                <c:pt idx="9">
                  <c:v>92.878705546459898</c:v>
                </c:pt>
                <c:pt idx="10">
                  <c:v>99.067530958461219</c:v>
                </c:pt>
                <c:pt idx="11">
                  <c:v>101.74009583142427</c:v>
                </c:pt>
                <c:pt idx="12">
                  <c:v>102.94394248020524</c:v>
                </c:pt>
                <c:pt idx="13">
                  <c:v>104.14298897841137</c:v>
                </c:pt>
                <c:pt idx="14">
                  <c:v>105.39949704766782</c:v>
                </c:pt>
                <c:pt idx="15">
                  <c:v>106.4965017389784</c:v>
                </c:pt>
                <c:pt idx="16">
                  <c:v>107.50359938356488</c:v>
                </c:pt>
                <c:pt idx="17">
                  <c:v>108.49553685499814</c:v>
                </c:pt>
                <c:pt idx="18">
                  <c:v>109.48484249873059</c:v>
                </c:pt>
                <c:pt idx="19">
                  <c:v>110.46768045925837</c:v>
                </c:pt>
                <c:pt idx="20">
                  <c:v>111.5092304396141</c:v>
                </c:pt>
                <c:pt idx="21">
                  <c:v>112.58977028270992</c:v>
                </c:pt>
                <c:pt idx="22">
                  <c:v>113.65855787754941</c:v>
                </c:pt>
                <c:pt idx="23">
                  <c:v>114.72519542596078</c:v>
                </c:pt>
                <c:pt idx="24">
                  <c:v>115.79035721535632</c:v>
                </c:pt>
                <c:pt idx="25">
                  <c:v>116.80390113270077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EA5-4D32-A8A8-47EDF4EA3691}"/>
            </c:ext>
          </c:extLst>
        </c:ser>
        <c:ser>
          <c:idx val="2"/>
          <c:order val="2"/>
          <c:tx>
            <c:strRef>
              <c:f>'Occ F2'!$L$15</c:f>
              <c:strCache>
                <c:ptCount val="1"/>
                <c:pt idx="0">
                  <c:v>Associate professional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diamond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F2'!$M$15:$AL$15</c:f>
              <c:numCache>
                <c:formatCode>#,##0</c:formatCode>
                <c:ptCount val="26"/>
                <c:pt idx="0">
                  <c:v>50.280531084012054</c:v>
                </c:pt>
                <c:pt idx="1">
                  <c:v>50.119233176124936</c:v>
                </c:pt>
                <c:pt idx="2">
                  <c:v>49.737840122298465</c:v>
                </c:pt>
                <c:pt idx="3">
                  <c:v>50.50495516889815</c:v>
                </c:pt>
                <c:pt idx="4">
                  <c:v>50.572774057292051</c:v>
                </c:pt>
                <c:pt idx="5">
                  <c:v>51.546924924381955</c:v>
                </c:pt>
                <c:pt idx="6">
                  <c:v>49.354786954497143</c:v>
                </c:pt>
                <c:pt idx="7">
                  <c:v>51.475901889800717</c:v>
                </c:pt>
                <c:pt idx="8">
                  <c:v>53.624566232250984</c:v>
                </c:pt>
                <c:pt idx="9">
                  <c:v>53.529641037873461</c:v>
                </c:pt>
                <c:pt idx="10">
                  <c:v>56.077056232920341</c:v>
                </c:pt>
                <c:pt idx="11">
                  <c:v>52.681448368703251</c:v>
                </c:pt>
                <c:pt idx="12">
                  <c:v>52.736131827950231</c:v>
                </c:pt>
                <c:pt idx="13">
                  <c:v>53.048466000735004</c:v>
                </c:pt>
                <c:pt idx="14">
                  <c:v>53.4215465765757</c:v>
                </c:pt>
                <c:pt idx="15">
                  <c:v>53.792100904177957</c:v>
                </c:pt>
                <c:pt idx="16">
                  <c:v>54.120172243716596</c:v>
                </c:pt>
                <c:pt idx="17">
                  <c:v>54.450198141007398</c:v>
                </c:pt>
                <c:pt idx="18">
                  <c:v>54.794177468801664</c:v>
                </c:pt>
                <c:pt idx="19">
                  <c:v>55.115584460837312</c:v>
                </c:pt>
                <c:pt idx="20">
                  <c:v>55.479715118755834</c:v>
                </c:pt>
                <c:pt idx="21">
                  <c:v>55.844589201013825</c:v>
                </c:pt>
                <c:pt idx="22">
                  <c:v>56.21608623399996</c:v>
                </c:pt>
                <c:pt idx="23">
                  <c:v>56.594660837564923</c:v>
                </c:pt>
                <c:pt idx="24">
                  <c:v>56.978593557460364</c:v>
                </c:pt>
                <c:pt idx="25">
                  <c:v>57.41907279072538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EA5-4D32-A8A8-47EDF4EA3691}"/>
            </c:ext>
          </c:extLst>
        </c:ser>
        <c:ser>
          <c:idx val="3"/>
          <c:order val="3"/>
          <c:tx>
            <c:strRef>
              <c:f>'Occ F2'!$L$22</c:f>
              <c:strCache>
                <c:ptCount val="1"/>
                <c:pt idx="0">
                  <c:v>Administrative and secretarial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triang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F2'!$M$22:$AL$22</c:f>
              <c:numCache>
                <c:formatCode>#,##0</c:formatCode>
                <c:ptCount val="26"/>
                <c:pt idx="0">
                  <c:v>54.973126562536493</c:v>
                </c:pt>
                <c:pt idx="1">
                  <c:v>53.927538565081122</c:v>
                </c:pt>
                <c:pt idx="2">
                  <c:v>51.171391662341613</c:v>
                </c:pt>
                <c:pt idx="3">
                  <c:v>51.299947410273987</c:v>
                </c:pt>
                <c:pt idx="4">
                  <c:v>53.417084998114191</c:v>
                </c:pt>
                <c:pt idx="5">
                  <c:v>55.285626195180079</c:v>
                </c:pt>
                <c:pt idx="6">
                  <c:v>51.115676013171729</c:v>
                </c:pt>
                <c:pt idx="7">
                  <c:v>51.108921739749277</c:v>
                </c:pt>
                <c:pt idx="8">
                  <c:v>52.445404727204497</c:v>
                </c:pt>
                <c:pt idx="9">
                  <c:v>50.43141193244513</c:v>
                </c:pt>
                <c:pt idx="10">
                  <c:v>52.503095815052475</c:v>
                </c:pt>
                <c:pt idx="11">
                  <c:v>50.237284737095621</c:v>
                </c:pt>
                <c:pt idx="12">
                  <c:v>49.856636387717174</c:v>
                </c:pt>
                <c:pt idx="13">
                  <c:v>49.585639560273016</c:v>
                </c:pt>
                <c:pt idx="14">
                  <c:v>49.377616277139325</c:v>
                </c:pt>
                <c:pt idx="15">
                  <c:v>49.196634777047372</c:v>
                </c:pt>
                <c:pt idx="16">
                  <c:v>48.92950554747685</c:v>
                </c:pt>
                <c:pt idx="17">
                  <c:v>48.63742384083978</c:v>
                </c:pt>
                <c:pt idx="18">
                  <c:v>48.289164507164955</c:v>
                </c:pt>
                <c:pt idx="19">
                  <c:v>47.985078666475971</c:v>
                </c:pt>
                <c:pt idx="20">
                  <c:v>47.664820759601845</c:v>
                </c:pt>
                <c:pt idx="21">
                  <c:v>47.189862449675701</c:v>
                </c:pt>
                <c:pt idx="22">
                  <c:v>46.648203701534023</c:v>
                </c:pt>
                <c:pt idx="23">
                  <c:v>46.255950857907635</c:v>
                </c:pt>
                <c:pt idx="24">
                  <c:v>45.919374219671219</c:v>
                </c:pt>
                <c:pt idx="25">
                  <c:v>45.868596016759618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2EA5-4D32-A8A8-47EDF4EA3691}"/>
            </c:ext>
          </c:extLst>
        </c:ser>
        <c:ser>
          <c:idx val="4"/>
          <c:order val="4"/>
          <c:tx>
            <c:strRef>
              <c:f>'Occ F2'!$L$26</c:f>
              <c:strCache>
                <c:ptCount val="1"/>
                <c:pt idx="0">
                  <c:v>Skilled trades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tar"/>
            <c:size val="6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F2'!$M$26:$AL$26</c:f>
              <c:numCache>
                <c:formatCode>#,##0</c:formatCode>
                <c:ptCount val="26"/>
                <c:pt idx="0">
                  <c:v>58.429921127400121</c:v>
                </c:pt>
                <c:pt idx="1">
                  <c:v>60.306904667384345</c:v>
                </c:pt>
                <c:pt idx="2">
                  <c:v>53.104775290144147</c:v>
                </c:pt>
                <c:pt idx="3">
                  <c:v>57.031528427624821</c:v>
                </c:pt>
                <c:pt idx="4">
                  <c:v>56.867868468609814</c:v>
                </c:pt>
                <c:pt idx="5">
                  <c:v>57.02228187837261</c:v>
                </c:pt>
                <c:pt idx="6">
                  <c:v>52.397100513467905</c:v>
                </c:pt>
                <c:pt idx="7">
                  <c:v>55.019120919377841</c:v>
                </c:pt>
                <c:pt idx="8">
                  <c:v>55.956268777522297</c:v>
                </c:pt>
                <c:pt idx="9">
                  <c:v>56.025309387048864</c:v>
                </c:pt>
                <c:pt idx="10">
                  <c:v>48.245712549332183</c:v>
                </c:pt>
                <c:pt idx="11">
                  <c:v>48.370476702107581</c:v>
                </c:pt>
                <c:pt idx="12">
                  <c:v>47.877215486404424</c:v>
                </c:pt>
                <c:pt idx="13">
                  <c:v>47.377676237075761</c:v>
                </c:pt>
                <c:pt idx="14">
                  <c:v>47.02329937747291</c:v>
                </c:pt>
                <c:pt idx="15">
                  <c:v>46.732747293258697</c:v>
                </c:pt>
                <c:pt idx="16">
                  <c:v>46.38833701226423</c:v>
                </c:pt>
                <c:pt idx="17">
                  <c:v>46.011229339955392</c:v>
                </c:pt>
                <c:pt idx="18">
                  <c:v>45.658088601666698</c:v>
                </c:pt>
                <c:pt idx="19">
                  <c:v>45.299198386559588</c:v>
                </c:pt>
                <c:pt idx="20">
                  <c:v>44.960584724352948</c:v>
                </c:pt>
                <c:pt idx="21">
                  <c:v>44.631090819525127</c:v>
                </c:pt>
                <c:pt idx="22">
                  <c:v>44.302499018834055</c:v>
                </c:pt>
                <c:pt idx="23">
                  <c:v>43.949006239924294</c:v>
                </c:pt>
                <c:pt idx="24">
                  <c:v>43.587999379219923</c:v>
                </c:pt>
                <c:pt idx="25">
                  <c:v>43.17648751920472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2EA5-4D32-A8A8-47EDF4EA3691}"/>
            </c:ext>
          </c:extLst>
        </c:ser>
        <c:ser>
          <c:idx val="5"/>
          <c:order val="5"/>
          <c:tx>
            <c:strRef>
              <c:f>'Occ F2'!$L$32</c:f>
              <c:strCache>
                <c:ptCount val="1"/>
                <c:pt idx="0">
                  <c:v>Caring, leisure and other service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x"/>
            <c:size val="6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F2'!$M$32:$AL$32</c:f>
              <c:numCache>
                <c:formatCode>#,##0</c:formatCode>
                <c:ptCount val="26"/>
                <c:pt idx="0">
                  <c:v>42.86697141715117</c:v>
                </c:pt>
                <c:pt idx="1">
                  <c:v>40.72732097415944</c:v>
                </c:pt>
                <c:pt idx="2">
                  <c:v>41.062586348601627</c:v>
                </c:pt>
                <c:pt idx="3">
                  <c:v>40.724750467522703</c:v>
                </c:pt>
                <c:pt idx="4">
                  <c:v>44.161423718101581</c:v>
                </c:pt>
                <c:pt idx="5">
                  <c:v>44.888544099919955</c:v>
                </c:pt>
                <c:pt idx="6">
                  <c:v>41.903475593631413</c:v>
                </c:pt>
                <c:pt idx="7">
                  <c:v>42.93229360284122</c:v>
                </c:pt>
                <c:pt idx="8">
                  <c:v>43.132757415145178</c:v>
                </c:pt>
                <c:pt idx="9">
                  <c:v>43.233422460822304</c:v>
                </c:pt>
                <c:pt idx="10">
                  <c:v>42.842121741005315</c:v>
                </c:pt>
                <c:pt idx="11">
                  <c:v>43.653063333112343</c:v>
                </c:pt>
                <c:pt idx="12">
                  <c:v>43.842159282041173</c:v>
                </c:pt>
                <c:pt idx="13">
                  <c:v>44.110137116668405</c:v>
                </c:pt>
                <c:pt idx="14">
                  <c:v>44.375770529404456</c:v>
                </c:pt>
                <c:pt idx="15">
                  <c:v>44.580249740757665</c:v>
                </c:pt>
                <c:pt idx="16">
                  <c:v>44.71979998107048</c:v>
                </c:pt>
                <c:pt idx="17">
                  <c:v>44.832031297290989</c:v>
                </c:pt>
                <c:pt idx="18">
                  <c:v>44.959913218802711</c:v>
                </c:pt>
                <c:pt idx="19">
                  <c:v>45.066177875744685</c:v>
                </c:pt>
                <c:pt idx="20">
                  <c:v>45.209477718666228</c:v>
                </c:pt>
                <c:pt idx="21">
                  <c:v>45.363102128931104</c:v>
                </c:pt>
                <c:pt idx="22">
                  <c:v>45.530654916439637</c:v>
                </c:pt>
                <c:pt idx="23">
                  <c:v>45.70607679762967</c:v>
                </c:pt>
                <c:pt idx="24">
                  <c:v>45.884726518391524</c:v>
                </c:pt>
                <c:pt idx="25">
                  <c:v>46.050455885843554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2EA5-4D32-A8A8-47EDF4EA3691}"/>
            </c:ext>
          </c:extLst>
        </c:ser>
        <c:ser>
          <c:idx val="6"/>
          <c:order val="6"/>
          <c:tx>
            <c:strRef>
              <c:f>'Occ F2'!$L$37</c:f>
              <c:strCache>
                <c:ptCount val="1"/>
                <c:pt idx="0">
                  <c:v>Sales and customer service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squar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F2'!$M$37:$AL$37</c:f>
              <c:numCache>
                <c:formatCode>#,##0</c:formatCode>
                <c:ptCount val="26"/>
                <c:pt idx="0">
                  <c:v>48.443694116589093</c:v>
                </c:pt>
                <c:pt idx="1">
                  <c:v>49.500333973206693</c:v>
                </c:pt>
                <c:pt idx="2">
                  <c:v>50.574662655845195</c:v>
                </c:pt>
                <c:pt idx="3">
                  <c:v>47.902498424798594</c:v>
                </c:pt>
                <c:pt idx="4">
                  <c:v>54.47842717303385</c:v>
                </c:pt>
                <c:pt idx="5">
                  <c:v>56.179250393666827</c:v>
                </c:pt>
                <c:pt idx="6">
                  <c:v>54.428597413415226</c:v>
                </c:pt>
                <c:pt idx="7">
                  <c:v>52.779739785306546</c:v>
                </c:pt>
                <c:pt idx="8">
                  <c:v>50.182880862853501</c:v>
                </c:pt>
                <c:pt idx="9">
                  <c:v>50.864291073074931</c:v>
                </c:pt>
                <c:pt idx="10">
                  <c:v>51.568261223138805</c:v>
                </c:pt>
                <c:pt idx="11">
                  <c:v>50.837123001559156</c:v>
                </c:pt>
                <c:pt idx="12">
                  <c:v>50.889245183981345</c:v>
                </c:pt>
                <c:pt idx="13">
                  <c:v>51.069310373346276</c:v>
                </c:pt>
                <c:pt idx="14">
                  <c:v>51.307307583610751</c:v>
                </c:pt>
                <c:pt idx="15">
                  <c:v>51.47460691376255</c:v>
                </c:pt>
                <c:pt idx="16">
                  <c:v>51.590237241186799</c:v>
                </c:pt>
                <c:pt idx="17">
                  <c:v>51.664479818245994</c:v>
                </c:pt>
                <c:pt idx="18">
                  <c:v>51.72604890922652</c:v>
                </c:pt>
                <c:pt idx="19">
                  <c:v>51.797700704849071</c:v>
                </c:pt>
                <c:pt idx="20">
                  <c:v>51.860682936887947</c:v>
                </c:pt>
                <c:pt idx="21">
                  <c:v>51.906575811941181</c:v>
                </c:pt>
                <c:pt idx="22">
                  <c:v>51.912414869352979</c:v>
                </c:pt>
                <c:pt idx="23">
                  <c:v>51.943365602377995</c:v>
                </c:pt>
                <c:pt idx="24">
                  <c:v>51.951524637821542</c:v>
                </c:pt>
                <c:pt idx="25">
                  <c:v>51.915229307935128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2EA5-4D32-A8A8-47EDF4EA3691}"/>
            </c:ext>
          </c:extLst>
        </c:ser>
        <c:ser>
          <c:idx val="7"/>
          <c:order val="7"/>
          <c:tx>
            <c:strRef>
              <c:f>'Occ F2'!$L$41</c:f>
              <c:strCache>
                <c:ptCount val="1"/>
                <c:pt idx="0">
                  <c:v>Process, plant and machine operatives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diamond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F2'!$M$41:$AL$41</c:f>
              <c:numCache>
                <c:formatCode>#,##0</c:formatCode>
                <c:ptCount val="26"/>
                <c:pt idx="0">
                  <c:v>37.933368087216721</c:v>
                </c:pt>
                <c:pt idx="1">
                  <c:v>37.79853137250015</c:v>
                </c:pt>
                <c:pt idx="2">
                  <c:v>35.983094145065948</c:v>
                </c:pt>
                <c:pt idx="3">
                  <c:v>41.046716039680305</c:v>
                </c:pt>
                <c:pt idx="4">
                  <c:v>38.221723107823706</c:v>
                </c:pt>
                <c:pt idx="5">
                  <c:v>38.275660553349219</c:v>
                </c:pt>
                <c:pt idx="6">
                  <c:v>38.735425768478635</c:v>
                </c:pt>
                <c:pt idx="7">
                  <c:v>40.433467043410531</c:v>
                </c:pt>
                <c:pt idx="8">
                  <c:v>44.626718539544662</c:v>
                </c:pt>
                <c:pt idx="9">
                  <c:v>40.23920215456873</c:v>
                </c:pt>
                <c:pt idx="10">
                  <c:v>35.579190689780106</c:v>
                </c:pt>
                <c:pt idx="11">
                  <c:v>39.292876066146448</c:v>
                </c:pt>
                <c:pt idx="12">
                  <c:v>38.910030329335555</c:v>
                </c:pt>
                <c:pt idx="13">
                  <c:v>38.681855857604077</c:v>
                </c:pt>
                <c:pt idx="14">
                  <c:v>38.51195151768799</c:v>
                </c:pt>
                <c:pt idx="15">
                  <c:v>38.295208327413881</c:v>
                </c:pt>
                <c:pt idx="16">
                  <c:v>38.080615744718258</c:v>
                </c:pt>
                <c:pt idx="17">
                  <c:v>37.840131874884214</c:v>
                </c:pt>
                <c:pt idx="18">
                  <c:v>37.576974964418767</c:v>
                </c:pt>
                <c:pt idx="19">
                  <c:v>37.325553785283134</c:v>
                </c:pt>
                <c:pt idx="20">
                  <c:v>37.096863638090994</c:v>
                </c:pt>
                <c:pt idx="21">
                  <c:v>36.896151878804886</c:v>
                </c:pt>
                <c:pt idx="22">
                  <c:v>36.715523105427479</c:v>
                </c:pt>
                <c:pt idx="23">
                  <c:v>36.520692225552878</c:v>
                </c:pt>
                <c:pt idx="24">
                  <c:v>36.318113162881332</c:v>
                </c:pt>
                <c:pt idx="25">
                  <c:v>36.130893780094553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2EA5-4D32-A8A8-47EDF4EA3691}"/>
            </c:ext>
          </c:extLst>
        </c:ser>
        <c:ser>
          <c:idx val="8"/>
          <c:order val="8"/>
          <c:tx>
            <c:strRef>
              <c:f>'Occ F2'!$L$45</c:f>
              <c:strCache>
                <c:ptCount val="1"/>
                <c:pt idx="0">
                  <c:v>Elementary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triang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F2'!$M$45:$AL$45</c:f>
              <c:numCache>
                <c:formatCode>#,##0</c:formatCode>
                <c:ptCount val="26"/>
                <c:pt idx="0">
                  <c:v>58.346764961885</c:v>
                </c:pt>
                <c:pt idx="1">
                  <c:v>56.907969372566335</c:v>
                </c:pt>
                <c:pt idx="2">
                  <c:v>54.324135830687077</c:v>
                </c:pt>
                <c:pt idx="3">
                  <c:v>55.58331436212557</c:v>
                </c:pt>
                <c:pt idx="4">
                  <c:v>57.010872691363936</c:v>
                </c:pt>
                <c:pt idx="5">
                  <c:v>60.381229357541621</c:v>
                </c:pt>
                <c:pt idx="6">
                  <c:v>58.386261625734733</c:v>
                </c:pt>
                <c:pt idx="7">
                  <c:v>60.976677853020703</c:v>
                </c:pt>
                <c:pt idx="8">
                  <c:v>57.983559900103124</c:v>
                </c:pt>
                <c:pt idx="9">
                  <c:v>56.405347735410913</c:v>
                </c:pt>
                <c:pt idx="10">
                  <c:v>52.797952065548557</c:v>
                </c:pt>
                <c:pt idx="11">
                  <c:v>52.91271990592508</c:v>
                </c:pt>
                <c:pt idx="12">
                  <c:v>52.225663517078189</c:v>
                </c:pt>
                <c:pt idx="13">
                  <c:v>51.80302917281076</c:v>
                </c:pt>
                <c:pt idx="14">
                  <c:v>51.54404322369551</c:v>
                </c:pt>
                <c:pt idx="15">
                  <c:v>51.320429621084152</c:v>
                </c:pt>
                <c:pt idx="16">
                  <c:v>51.121264873269809</c:v>
                </c:pt>
                <c:pt idx="17">
                  <c:v>50.917657697892324</c:v>
                </c:pt>
                <c:pt idx="18">
                  <c:v>50.758108040022321</c:v>
                </c:pt>
                <c:pt idx="19">
                  <c:v>50.600727390778218</c:v>
                </c:pt>
                <c:pt idx="20">
                  <c:v>50.451911985708456</c:v>
                </c:pt>
                <c:pt idx="21">
                  <c:v>50.298221190060914</c:v>
                </c:pt>
                <c:pt idx="22">
                  <c:v>50.175526458023654</c:v>
                </c:pt>
                <c:pt idx="23">
                  <c:v>50.039163457752394</c:v>
                </c:pt>
                <c:pt idx="24">
                  <c:v>49.887700731468513</c:v>
                </c:pt>
                <c:pt idx="25">
                  <c:v>49.724225750820281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2EA5-4D32-A8A8-47EDF4EA36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5610144"/>
        <c:axId val="315610536"/>
      </c:lineChart>
      <c:catAx>
        <c:axId val="31561014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1053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61053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 rot="0" vert="horz"/>
              <a:lstStyle/>
              <a:p>
                <a:pPr algn="l">
                  <a:defRPr sz="14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 sz="1400"/>
                  <a:t>thousands</a:t>
                </a:r>
              </a:p>
            </c:rich>
          </c:tx>
          <c:layout>
            <c:manualLayout>
              <c:xMode val="edge"/>
              <c:yMode val="edge"/>
              <c:x val="6.3291391785486274E-3"/>
              <c:y val="1.0908478711454443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10144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1.5142849542455844E-2"/>
          <c:y val="0.86539777165078335"/>
          <c:w val="0.96587039795701224"/>
          <c:h val="0.12216851442465591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05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0886119762485017E-2"/>
          <c:y val="5.3619302949061684E-2"/>
          <c:w val="0.91012714480759949"/>
          <c:h val="0.7559222194989994"/>
        </c:manualLayout>
      </c:layout>
      <c:areaChart>
        <c:grouping val="percentStacked"/>
        <c:varyColors val="0"/>
        <c:ser>
          <c:idx val="0"/>
          <c:order val="0"/>
          <c:tx>
            <c:strRef>
              <c:f>'Occ F2'!$L$5</c:f>
              <c:strCache>
                <c:ptCount val="1"/>
                <c:pt idx="0">
                  <c:v>Managers, directors and senior officials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F2'!$M$5:$AL$5</c:f>
              <c:numCache>
                <c:formatCode>#,##0</c:formatCode>
                <c:ptCount val="26"/>
                <c:pt idx="0">
                  <c:v>30.163363995590686</c:v>
                </c:pt>
                <c:pt idx="1">
                  <c:v>32.925071678868932</c:v>
                </c:pt>
                <c:pt idx="2">
                  <c:v>32.748451208256142</c:v>
                </c:pt>
                <c:pt idx="3">
                  <c:v>34.58830271983507</c:v>
                </c:pt>
                <c:pt idx="4">
                  <c:v>33.752645787883651</c:v>
                </c:pt>
                <c:pt idx="5">
                  <c:v>36.006205962267231</c:v>
                </c:pt>
                <c:pt idx="6">
                  <c:v>32.829477421918028</c:v>
                </c:pt>
                <c:pt idx="7">
                  <c:v>34.713119907937511</c:v>
                </c:pt>
                <c:pt idx="8">
                  <c:v>36.671678487925128</c:v>
                </c:pt>
                <c:pt idx="9">
                  <c:v>39.967668672295616</c:v>
                </c:pt>
                <c:pt idx="10">
                  <c:v>40.245078724761129</c:v>
                </c:pt>
                <c:pt idx="11">
                  <c:v>39.218912053926296</c:v>
                </c:pt>
                <c:pt idx="12">
                  <c:v>39.461975505286816</c:v>
                </c:pt>
                <c:pt idx="13">
                  <c:v>39.876896703075474</c:v>
                </c:pt>
                <c:pt idx="14">
                  <c:v>40.376967866745289</c:v>
                </c:pt>
                <c:pt idx="15">
                  <c:v>40.862520683519087</c:v>
                </c:pt>
                <c:pt idx="16">
                  <c:v>41.317467972732175</c:v>
                </c:pt>
                <c:pt idx="17">
                  <c:v>41.791311134885817</c:v>
                </c:pt>
                <c:pt idx="18">
                  <c:v>42.278681791165852</c:v>
                </c:pt>
                <c:pt idx="19">
                  <c:v>42.75929827021362</c:v>
                </c:pt>
                <c:pt idx="20">
                  <c:v>43.258712678321785</c:v>
                </c:pt>
                <c:pt idx="21">
                  <c:v>43.802636237337339</c:v>
                </c:pt>
                <c:pt idx="22">
                  <c:v>44.398533818838686</c:v>
                </c:pt>
                <c:pt idx="23">
                  <c:v>44.908888555329348</c:v>
                </c:pt>
                <c:pt idx="24">
                  <c:v>45.394610577729487</c:v>
                </c:pt>
                <c:pt idx="25">
                  <c:v>45.689137815915871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C3D-4F0C-A75A-38C35ADEECD8}"/>
            </c:ext>
          </c:extLst>
        </c:ser>
        <c:ser>
          <c:idx val="1"/>
          <c:order val="1"/>
          <c:tx>
            <c:strRef>
              <c:f>'Occ F2'!$L$9</c:f>
              <c:strCache>
                <c:ptCount val="1"/>
                <c:pt idx="0">
                  <c:v>Professional occupations</c:v>
                </c:pt>
              </c:strCache>
            </c:strRef>
          </c:tx>
          <c:spPr>
            <a:solidFill>
              <a:schemeClr val="tx1">
                <a:lumMod val="85000"/>
                <a:lumOff val="1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F2'!$M$9:$AL$9</c:f>
              <c:numCache>
                <c:formatCode>#,##0</c:formatCode>
                <c:ptCount val="26"/>
                <c:pt idx="0">
                  <c:v>84.838258647618744</c:v>
                </c:pt>
                <c:pt idx="1">
                  <c:v>83.428096220108273</c:v>
                </c:pt>
                <c:pt idx="2">
                  <c:v>85.088062736759866</c:v>
                </c:pt>
                <c:pt idx="3">
                  <c:v>83.533986979240524</c:v>
                </c:pt>
                <c:pt idx="4">
                  <c:v>87.185179997776956</c:v>
                </c:pt>
                <c:pt idx="5">
                  <c:v>90.125276635320631</c:v>
                </c:pt>
                <c:pt idx="6">
                  <c:v>86.144198695685034</c:v>
                </c:pt>
                <c:pt idx="7">
                  <c:v>87.168757258555885</c:v>
                </c:pt>
                <c:pt idx="8">
                  <c:v>91.188165057450746</c:v>
                </c:pt>
                <c:pt idx="9">
                  <c:v>92.878705546459898</c:v>
                </c:pt>
                <c:pt idx="10">
                  <c:v>99.067530958461219</c:v>
                </c:pt>
                <c:pt idx="11">
                  <c:v>101.74009583142427</c:v>
                </c:pt>
                <c:pt idx="12">
                  <c:v>102.94394248020524</c:v>
                </c:pt>
                <c:pt idx="13">
                  <c:v>104.14298897841137</c:v>
                </c:pt>
                <c:pt idx="14">
                  <c:v>105.39949704766782</c:v>
                </c:pt>
                <c:pt idx="15">
                  <c:v>106.4965017389784</c:v>
                </c:pt>
                <c:pt idx="16">
                  <c:v>107.50359938356488</c:v>
                </c:pt>
                <c:pt idx="17">
                  <c:v>108.49553685499814</c:v>
                </c:pt>
                <c:pt idx="18">
                  <c:v>109.48484249873059</c:v>
                </c:pt>
                <c:pt idx="19">
                  <c:v>110.46768045925837</c:v>
                </c:pt>
                <c:pt idx="20">
                  <c:v>111.5092304396141</c:v>
                </c:pt>
                <c:pt idx="21">
                  <c:v>112.58977028270992</c:v>
                </c:pt>
                <c:pt idx="22">
                  <c:v>113.65855787754941</c:v>
                </c:pt>
                <c:pt idx="23">
                  <c:v>114.72519542596078</c:v>
                </c:pt>
                <c:pt idx="24">
                  <c:v>115.79035721535632</c:v>
                </c:pt>
                <c:pt idx="25">
                  <c:v>116.80390113270077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C3D-4F0C-A75A-38C35ADEECD8}"/>
            </c:ext>
          </c:extLst>
        </c:ser>
        <c:ser>
          <c:idx val="2"/>
          <c:order val="2"/>
          <c:tx>
            <c:strRef>
              <c:f>'Occ F2'!$L$15</c:f>
              <c:strCache>
                <c:ptCount val="1"/>
                <c:pt idx="0">
                  <c:v>Associate professional occupations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F2'!$M$15:$AL$15</c:f>
              <c:numCache>
                <c:formatCode>#,##0</c:formatCode>
                <c:ptCount val="26"/>
                <c:pt idx="0">
                  <c:v>50.280531084012054</c:v>
                </c:pt>
                <c:pt idx="1">
                  <c:v>50.119233176124936</c:v>
                </c:pt>
                <c:pt idx="2">
                  <c:v>49.737840122298465</c:v>
                </c:pt>
                <c:pt idx="3">
                  <c:v>50.50495516889815</c:v>
                </c:pt>
                <c:pt idx="4">
                  <c:v>50.572774057292051</c:v>
                </c:pt>
                <c:pt idx="5">
                  <c:v>51.546924924381955</c:v>
                </c:pt>
                <c:pt idx="6">
                  <c:v>49.354786954497143</c:v>
                </c:pt>
                <c:pt idx="7">
                  <c:v>51.475901889800717</c:v>
                </c:pt>
                <c:pt idx="8">
                  <c:v>53.624566232250984</c:v>
                </c:pt>
                <c:pt idx="9">
                  <c:v>53.529641037873461</c:v>
                </c:pt>
                <c:pt idx="10">
                  <c:v>56.077056232920341</c:v>
                </c:pt>
                <c:pt idx="11">
                  <c:v>52.681448368703251</c:v>
                </c:pt>
                <c:pt idx="12">
                  <c:v>52.736131827950231</c:v>
                </c:pt>
                <c:pt idx="13">
                  <c:v>53.048466000735004</c:v>
                </c:pt>
                <c:pt idx="14">
                  <c:v>53.4215465765757</c:v>
                </c:pt>
                <c:pt idx="15">
                  <c:v>53.792100904177957</c:v>
                </c:pt>
                <c:pt idx="16">
                  <c:v>54.120172243716596</c:v>
                </c:pt>
                <c:pt idx="17">
                  <c:v>54.450198141007398</c:v>
                </c:pt>
                <c:pt idx="18">
                  <c:v>54.794177468801664</c:v>
                </c:pt>
                <c:pt idx="19">
                  <c:v>55.115584460837312</c:v>
                </c:pt>
                <c:pt idx="20">
                  <c:v>55.479715118755834</c:v>
                </c:pt>
                <c:pt idx="21">
                  <c:v>55.844589201013825</c:v>
                </c:pt>
                <c:pt idx="22">
                  <c:v>56.21608623399996</c:v>
                </c:pt>
                <c:pt idx="23">
                  <c:v>56.594660837564923</c:v>
                </c:pt>
                <c:pt idx="24">
                  <c:v>56.978593557460364</c:v>
                </c:pt>
                <c:pt idx="25">
                  <c:v>57.41907279072538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C3D-4F0C-A75A-38C35ADEECD8}"/>
            </c:ext>
          </c:extLst>
        </c:ser>
        <c:ser>
          <c:idx val="3"/>
          <c:order val="3"/>
          <c:tx>
            <c:strRef>
              <c:f>'Occ F2'!$L$22</c:f>
              <c:strCache>
                <c:ptCount val="1"/>
                <c:pt idx="0">
                  <c:v>Administrative and secretarial occupations</c:v>
                </c:pt>
              </c:strCache>
            </c:strRef>
          </c:tx>
          <c:spPr>
            <a:solidFill>
              <a:schemeClr val="tx1">
                <a:lumMod val="65000"/>
                <a:lumOff val="3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F2'!$M$22:$AL$22</c:f>
              <c:numCache>
                <c:formatCode>#,##0</c:formatCode>
                <c:ptCount val="26"/>
                <c:pt idx="0">
                  <c:v>54.973126562536493</c:v>
                </c:pt>
                <c:pt idx="1">
                  <c:v>53.927538565081122</c:v>
                </c:pt>
                <c:pt idx="2">
                  <c:v>51.171391662341613</c:v>
                </c:pt>
                <c:pt idx="3">
                  <c:v>51.299947410273987</c:v>
                </c:pt>
                <c:pt idx="4">
                  <c:v>53.417084998114191</c:v>
                </c:pt>
                <c:pt idx="5">
                  <c:v>55.285626195180079</c:v>
                </c:pt>
                <c:pt idx="6">
                  <c:v>51.115676013171729</c:v>
                </c:pt>
                <c:pt idx="7">
                  <c:v>51.108921739749277</c:v>
                </c:pt>
                <c:pt idx="8">
                  <c:v>52.445404727204497</c:v>
                </c:pt>
                <c:pt idx="9">
                  <c:v>50.43141193244513</c:v>
                </c:pt>
                <c:pt idx="10">
                  <c:v>52.503095815052475</c:v>
                </c:pt>
                <c:pt idx="11">
                  <c:v>50.237284737095621</c:v>
                </c:pt>
                <c:pt idx="12">
                  <c:v>49.856636387717174</c:v>
                </c:pt>
                <c:pt idx="13">
                  <c:v>49.585639560273016</c:v>
                </c:pt>
                <c:pt idx="14">
                  <c:v>49.377616277139325</c:v>
                </c:pt>
                <c:pt idx="15">
                  <c:v>49.196634777047372</c:v>
                </c:pt>
                <c:pt idx="16">
                  <c:v>48.92950554747685</c:v>
                </c:pt>
                <c:pt idx="17">
                  <c:v>48.63742384083978</c:v>
                </c:pt>
                <c:pt idx="18">
                  <c:v>48.289164507164955</c:v>
                </c:pt>
                <c:pt idx="19">
                  <c:v>47.985078666475971</c:v>
                </c:pt>
                <c:pt idx="20">
                  <c:v>47.664820759601845</c:v>
                </c:pt>
                <c:pt idx="21">
                  <c:v>47.189862449675701</c:v>
                </c:pt>
                <c:pt idx="22">
                  <c:v>46.648203701534023</c:v>
                </c:pt>
                <c:pt idx="23">
                  <c:v>46.255950857907635</c:v>
                </c:pt>
                <c:pt idx="24">
                  <c:v>45.919374219671219</c:v>
                </c:pt>
                <c:pt idx="25">
                  <c:v>45.868596016759618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C3D-4F0C-A75A-38C35ADEECD8}"/>
            </c:ext>
          </c:extLst>
        </c:ser>
        <c:ser>
          <c:idx val="4"/>
          <c:order val="4"/>
          <c:tx>
            <c:strRef>
              <c:f>'Occ F2'!$L$26</c:f>
              <c:strCache>
                <c:ptCount val="1"/>
                <c:pt idx="0">
                  <c:v>Skilled trades occupations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F2'!$M$26:$AL$26</c:f>
              <c:numCache>
                <c:formatCode>#,##0</c:formatCode>
                <c:ptCount val="26"/>
                <c:pt idx="0">
                  <c:v>58.429921127400121</c:v>
                </c:pt>
                <c:pt idx="1">
                  <c:v>60.306904667384345</c:v>
                </c:pt>
                <c:pt idx="2">
                  <c:v>53.104775290144147</c:v>
                </c:pt>
                <c:pt idx="3">
                  <c:v>57.031528427624821</c:v>
                </c:pt>
                <c:pt idx="4">
                  <c:v>56.867868468609814</c:v>
                </c:pt>
                <c:pt idx="5">
                  <c:v>57.02228187837261</c:v>
                </c:pt>
                <c:pt idx="6">
                  <c:v>52.397100513467905</c:v>
                </c:pt>
                <c:pt idx="7">
                  <c:v>55.019120919377841</c:v>
                </c:pt>
                <c:pt idx="8">
                  <c:v>55.956268777522297</c:v>
                </c:pt>
                <c:pt idx="9">
                  <c:v>56.025309387048864</c:v>
                </c:pt>
                <c:pt idx="10">
                  <c:v>48.245712549332183</c:v>
                </c:pt>
                <c:pt idx="11">
                  <c:v>48.370476702107581</c:v>
                </c:pt>
                <c:pt idx="12">
                  <c:v>47.877215486404424</c:v>
                </c:pt>
                <c:pt idx="13">
                  <c:v>47.377676237075761</c:v>
                </c:pt>
                <c:pt idx="14">
                  <c:v>47.02329937747291</c:v>
                </c:pt>
                <c:pt idx="15">
                  <c:v>46.732747293258697</c:v>
                </c:pt>
                <c:pt idx="16">
                  <c:v>46.38833701226423</c:v>
                </c:pt>
                <c:pt idx="17">
                  <c:v>46.011229339955392</c:v>
                </c:pt>
                <c:pt idx="18">
                  <c:v>45.658088601666698</c:v>
                </c:pt>
                <c:pt idx="19">
                  <c:v>45.299198386559588</c:v>
                </c:pt>
                <c:pt idx="20">
                  <c:v>44.960584724352948</c:v>
                </c:pt>
                <c:pt idx="21">
                  <c:v>44.631090819525127</c:v>
                </c:pt>
                <c:pt idx="22">
                  <c:v>44.302499018834055</c:v>
                </c:pt>
                <c:pt idx="23">
                  <c:v>43.949006239924294</c:v>
                </c:pt>
                <c:pt idx="24">
                  <c:v>43.587999379219923</c:v>
                </c:pt>
                <c:pt idx="25">
                  <c:v>43.17648751920472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C3D-4F0C-A75A-38C35ADEECD8}"/>
            </c:ext>
          </c:extLst>
        </c:ser>
        <c:ser>
          <c:idx val="5"/>
          <c:order val="5"/>
          <c:tx>
            <c:strRef>
              <c:f>'Occ F2'!$L$32</c:f>
              <c:strCache>
                <c:ptCount val="1"/>
                <c:pt idx="0">
                  <c:v>Caring, leisure and other service occupations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F2'!$M$32:$AL$32</c:f>
              <c:numCache>
                <c:formatCode>#,##0</c:formatCode>
                <c:ptCount val="26"/>
                <c:pt idx="0">
                  <c:v>42.86697141715117</c:v>
                </c:pt>
                <c:pt idx="1">
                  <c:v>40.72732097415944</c:v>
                </c:pt>
                <c:pt idx="2">
                  <c:v>41.062586348601627</c:v>
                </c:pt>
                <c:pt idx="3">
                  <c:v>40.724750467522703</c:v>
                </c:pt>
                <c:pt idx="4">
                  <c:v>44.161423718101581</c:v>
                </c:pt>
                <c:pt idx="5">
                  <c:v>44.888544099919955</c:v>
                </c:pt>
                <c:pt idx="6">
                  <c:v>41.903475593631413</c:v>
                </c:pt>
                <c:pt idx="7">
                  <c:v>42.93229360284122</c:v>
                </c:pt>
                <c:pt idx="8">
                  <c:v>43.132757415145178</c:v>
                </c:pt>
                <c:pt idx="9">
                  <c:v>43.233422460822304</c:v>
                </c:pt>
                <c:pt idx="10">
                  <c:v>42.842121741005315</c:v>
                </c:pt>
                <c:pt idx="11">
                  <c:v>43.653063333112343</c:v>
                </c:pt>
                <c:pt idx="12">
                  <c:v>43.842159282041173</c:v>
                </c:pt>
                <c:pt idx="13">
                  <c:v>44.110137116668405</c:v>
                </c:pt>
                <c:pt idx="14">
                  <c:v>44.375770529404456</c:v>
                </c:pt>
                <c:pt idx="15">
                  <c:v>44.580249740757665</c:v>
                </c:pt>
                <c:pt idx="16">
                  <c:v>44.71979998107048</c:v>
                </c:pt>
                <c:pt idx="17">
                  <c:v>44.832031297290989</c:v>
                </c:pt>
                <c:pt idx="18">
                  <c:v>44.959913218802711</c:v>
                </c:pt>
                <c:pt idx="19">
                  <c:v>45.066177875744685</c:v>
                </c:pt>
                <c:pt idx="20">
                  <c:v>45.209477718666228</c:v>
                </c:pt>
                <c:pt idx="21">
                  <c:v>45.363102128931104</c:v>
                </c:pt>
                <c:pt idx="22">
                  <c:v>45.530654916439637</c:v>
                </c:pt>
                <c:pt idx="23">
                  <c:v>45.70607679762967</c:v>
                </c:pt>
                <c:pt idx="24">
                  <c:v>45.884726518391524</c:v>
                </c:pt>
                <c:pt idx="25">
                  <c:v>46.050455885843554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C3D-4F0C-A75A-38C35ADEECD8}"/>
            </c:ext>
          </c:extLst>
        </c:ser>
        <c:ser>
          <c:idx val="6"/>
          <c:order val="6"/>
          <c:tx>
            <c:strRef>
              <c:f>'Occ F2'!$L$37</c:f>
              <c:strCache>
                <c:ptCount val="1"/>
                <c:pt idx="0">
                  <c:v>Sales and customer service occupations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F2'!$M$37:$AL$37</c:f>
              <c:numCache>
                <c:formatCode>#,##0</c:formatCode>
                <c:ptCount val="26"/>
                <c:pt idx="0">
                  <c:v>48.443694116589093</c:v>
                </c:pt>
                <c:pt idx="1">
                  <c:v>49.500333973206693</c:v>
                </c:pt>
                <c:pt idx="2">
                  <c:v>50.574662655845195</c:v>
                </c:pt>
                <c:pt idx="3">
                  <c:v>47.902498424798594</c:v>
                </c:pt>
                <c:pt idx="4">
                  <c:v>54.47842717303385</c:v>
                </c:pt>
                <c:pt idx="5">
                  <c:v>56.179250393666827</c:v>
                </c:pt>
                <c:pt idx="6">
                  <c:v>54.428597413415226</c:v>
                </c:pt>
                <c:pt idx="7">
                  <c:v>52.779739785306546</c:v>
                </c:pt>
                <c:pt idx="8">
                  <c:v>50.182880862853501</c:v>
                </c:pt>
                <c:pt idx="9">
                  <c:v>50.864291073074931</c:v>
                </c:pt>
                <c:pt idx="10">
                  <c:v>51.568261223138805</c:v>
                </c:pt>
                <c:pt idx="11">
                  <c:v>50.837123001559156</c:v>
                </c:pt>
                <c:pt idx="12">
                  <c:v>50.889245183981345</c:v>
                </c:pt>
                <c:pt idx="13">
                  <c:v>51.069310373346276</c:v>
                </c:pt>
                <c:pt idx="14">
                  <c:v>51.307307583610751</c:v>
                </c:pt>
                <c:pt idx="15">
                  <c:v>51.47460691376255</c:v>
                </c:pt>
                <c:pt idx="16">
                  <c:v>51.590237241186799</c:v>
                </c:pt>
                <c:pt idx="17">
                  <c:v>51.664479818245994</c:v>
                </c:pt>
                <c:pt idx="18">
                  <c:v>51.72604890922652</c:v>
                </c:pt>
                <c:pt idx="19">
                  <c:v>51.797700704849071</c:v>
                </c:pt>
                <c:pt idx="20">
                  <c:v>51.860682936887947</c:v>
                </c:pt>
                <c:pt idx="21">
                  <c:v>51.906575811941181</c:v>
                </c:pt>
                <c:pt idx="22">
                  <c:v>51.912414869352979</c:v>
                </c:pt>
                <c:pt idx="23">
                  <c:v>51.943365602377995</c:v>
                </c:pt>
                <c:pt idx="24">
                  <c:v>51.951524637821542</c:v>
                </c:pt>
                <c:pt idx="25">
                  <c:v>51.915229307935128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BC3D-4F0C-A75A-38C35ADEECD8}"/>
            </c:ext>
          </c:extLst>
        </c:ser>
        <c:ser>
          <c:idx val="7"/>
          <c:order val="7"/>
          <c:tx>
            <c:strRef>
              <c:f>'Occ F2'!$L$41</c:f>
              <c:strCache>
                <c:ptCount val="1"/>
                <c:pt idx="0">
                  <c:v>Process, plant and machine operatives</c:v>
                </c:pt>
              </c:strCache>
            </c:strRef>
          </c:tx>
          <c:spPr>
            <a:solidFill>
              <a:schemeClr val="bg1">
                <a:lumMod val="9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F2'!$M$41:$AL$41</c:f>
              <c:numCache>
                <c:formatCode>#,##0</c:formatCode>
                <c:ptCount val="26"/>
                <c:pt idx="0">
                  <c:v>37.933368087216721</c:v>
                </c:pt>
                <c:pt idx="1">
                  <c:v>37.79853137250015</c:v>
                </c:pt>
                <c:pt idx="2">
                  <c:v>35.983094145065948</c:v>
                </c:pt>
                <c:pt idx="3">
                  <c:v>41.046716039680305</c:v>
                </c:pt>
                <c:pt idx="4">
                  <c:v>38.221723107823706</c:v>
                </c:pt>
                <c:pt idx="5">
                  <c:v>38.275660553349219</c:v>
                </c:pt>
                <c:pt idx="6">
                  <c:v>38.735425768478635</c:v>
                </c:pt>
                <c:pt idx="7">
                  <c:v>40.433467043410531</c:v>
                </c:pt>
                <c:pt idx="8">
                  <c:v>44.626718539544662</c:v>
                </c:pt>
                <c:pt idx="9">
                  <c:v>40.23920215456873</c:v>
                </c:pt>
                <c:pt idx="10">
                  <c:v>35.579190689780106</c:v>
                </c:pt>
                <c:pt idx="11">
                  <c:v>39.292876066146448</c:v>
                </c:pt>
                <c:pt idx="12">
                  <c:v>38.910030329335555</c:v>
                </c:pt>
                <c:pt idx="13">
                  <c:v>38.681855857604077</c:v>
                </c:pt>
                <c:pt idx="14">
                  <c:v>38.51195151768799</c:v>
                </c:pt>
                <c:pt idx="15">
                  <c:v>38.295208327413881</c:v>
                </c:pt>
                <c:pt idx="16">
                  <c:v>38.080615744718258</c:v>
                </c:pt>
                <c:pt idx="17">
                  <c:v>37.840131874884214</c:v>
                </c:pt>
                <c:pt idx="18">
                  <c:v>37.576974964418767</c:v>
                </c:pt>
                <c:pt idx="19">
                  <c:v>37.325553785283134</c:v>
                </c:pt>
                <c:pt idx="20">
                  <c:v>37.096863638090994</c:v>
                </c:pt>
                <c:pt idx="21">
                  <c:v>36.896151878804886</c:v>
                </c:pt>
                <c:pt idx="22">
                  <c:v>36.715523105427479</c:v>
                </c:pt>
                <c:pt idx="23">
                  <c:v>36.520692225552878</c:v>
                </c:pt>
                <c:pt idx="24">
                  <c:v>36.318113162881332</c:v>
                </c:pt>
                <c:pt idx="25">
                  <c:v>36.130893780094553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C3D-4F0C-A75A-38C35ADEECD8}"/>
            </c:ext>
          </c:extLst>
        </c:ser>
        <c:ser>
          <c:idx val="8"/>
          <c:order val="8"/>
          <c:tx>
            <c:strRef>
              <c:f>'Occ F2'!$L$45</c:f>
              <c:strCache>
                <c:ptCount val="1"/>
                <c:pt idx="0">
                  <c:v>Elementary occupations</c:v>
                </c:pt>
              </c:strCache>
            </c:strRef>
          </c:tx>
          <c:spPr>
            <a:solidFill>
              <a:schemeClr val="bg1"/>
            </a:solidFill>
            <a:ln w="12700" cmpd="sng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F2'!$M$45:$AL$45</c:f>
              <c:numCache>
                <c:formatCode>#,##0</c:formatCode>
                <c:ptCount val="26"/>
                <c:pt idx="0">
                  <c:v>58.346764961885</c:v>
                </c:pt>
                <c:pt idx="1">
                  <c:v>56.907969372566335</c:v>
                </c:pt>
                <c:pt idx="2">
                  <c:v>54.324135830687077</c:v>
                </c:pt>
                <c:pt idx="3">
                  <c:v>55.58331436212557</c:v>
                </c:pt>
                <c:pt idx="4">
                  <c:v>57.010872691363936</c:v>
                </c:pt>
                <c:pt idx="5">
                  <c:v>60.381229357541621</c:v>
                </c:pt>
                <c:pt idx="6">
                  <c:v>58.386261625734733</c:v>
                </c:pt>
                <c:pt idx="7">
                  <c:v>60.976677853020703</c:v>
                </c:pt>
                <c:pt idx="8">
                  <c:v>57.983559900103124</c:v>
                </c:pt>
                <c:pt idx="9">
                  <c:v>56.405347735410913</c:v>
                </c:pt>
                <c:pt idx="10">
                  <c:v>52.797952065548557</c:v>
                </c:pt>
                <c:pt idx="11">
                  <c:v>52.91271990592508</c:v>
                </c:pt>
                <c:pt idx="12">
                  <c:v>52.225663517078189</c:v>
                </c:pt>
                <c:pt idx="13">
                  <c:v>51.80302917281076</c:v>
                </c:pt>
                <c:pt idx="14">
                  <c:v>51.54404322369551</c:v>
                </c:pt>
                <c:pt idx="15">
                  <c:v>51.320429621084152</c:v>
                </c:pt>
                <c:pt idx="16">
                  <c:v>51.121264873269809</c:v>
                </c:pt>
                <c:pt idx="17">
                  <c:v>50.917657697892324</c:v>
                </c:pt>
                <c:pt idx="18">
                  <c:v>50.758108040022321</c:v>
                </c:pt>
                <c:pt idx="19">
                  <c:v>50.600727390778218</c:v>
                </c:pt>
                <c:pt idx="20">
                  <c:v>50.451911985708456</c:v>
                </c:pt>
                <c:pt idx="21">
                  <c:v>50.298221190060914</c:v>
                </c:pt>
                <c:pt idx="22">
                  <c:v>50.175526458023654</c:v>
                </c:pt>
                <c:pt idx="23">
                  <c:v>50.039163457752394</c:v>
                </c:pt>
                <c:pt idx="24">
                  <c:v>49.887700731468513</c:v>
                </c:pt>
                <c:pt idx="25">
                  <c:v>49.724225750820281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BC3D-4F0C-A75A-38C35ADEEC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0342512"/>
        <c:axId val="250342904"/>
      </c:areaChart>
      <c:catAx>
        <c:axId val="25034251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034290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50342904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%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034251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7.0886092785699087E-2"/>
          <c:y val="0.85872628043372545"/>
          <c:w val="0.9100947010002125"/>
          <c:h val="0.13435190395150617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7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radarChart>
        <c:radarStyle val="marker"/>
        <c:varyColors val="0"/>
        <c:ser>
          <c:idx val="0"/>
          <c:order val="0"/>
          <c:tx>
            <c:strRef>
              <c:f>'Occ T1'!$F$6</c:f>
              <c:strCache>
                <c:ptCount val="1"/>
                <c:pt idx="0">
                  <c:v>2035</c:v>
                </c:pt>
              </c:strCache>
            </c:strRef>
          </c:tx>
          <c:marker>
            <c:symbol val="none"/>
          </c:marker>
          <c:cat>
            <c:strRef>
              <c:f>'Occ T1'!$A$8:$A$16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T1'!$F$8:$F$16</c:f>
              <c:numCache>
                <c:formatCode>#,##0</c:formatCode>
                <c:ptCount val="9"/>
                <c:pt idx="0">
                  <c:v>45.689137815915871</c:v>
                </c:pt>
                <c:pt idx="1">
                  <c:v>116.80390113270077</c:v>
                </c:pt>
                <c:pt idx="2">
                  <c:v>57.41907279072538</c:v>
                </c:pt>
                <c:pt idx="3">
                  <c:v>45.868596016759618</c:v>
                </c:pt>
                <c:pt idx="4">
                  <c:v>43.17648751920472</c:v>
                </c:pt>
                <c:pt idx="5">
                  <c:v>46.050455885843554</c:v>
                </c:pt>
                <c:pt idx="6">
                  <c:v>51.915229307935128</c:v>
                </c:pt>
                <c:pt idx="7">
                  <c:v>36.130893780094553</c:v>
                </c:pt>
                <c:pt idx="8">
                  <c:v>49.724225750820281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BCB-48C7-87FF-8D2305D66F7C}"/>
            </c:ext>
          </c:extLst>
        </c:ser>
        <c:ser>
          <c:idx val="1"/>
          <c:order val="1"/>
          <c:tx>
            <c:strRef>
              <c:f>'Occ T1'!$D$6</c:f>
              <c:strCache>
                <c:ptCount val="1"/>
                <c:pt idx="0">
                  <c:v>2020</c:v>
                </c:pt>
              </c:strCache>
            </c:strRef>
          </c:tx>
          <c:marker>
            <c:symbol val="none"/>
          </c:marker>
          <c:cat>
            <c:strRef>
              <c:f>'Occ T1'!$A$8:$A$16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T1'!$D$8:$D$16</c:f>
              <c:numCache>
                <c:formatCode>#,##0</c:formatCode>
                <c:ptCount val="9"/>
                <c:pt idx="0">
                  <c:v>40.245078724761129</c:v>
                </c:pt>
                <c:pt idx="1">
                  <c:v>99.067530958461219</c:v>
                </c:pt>
                <c:pt idx="2">
                  <c:v>56.077056232920341</c:v>
                </c:pt>
                <c:pt idx="3">
                  <c:v>52.503095815052475</c:v>
                </c:pt>
                <c:pt idx="4">
                  <c:v>48.245712549332183</c:v>
                </c:pt>
                <c:pt idx="5">
                  <c:v>42.842121741005315</c:v>
                </c:pt>
                <c:pt idx="6">
                  <c:v>51.568261223138805</c:v>
                </c:pt>
                <c:pt idx="7">
                  <c:v>35.579190689780106</c:v>
                </c:pt>
                <c:pt idx="8">
                  <c:v>52.797952065548557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BCB-48C7-87FF-8D2305D66F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0343688"/>
        <c:axId val="250344080"/>
      </c:radarChart>
      <c:catAx>
        <c:axId val="25034368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250344080"/>
        <c:crosses val="autoZero"/>
        <c:auto val="1"/>
        <c:lblAlgn val="ctr"/>
        <c:lblOffset val="100"/>
        <c:noMultiLvlLbl val="0"/>
      </c:catAx>
      <c:valAx>
        <c:axId val="250344080"/>
        <c:scaling>
          <c:orientation val="minMax"/>
        </c:scaling>
        <c:delete val="0"/>
        <c:axPos val="l"/>
        <c:majorGridlines/>
        <c:numFmt formatCode="#,##0" sourceLinked="1"/>
        <c:majorTickMark val="cross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250343688"/>
        <c:crosses val="autoZero"/>
        <c:crossBetween val="between"/>
      </c:valAx>
    </c:plotArea>
    <c:legend>
      <c:legendPos val="r"/>
      <c:overlay val="0"/>
      <c:txPr>
        <a:bodyPr/>
        <a:lstStyle/>
        <a:p>
          <a:pPr>
            <a:defRPr lang="en-US"/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00000000000081" l="0.70000000000000062" r="0.70000000000000062" t="0.7500000000000081" header="0.30000000000000032" footer="0.30000000000000032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 sz="900"/>
              <a:t>% of total employment</a:t>
            </a:r>
          </a:p>
        </c:rich>
      </c:tx>
      <c:layout>
        <c:manualLayout>
          <c:xMode val="edge"/>
          <c:yMode val="edge"/>
          <c:x val="0.72238188976377971"/>
          <c:y val="5.5555555555555455E-2"/>
        </c:manualLayout>
      </c:layout>
      <c:overlay val="0"/>
    </c:title>
    <c:autoTitleDeleted val="0"/>
    <c:plotArea>
      <c:layout/>
      <c:radarChart>
        <c:radarStyle val="marker"/>
        <c:varyColors val="0"/>
        <c:ser>
          <c:idx val="0"/>
          <c:order val="0"/>
          <c:tx>
            <c:strRef>
              <c:f>'Occ T1'!$F$24</c:f>
              <c:strCache>
                <c:ptCount val="1"/>
                <c:pt idx="0">
                  <c:v>2035</c:v>
                </c:pt>
              </c:strCache>
            </c:strRef>
          </c:tx>
          <c:marker>
            <c:symbol val="none"/>
          </c:marker>
          <c:cat>
            <c:strRef>
              <c:f>'Occ T1'!$A$26:$A$34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T1'!$F$26:$F$34</c:f>
              <c:numCache>
                <c:formatCode>0.0</c:formatCode>
                <c:ptCount val="9"/>
                <c:pt idx="0">
                  <c:v>9.2717487014265831</c:v>
                </c:pt>
                <c:pt idx="1">
                  <c:v>23.703148503525078</c:v>
                </c:pt>
                <c:pt idx="2">
                  <c:v>11.652117746881029</c:v>
                </c:pt>
                <c:pt idx="3">
                  <c:v>9.3081663582302028</c:v>
                </c:pt>
                <c:pt idx="4">
                  <c:v>8.7618537189575694</c:v>
                </c:pt>
                <c:pt idx="5">
                  <c:v>9.3450713883013368</c:v>
                </c:pt>
                <c:pt idx="6">
                  <c:v>10.535216529133837</c:v>
                </c:pt>
                <c:pt idx="7">
                  <c:v>7.3320833681890356</c:v>
                </c:pt>
                <c:pt idx="8">
                  <c:v>10.090593685355332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49F-433A-BBDE-5FE09C22A8FF}"/>
            </c:ext>
          </c:extLst>
        </c:ser>
        <c:ser>
          <c:idx val="1"/>
          <c:order val="1"/>
          <c:tx>
            <c:strRef>
              <c:f>'Occ T1'!$D$24</c:f>
              <c:strCache>
                <c:ptCount val="1"/>
                <c:pt idx="0">
                  <c:v>2020</c:v>
                </c:pt>
              </c:strCache>
            </c:strRef>
          </c:tx>
          <c:marker>
            <c:symbol val="none"/>
          </c:marker>
          <c:cat>
            <c:strRef>
              <c:f>'Occ T1'!$A$26:$A$34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T1'!$D$26:$D$34</c:f>
              <c:numCache>
                <c:formatCode>0.0</c:formatCode>
                <c:ptCount val="9"/>
                <c:pt idx="0">
                  <c:v>8.4031935465523109</c:v>
                </c:pt>
                <c:pt idx="1">
                  <c:v>20.685352425731992</c:v>
                </c:pt>
                <c:pt idx="2">
                  <c:v>11.708918754237676</c:v>
                </c:pt>
                <c:pt idx="3">
                  <c:v>10.962673944419903</c:v>
                </c:pt>
                <c:pt idx="4">
                  <c:v>10.073730085510531</c:v>
                </c:pt>
                <c:pt idx="5">
                  <c:v>8.9454574905111244</c:v>
                </c:pt>
                <c:pt idx="6">
                  <c:v>10.767479991301117</c:v>
                </c:pt>
                <c:pt idx="7">
                  <c:v>7.4289536775577227</c:v>
                </c:pt>
                <c:pt idx="8">
                  <c:v>11.024240084177627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49F-433A-BBDE-5FE09C22A8FF}"/>
            </c:ext>
          </c:extLst>
        </c:ser>
        <c:ser>
          <c:idx val="2"/>
          <c:order val="2"/>
          <c:tx>
            <c:strRef>
              <c:f>'Occ T1'!$B$24</c:f>
              <c:strCache>
                <c:ptCount val="1"/>
                <c:pt idx="0">
                  <c:v>2015</c:v>
                </c:pt>
              </c:strCache>
            </c:strRef>
          </c:tx>
          <c:marker>
            <c:symbol val="none"/>
          </c:marker>
          <c:cat>
            <c:strRef>
              <c:f>'Occ T1'!$A$26:$A$34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T1'!$B$26:$B$34</c:f>
              <c:numCache>
                <c:formatCode>0.0</c:formatCode>
                <c:ptCount val="9"/>
                <c:pt idx="0">
                  <c:v>7.3525417975637106</c:v>
                </c:pt>
                <c:pt idx="1">
                  <c:v>18.403768066333125</c:v>
                </c:pt>
                <c:pt idx="2">
                  <c:v>10.525988782033066</c:v>
                </c:pt>
                <c:pt idx="3">
                  <c:v>11.28943932139161</c:v>
                </c:pt>
                <c:pt idx="4">
                  <c:v>11.644068007125142</c:v>
                </c:pt>
                <c:pt idx="5">
                  <c:v>9.1663336334940304</c:v>
                </c:pt>
                <c:pt idx="6">
                  <c:v>11.471919232703945</c:v>
                </c:pt>
                <c:pt idx="7">
                  <c:v>7.8159691232888813</c:v>
                </c:pt>
                <c:pt idx="8">
                  <c:v>12.329972036066499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49F-433A-BBDE-5FE09C22A8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0344864"/>
        <c:axId val="250345256"/>
      </c:radarChart>
      <c:catAx>
        <c:axId val="250344864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250345256"/>
        <c:crosses val="autoZero"/>
        <c:auto val="1"/>
        <c:lblAlgn val="ctr"/>
        <c:lblOffset val="100"/>
        <c:noMultiLvlLbl val="0"/>
      </c:catAx>
      <c:valAx>
        <c:axId val="250345256"/>
        <c:scaling>
          <c:orientation val="minMax"/>
        </c:scaling>
        <c:delete val="0"/>
        <c:axPos val="l"/>
        <c:majorGridlines/>
        <c:numFmt formatCode="0.0" sourceLinked="1"/>
        <c:majorTickMark val="cross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250344864"/>
        <c:crosses val="autoZero"/>
        <c:crossBetween val="between"/>
      </c:valAx>
    </c:plotArea>
    <c:legend>
      <c:legendPos val="r"/>
      <c:overlay val="0"/>
      <c:txPr>
        <a:bodyPr/>
        <a:lstStyle/>
        <a:p>
          <a:pPr>
            <a:defRPr lang="en-US"/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00000000000081" l="0.70000000000000062" r="0.70000000000000062" t="0.7500000000000081" header="0.30000000000000032" footer="0.30000000000000032"/>
    <c:pageSetup orientation="portrait"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4000718237922956E-2"/>
          <c:y val="5.3619302949061684E-2"/>
          <c:w val="0.86958661417322847"/>
          <c:h val="0.74962385222351946"/>
        </c:manualLayout>
      </c:layout>
      <c:lineChart>
        <c:grouping val="standard"/>
        <c:varyColors val="0"/>
        <c:ser>
          <c:idx val="0"/>
          <c:order val="0"/>
          <c:tx>
            <c:strRef>
              <c:f>'Occ F2'!$L$52</c:f>
              <c:strCache>
                <c:ptCount val="1"/>
                <c:pt idx="0">
                  <c:v>Managers, directors and senior officials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F2'!$M$52:$AL$52</c:f>
              <c:numCache>
                <c:formatCode>0%</c:formatCode>
                <c:ptCount val="26"/>
                <c:pt idx="0">
                  <c:v>6.4689934707320734E-2</c:v>
                </c:pt>
                <c:pt idx="1">
                  <c:v>7.0709133600496771E-2</c:v>
                </c:pt>
                <c:pt idx="2">
                  <c:v>7.2165738292083739E-2</c:v>
                </c:pt>
                <c:pt idx="3">
                  <c:v>7.4831469961738867E-2</c:v>
                </c:pt>
                <c:pt idx="4">
                  <c:v>7.0958411723899176E-2</c:v>
                </c:pt>
                <c:pt idx="5">
                  <c:v>7.3525417975637108E-2</c:v>
                </c:pt>
                <c:pt idx="6">
                  <c:v>7.0556265212215988E-2</c:v>
                </c:pt>
                <c:pt idx="7">
                  <c:v>7.2833691226201605E-2</c:v>
                </c:pt>
                <c:pt idx="8">
                  <c:v>7.5485328661962087E-2</c:v>
                </c:pt>
                <c:pt idx="9">
                  <c:v>8.2650403085965218E-2</c:v>
                </c:pt>
                <c:pt idx="10">
                  <c:v>8.4031935465523108E-2</c:v>
                </c:pt>
                <c:pt idx="11">
                  <c:v>8.1886216455214572E-2</c:v>
                </c:pt>
                <c:pt idx="12">
                  <c:v>8.2428308101187495E-2</c:v>
                </c:pt>
                <c:pt idx="13">
                  <c:v>8.3129516825396627E-2</c:v>
                </c:pt>
                <c:pt idx="14">
                  <c:v>8.388485402512437E-2</c:v>
                </c:pt>
                <c:pt idx="15">
                  <c:v>8.4645129028254953E-2</c:v>
                </c:pt>
                <c:pt idx="16">
                  <c:v>8.5407078912816542E-2</c:v>
                </c:pt>
                <c:pt idx="17">
                  <c:v>8.623165882899847E-2</c:v>
                </c:pt>
                <c:pt idx="18">
                  <c:v>8.7078100433686051E-2</c:v>
                </c:pt>
                <c:pt idx="19">
                  <c:v>8.7906669113566385E-2</c:v>
                </c:pt>
                <c:pt idx="20">
                  <c:v>8.8737277080078794E-2</c:v>
                </c:pt>
                <c:pt idx="21">
                  <c:v>8.9663589843113192E-2</c:v>
                </c:pt>
                <c:pt idx="22">
                  <c:v>9.0691059729059068E-2</c:v>
                </c:pt>
                <c:pt idx="23">
                  <c:v>9.1530682299206037E-2</c:v>
                </c:pt>
                <c:pt idx="24">
                  <c:v>9.2319321591516734E-2</c:v>
                </c:pt>
                <c:pt idx="25">
                  <c:v>9.2717487014265826E-2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9AAC-4C4B-BBFD-BAF66A5040A1}"/>
            </c:ext>
          </c:extLst>
        </c:ser>
        <c:ser>
          <c:idx val="1"/>
          <c:order val="1"/>
          <c:tx>
            <c:strRef>
              <c:f>'Occ F2'!$L$56</c:f>
              <c:strCache>
                <c:ptCount val="1"/>
                <c:pt idx="0">
                  <c:v>Professional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quar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F2'!$M$56:$AL$56</c:f>
              <c:numCache>
                <c:formatCode>0%</c:formatCode>
                <c:ptCount val="26"/>
                <c:pt idx="0">
                  <c:v>0.18194858548932119</c:v>
                </c:pt>
                <c:pt idx="1">
                  <c:v>0.1791682781802037</c:v>
                </c:pt>
                <c:pt idx="2">
                  <c:v>0.18750330597904311</c:v>
                </c:pt>
                <c:pt idx="3">
                  <c:v>0.18072500082048343</c:v>
                </c:pt>
                <c:pt idx="4">
                  <c:v>0.18328998376551925</c:v>
                </c:pt>
                <c:pt idx="5">
                  <c:v>0.18403768066333126</c:v>
                </c:pt>
                <c:pt idx="6">
                  <c:v>0.18513888757817099</c:v>
                </c:pt>
                <c:pt idx="7">
                  <c:v>0.18289402875855176</c:v>
                </c:pt>
                <c:pt idx="8">
                  <c:v>0.18770257848190397</c:v>
                </c:pt>
                <c:pt idx="9">
                  <c:v>0.19206680565881185</c:v>
                </c:pt>
                <c:pt idx="10">
                  <c:v>0.20685352425731993</c:v>
                </c:pt>
                <c:pt idx="11">
                  <c:v>0.21242586989590487</c:v>
                </c:pt>
                <c:pt idx="12">
                  <c:v>0.21502965574474239</c:v>
                </c:pt>
                <c:pt idx="13">
                  <c:v>0.21710205834197355</c:v>
                </c:pt>
                <c:pt idx="14">
                  <c:v>0.21897190134098676</c:v>
                </c:pt>
                <c:pt idx="15">
                  <c:v>0.22060337884122136</c:v>
                </c:pt>
                <c:pt idx="16">
                  <c:v>0.22222001604801622</c:v>
                </c:pt>
                <c:pt idx="17">
                  <c:v>0.22386830813593211</c:v>
                </c:pt>
                <c:pt idx="18">
                  <c:v>0.22549738324771607</c:v>
                </c:pt>
                <c:pt idx="19">
                  <c:v>0.22710489242616599</c:v>
                </c:pt>
                <c:pt idx="20">
                  <c:v>0.22874063664555327</c:v>
                </c:pt>
                <c:pt idx="21">
                  <c:v>0.23047021481675323</c:v>
                </c:pt>
                <c:pt idx="22">
                  <c:v>0.23216566347102782</c:v>
                </c:pt>
                <c:pt idx="23">
                  <c:v>0.23382621463255521</c:v>
                </c:pt>
                <c:pt idx="24">
                  <c:v>0.23548361994772618</c:v>
                </c:pt>
                <c:pt idx="25">
                  <c:v>0.23703148503525079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E-9AAC-4C4B-BBFD-BAF66A5040A1}"/>
            </c:ext>
          </c:extLst>
        </c:ser>
        <c:ser>
          <c:idx val="2"/>
          <c:order val="2"/>
          <c:tx>
            <c:strRef>
              <c:f>'Occ F2'!$L$62</c:f>
              <c:strCache>
                <c:ptCount val="1"/>
                <c:pt idx="0">
                  <c:v>Associate professional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diamond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F2'!$M$62:$AL$62</c:f>
              <c:numCache>
                <c:formatCode>0%</c:formatCode>
                <c:ptCount val="26"/>
                <c:pt idx="0">
                  <c:v>0.10783426786712601</c:v>
                </c:pt>
                <c:pt idx="1">
                  <c:v>0.10763492299029705</c:v>
                </c:pt>
                <c:pt idx="2">
                  <c:v>0.10960420481119991</c:v>
                </c:pt>
                <c:pt idx="3">
                  <c:v>0.10926699891154391</c:v>
                </c:pt>
                <c:pt idx="4">
                  <c:v>0.10631947925294971</c:v>
                </c:pt>
                <c:pt idx="5">
                  <c:v>0.10525988782033066</c:v>
                </c:pt>
                <c:pt idx="6">
                  <c:v>0.10607203377319155</c:v>
                </c:pt>
                <c:pt idx="7">
                  <c:v>0.10800469545160948</c:v>
                </c:pt>
                <c:pt idx="8">
                  <c:v>0.11038131259057203</c:v>
                </c:pt>
                <c:pt idx="9">
                  <c:v>0.11069563364084885</c:v>
                </c:pt>
                <c:pt idx="10">
                  <c:v>0.11708918754237675</c:v>
                </c:pt>
                <c:pt idx="11">
                  <c:v>0.10999500644898619</c:v>
                </c:pt>
                <c:pt idx="12">
                  <c:v>0.11015541079023654</c:v>
                </c:pt>
                <c:pt idx="13">
                  <c:v>0.11058767636322794</c:v>
                </c:pt>
                <c:pt idx="14">
                  <c:v>0.11098551657375012</c:v>
                </c:pt>
                <c:pt idx="15">
                  <c:v>0.11142825370465931</c:v>
                </c:pt>
                <c:pt idx="16">
                  <c:v>0.11187146861576364</c:v>
                </c:pt>
                <c:pt idx="17">
                  <c:v>0.1123518449591602</c:v>
                </c:pt>
                <c:pt idx="18">
                  <c:v>0.11285528986872312</c:v>
                </c:pt>
                <c:pt idx="19">
                  <c:v>0.11330933018549376</c:v>
                </c:pt>
                <c:pt idx="20">
                  <c:v>0.11380641142573789</c:v>
                </c:pt>
                <c:pt idx="21">
                  <c:v>0.11431335579772012</c:v>
                </c:pt>
                <c:pt idx="22">
                  <c:v>0.11483028820691311</c:v>
                </c:pt>
                <c:pt idx="23">
                  <c:v>0.11534794308196576</c:v>
                </c:pt>
                <c:pt idx="24">
                  <c:v>0.1158777448582005</c:v>
                </c:pt>
                <c:pt idx="25">
                  <c:v>0.11652117746881029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0-9AAC-4C4B-BBFD-BAF66A5040A1}"/>
            </c:ext>
          </c:extLst>
        </c:ser>
        <c:ser>
          <c:idx val="3"/>
          <c:order val="3"/>
          <c:tx>
            <c:strRef>
              <c:f>'Occ F2'!$L$69</c:f>
              <c:strCache>
                <c:ptCount val="1"/>
                <c:pt idx="0">
                  <c:v>Administrative and secretarial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triang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F2'!$M$69:$AL$69</c:f>
              <c:numCache>
                <c:formatCode>0%</c:formatCode>
                <c:ptCount val="26"/>
                <c:pt idx="0">
                  <c:v>0.11789825460143023</c:v>
                </c:pt>
                <c:pt idx="1">
                  <c:v>0.11581355285527067</c:v>
                </c:pt>
                <c:pt idx="2">
                  <c:v>0.11276323375608284</c:v>
                </c:pt>
                <c:pt idx="3">
                  <c:v>0.11098695720242055</c:v>
                </c:pt>
                <c:pt idx="4">
                  <c:v>0.11229909306094633</c:v>
                </c:pt>
                <c:pt idx="5">
                  <c:v>0.1128943932139161</c:v>
                </c:pt>
                <c:pt idx="6">
                  <c:v>0.10985649107162498</c:v>
                </c:pt>
                <c:pt idx="7">
                  <c:v>0.10723471225776582</c:v>
                </c:pt>
                <c:pt idx="8">
                  <c:v>0.10795411543396312</c:v>
                </c:pt>
                <c:pt idx="9">
                  <c:v>0.10428870792006441</c:v>
                </c:pt>
                <c:pt idx="10">
                  <c:v>0.10962673944419903</c:v>
                </c:pt>
                <c:pt idx="11">
                  <c:v>0.10489177176683623</c:v>
                </c:pt>
                <c:pt idx="12">
                  <c:v>0.10414071096124049</c:v>
                </c:pt>
                <c:pt idx="13">
                  <c:v>0.10336888270961818</c:v>
                </c:pt>
                <c:pt idx="14">
                  <c:v>0.10258408078551737</c:v>
                </c:pt>
                <c:pt idx="15">
                  <c:v>0.10190892360046359</c:v>
                </c:pt>
                <c:pt idx="16">
                  <c:v>0.10114187404262935</c:v>
                </c:pt>
                <c:pt idx="17">
                  <c:v>0.10035784054316561</c:v>
                </c:pt>
                <c:pt idx="18">
                  <c:v>9.9457422480289326E-2</c:v>
                </c:pt>
                <c:pt idx="19">
                  <c:v>9.8650085557198813E-2</c:v>
                </c:pt>
                <c:pt idx="20">
                  <c:v>9.7775595824345474E-2</c:v>
                </c:pt>
                <c:pt idx="21">
                  <c:v>9.6597210462733923E-2</c:v>
                </c:pt>
                <c:pt idx="22">
                  <c:v>9.5286367910511177E-2</c:v>
                </c:pt>
                <c:pt idx="23">
                  <c:v>9.4276186265589521E-2</c:v>
                </c:pt>
                <c:pt idx="24">
                  <c:v>9.3386536901955405E-2</c:v>
                </c:pt>
                <c:pt idx="25">
                  <c:v>9.3081663582302035E-2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2-9AAC-4C4B-BBFD-BAF66A5040A1}"/>
            </c:ext>
          </c:extLst>
        </c:ser>
        <c:ser>
          <c:idx val="4"/>
          <c:order val="4"/>
          <c:tx>
            <c:strRef>
              <c:f>'Occ F2'!$L$73</c:f>
              <c:strCache>
                <c:ptCount val="1"/>
                <c:pt idx="0">
                  <c:v>Skilled trades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tar"/>
            <c:size val="6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F2'!$M$73:$AL$73</c:f>
              <c:numCache>
                <c:formatCode>0%</c:formatCode>
                <c:ptCount val="26"/>
                <c:pt idx="0">
                  <c:v>0.12531187778783406</c:v>
                </c:pt>
                <c:pt idx="1">
                  <c:v>0.12951373411573361</c:v>
                </c:pt>
                <c:pt idx="2">
                  <c:v>0.11702371178647659</c:v>
                </c:pt>
                <c:pt idx="3">
                  <c:v>0.12338717921410089</c:v>
                </c:pt>
                <c:pt idx="4">
                  <c:v>0.1195536981016378</c:v>
                </c:pt>
                <c:pt idx="5">
                  <c:v>0.11644068007125141</c:v>
                </c:pt>
                <c:pt idx="6">
                  <c:v>0.11261049552105207</c:v>
                </c:pt>
                <c:pt idx="7">
                  <c:v>0.11543893707066985</c:v>
                </c:pt>
                <c:pt idx="8">
                  <c:v>0.11518091108807993</c:v>
                </c:pt>
                <c:pt idx="9">
                  <c:v>0.11585650496210285</c:v>
                </c:pt>
                <c:pt idx="10">
                  <c:v>0.10073730085510532</c:v>
                </c:pt>
                <c:pt idx="11">
                  <c:v>0.10099401329196644</c:v>
                </c:pt>
                <c:pt idx="12">
                  <c:v>0.10000608987787687</c:v>
                </c:pt>
                <c:pt idx="13">
                  <c:v>9.8766043988433819E-2</c:v>
                </c:pt>
                <c:pt idx="14">
                  <c:v>9.769288811079313E-2</c:v>
                </c:pt>
                <c:pt idx="15">
                  <c:v>9.6805076101880105E-2</c:v>
                </c:pt>
                <c:pt idx="16">
                  <c:v>9.588904050111359E-2</c:v>
                </c:pt>
                <c:pt idx="17">
                  <c:v>9.4938984276897065E-2</c:v>
                </c:pt>
                <c:pt idx="18">
                  <c:v>9.4038400830576935E-2</c:v>
                </c:pt>
                <c:pt idx="19">
                  <c:v>9.312832073418402E-2</c:v>
                </c:pt>
                <c:pt idx="20">
                  <c:v>9.2228353951147771E-2</c:v>
                </c:pt>
                <c:pt idx="21">
                  <c:v>9.135942868391829E-2</c:v>
                </c:pt>
                <c:pt idx="22">
                  <c:v>9.0494893391251024E-2</c:v>
                </c:pt>
                <c:pt idx="23">
                  <c:v>8.9574306043139915E-2</c:v>
                </c:pt>
                <c:pt idx="24">
                  <c:v>8.8645204375763717E-2</c:v>
                </c:pt>
                <c:pt idx="25">
                  <c:v>8.7618537189575699E-2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4-9AAC-4C4B-BBFD-BAF66A5040A1}"/>
            </c:ext>
          </c:extLst>
        </c:ser>
        <c:ser>
          <c:idx val="5"/>
          <c:order val="5"/>
          <c:tx>
            <c:strRef>
              <c:f>'Occ F2'!$L$79</c:f>
              <c:strCache>
                <c:ptCount val="1"/>
                <c:pt idx="0">
                  <c:v>Caring, leisure and other service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x"/>
            <c:size val="6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F2'!$M$79:$AL$79</c:f>
              <c:numCache>
                <c:formatCode>0%</c:formatCode>
                <c:ptCount val="26"/>
                <c:pt idx="0">
                  <c:v>9.1934758420229995E-2</c:v>
                </c:pt>
                <c:pt idx="1">
                  <c:v>8.7465066379806375E-2</c:v>
                </c:pt>
                <c:pt idx="2">
                  <c:v>9.0487084142843413E-2</c:v>
                </c:pt>
                <c:pt idx="3">
                  <c:v>8.8107617364008878E-2</c:v>
                </c:pt>
                <c:pt idx="4">
                  <c:v>9.2840854793893229E-2</c:v>
                </c:pt>
                <c:pt idx="5">
                  <c:v>9.1663336334940296E-2</c:v>
                </c:pt>
                <c:pt idx="6">
                  <c:v>9.0057867790609022E-2</c:v>
                </c:pt>
                <c:pt idx="7">
                  <c:v>9.0078835443050051E-2</c:v>
                </c:pt>
                <c:pt idx="8">
                  <c:v>8.8784874427031799E-2</c:v>
                </c:pt>
                <c:pt idx="9">
                  <c:v>8.9403758384578022E-2</c:v>
                </c:pt>
                <c:pt idx="10">
                  <c:v>8.9454574905111245E-2</c:v>
                </c:pt>
                <c:pt idx="11">
                  <c:v>9.1144399623154973E-2</c:v>
                </c:pt>
                <c:pt idx="12">
                  <c:v>9.157765081064613E-2</c:v>
                </c:pt>
                <c:pt idx="13">
                  <c:v>9.1954356752335625E-2</c:v>
                </c:pt>
                <c:pt idx="14">
                  <c:v>9.2192535244265947E-2</c:v>
                </c:pt>
                <c:pt idx="15">
                  <c:v>9.234626078611477E-2</c:v>
                </c:pt>
                <c:pt idx="16">
                  <c:v>9.2440018068611948E-2</c:v>
                </c:pt>
                <c:pt idx="17">
                  <c:v>9.2505842062749644E-2</c:v>
                </c:pt>
                <c:pt idx="18">
                  <c:v>9.2600423496996473E-2</c:v>
                </c:pt>
                <c:pt idx="19">
                  <c:v>9.2649265703593192E-2</c:v>
                </c:pt>
                <c:pt idx="20">
                  <c:v>9.2738912061461953E-2</c:v>
                </c:pt>
                <c:pt idx="21">
                  <c:v>9.2857849040434426E-2</c:v>
                </c:pt>
                <c:pt idx="22">
                  <c:v>9.3003596951616863E-2</c:v>
                </c:pt>
                <c:pt idx="23">
                  <c:v>9.3155464966645146E-2</c:v>
                </c:pt>
                <c:pt idx="24">
                  <c:v>9.3316073641314154E-2</c:v>
                </c:pt>
                <c:pt idx="25">
                  <c:v>9.3450713883013375E-2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6-9AAC-4C4B-BBFD-BAF66A5040A1}"/>
            </c:ext>
          </c:extLst>
        </c:ser>
        <c:ser>
          <c:idx val="6"/>
          <c:order val="6"/>
          <c:tx>
            <c:strRef>
              <c:f>'Occ F2'!$L$84</c:f>
              <c:strCache>
                <c:ptCount val="1"/>
                <c:pt idx="0">
                  <c:v>Sales and customer service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squar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F2'!$M$84:$AL$84</c:f>
              <c:numCache>
                <c:formatCode>0%</c:formatCode>
                <c:ptCount val="26"/>
                <c:pt idx="0">
                  <c:v>0.10389489082987133</c:v>
                </c:pt>
                <c:pt idx="1">
                  <c:v>0.10630578916634632</c:v>
                </c:pt>
                <c:pt idx="2">
                  <c:v>0.1114482589183336</c:v>
                </c:pt>
                <c:pt idx="3">
                  <c:v>0.10363660804645149</c:v>
                </c:pt>
                <c:pt idx="4">
                  <c:v>0.11453035977411531</c:v>
                </c:pt>
                <c:pt idx="5">
                  <c:v>0.11471919232703945</c:v>
                </c:pt>
                <c:pt idx="6">
                  <c:v>0.11697653620480608</c:v>
                </c:pt>
                <c:pt idx="7">
                  <c:v>0.11074035640464809</c:v>
                </c:pt>
                <c:pt idx="8">
                  <c:v>0.10329691498533074</c:v>
                </c:pt>
                <c:pt idx="9">
                  <c:v>0.10518387235294412</c:v>
                </c:pt>
                <c:pt idx="10">
                  <c:v>0.10767479991301118</c:v>
                </c:pt>
                <c:pt idx="11">
                  <c:v>0.10614419013821898</c:v>
                </c:pt>
                <c:pt idx="12">
                  <c:v>0.10629762771253329</c:v>
                </c:pt>
                <c:pt idx="13">
                  <c:v>0.10646182243201165</c:v>
                </c:pt>
                <c:pt idx="14">
                  <c:v>0.10659309587776321</c:v>
                </c:pt>
                <c:pt idx="15">
                  <c:v>0.10662765465791386</c:v>
                </c:pt>
                <c:pt idx="16">
                  <c:v>0.10664185583920241</c:v>
                </c:pt>
                <c:pt idx="17">
                  <c:v>0.1066038292717192</c:v>
                </c:pt>
                <c:pt idx="18">
                  <c:v>0.10653610498557547</c:v>
                </c:pt>
                <c:pt idx="19">
                  <c:v>0.10648826152221051</c:v>
                </c:pt>
                <c:pt idx="20">
                  <c:v>0.10638263384196649</c:v>
                </c:pt>
                <c:pt idx="21">
                  <c:v>0.1062522789392109</c:v>
                </c:pt>
                <c:pt idx="22">
                  <c:v>0.10603935564193209</c:v>
                </c:pt>
                <c:pt idx="23">
                  <c:v>0.10586794390703219</c:v>
                </c:pt>
                <c:pt idx="24">
                  <c:v>0.10565416134578813</c:v>
                </c:pt>
                <c:pt idx="25">
                  <c:v>0.10535216529133838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8-9AAC-4C4B-BBFD-BAF66A5040A1}"/>
            </c:ext>
          </c:extLst>
        </c:ser>
        <c:ser>
          <c:idx val="7"/>
          <c:order val="7"/>
          <c:tx>
            <c:strRef>
              <c:f>'Occ F2'!$L$88</c:f>
              <c:strCache>
                <c:ptCount val="1"/>
                <c:pt idx="0">
                  <c:v>Process, plant and machine operatives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diamond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F2'!$M$88:$AL$88</c:f>
              <c:numCache>
                <c:formatCode>0%</c:formatCode>
                <c:ptCount val="26"/>
                <c:pt idx="0">
                  <c:v>8.1353893589240528E-2</c:v>
                </c:pt>
                <c:pt idx="1">
                  <c:v>8.1175264576143699E-2</c:v>
                </c:pt>
                <c:pt idx="2">
                  <c:v>7.9293721052602933E-2</c:v>
                </c:pt>
                <c:pt idx="3">
                  <c:v>8.880418687297785E-2</c:v>
                </c:pt>
                <c:pt idx="4">
                  <c:v>8.0353782696804765E-2</c:v>
                </c:pt>
                <c:pt idx="5">
                  <c:v>7.8159691232888809E-2</c:v>
                </c:pt>
                <c:pt idx="6">
                  <c:v>8.3249176906002961E-2</c:v>
                </c:pt>
                <c:pt idx="7">
                  <c:v>8.4835896676955722E-2</c:v>
                </c:pt>
                <c:pt idx="8">
                  <c:v>9.1860058087376711E-2</c:v>
                </c:pt>
                <c:pt idx="9">
                  <c:v>8.3211915741237125E-2</c:v>
                </c:pt>
                <c:pt idx="10">
                  <c:v>7.4289536775577231E-2</c:v>
                </c:pt>
                <c:pt idx="11">
                  <c:v>8.2040647896510749E-2</c:v>
                </c:pt>
                <c:pt idx="12">
                  <c:v>8.1275403148109826E-2</c:v>
                </c:pt>
                <c:pt idx="13">
                  <c:v>8.0638270608060239E-2</c:v>
                </c:pt>
                <c:pt idx="14">
                  <c:v>8.0010203885186745E-2</c:v>
                </c:pt>
                <c:pt idx="15">
                  <c:v>7.9327040912217484E-2</c:v>
                </c:pt>
                <c:pt idx="16">
                  <c:v>7.87162019730787E-2</c:v>
                </c:pt>
                <c:pt idx="17">
                  <c:v>7.807884589568384E-2</c:v>
                </c:pt>
                <c:pt idx="18">
                  <c:v>7.7394361917629065E-2</c:v>
                </c:pt>
                <c:pt idx="19">
                  <c:v>7.673570986475213E-2</c:v>
                </c:pt>
                <c:pt idx="20">
                  <c:v>7.6097379317180552E-2</c:v>
                </c:pt>
                <c:pt idx="21">
                  <c:v>7.5526080460664793E-2</c:v>
                </c:pt>
                <c:pt idx="22">
                  <c:v>7.4997289607007731E-2</c:v>
                </c:pt>
                <c:pt idx="23">
                  <c:v>7.4434348855589264E-2</c:v>
                </c:pt>
                <c:pt idx="24">
                  <c:v>7.3860388403156549E-2</c:v>
                </c:pt>
                <c:pt idx="25">
                  <c:v>7.3320833681890352E-2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A-9AAC-4C4B-BBFD-BAF66A5040A1}"/>
            </c:ext>
          </c:extLst>
        </c:ser>
        <c:ser>
          <c:idx val="8"/>
          <c:order val="8"/>
          <c:tx>
            <c:strRef>
              <c:f>'Occ F2'!$L$92</c:f>
              <c:strCache>
                <c:ptCount val="1"/>
                <c:pt idx="0">
                  <c:v>Elementary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triang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F2'!$M$92:$AL$92</c:f>
              <c:numCache>
                <c:formatCode>0%</c:formatCode>
                <c:ptCount val="26"/>
                <c:pt idx="0">
                  <c:v>0.12513353670762595</c:v>
                </c:pt>
                <c:pt idx="1">
                  <c:v>0.12221425813570176</c:v>
                </c:pt>
                <c:pt idx="2">
                  <c:v>0.11971074126133403</c:v>
                </c:pt>
                <c:pt idx="3">
                  <c:v>0.12025398160627412</c:v>
                </c:pt>
                <c:pt idx="4">
                  <c:v>0.11985433683023447</c:v>
                </c:pt>
                <c:pt idx="5">
                  <c:v>0.12329972036066499</c:v>
                </c:pt>
                <c:pt idx="6">
                  <c:v>0.12548224594232638</c:v>
                </c:pt>
                <c:pt idx="7">
                  <c:v>0.12793884671054762</c:v>
                </c:pt>
                <c:pt idx="8">
                  <c:v>0.11935390624377973</c:v>
                </c:pt>
                <c:pt idx="9">
                  <c:v>0.11664239825344762</c:v>
                </c:pt>
                <c:pt idx="10">
                  <c:v>0.11024240084177628</c:v>
                </c:pt>
                <c:pt idx="11">
                  <c:v>0.11047788448320696</c:v>
                </c:pt>
                <c:pt idx="12">
                  <c:v>0.10908914285342694</c:v>
                </c:pt>
                <c:pt idx="13">
                  <c:v>0.10799137197894239</c:v>
                </c:pt>
                <c:pt idx="14">
                  <c:v>0.1070849241566125</c:v>
                </c:pt>
                <c:pt idx="15">
                  <c:v>0.10630828236727459</c:v>
                </c:pt>
                <c:pt idx="16">
                  <c:v>0.1056724459987676</c:v>
                </c:pt>
                <c:pt idx="17">
                  <c:v>0.10506284602569396</c:v>
                </c:pt>
                <c:pt idx="18">
                  <c:v>0.10454251273880764</c:v>
                </c:pt>
                <c:pt idx="19">
                  <c:v>0.10402746489283521</c:v>
                </c:pt>
                <c:pt idx="20">
                  <c:v>0.10349279985252771</c:v>
                </c:pt>
                <c:pt idx="21">
                  <c:v>0.10295999195545116</c:v>
                </c:pt>
                <c:pt idx="22">
                  <c:v>0.10249148509068112</c:v>
                </c:pt>
                <c:pt idx="23">
                  <c:v>0.10198690994827685</c:v>
                </c:pt>
                <c:pt idx="24">
                  <c:v>0.1014569489345787</c:v>
                </c:pt>
                <c:pt idx="25">
                  <c:v>0.10090593685355331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C-9AAC-4C4B-BBFD-BAF66A5040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5610144"/>
        <c:axId val="315610536"/>
      </c:lineChart>
      <c:catAx>
        <c:axId val="31561014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1053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61053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 rot="0" vert="horz"/>
              <a:lstStyle/>
              <a:p>
                <a:pPr algn="l">
                  <a:defRPr sz="14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 sz="1400"/>
                  <a:t>%</a:t>
                </a:r>
              </a:p>
            </c:rich>
          </c:tx>
          <c:layout>
            <c:manualLayout>
              <c:xMode val="edge"/>
              <c:yMode val="edge"/>
              <c:x val="3.6734544583954032E-2"/>
              <c:y val="8.1044128159058985E-3"/>
            </c:manualLayout>
          </c:layout>
          <c:overlay val="0"/>
          <c:spPr>
            <a:noFill/>
            <a:ln w="25400">
              <a:noFill/>
            </a:ln>
          </c:spPr>
        </c:title>
        <c:numFmt formatCode="0%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10144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1.5142849542455844E-2"/>
          <c:y val="0.86539777165078335"/>
          <c:w val="0.96587039795701224"/>
          <c:h val="0.12216851442465591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05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'Occ F3'!$X$3</c:f>
          <c:strCache>
            <c:ptCount val="1"/>
            <c:pt idx="0">
              <c:v>2015-2019</c:v>
            </c:pt>
          </c:strCache>
        </c:strRef>
      </c:tx>
      <c:layout>
        <c:manualLayout>
          <c:xMode val="edge"/>
          <c:yMode val="edge"/>
          <c:x val="0.64754427755354116"/>
          <c:y val="3.378378378378378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52891197423851433"/>
          <c:y val="0.11438438438438442"/>
          <c:w val="0.43259004389157235"/>
          <c:h val="0.81895415100139513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000000"/>
            </a:solidFill>
            <a:ln>
              <a:noFill/>
            </a:ln>
            <a:effectLst/>
          </c:spPr>
          <c:invertIfNegative val="0"/>
          <c:cat>
            <c:strRef>
              <c:f>'Occ F3'!$W$4:$W$12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F3'!$X$4:$X$12</c:f>
              <c:numCache>
                <c:formatCode>#,##0</c:formatCode>
                <c:ptCount val="9"/>
                <c:pt idx="0">
                  <c:v>3.9614627100283855</c:v>
                </c:pt>
                <c:pt idx="1">
                  <c:v>2.7534289111392667</c:v>
                </c:pt>
                <c:pt idx="2">
                  <c:v>1.9827161134915059</c:v>
                </c:pt>
                <c:pt idx="3">
                  <c:v>-4.8542142627349492</c:v>
                </c:pt>
                <c:pt idx="4">
                  <c:v>-0.99697249132374566</c:v>
                </c:pt>
                <c:pt idx="5">
                  <c:v>-1.6551216390976506</c:v>
                </c:pt>
                <c:pt idx="6">
                  <c:v>-5.3149593205918961</c:v>
                </c:pt>
                <c:pt idx="7">
                  <c:v>1.9635416012195108</c:v>
                </c:pt>
                <c:pt idx="8">
                  <c:v>-3.9758816221307072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688-4B84-AE14-1F96EBE872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73748296"/>
        <c:axId val="973746328"/>
      </c:barChart>
      <c:catAx>
        <c:axId val="973748296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6328"/>
        <c:crosses val="autoZero"/>
        <c:auto val="1"/>
        <c:lblAlgn val="ctr"/>
        <c:lblOffset val="100"/>
        <c:noMultiLvlLbl val="0"/>
      </c:catAx>
      <c:valAx>
        <c:axId val="973746328"/>
        <c:scaling>
          <c:orientation val="minMax"/>
          <c:max val="20"/>
          <c:min val="-2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8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8296"/>
        <c:crosses val="max"/>
        <c:crossBetween val="between"/>
        <c:majorUnit val="10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'Occ F3'!$Y$3</c:f>
          <c:strCache>
            <c:ptCount val="1"/>
            <c:pt idx="0">
              <c:v>2019-2020</c:v>
            </c:pt>
          </c:strCache>
        </c:strRef>
      </c:tx>
      <c:layout>
        <c:manualLayout>
          <c:xMode val="edge"/>
          <c:yMode val="edge"/>
          <c:x val="0.3392222222222222"/>
          <c:y val="3.678678678678678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2570166229221347"/>
          <c:y val="0.11438438438438442"/>
          <c:w val="0.79925678040244974"/>
          <c:h val="0.8249601570074011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000000"/>
            </a:solidFill>
            <a:ln>
              <a:noFill/>
            </a:ln>
            <a:effectLst/>
          </c:spPr>
          <c:invertIfNegative val="0"/>
          <c:cat>
            <c:strRef>
              <c:f>'Occ F3'!$W$4:$W$12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F3'!$Y$4:$Y$12</c:f>
              <c:numCache>
                <c:formatCode>#,##0</c:formatCode>
                <c:ptCount val="9"/>
                <c:pt idx="0">
                  <c:v>0.27741005246551254</c:v>
                </c:pt>
                <c:pt idx="1">
                  <c:v>6.1888254120013215</c:v>
                </c:pt>
                <c:pt idx="2">
                  <c:v>2.5474151950468809</c:v>
                </c:pt>
                <c:pt idx="3">
                  <c:v>2.0716838826073456</c:v>
                </c:pt>
                <c:pt idx="4">
                  <c:v>-7.7795968377166815</c:v>
                </c:pt>
                <c:pt idx="5">
                  <c:v>-0.39130071981698933</c:v>
                </c:pt>
                <c:pt idx="6">
                  <c:v>0.7039701500638742</c:v>
                </c:pt>
                <c:pt idx="7">
                  <c:v>-4.6600114647886244</c:v>
                </c:pt>
                <c:pt idx="8">
                  <c:v>-3.6073956698623562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805-4F18-AE05-2CED887AD0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73748296"/>
        <c:axId val="973746328"/>
      </c:barChart>
      <c:catAx>
        <c:axId val="973748296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6328"/>
        <c:crosses val="autoZero"/>
        <c:auto val="1"/>
        <c:lblAlgn val="ctr"/>
        <c:lblOffset val="100"/>
        <c:noMultiLvlLbl val="0"/>
      </c:catAx>
      <c:valAx>
        <c:axId val="973746328"/>
        <c:scaling>
          <c:orientation val="minMax"/>
          <c:max val="20"/>
          <c:min val="-2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8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8296"/>
        <c:crosses val="max"/>
        <c:crossBetween val="between"/>
        <c:majorUnit val="10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'Occ F3'!$Z$3</c:f>
          <c:strCache>
            <c:ptCount val="1"/>
            <c:pt idx="0">
              <c:v>2020-2025</c:v>
            </c:pt>
          </c:strCache>
        </c:strRef>
      </c:tx>
      <c:layout>
        <c:manualLayout>
          <c:xMode val="edge"/>
          <c:yMode val="edge"/>
          <c:x val="0.3392222222222222"/>
          <c:y val="3.678678678678678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2570166229221347"/>
          <c:y val="0.11438438438438442"/>
          <c:w val="0.79925678040244974"/>
          <c:h val="0.8249601570074011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000000"/>
            </a:solidFill>
            <a:ln>
              <a:noFill/>
            </a:ln>
            <a:effectLst/>
          </c:spPr>
          <c:invertIfNegative val="0"/>
          <c:cat>
            <c:strRef>
              <c:f>'Occ F3'!$W$4:$W$12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F3'!$Z$4:$Z$12</c:f>
              <c:numCache>
                <c:formatCode>#,##0</c:formatCode>
                <c:ptCount val="9"/>
                <c:pt idx="0">
                  <c:v>0.61744195875795782</c:v>
                </c:pt>
                <c:pt idx="1">
                  <c:v>7.4289707805171759</c:v>
                </c:pt>
                <c:pt idx="2">
                  <c:v>-2.2849553287423845</c:v>
                </c:pt>
                <c:pt idx="3">
                  <c:v>-3.3064610380051036</c:v>
                </c:pt>
                <c:pt idx="4">
                  <c:v>-1.5129652560734854</c:v>
                </c:pt>
                <c:pt idx="5">
                  <c:v>1.7381279997523507</c:v>
                </c:pt>
                <c:pt idx="6">
                  <c:v>-9.3654309376255185E-2</c:v>
                </c:pt>
                <c:pt idx="7">
                  <c:v>2.7160176376337759</c:v>
                </c:pt>
                <c:pt idx="8">
                  <c:v>-1.4775224444644053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526-4BC6-8F56-053EC6BA91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73748296"/>
        <c:axId val="973746328"/>
      </c:barChart>
      <c:catAx>
        <c:axId val="973748296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6328"/>
        <c:crosses val="autoZero"/>
        <c:auto val="1"/>
        <c:lblAlgn val="ctr"/>
        <c:lblOffset val="100"/>
        <c:noMultiLvlLbl val="0"/>
      </c:catAx>
      <c:valAx>
        <c:axId val="973746328"/>
        <c:scaling>
          <c:orientation val="minMax"/>
          <c:max val="20"/>
          <c:min val="-2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8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8296"/>
        <c:crosses val="max"/>
        <c:crossBetween val="between"/>
        <c:majorUnit val="10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'Occ F3'!$AA$3</c:f>
          <c:strCache>
            <c:ptCount val="1"/>
            <c:pt idx="0">
              <c:v>2025-2035</c:v>
            </c:pt>
          </c:strCache>
        </c:strRef>
      </c:tx>
      <c:layout>
        <c:manualLayout>
          <c:xMode val="edge"/>
          <c:yMode val="edge"/>
          <c:x val="0.3392222222222222"/>
          <c:y val="3.678678678678678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2570166229221347"/>
          <c:y val="0.11438438438438442"/>
          <c:w val="0.79925678040244974"/>
          <c:h val="0.8249601570074011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000000"/>
            </a:solidFill>
            <a:ln>
              <a:noFill/>
            </a:ln>
            <a:effectLst/>
          </c:spPr>
          <c:invertIfNegative val="0"/>
          <c:cat>
            <c:strRef>
              <c:f>'Occ F3'!$W$4:$W$12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F3'!$AA$4:$AA$12</c:f>
              <c:numCache>
                <c:formatCode>#,##0</c:formatCode>
                <c:ptCount val="9"/>
                <c:pt idx="0">
                  <c:v>4.8266171323967839</c:v>
                </c:pt>
                <c:pt idx="1">
                  <c:v>10.307399393722378</c:v>
                </c:pt>
                <c:pt idx="2">
                  <c:v>3.6269718865474232</c:v>
                </c:pt>
                <c:pt idx="3">
                  <c:v>-3.3280387602877539</c:v>
                </c:pt>
                <c:pt idx="4">
                  <c:v>-3.5562597740539772</c:v>
                </c:pt>
                <c:pt idx="5">
                  <c:v>1.4702061450858892</c:v>
                </c:pt>
                <c:pt idx="6">
                  <c:v>0.44062239417257842</c:v>
                </c:pt>
                <c:pt idx="7">
                  <c:v>-2.1643145473193286</c:v>
                </c:pt>
                <c:pt idx="8">
                  <c:v>-1.5962038702638708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587-435B-BBDD-CBBD5A579B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73748296"/>
        <c:axId val="973746328"/>
      </c:barChart>
      <c:catAx>
        <c:axId val="973748296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6328"/>
        <c:crosses val="autoZero"/>
        <c:auto val="1"/>
        <c:lblAlgn val="ctr"/>
        <c:lblOffset val="100"/>
        <c:noMultiLvlLbl val="0"/>
      </c:catAx>
      <c:valAx>
        <c:axId val="973746328"/>
        <c:scaling>
          <c:orientation val="minMax"/>
          <c:max val="20"/>
          <c:min val="-2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8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8296"/>
        <c:crosses val="max"/>
        <c:crossBetween val="between"/>
        <c:majorUnit val="10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366400348449171"/>
          <c:y val="2.3504273504273504E-2"/>
          <c:w val="0.51264010895328738"/>
          <c:h val="0.87051921394441079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'Occ F4'!$N$2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strRef>
              <c:f>'Occ F4'!$M$3:$M$11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F4'!$N$3:$N$11</c:f>
              <c:numCache>
                <c:formatCode>#,##0</c:formatCode>
                <c:ptCount val="9"/>
                <c:pt idx="0">
                  <c:v>5.4440590911547417</c:v>
                </c:pt>
                <c:pt idx="1">
                  <c:v>17.736370174239553</c:v>
                </c:pt>
                <c:pt idx="2">
                  <c:v>1.3420165578050387</c:v>
                </c:pt>
                <c:pt idx="3">
                  <c:v>-6.6344997982928575</c:v>
                </c:pt>
                <c:pt idx="4">
                  <c:v>-5.0692250301274626</c:v>
                </c:pt>
                <c:pt idx="5">
                  <c:v>3.2083341448382399</c:v>
                </c:pt>
                <c:pt idx="6">
                  <c:v>0.34696808479632324</c:v>
                </c:pt>
                <c:pt idx="7">
                  <c:v>0.55170309031444731</c:v>
                </c:pt>
                <c:pt idx="8">
                  <c:v>-3.0737263147282761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B42-418F-B6AC-18C214F21798}"/>
            </c:ext>
          </c:extLst>
        </c:ser>
        <c:ser>
          <c:idx val="1"/>
          <c:order val="1"/>
          <c:tx>
            <c:strRef>
              <c:f>'Occ F4'!$O$2</c:f>
              <c:strCache>
                <c:ptCount val="1"/>
                <c:pt idx="0">
                  <c:v>Females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F4'!$M$3:$M$11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F4'!$O$3:$O$11</c:f>
              <c:numCache>
                <c:formatCode>#,##0</c:formatCode>
                <c:ptCount val="9"/>
                <c:pt idx="0">
                  <c:v>3.0976990623843452</c:v>
                </c:pt>
                <c:pt idx="1">
                  <c:v>11.605378712437236</c:v>
                </c:pt>
                <c:pt idx="2">
                  <c:v>3.5508720292119982</c:v>
                </c:pt>
                <c:pt idx="3">
                  <c:v>-7.4278573083043504</c:v>
                </c:pt>
                <c:pt idx="4">
                  <c:v>0.66099707484255177</c:v>
                </c:pt>
                <c:pt idx="5">
                  <c:v>1.7633860662969667</c:v>
                </c:pt>
                <c:pt idx="6">
                  <c:v>-1.1223091635011997</c:v>
                </c:pt>
                <c:pt idx="7">
                  <c:v>0.51458990274583183</c:v>
                </c:pt>
                <c:pt idx="8">
                  <c:v>-1.3329575646116147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B42-418F-B6AC-18C214F21798}"/>
            </c:ext>
          </c:extLst>
        </c:ser>
        <c:ser>
          <c:idx val="2"/>
          <c:order val="2"/>
          <c:tx>
            <c:strRef>
              <c:f>'Occ F4'!$P$2</c:f>
              <c:strCache>
                <c:ptCount val="1"/>
                <c:pt idx="0">
                  <c:v>Males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F4'!$M$3:$M$11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F4'!$P$3:$P$11</c:f>
              <c:numCache>
                <c:formatCode>#,##0</c:formatCode>
                <c:ptCount val="9"/>
                <c:pt idx="0">
                  <c:v>2.3463600287704551</c:v>
                </c:pt>
                <c:pt idx="1">
                  <c:v>6.1309914618022745</c:v>
                </c:pt>
                <c:pt idx="2">
                  <c:v>-2.2088554714069382</c:v>
                </c:pt>
                <c:pt idx="3">
                  <c:v>0.7933575100115835</c:v>
                </c:pt>
                <c:pt idx="4">
                  <c:v>-5.7302221049699966</c:v>
                </c:pt>
                <c:pt idx="5">
                  <c:v>1.4449480785413007</c:v>
                </c:pt>
                <c:pt idx="6">
                  <c:v>1.4692772482974483</c:v>
                </c:pt>
                <c:pt idx="7">
                  <c:v>3.711318756866433E-2</c:v>
                </c:pt>
                <c:pt idx="8">
                  <c:v>-1.740768750116672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B42-418F-B6AC-18C214F217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22825288"/>
        <c:axId val="922825616"/>
      </c:barChart>
      <c:catAx>
        <c:axId val="922825288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ysClr val="windowText" lastClr="000000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616"/>
        <c:crosses val="autoZero"/>
        <c:auto val="1"/>
        <c:lblAlgn val="ctr"/>
        <c:lblOffset val="100"/>
        <c:noMultiLvlLbl val="0"/>
      </c:catAx>
      <c:valAx>
        <c:axId val="922825616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6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288"/>
        <c:crosses val="max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5121867195352986"/>
          <c:y val="0.94622434214953921"/>
          <c:w val="0.34410578899983585"/>
          <c:h val="3.881839289319603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3175" cap="flat" cmpd="sng" algn="ctr">
      <a:solidFill>
        <a:srgbClr val="000000"/>
      </a:solidFill>
      <a:round/>
    </a:ln>
    <a:effectLst/>
  </c:spPr>
  <c:txPr>
    <a:bodyPr/>
    <a:lstStyle/>
    <a:p>
      <a:pPr>
        <a:defRPr sz="11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 paperSize="9" orientation="landscape"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366400348449171"/>
          <c:y val="2.3504273504273504E-2"/>
          <c:w val="0.51264010895328738"/>
          <c:h val="0.87051921394441079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'Occ F5'!$N$2</c:f>
              <c:strCache>
                <c:ptCount val="1"/>
                <c:pt idx="0">
                  <c:v>Self-employment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strRef>
              <c:f>'Occ F5'!$M$3:$M$11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F5'!$N$3:$N$11</c:f>
              <c:numCache>
                <c:formatCode>#,##0</c:formatCode>
                <c:ptCount val="9"/>
                <c:pt idx="0">
                  <c:v>0.5598437980776243</c:v>
                </c:pt>
                <c:pt idx="1">
                  <c:v>-0.98958963027354052</c:v>
                </c:pt>
                <c:pt idx="2">
                  <c:v>-0.1886846303128964</c:v>
                </c:pt>
                <c:pt idx="3">
                  <c:v>0.54582256997110656</c:v>
                </c:pt>
                <c:pt idx="4">
                  <c:v>0.28726352660506471</c:v>
                </c:pt>
                <c:pt idx="5">
                  <c:v>0.34186061767711617</c:v>
                </c:pt>
                <c:pt idx="6">
                  <c:v>-0.41760998559237894</c:v>
                </c:pt>
                <c:pt idx="7">
                  <c:v>0.63464871684575908</c:v>
                </c:pt>
                <c:pt idx="8">
                  <c:v>0.9758943132917377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F18-4405-9282-83D850E19EAA}"/>
            </c:ext>
          </c:extLst>
        </c:ser>
        <c:ser>
          <c:idx val="1"/>
          <c:order val="1"/>
          <c:tx>
            <c:strRef>
              <c:f>'Occ F5'!$O$2</c:f>
              <c:strCache>
                <c:ptCount val="1"/>
                <c:pt idx="0">
                  <c:v>Part-time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F5'!$O$3:$O$11</c:f>
              <c:numCache>
                <c:formatCode>#,##0</c:formatCode>
                <c:ptCount val="9"/>
                <c:pt idx="0">
                  <c:v>1.2985169547471269</c:v>
                </c:pt>
                <c:pt idx="1">
                  <c:v>4.9086939253513542</c:v>
                </c:pt>
                <c:pt idx="2">
                  <c:v>0.80131775800554372</c:v>
                </c:pt>
                <c:pt idx="3">
                  <c:v>-3.0943569672340523</c:v>
                </c:pt>
                <c:pt idx="4">
                  <c:v>0.29560911954775237</c:v>
                </c:pt>
                <c:pt idx="5">
                  <c:v>0.85966007855075688</c:v>
                </c:pt>
                <c:pt idx="6">
                  <c:v>0.10401726393461175</c:v>
                </c:pt>
                <c:pt idx="7">
                  <c:v>0.92950162517594048</c:v>
                </c:pt>
                <c:pt idx="8">
                  <c:v>-3.6878929894635348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F18-4405-9282-83D850E19EAA}"/>
            </c:ext>
          </c:extLst>
        </c:ser>
        <c:ser>
          <c:idx val="2"/>
          <c:order val="2"/>
          <c:tx>
            <c:strRef>
              <c:f>'Occ F5'!$P$2</c:f>
              <c:strCache>
                <c:ptCount val="1"/>
                <c:pt idx="0">
                  <c:v>Full-time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F5'!$P$3:$P$11</c:f>
              <c:numCache>
                <c:formatCode>#,##0</c:formatCode>
                <c:ptCount val="9"/>
                <c:pt idx="0">
                  <c:v>3.5856983383300296</c:v>
                </c:pt>
                <c:pt idx="1">
                  <c:v>13.817265879161752</c:v>
                </c:pt>
                <c:pt idx="2">
                  <c:v>0.72938343011242068</c:v>
                </c:pt>
                <c:pt idx="3">
                  <c:v>-4.0859654010298634</c:v>
                </c:pt>
                <c:pt idx="4">
                  <c:v>-5.652097676280281</c:v>
                </c:pt>
                <c:pt idx="5">
                  <c:v>2.006813448610405</c:v>
                </c:pt>
                <c:pt idx="6">
                  <c:v>0.66056080645400428</c:v>
                </c:pt>
                <c:pt idx="7">
                  <c:v>-1.0124472517072078</c:v>
                </c:pt>
                <c:pt idx="8">
                  <c:v>-0.36172763855647716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F18-4405-9282-83D850E19E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22825288"/>
        <c:axId val="922825616"/>
      </c:barChart>
      <c:catAx>
        <c:axId val="922825288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616"/>
        <c:crosses val="autoZero"/>
        <c:auto val="1"/>
        <c:lblAlgn val="ctr"/>
        <c:lblOffset val="100"/>
        <c:noMultiLvlLbl val="0"/>
      </c:catAx>
      <c:valAx>
        <c:axId val="922825616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6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288"/>
        <c:crosses val="max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47445087707431338"/>
          <c:y val="0.95049784642304325"/>
          <c:w val="0.48173062621048768"/>
          <c:h val="3.881839289319603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3175" cap="flat" cmpd="sng" algn="ctr">
      <a:solidFill>
        <a:srgbClr val="000000"/>
      </a:solidFill>
      <a:round/>
    </a:ln>
    <a:effectLst/>
  </c:spPr>
  <c:txPr>
    <a:bodyPr/>
    <a:lstStyle/>
    <a:p>
      <a:pPr>
        <a:defRPr sz="11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 paperSize="9" orientation="landscape"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366400348449171"/>
          <c:y val="2.3504273504273504E-2"/>
          <c:w val="0.51264010895328738"/>
          <c:h val="0.87051921394441079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'Occ F5'!$N$2</c:f>
              <c:strCache>
                <c:ptCount val="1"/>
                <c:pt idx="0">
                  <c:v>Self-employment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strRef>
              <c:f>'Occ F5'!$M$18:$M$26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F5'!$N$18:$N$26</c:f>
              <c:numCache>
                <c:formatCode>#,##0</c:formatCode>
                <c:ptCount val="9"/>
                <c:pt idx="0">
                  <c:v>-0.12704881815653701</c:v>
                </c:pt>
                <c:pt idx="1">
                  <c:v>-0.56946480904959396</c:v>
                </c:pt>
                <c:pt idx="2">
                  <c:v>-0.14697362033303873</c:v>
                </c:pt>
                <c:pt idx="3">
                  <c:v>0.32080666309933759</c:v>
                </c:pt>
                <c:pt idx="4">
                  <c:v>0.45284921414816859</c:v>
                </c:pt>
                <c:pt idx="5">
                  <c:v>0.10976999768489382</c:v>
                </c:pt>
                <c:pt idx="6">
                  <c:v>-0.26202390725082647</c:v>
                </c:pt>
                <c:pt idx="7">
                  <c:v>7.3540547675437995E-2</c:v>
                </c:pt>
                <c:pt idx="8">
                  <c:v>0.41082384113225601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599-4B54-AE40-5BA4742ECC44}"/>
            </c:ext>
          </c:extLst>
        </c:ser>
        <c:ser>
          <c:idx val="1"/>
          <c:order val="1"/>
          <c:tx>
            <c:strRef>
              <c:f>'Occ F5'!$O$2</c:f>
              <c:strCache>
                <c:ptCount val="1"/>
                <c:pt idx="0">
                  <c:v>Part-time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F5'!$M$18:$M$26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F5'!$O$18:$O$26</c:f>
              <c:numCache>
                <c:formatCode>#,##0</c:formatCode>
                <c:ptCount val="9"/>
                <c:pt idx="0">
                  <c:v>0.65503181593431226</c:v>
                </c:pt>
                <c:pt idx="1">
                  <c:v>3.8997459296202308</c:v>
                </c:pt>
                <c:pt idx="2">
                  <c:v>1.0477969302692731</c:v>
                </c:pt>
                <c:pt idx="3">
                  <c:v>-3.0889350137671343</c:v>
                </c:pt>
                <c:pt idx="4">
                  <c:v>4.9862376867201075E-2</c:v>
                </c:pt>
                <c:pt idx="5">
                  <c:v>0.42461888676871595</c:v>
                </c:pt>
                <c:pt idx="6">
                  <c:v>-0.37907675961211851</c:v>
                </c:pt>
                <c:pt idx="7">
                  <c:v>0.36565026929804723</c:v>
                </c:pt>
                <c:pt idx="8">
                  <c:v>-3.2440394841289297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599-4B54-AE40-5BA4742ECC44}"/>
            </c:ext>
          </c:extLst>
        </c:ser>
        <c:ser>
          <c:idx val="2"/>
          <c:order val="2"/>
          <c:tx>
            <c:strRef>
              <c:f>'Occ F5'!$P$2</c:f>
              <c:strCache>
                <c:ptCount val="1"/>
                <c:pt idx="0">
                  <c:v>Full-time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F5'!$M$18:$M$26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F5'!$P$18:$P$26</c:f>
              <c:numCache>
                <c:formatCode>#,##0</c:formatCode>
                <c:ptCount val="9"/>
                <c:pt idx="0">
                  <c:v>2.5697160646065633</c:v>
                </c:pt>
                <c:pt idx="1">
                  <c:v>8.2750975918666398</c:v>
                </c:pt>
                <c:pt idx="2">
                  <c:v>2.6500487192757536</c:v>
                </c:pt>
                <c:pt idx="3">
                  <c:v>-4.6597289576365739</c:v>
                </c:pt>
                <c:pt idx="4">
                  <c:v>0.15828548382718521</c:v>
                </c:pt>
                <c:pt idx="5">
                  <c:v>1.2289971818433685</c:v>
                </c:pt>
                <c:pt idx="6">
                  <c:v>-0.48120849663825283</c:v>
                </c:pt>
                <c:pt idx="7">
                  <c:v>7.5399085772343888E-2</c:v>
                </c:pt>
                <c:pt idx="8">
                  <c:v>1.5002580783850483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599-4B54-AE40-5BA4742ECC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22825288"/>
        <c:axId val="922825616"/>
      </c:barChart>
      <c:catAx>
        <c:axId val="922825288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616"/>
        <c:crosses val="autoZero"/>
        <c:auto val="1"/>
        <c:lblAlgn val="ctr"/>
        <c:lblOffset val="100"/>
        <c:noMultiLvlLbl val="0"/>
      </c:catAx>
      <c:valAx>
        <c:axId val="922825616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6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288"/>
        <c:crosses val="max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47445087707431338"/>
          <c:y val="0.95049784642304325"/>
          <c:w val="0.48173062621048768"/>
          <c:h val="3.881839289319603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3175" cap="flat" cmpd="sng" algn="ctr">
      <a:solidFill>
        <a:srgbClr val="000000"/>
      </a:solidFill>
      <a:round/>
    </a:ln>
    <a:effectLst/>
  </c:spPr>
  <c:txPr>
    <a:bodyPr/>
    <a:lstStyle/>
    <a:p>
      <a:pPr>
        <a:defRPr sz="11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 paperSize="9" orientation="landscape"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366400348449171"/>
          <c:y val="2.3504273504273504E-2"/>
          <c:w val="0.51264010895328738"/>
          <c:h val="0.87051921394441079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'Occ F5'!$N$2</c:f>
              <c:strCache>
                <c:ptCount val="1"/>
                <c:pt idx="0">
                  <c:v>Self-employment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strRef>
              <c:f>'Occ F5'!$M$33:$M$41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F5'!$N$33:$N$41</c:f>
              <c:numCache>
                <c:formatCode>#,##0</c:formatCode>
                <c:ptCount val="9"/>
                <c:pt idx="0">
                  <c:v>0.68689261623415243</c:v>
                </c:pt>
                <c:pt idx="1">
                  <c:v>-0.42012482122394346</c:v>
                </c:pt>
                <c:pt idx="2">
                  <c:v>-4.1711009979861213E-2</c:v>
                </c:pt>
                <c:pt idx="3">
                  <c:v>0.22501590687176903</c:v>
                </c:pt>
                <c:pt idx="4">
                  <c:v>-0.16558568754310521</c:v>
                </c:pt>
                <c:pt idx="5">
                  <c:v>0.23209061999222264</c:v>
                </c:pt>
                <c:pt idx="6">
                  <c:v>-0.1555860783415528</c:v>
                </c:pt>
                <c:pt idx="7">
                  <c:v>0.56110816917031681</c:v>
                </c:pt>
                <c:pt idx="8">
                  <c:v>0.56507047215948014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875-42E4-8B8F-C4A03ECE09CC}"/>
            </c:ext>
          </c:extLst>
        </c:ser>
        <c:ser>
          <c:idx val="1"/>
          <c:order val="1"/>
          <c:tx>
            <c:strRef>
              <c:f>'Occ F5'!$O$2</c:f>
              <c:strCache>
                <c:ptCount val="1"/>
                <c:pt idx="0">
                  <c:v>Part-time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F5'!$M$33:$M$41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F5'!$O$33:$O$41</c:f>
              <c:numCache>
                <c:formatCode>#,##0</c:formatCode>
                <c:ptCount val="9"/>
                <c:pt idx="0">
                  <c:v>0.64348513881281288</c:v>
                </c:pt>
                <c:pt idx="1">
                  <c:v>1.0089479957311229</c:v>
                </c:pt>
                <c:pt idx="2">
                  <c:v>-0.24647917226372407</c:v>
                </c:pt>
                <c:pt idx="3">
                  <c:v>-5.4219534669126546E-3</c:v>
                </c:pt>
                <c:pt idx="4">
                  <c:v>0.24574674268055086</c:v>
                </c:pt>
                <c:pt idx="5">
                  <c:v>0.43504119178204448</c:v>
                </c:pt>
                <c:pt idx="6">
                  <c:v>0.48309402354671604</c:v>
                </c:pt>
                <c:pt idx="7">
                  <c:v>0.56385135587789081</c:v>
                </c:pt>
                <c:pt idx="8">
                  <c:v>-0.44385350533462642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875-42E4-8B8F-C4A03ECE09CC}"/>
            </c:ext>
          </c:extLst>
        </c:ser>
        <c:ser>
          <c:idx val="2"/>
          <c:order val="2"/>
          <c:tx>
            <c:strRef>
              <c:f>'Occ F5'!$P$2</c:f>
              <c:strCache>
                <c:ptCount val="1"/>
                <c:pt idx="0">
                  <c:v>Full-time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F5'!$M$33:$M$41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F5'!$P$33:$P$41</c:f>
              <c:numCache>
                <c:formatCode>#,##0</c:formatCode>
                <c:ptCount val="9"/>
                <c:pt idx="0">
                  <c:v>1.0159822737234663</c:v>
                </c:pt>
                <c:pt idx="1">
                  <c:v>5.5421682872951195</c:v>
                </c:pt>
                <c:pt idx="2">
                  <c:v>-1.9206652891633489</c:v>
                </c:pt>
                <c:pt idx="3">
                  <c:v>0.57376355660669098</c:v>
                </c:pt>
                <c:pt idx="4">
                  <c:v>-5.8103831601074525</c:v>
                </c:pt>
                <c:pt idx="5">
                  <c:v>0.77781626676704629</c:v>
                </c:pt>
                <c:pt idx="6">
                  <c:v>1.141769303092274</c:v>
                </c:pt>
                <c:pt idx="7">
                  <c:v>-1.0878463374795366</c:v>
                </c:pt>
                <c:pt idx="8">
                  <c:v>-1.8619857169415397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875-42E4-8B8F-C4A03ECE09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22825288"/>
        <c:axId val="922825616"/>
      </c:barChart>
      <c:catAx>
        <c:axId val="922825288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616"/>
        <c:crosses val="autoZero"/>
        <c:auto val="1"/>
        <c:lblAlgn val="ctr"/>
        <c:lblOffset val="100"/>
        <c:noMultiLvlLbl val="0"/>
      </c:catAx>
      <c:valAx>
        <c:axId val="922825616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6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288"/>
        <c:crosses val="max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47445087707431338"/>
          <c:y val="0.95049784642304325"/>
          <c:w val="0.48173062621048768"/>
          <c:h val="3.881839289319603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3175" cap="flat" cmpd="sng" algn="ctr">
      <a:solidFill>
        <a:srgbClr val="000000"/>
      </a:solidFill>
      <a:round/>
    </a:ln>
    <a:effectLst/>
  </c:spPr>
  <c:txPr>
    <a:bodyPr/>
    <a:lstStyle/>
    <a:p>
      <a:pPr>
        <a:defRPr sz="11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 paperSize="9" orientation="landscape"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3756345177673941E-2"/>
          <c:y val="5.3177758665893755E-2"/>
          <c:w val="0.8857868020304569"/>
          <c:h val="0.81532300828808613"/>
        </c:manualLayout>
      </c:layout>
      <c:areaChart>
        <c:grouping val="stacked"/>
        <c:varyColors val="0"/>
        <c:ser>
          <c:idx val="1"/>
          <c:order val="0"/>
          <c:tx>
            <c:strRef>
              <c:f>'Qual F1'!$L$6</c:f>
              <c:strCache>
                <c:ptCount val="1"/>
                <c:pt idx="0">
                  <c:v>No Qualification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F1'!$M$6:$AL$6</c:f>
              <c:numCache>
                <c:formatCode>#,##0</c:formatCode>
                <c:ptCount val="26"/>
                <c:pt idx="0">
                  <c:v>33.76839223457786</c:v>
                </c:pt>
                <c:pt idx="1">
                  <c:v>29.612061554877968</c:v>
                </c:pt>
                <c:pt idx="2">
                  <c:v>29.846940533026753</c:v>
                </c:pt>
                <c:pt idx="3">
                  <c:v>30.106700887424402</c:v>
                </c:pt>
                <c:pt idx="4">
                  <c:v>28.627623663957369</c:v>
                </c:pt>
                <c:pt idx="5">
                  <c:v>31.216575025140632</c:v>
                </c:pt>
                <c:pt idx="6">
                  <c:v>24.578428608479722</c:v>
                </c:pt>
                <c:pt idx="7">
                  <c:v>28.016969022884208</c:v>
                </c:pt>
                <c:pt idx="8">
                  <c:v>26.697670723411719</c:v>
                </c:pt>
                <c:pt idx="9">
                  <c:v>25.444078934916227</c:v>
                </c:pt>
                <c:pt idx="10">
                  <c:v>19.371713697149644</c:v>
                </c:pt>
                <c:pt idx="11">
                  <c:v>19.616651875737372</c:v>
                </c:pt>
                <c:pt idx="12">
                  <c:v>19.267233878120447</c:v>
                </c:pt>
                <c:pt idx="13">
                  <c:v>17.997445610335578</c:v>
                </c:pt>
                <c:pt idx="14">
                  <c:v>16.769114171161995</c:v>
                </c:pt>
                <c:pt idx="15">
                  <c:v>16.088891419655756</c:v>
                </c:pt>
                <c:pt idx="16">
                  <c:v>15.503051834905987</c:v>
                </c:pt>
                <c:pt idx="17">
                  <c:v>14.930075176666296</c:v>
                </c:pt>
                <c:pt idx="18">
                  <c:v>14.384333246822926</c:v>
                </c:pt>
                <c:pt idx="19">
                  <c:v>13.8569470939907</c:v>
                </c:pt>
                <c:pt idx="20">
                  <c:v>13.349426150310016</c:v>
                </c:pt>
                <c:pt idx="21">
                  <c:v>12.857535062853838</c:v>
                </c:pt>
                <c:pt idx="22">
                  <c:v>12.381352570659178</c:v>
                </c:pt>
                <c:pt idx="23">
                  <c:v>11.920592275055718</c:v>
                </c:pt>
                <c:pt idx="24">
                  <c:v>11.495691572809616</c:v>
                </c:pt>
                <c:pt idx="25">
                  <c:v>11.397009738261021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D3B-4AF5-BA54-0B96776899DB}"/>
            </c:ext>
          </c:extLst>
        </c:ser>
        <c:ser>
          <c:idx val="2"/>
          <c:order val="1"/>
          <c:tx>
            <c:strRef>
              <c:f>'Qual F1'!$L$7</c:f>
              <c:strCache>
                <c:ptCount val="1"/>
                <c:pt idx="0">
                  <c:v>RQF1 GCSE(below grade C) &amp; equivalent</c:v>
                </c:pt>
              </c:strCache>
            </c:strRef>
          </c:tx>
          <c:spPr>
            <a:solidFill>
              <a:schemeClr val="tx1">
                <a:lumMod val="85000"/>
                <a:lumOff val="1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F1'!$M$7:$AL$7</c:f>
              <c:numCache>
                <c:formatCode>#,##0</c:formatCode>
                <c:ptCount val="26"/>
                <c:pt idx="0">
                  <c:v>75.594426936912427</c:v>
                </c:pt>
                <c:pt idx="1">
                  <c:v>70.090391948901171</c:v>
                </c:pt>
                <c:pt idx="2">
                  <c:v>73.117447603519423</c:v>
                </c:pt>
                <c:pt idx="3">
                  <c:v>72.696732998440012</c:v>
                </c:pt>
                <c:pt idx="4">
                  <c:v>74.761815755269524</c:v>
                </c:pt>
                <c:pt idx="5">
                  <c:v>62.923603548818974</c:v>
                </c:pt>
                <c:pt idx="6">
                  <c:v>59.271450238244086</c:v>
                </c:pt>
                <c:pt idx="7">
                  <c:v>70.663254311101042</c:v>
                </c:pt>
                <c:pt idx="8">
                  <c:v>66.719837019998863</c:v>
                </c:pt>
                <c:pt idx="9">
                  <c:v>67.319812004646266</c:v>
                </c:pt>
                <c:pt idx="10">
                  <c:v>52.426261327252483</c:v>
                </c:pt>
                <c:pt idx="11">
                  <c:v>58.847826151421806</c:v>
                </c:pt>
                <c:pt idx="12">
                  <c:v>54.929396826717024</c:v>
                </c:pt>
                <c:pt idx="13">
                  <c:v>52.98439880361348</c:v>
                </c:pt>
                <c:pt idx="14">
                  <c:v>51.128888307333909</c:v>
                </c:pt>
                <c:pt idx="15">
                  <c:v>49.211328820675682</c:v>
                </c:pt>
                <c:pt idx="16">
                  <c:v>47.266021184818733</c:v>
                </c:pt>
                <c:pt idx="17">
                  <c:v>45.322624088401994</c:v>
                </c:pt>
                <c:pt idx="18">
                  <c:v>43.397803709200794</c:v>
                </c:pt>
                <c:pt idx="19">
                  <c:v>41.492173768878828</c:v>
                </c:pt>
                <c:pt idx="20">
                  <c:v>39.621108070349102</c:v>
                </c:pt>
                <c:pt idx="21">
                  <c:v>37.765330308962966</c:v>
                </c:pt>
                <c:pt idx="22">
                  <c:v>35.933133422633986</c:v>
                </c:pt>
                <c:pt idx="23">
                  <c:v>34.12758343016354</c:v>
                </c:pt>
                <c:pt idx="24">
                  <c:v>32.340278960750773</c:v>
                </c:pt>
                <c:pt idx="25">
                  <c:v>30.548341935264546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D3B-4AF5-BA54-0B96776899DB}"/>
            </c:ext>
          </c:extLst>
        </c:ser>
        <c:ser>
          <c:idx val="3"/>
          <c:order val="2"/>
          <c:tx>
            <c:strRef>
              <c:f>'Qual F1'!$L$8</c:f>
              <c:strCache>
                <c:ptCount val="1"/>
                <c:pt idx="0">
                  <c:v>RQF2 GCSE(A-C) &amp; equivalent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F1'!$M$8:$AL$8</c:f>
              <c:numCache>
                <c:formatCode>#,##0</c:formatCode>
                <c:ptCount val="26"/>
                <c:pt idx="0">
                  <c:v>116.92069037394677</c:v>
                </c:pt>
                <c:pt idx="1">
                  <c:v>117.74311896107139</c:v>
                </c:pt>
                <c:pt idx="2">
                  <c:v>112.60743044938482</c:v>
                </c:pt>
                <c:pt idx="3">
                  <c:v>113.93570992301484</c:v>
                </c:pt>
                <c:pt idx="4">
                  <c:v>113.6132648036841</c:v>
                </c:pt>
                <c:pt idx="5">
                  <c:v>115.75528457445073</c:v>
                </c:pt>
                <c:pt idx="6">
                  <c:v>106.13079632535847</c:v>
                </c:pt>
                <c:pt idx="7">
                  <c:v>106.54965267111766</c:v>
                </c:pt>
                <c:pt idx="8">
                  <c:v>118.70579836680666</c:v>
                </c:pt>
                <c:pt idx="9">
                  <c:v>109.79657864625133</c:v>
                </c:pt>
                <c:pt idx="10">
                  <c:v>108.45541532556361</c:v>
                </c:pt>
                <c:pt idx="11">
                  <c:v>109.72349595605932</c:v>
                </c:pt>
                <c:pt idx="12">
                  <c:v>106.80836300493527</c:v>
                </c:pt>
                <c:pt idx="13">
                  <c:v>105.94821041942502</c:v>
                </c:pt>
                <c:pt idx="14">
                  <c:v>105.21933449880198</c:v>
                </c:pt>
                <c:pt idx="15">
                  <c:v>104.31154617294385</c:v>
                </c:pt>
                <c:pt idx="16">
                  <c:v>103.2976354255121</c:v>
                </c:pt>
                <c:pt idx="17">
                  <c:v>102.25073089531666</c:v>
                </c:pt>
                <c:pt idx="18">
                  <c:v>101.20273424015051</c:v>
                </c:pt>
                <c:pt idx="19">
                  <c:v>100.15491428586283</c:v>
                </c:pt>
                <c:pt idx="20">
                  <c:v>99.143665394850032</c:v>
                </c:pt>
                <c:pt idx="21">
                  <c:v>98.115483472318857</c:v>
                </c:pt>
                <c:pt idx="22">
                  <c:v>97.084014047110372</c:v>
                </c:pt>
                <c:pt idx="23">
                  <c:v>96.056421417382751</c:v>
                </c:pt>
                <c:pt idx="24">
                  <c:v>95.013446150829566</c:v>
                </c:pt>
                <c:pt idx="25">
                  <c:v>93.890909211004313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D3B-4AF5-BA54-0B96776899DB}"/>
            </c:ext>
          </c:extLst>
        </c:ser>
        <c:ser>
          <c:idx val="0"/>
          <c:order val="3"/>
          <c:tx>
            <c:strRef>
              <c:f>'Qual F1'!$L$9</c:f>
              <c:strCache>
                <c:ptCount val="1"/>
                <c:pt idx="0">
                  <c:v>RQF3 A level &amp; equivalent</c:v>
                </c:pt>
              </c:strCache>
            </c:strRef>
          </c:tx>
          <c:spPr>
            <a:solidFill>
              <a:schemeClr val="tx1">
                <a:lumMod val="65000"/>
                <a:lumOff val="3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F1'!$M$9:$AL$9</c:f>
              <c:numCache>
                <c:formatCode>#,##0</c:formatCode>
                <c:ptCount val="26"/>
                <c:pt idx="0">
                  <c:v>102.83281182436333</c:v>
                </c:pt>
                <c:pt idx="1">
                  <c:v>109.79507621565187</c:v>
                </c:pt>
                <c:pt idx="2">
                  <c:v>104.03845963080531</c:v>
                </c:pt>
                <c:pt idx="3">
                  <c:v>109.98166301162661</c:v>
                </c:pt>
                <c:pt idx="4">
                  <c:v>113.85408717761294</c:v>
                </c:pt>
                <c:pt idx="5">
                  <c:v>113.00883849411312</c:v>
                </c:pt>
                <c:pt idx="6">
                  <c:v>115.26063116849357</c:v>
                </c:pt>
                <c:pt idx="7">
                  <c:v>108.20501333606812</c:v>
                </c:pt>
                <c:pt idx="8">
                  <c:v>115.87224065027844</c:v>
                </c:pt>
                <c:pt idx="9">
                  <c:v>109.16601579797461</c:v>
                </c:pt>
                <c:pt idx="10">
                  <c:v>121.8506142823144</c:v>
                </c:pt>
                <c:pt idx="11">
                  <c:v>113.22997847759522</c:v>
                </c:pt>
                <c:pt idx="12">
                  <c:v>115.02256862375509</c:v>
                </c:pt>
                <c:pt idx="13">
                  <c:v>115.66894051332827</c:v>
                </c:pt>
                <c:pt idx="14">
                  <c:v>116.49239039606745</c:v>
                </c:pt>
                <c:pt idx="15">
                  <c:v>117.13492343992273</c:v>
                </c:pt>
                <c:pt idx="16">
                  <c:v>117.64998916133383</c:v>
                </c:pt>
                <c:pt idx="17">
                  <c:v>118.09649530881309</c:v>
                </c:pt>
                <c:pt idx="18">
                  <c:v>118.53496279837466</c:v>
                </c:pt>
                <c:pt idx="19">
                  <c:v>118.98137142903229</c:v>
                </c:pt>
                <c:pt idx="20">
                  <c:v>119.4726113966156</c:v>
                </c:pt>
                <c:pt idx="21">
                  <c:v>119.95490252983392</c:v>
                </c:pt>
                <c:pt idx="22">
                  <c:v>120.44233186213688</c:v>
                </c:pt>
                <c:pt idx="23">
                  <c:v>120.94401387704175</c:v>
                </c:pt>
                <c:pt idx="24">
                  <c:v>121.44254323757582</c:v>
                </c:pt>
                <c:pt idx="25">
                  <c:v>121.86308167785648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50A-4241-BDC7-CAD877B6E564}"/>
            </c:ext>
          </c:extLst>
        </c:ser>
        <c:ser>
          <c:idx val="4"/>
          <c:order val="4"/>
          <c:tx>
            <c:strRef>
              <c:f>'Qual F1'!$L$10</c:f>
              <c:strCache>
                <c:ptCount val="1"/>
                <c:pt idx="0">
                  <c:v>RQF4 HE below degree level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F1'!$M$10:$AL$10</c:f>
              <c:numCache>
                <c:formatCode>#,##0</c:formatCode>
                <c:ptCount val="26"/>
                <c:pt idx="0">
                  <c:v>19.796783552462195</c:v>
                </c:pt>
                <c:pt idx="1">
                  <c:v>20.92720420893243</c:v>
                </c:pt>
                <c:pt idx="2">
                  <c:v>19.378806902953439</c:v>
                </c:pt>
                <c:pt idx="3">
                  <c:v>18.71677732310733</c:v>
                </c:pt>
                <c:pt idx="4">
                  <c:v>19.692441619075218</c:v>
                </c:pt>
                <c:pt idx="5">
                  <c:v>22.807149274523638</c:v>
                </c:pt>
                <c:pt idx="6">
                  <c:v>22.52809794972929</c:v>
                </c:pt>
                <c:pt idx="7">
                  <c:v>21.724934214355279</c:v>
                </c:pt>
                <c:pt idx="8">
                  <c:v>21.942568780788655</c:v>
                </c:pt>
                <c:pt idx="9">
                  <c:v>21.16552937411738</c:v>
                </c:pt>
                <c:pt idx="10">
                  <c:v>22.536999605775797</c:v>
                </c:pt>
                <c:pt idx="11">
                  <c:v>23.195793291142913</c:v>
                </c:pt>
                <c:pt idx="12">
                  <c:v>22.843459665992388</c:v>
                </c:pt>
                <c:pt idx="13">
                  <c:v>23.162521671355194</c:v>
                </c:pt>
                <c:pt idx="14">
                  <c:v>23.529669349610472</c:v>
                </c:pt>
                <c:pt idx="15">
                  <c:v>23.861334773563094</c:v>
                </c:pt>
                <c:pt idx="16">
                  <c:v>24.178889342472132</c:v>
                </c:pt>
                <c:pt idx="17">
                  <c:v>24.510018315621949</c:v>
                </c:pt>
                <c:pt idx="18" formatCode="General">
                  <c:v>24.839304991127406</c:v>
                </c:pt>
                <c:pt idx="19" formatCode="General">
                  <c:v>25.168700796281065</c:v>
                </c:pt>
                <c:pt idx="20" formatCode="General">
                  <c:v>25.519258585894132</c:v>
                </c:pt>
                <c:pt idx="21" formatCode="General">
                  <c:v>25.871570344102583</c:v>
                </c:pt>
                <c:pt idx="22">
                  <c:v>26.228633084329449</c:v>
                </c:pt>
                <c:pt idx="23">
                  <c:v>26.594483641056925</c:v>
                </c:pt>
                <c:pt idx="24">
                  <c:v>26.957727197693668</c:v>
                </c:pt>
                <c:pt idx="25">
                  <c:v>27.320613571405762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50A-4241-BDC7-CAD877B6E564}"/>
            </c:ext>
          </c:extLst>
        </c:ser>
        <c:ser>
          <c:idx val="5"/>
          <c:order val="5"/>
          <c:tx>
            <c:strRef>
              <c:f>'Qual F1'!$L$11</c:f>
              <c:strCache>
                <c:ptCount val="1"/>
                <c:pt idx="0">
                  <c:v>RQF5 Foundation degree;Nursing;Teaching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F1'!$M$11:$AL$11</c:f>
              <c:numCache>
                <c:formatCode>#,##0</c:formatCode>
                <c:ptCount val="26"/>
                <c:pt idx="0">
                  <c:v>24.629444817772299</c:v>
                </c:pt>
                <c:pt idx="1">
                  <c:v>25.170655622207427</c:v>
                </c:pt>
                <c:pt idx="2">
                  <c:v>24.359941049432305</c:v>
                </c:pt>
                <c:pt idx="3">
                  <c:v>22.741706679797161</c:v>
                </c:pt>
                <c:pt idx="4">
                  <c:v>24.002921162738744</c:v>
                </c:pt>
                <c:pt idx="5">
                  <c:v>26.800248489582696</c:v>
                </c:pt>
                <c:pt idx="6">
                  <c:v>25.324211796653593</c:v>
                </c:pt>
                <c:pt idx="7">
                  <c:v>23.60412609489293</c:v>
                </c:pt>
                <c:pt idx="8">
                  <c:v>22.878431629561533</c:v>
                </c:pt>
                <c:pt idx="9">
                  <c:v>23.202473803976289</c:v>
                </c:pt>
                <c:pt idx="10">
                  <c:v>25.327567248455264</c:v>
                </c:pt>
                <c:pt idx="11">
                  <c:v>24.774488870453542</c:v>
                </c:pt>
                <c:pt idx="12">
                  <c:v>24.252381785775732</c:v>
                </c:pt>
                <c:pt idx="13">
                  <c:v>24.380979644890996</c:v>
                </c:pt>
                <c:pt idx="14">
                  <c:v>24.564276836085536</c:v>
                </c:pt>
                <c:pt idx="15">
                  <c:v>24.707546523062941</c:v>
                </c:pt>
                <c:pt idx="16">
                  <c:v>24.828960785195864</c:v>
                </c:pt>
                <c:pt idx="17">
                  <c:v>24.959960226124604</c:v>
                </c:pt>
                <c:pt idx="18" formatCode="General">
                  <c:v>25.156314518552062</c:v>
                </c:pt>
                <c:pt idx="19" formatCode="General">
                  <c:v>25.414097580328441</c:v>
                </c:pt>
                <c:pt idx="20" formatCode="General">
                  <c:v>25.690638680539209</c:v>
                </c:pt>
                <c:pt idx="21" formatCode="General">
                  <c:v>25.974392972776371</c:v>
                </c:pt>
                <c:pt idx="22">
                  <c:v>26.277805743948441</c:v>
                </c:pt>
                <c:pt idx="23">
                  <c:v>26.599515981153225</c:v>
                </c:pt>
                <c:pt idx="24">
                  <c:v>26.937020956252269</c:v>
                </c:pt>
                <c:pt idx="25">
                  <c:v>27.26079744831635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50A-4241-BDC7-CAD877B6E564}"/>
            </c:ext>
          </c:extLst>
        </c:ser>
        <c:ser>
          <c:idx val="6"/>
          <c:order val="6"/>
          <c:tx>
            <c:strRef>
              <c:f>'Qual F1'!$L$12</c:f>
              <c:strCache>
                <c:ptCount val="1"/>
                <c:pt idx="0">
                  <c:v>RQF6 First degree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solidFill>
                <a:sysClr val="windowText" lastClr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F1'!$M$12:$AL$12</c:f>
              <c:numCache>
                <c:formatCode>#,##0</c:formatCode>
                <c:ptCount val="26"/>
                <c:pt idx="0">
                  <c:v>58.990693534324727</c:v>
                </c:pt>
                <c:pt idx="1">
                  <c:v>64.114254123225066</c:v>
                </c:pt>
                <c:pt idx="2">
                  <c:v>64.025580455441499</c:v>
                </c:pt>
                <c:pt idx="3">
                  <c:v>61.530371486332356</c:v>
                </c:pt>
                <c:pt idx="4">
                  <c:v>66.590571144773563</c:v>
                </c:pt>
                <c:pt idx="5">
                  <c:v>77.667960417349221</c:v>
                </c:pt>
                <c:pt idx="6">
                  <c:v>75.43398320720533</c:v>
                </c:pt>
                <c:pt idx="7">
                  <c:v>72.539613397397659</c:v>
                </c:pt>
                <c:pt idx="8">
                  <c:v>75.108498150344843</c:v>
                </c:pt>
                <c:pt idx="9">
                  <c:v>75.155034915430335</c:v>
                </c:pt>
                <c:pt idx="10">
                  <c:v>82.75056463531584</c:v>
                </c:pt>
                <c:pt idx="11">
                  <c:v>85.711755082763645</c:v>
                </c:pt>
                <c:pt idx="12">
                  <c:v>85.483399220550254</c:v>
                </c:pt>
                <c:pt idx="13">
                  <c:v>87.681862215851467</c:v>
                </c:pt>
                <c:pt idx="14">
                  <c:v>90.00449861542188</c:v>
                </c:pt>
                <c:pt idx="15">
                  <c:v>92.194326075888512</c:v>
                </c:pt>
                <c:pt idx="16">
                  <c:v>94.306930499539476</c:v>
                </c:pt>
                <c:pt idx="17">
                  <c:v>96.403148254636093</c:v>
                </c:pt>
                <c:pt idx="18" formatCode="General">
                  <c:v>98.472740012514436</c:v>
                </c:pt>
                <c:pt idx="19" formatCode="General">
                  <c:v>100.50399363865731</c:v>
                </c:pt>
                <c:pt idx="20" formatCode="General">
                  <c:v>102.5849698988159</c:v>
                </c:pt>
                <c:pt idx="21" formatCode="General">
                  <c:v>104.67654026037397</c:v>
                </c:pt>
                <c:pt idx="22" formatCode="General">
                  <c:v>106.77539452126685</c:v>
                </c:pt>
                <c:pt idx="23" formatCode="General">
                  <c:v>108.89600473008919</c:v>
                </c:pt>
                <c:pt idx="24" formatCode="General">
                  <c:v>111.0275152323966</c:v>
                </c:pt>
                <c:pt idx="25" formatCode="General">
                  <c:v>113.11901698064986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50A-4241-BDC7-CAD877B6E564}"/>
            </c:ext>
          </c:extLst>
        </c:ser>
        <c:ser>
          <c:idx val="7"/>
          <c:order val="7"/>
          <c:tx>
            <c:strRef>
              <c:f>'Qual F1'!$L$13</c:f>
              <c:strCache>
                <c:ptCount val="1"/>
                <c:pt idx="0">
                  <c:v>RQF7 Other higher degree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solidFill>
                <a:sysClr val="windowText" lastClr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F1'!$M$13:$AL$13</c:f>
              <c:numCache>
                <c:formatCode>#,##0</c:formatCode>
                <c:ptCount val="26"/>
                <c:pt idx="0">
                  <c:v>29.093903096013332</c:v>
                </c:pt>
                <c:pt idx="1">
                  <c:v>24.271123779434401</c:v>
                </c:pt>
                <c:pt idx="2">
                  <c:v>22.8579609726238</c:v>
                </c:pt>
                <c:pt idx="3">
                  <c:v>27.979838271981503</c:v>
                </c:pt>
                <c:pt idx="4">
                  <c:v>29.865497261679948</c:v>
                </c:pt>
                <c:pt idx="5">
                  <c:v>34.137453238772807</c:v>
                </c:pt>
                <c:pt idx="6">
                  <c:v>31.668383223498044</c:v>
                </c:pt>
                <c:pt idx="7">
                  <c:v>39.009529651504906</c:v>
                </c:pt>
                <c:pt idx="8">
                  <c:v>32.376096848601769</c:v>
                </c:pt>
                <c:pt idx="9">
                  <c:v>45.314710901695712</c:v>
                </c:pt>
                <c:pt idx="10">
                  <c:v>39.987739972030006</c:v>
                </c:pt>
                <c:pt idx="11">
                  <c:v>37.935539905238848</c:v>
                </c:pt>
                <c:pt idx="12">
                  <c:v>43.256452833803316</c:v>
                </c:pt>
                <c:pt idx="13">
                  <c:v>44.733716863944984</c:v>
                </c:pt>
                <c:pt idx="14">
                  <c:v>46.23208981660148</c:v>
                </c:pt>
                <c:pt idx="15">
                  <c:v>47.604731550028291</c:v>
                </c:pt>
                <c:pt idx="16">
                  <c:v>48.8784953127725</c:v>
                </c:pt>
                <c:pt idx="17">
                  <c:v>50.090579849527415</c:v>
                </c:pt>
                <c:pt idx="18" formatCode="General">
                  <c:v>51.251882274693934</c:v>
                </c:pt>
                <c:pt idx="19" formatCode="General">
                  <c:v>52.359986512881072</c:v>
                </c:pt>
                <c:pt idx="20" formatCode="General">
                  <c:v>53.430332060109251</c:v>
                </c:pt>
                <c:pt idx="21" formatCode="General">
                  <c:v>54.441382157883304</c:v>
                </c:pt>
                <c:pt idx="22" formatCode="General">
                  <c:v>55.393454231641464</c:v>
                </c:pt>
                <c:pt idx="23" formatCode="General">
                  <c:v>56.295128671248712</c:v>
                </c:pt>
                <c:pt idx="24" formatCode="General">
                  <c:v>57.128542236224447</c:v>
                </c:pt>
                <c:pt idx="25" formatCode="General">
                  <c:v>57.86380678340101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50A-4241-BDC7-CAD877B6E564}"/>
            </c:ext>
          </c:extLst>
        </c:ser>
        <c:ser>
          <c:idx val="8"/>
          <c:order val="8"/>
          <c:tx>
            <c:strRef>
              <c:f>'Qual F1'!$L$14</c:f>
              <c:strCache>
                <c:ptCount val="1"/>
                <c:pt idx="0">
                  <c:v>RQF8 Doctorate</c:v>
                </c:pt>
              </c:strCache>
            </c:strRef>
          </c:tx>
          <c:spPr>
            <a:solidFill>
              <a:schemeClr val="bg1">
                <a:lumMod val="95000"/>
              </a:schemeClr>
            </a:solidFill>
            <a:ln>
              <a:solidFill>
                <a:sysClr val="windowText" lastClr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F1'!$M$14:$AL$14</c:f>
              <c:numCache>
                <c:formatCode>#,##0</c:formatCode>
                <c:ptCount val="26"/>
                <c:pt idx="0">
                  <c:v>4.6488536296268581</c:v>
                </c:pt>
                <c:pt idx="1">
                  <c:v>3.9171135856983099</c:v>
                </c:pt>
                <c:pt idx="2">
                  <c:v>3.5624324028133802</c:v>
                </c:pt>
                <c:pt idx="3">
                  <c:v>4.5264994182747618</c:v>
                </c:pt>
                <c:pt idx="4">
                  <c:v>4.6597774112080748</c:v>
                </c:pt>
                <c:pt idx="5">
                  <c:v>5.3938869372483458</c:v>
                </c:pt>
                <c:pt idx="6">
                  <c:v>5.0990174823375094</c:v>
                </c:pt>
                <c:pt idx="7">
                  <c:v>6.2949073006785472</c:v>
                </c:pt>
                <c:pt idx="8">
                  <c:v>5.5108578302076117</c:v>
                </c:pt>
                <c:pt idx="9">
                  <c:v>7.010765620991668</c:v>
                </c:pt>
                <c:pt idx="10">
                  <c:v>6.2191239061433228</c:v>
                </c:pt>
                <c:pt idx="11">
                  <c:v>5.9084703895872668</c:v>
                </c:pt>
                <c:pt idx="12">
                  <c:v>6.8797441603508718</c:v>
                </c:pt>
                <c:pt idx="13">
                  <c:v>7.1379242572547721</c:v>
                </c:pt>
                <c:pt idx="14">
                  <c:v>7.3977380089155558</c:v>
                </c:pt>
                <c:pt idx="15">
                  <c:v>7.6363712242585455</c:v>
                </c:pt>
                <c:pt idx="16">
                  <c:v>7.8610264534494281</c:v>
                </c:pt>
                <c:pt idx="17">
                  <c:v>8.076367884891555</c:v>
                </c:pt>
                <c:pt idx="18" formatCode="General">
                  <c:v>8.2859242085633671</c:v>
                </c:pt>
                <c:pt idx="19" formatCode="General">
                  <c:v>8.4848148940873021</c:v>
                </c:pt>
                <c:pt idx="20" formatCode="General">
                  <c:v>8.6799897625167297</c:v>
                </c:pt>
                <c:pt idx="21" formatCode="General">
                  <c:v>8.8648628908941998</c:v>
                </c:pt>
                <c:pt idx="22" formatCode="General">
                  <c:v>9.0418805162731388</c:v>
                </c:pt>
                <c:pt idx="23" formatCode="General">
                  <c:v>9.2092559768084463</c:v>
                </c:pt>
                <c:pt idx="24" formatCode="General">
                  <c:v>9.3702344554677293</c:v>
                </c:pt>
                <c:pt idx="25" formatCode="General">
                  <c:v>9.5144226538408123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D50A-4241-BDC7-CAD877B6E5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684752"/>
        <c:axId val="313685144"/>
      </c:areaChart>
      <c:catAx>
        <c:axId val="31368475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514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685144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 rot="0" vert="horz"/>
              <a:lstStyle/>
              <a:p>
                <a:pPr algn="ctr">
                  <a:defRPr sz="11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451776649747034E-3"/>
              <c:y val="9.0791295283235568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475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10611294197620134"/>
          <c:y val="0.91619015180354346"/>
          <c:w val="0.87603013652070461"/>
          <c:h val="7.7834011206614442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2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375634517767408E-2"/>
          <c:y val="5.3177758665893755E-2"/>
          <c:w val="0.8857868020304569"/>
          <c:h val="0.7763068929360929"/>
        </c:manualLayout>
      </c:layout>
      <c:areaChart>
        <c:grouping val="percentStacked"/>
        <c:varyColors val="0"/>
        <c:ser>
          <c:idx val="1"/>
          <c:order val="0"/>
          <c:tx>
            <c:strRef>
              <c:f>'Qual F1'!$L$6</c:f>
              <c:strCache>
                <c:ptCount val="1"/>
                <c:pt idx="0">
                  <c:v>No Qualification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F1'!$M$6:$AL$6</c:f>
              <c:numCache>
                <c:formatCode>#,##0</c:formatCode>
                <c:ptCount val="26"/>
                <c:pt idx="0">
                  <c:v>33.76839223457786</c:v>
                </c:pt>
                <c:pt idx="1">
                  <c:v>29.612061554877968</c:v>
                </c:pt>
                <c:pt idx="2">
                  <c:v>29.846940533026753</c:v>
                </c:pt>
                <c:pt idx="3">
                  <c:v>30.106700887424402</c:v>
                </c:pt>
                <c:pt idx="4">
                  <c:v>28.627623663957369</c:v>
                </c:pt>
                <c:pt idx="5">
                  <c:v>31.216575025140632</c:v>
                </c:pt>
                <c:pt idx="6">
                  <c:v>24.578428608479722</c:v>
                </c:pt>
                <c:pt idx="7">
                  <c:v>28.016969022884208</c:v>
                </c:pt>
                <c:pt idx="8">
                  <c:v>26.697670723411719</c:v>
                </c:pt>
                <c:pt idx="9">
                  <c:v>25.444078934916227</c:v>
                </c:pt>
                <c:pt idx="10">
                  <c:v>19.371713697149644</c:v>
                </c:pt>
                <c:pt idx="11">
                  <c:v>19.616651875737372</c:v>
                </c:pt>
                <c:pt idx="12">
                  <c:v>19.267233878120447</c:v>
                </c:pt>
                <c:pt idx="13">
                  <c:v>17.997445610335578</c:v>
                </c:pt>
                <c:pt idx="14">
                  <c:v>16.769114171161995</c:v>
                </c:pt>
                <c:pt idx="15">
                  <c:v>16.088891419655756</c:v>
                </c:pt>
                <c:pt idx="16">
                  <c:v>15.503051834905987</c:v>
                </c:pt>
                <c:pt idx="17">
                  <c:v>14.930075176666296</c:v>
                </c:pt>
                <c:pt idx="18">
                  <c:v>14.384333246822926</c:v>
                </c:pt>
                <c:pt idx="19">
                  <c:v>13.8569470939907</c:v>
                </c:pt>
                <c:pt idx="20">
                  <c:v>13.349426150310016</c:v>
                </c:pt>
                <c:pt idx="21">
                  <c:v>12.857535062853838</c:v>
                </c:pt>
                <c:pt idx="22">
                  <c:v>12.381352570659178</c:v>
                </c:pt>
                <c:pt idx="23">
                  <c:v>11.920592275055718</c:v>
                </c:pt>
                <c:pt idx="24">
                  <c:v>11.495691572809616</c:v>
                </c:pt>
                <c:pt idx="25">
                  <c:v>11.397009738261021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D8E-4884-8657-BD0E95BA20A8}"/>
            </c:ext>
          </c:extLst>
        </c:ser>
        <c:ser>
          <c:idx val="2"/>
          <c:order val="1"/>
          <c:tx>
            <c:strRef>
              <c:f>'Qual F1'!$L$7</c:f>
              <c:strCache>
                <c:ptCount val="1"/>
                <c:pt idx="0">
                  <c:v>RQF1 GCSE(below grade C) &amp; equivalent</c:v>
                </c:pt>
              </c:strCache>
            </c:strRef>
          </c:tx>
          <c:spPr>
            <a:solidFill>
              <a:schemeClr val="tx1">
                <a:lumMod val="85000"/>
                <a:lumOff val="1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F1'!$M$7:$AL$7</c:f>
              <c:numCache>
                <c:formatCode>#,##0</c:formatCode>
                <c:ptCount val="26"/>
                <c:pt idx="0">
                  <c:v>75.594426936912427</c:v>
                </c:pt>
                <c:pt idx="1">
                  <c:v>70.090391948901171</c:v>
                </c:pt>
                <c:pt idx="2">
                  <c:v>73.117447603519423</c:v>
                </c:pt>
                <c:pt idx="3">
                  <c:v>72.696732998440012</c:v>
                </c:pt>
                <c:pt idx="4">
                  <c:v>74.761815755269524</c:v>
                </c:pt>
                <c:pt idx="5">
                  <c:v>62.923603548818974</c:v>
                </c:pt>
                <c:pt idx="6">
                  <c:v>59.271450238244086</c:v>
                </c:pt>
                <c:pt idx="7">
                  <c:v>70.663254311101042</c:v>
                </c:pt>
                <c:pt idx="8">
                  <c:v>66.719837019998863</c:v>
                </c:pt>
                <c:pt idx="9">
                  <c:v>67.319812004646266</c:v>
                </c:pt>
                <c:pt idx="10">
                  <c:v>52.426261327252483</c:v>
                </c:pt>
                <c:pt idx="11">
                  <c:v>58.847826151421806</c:v>
                </c:pt>
                <c:pt idx="12">
                  <c:v>54.929396826717024</c:v>
                </c:pt>
                <c:pt idx="13">
                  <c:v>52.98439880361348</c:v>
                </c:pt>
                <c:pt idx="14">
                  <c:v>51.128888307333909</c:v>
                </c:pt>
                <c:pt idx="15">
                  <c:v>49.211328820675682</c:v>
                </c:pt>
                <c:pt idx="16">
                  <c:v>47.266021184818733</c:v>
                </c:pt>
                <c:pt idx="17">
                  <c:v>45.322624088401994</c:v>
                </c:pt>
                <c:pt idx="18">
                  <c:v>43.397803709200794</c:v>
                </c:pt>
                <c:pt idx="19">
                  <c:v>41.492173768878828</c:v>
                </c:pt>
                <c:pt idx="20">
                  <c:v>39.621108070349102</c:v>
                </c:pt>
                <c:pt idx="21">
                  <c:v>37.765330308962966</c:v>
                </c:pt>
                <c:pt idx="22">
                  <c:v>35.933133422633986</c:v>
                </c:pt>
                <c:pt idx="23">
                  <c:v>34.12758343016354</c:v>
                </c:pt>
                <c:pt idx="24">
                  <c:v>32.340278960750773</c:v>
                </c:pt>
                <c:pt idx="25">
                  <c:v>30.548341935264546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D8E-4884-8657-BD0E95BA20A8}"/>
            </c:ext>
          </c:extLst>
        </c:ser>
        <c:ser>
          <c:idx val="3"/>
          <c:order val="2"/>
          <c:tx>
            <c:strRef>
              <c:f>'Qual F1'!$L$8</c:f>
              <c:strCache>
                <c:ptCount val="1"/>
                <c:pt idx="0">
                  <c:v>RQF2 GCSE(A-C) &amp; equivalent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F1'!$M$8:$AL$8</c:f>
              <c:numCache>
                <c:formatCode>#,##0</c:formatCode>
                <c:ptCount val="26"/>
                <c:pt idx="0">
                  <c:v>116.92069037394677</c:v>
                </c:pt>
                <c:pt idx="1">
                  <c:v>117.74311896107139</c:v>
                </c:pt>
                <c:pt idx="2">
                  <c:v>112.60743044938482</c:v>
                </c:pt>
                <c:pt idx="3">
                  <c:v>113.93570992301484</c:v>
                </c:pt>
                <c:pt idx="4">
                  <c:v>113.6132648036841</c:v>
                </c:pt>
                <c:pt idx="5">
                  <c:v>115.75528457445073</c:v>
                </c:pt>
                <c:pt idx="6">
                  <c:v>106.13079632535847</c:v>
                </c:pt>
                <c:pt idx="7">
                  <c:v>106.54965267111766</c:v>
                </c:pt>
                <c:pt idx="8">
                  <c:v>118.70579836680666</c:v>
                </c:pt>
                <c:pt idx="9">
                  <c:v>109.79657864625133</c:v>
                </c:pt>
                <c:pt idx="10">
                  <c:v>108.45541532556361</c:v>
                </c:pt>
                <c:pt idx="11">
                  <c:v>109.72349595605932</c:v>
                </c:pt>
                <c:pt idx="12">
                  <c:v>106.80836300493527</c:v>
                </c:pt>
                <c:pt idx="13">
                  <c:v>105.94821041942502</c:v>
                </c:pt>
                <c:pt idx="14">
                  <c:v>105.21933449880198</c:v>
                </c:pt>
                <c:pt idx="15">
                  <c:v>104.31154617294385</c:v>
                </c:pt>
                <c:pt idx="16">
                  <c:v>103.2976354255121</c:v>
                </c:pt>
                <c:pt idx="17">
                  <c:v>102.25073089531666</c:v>
                </c:pt>
                <c:pt idx="18">
                  <c:v>101.20273424015051</c:v>
                </c:pt>
                <c:pt idx="19">
                  <c:v>100.15491428586283</c:v>
                </c:pt>
                <c:pt idx="20">
                  <c:v>99.143665394850032</c:v>
                </c:pt>
                <c:pt idx="21">
                  <c:v>98.115483472318857</c:v>
                </c:pt>
                <c:pt idx="22">
                  <c:v>97.084014047110372</c:v>
                </c:pt>
                <c:pt idx="23">
                  <c:v>96.056421417382751</c:v>
                </c:pt>
                <c:pt idx="24">
                  <c:v>95.013446150829566</c:v>
                </c:pt>
                <c:pt idx="25">
                  <c:v>93.890909211004313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D8E-4884-8657-BD0E95BA20A8}"/>
            </c:ext>
          </c:extLst>
        </c:ser>
        <c:ser>
          <c:idx val="0"/>
          <c:order val="3"/>
          <c:tx>
            <c:strRef>
              <c:f>'Qual F1'!$L$9</c:f>
              <c:strCache>
                <c:ptCount val="1"/>
                <c:pt idx="0">
                  <c:v>RQF3 A level &amp; equivalent</c:v>
                </c:pt>
              </c:strCache>
            </c:strRef>
          </c:tx>
          <c:spPr>
            <a:solidFill>
              <a:schemeClr val="tx1">
                <a:lumMod val="65000"/>
                <a:lumOff val="3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F1'!$M$9:$AL$9</c:f>
              <c:numCache>
                <c:formatCode>#,##0</c:formatCode>
                <c:ptCount val="26"/>
                <c:pt idx="0">
                  <c:v>102.83281182436333</c:v>
                </c:pt>
                <c:pt idx="1">
                  <c:v>109.79507621565187</c:v>
                </c:pt>
                <c:pt idx="2">
                  <c:v>104.03845963080531</c:v>
                </c:pt>
                <c:pt idx="3">
                  <c:v>109.98166301162661</c:v>
                </c:pt>
                <c:pt idx="4">
                  <c:v>113.85408717761294</c:v>
                </c:pt>
                <c:pt idx="5">
                  <c:v>113.00883849411312</c:v>
                </c:pt>
                <c:pt idx="6">
                  <c:v>115.26063116849357</c:v>
                </c:pt>
                <c:pt idx="7">
                  <c:v>108.20501333606812</c:v>
                </c:pt>
                <c:pt idx="8">
                  <c:v>115.87224065027844</c:v>
                </c:pt>
                <c:pt idx="9">
                  <c:v>109.16601579797461</c:v>
                </c:pt>
                <c:pt idx="10">
                  <c:v>121.8506142823144</c:v>
                </c:pt>
                <c:pt idx="11">
                  <c:v>113.22997847759522</c:v>
                </c:pt>
                <c:pt idx="12">
                  <c:v>115.02256862375509</c:v>
                </c:pt>
                <c:pt idx="13">
                  <c:v>115.66894051332827</c:v>
                </c:pt>
                <c:pt idx="14">
                  <c:v>116.49239039606745</c:v>
                </c:pt>
                <c:pt idx="15">
                  <c:v>117.13492343992273</c:v>
                </c:pt>
                <c:pt idx="16">
                  <c:v>117.64998916133383</c:v>
                </c:pt>
                <c:pt idx="17">
                  <c:v>118.09649530881309</c:v>
                </c:pt>
                <c:pt idx="18">
                  <c:v>118.53496279837466</c:v>
                </c:pt>
                <c:pt idx="19">
                  <c:v>118.98137142903229</c:v>
                </c:pt>
                <c:pt idx="20">
                  <c:v>119.4726113966156</c:v>
                </c:pt>
                <c:pt idx="21">
                  <c:v>119.95490252983392</c:v>
                </c:pt>
                <c:pt idx="22">
                  <c:v>120.44233186213688</c:v>
                </c:pt>
                <c:pt idx="23">
                  <c:v>120.94401387704175</c:v>
                </c:pt>
                <c:pt idx="24">
                  <c:v>121.44254323757582</c:v>
                </c:pt>
                <c:pt idx="25">
                  <c:v>121.86308167785648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F13-4AC5-AC3B-DF816665A51E}"/>
            </c:ext>
          </c:extLst>
        </c:ser>
        <c:ser>
          <c:idx val="4"/>
          <c:order val="4"/>
          <c:tx>
            <c:strRef>
              <c:f>'Qual F1'!$L$10</c:f>
              <c:strCache>
                <c:ptCount val="1"/>
                <c:pt idx="0">
                  <c:v>RQF4 HE below degree level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F1'!$M$10:$AL$10</c:f>
              <c:numCache>
                <c:formatCode>#,##0</c:formatCode>
                <c:ptCount val="26"/>
                <c:pt idx="0">
                  <c:v>19.796783552462195</c:v>
                </c:pt>
                <c:pt idx="1">
                  <c:v>20.92720420893243</c:v>
                </c:pt>
                <c:pt idx="2">
                  <c:v>19.378806902953439</c:v>
                </c:pt>
                <c:pt idx="3">
                  <c:v>18.71677732310733</c:v>
                </c:pt>
                <c:pt idx="4">
                  <c:v>19.692441619075218</c:v>
                </c:pt>
                <c:pt idx="5">
                  <c:v>22.807149274523638</c:v>
                </c:pt>
                <c:pt idx="6">
                  <c:v>22.52809794972929</c:v>
                </c:pt>
                <c:pt idx="7">
                  <c:v>21.724934214355279</c:v>
                </c:pt>
                <c:pt idx="8">
                  <c:v>21.942568780788655</c:v>
                </c:pt>
                <c:pt idx="9">
                  <c:v>21.16552937411738</c:v>
                </c:pt>
                <c:pt idx="10">
                  <c:v>22.536999605775797</c:v>
                </c:pt>
                <c:pt idx="11">
                  <c:v>23.195793291142913</c:v>
                </c:pt>
                <c:pt idx="12">
                  <c:v>22.843459665992388</c:v>
                </c:pt>
                <c:pt idx="13">
                  <c:v>23.162521671355194</c:v>
                </c:pt>
                <c:pt idx="14">
                  <c:v>23.529669349610472</c:v>
                </c:pt>
                <c:pt idx="15">
                  <c:v>23.861334773563094</c:v>
                </c:pt>
                <c:pt idx="16">
                  <c:v>24.178889342472132</c:v>
                </c:pt>
                <c:pt idx="17">
                  <c:v>24.510018315621949</c:v>
                </c:pt>
                <c:pt idx="18" formatCode="General">
                  <c:v>24.839304991127406</c:v>
                </c:pt>
                <c:pt idx="19" formatCode="General">
                  <c:v>25.168700796281065</c:v>
                </c:pt>
                <c:pt idx="20" formatCode="General">
                  <c:v>25.519258585894132</c:v>
                </c:pt>
                <c:pt idx="21" formatCode="General">
                  <c:v>25.871570344102583</c:v>
                </c:pt>
                <c:pt idx="22">
                  <c:v>26.228633084329449</c:v>
                </c:pt>
                <c:pt idx="23">
                  <c:v>26.594483641056925</c:v>
                </c:pt>
                <c:pt idx="24">
                  <c:v>26.957727197693668</c:v>
                </c:pt>
                <c:pt idx="25">
                  <c:v>27.320613571405762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F13-4AC5-AC3B-DF816665A51E}"/>
            </c:ext>
          </c:extLst>
        </c:ser>
        <c:ser>
          <c:idx val="5"/>
          <c:order val="5"/>
          <c:tx>
            <c:strRef>
              <c:f>'Qual F1'!$L$11</c:f>
              <c:strCache>
                <c:ptCount val="1"/>
                <c:pt idx="0">
                  <c:v>RQF5 Foundation degree;Nursing;Teaching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F1'!$M$11:$AL$11</c:f>
              <c:numCache>
                <c:formatCode>#,##0</c:formatCode>
                <c:ptCount val="26"/>
                <c:pt idx="0">
                  <c:v>24.629444817772299</c:v>
                </c:pt>
                <c:pt idx="1">
                  <c:v>25.170655622207427</c:v>
                </c:pt>
                <c:pt idx="2">
                  <c:v>24.359941049432305</c:v>
                </c:pt>
                <c:pt idx="3">
                  <c:v>22.741706679797161</c:v>
                </c:pt>
                <c:pt idx="4">
                  <c:v>24.002921162738744</c:v>
                </c:pt>
                <c:pt idx="5">
                  <c:v>26.800248489582696</c:v>
                </c:pt>
                <c:pt idx="6">
                  <c:v>25.324211796653593</c:v>
                </c:pt>
                <c:pt idx="7">
                  <c:v>23.60412609489293</c:v>
                </c:pt>
                <c:pt idx="8">
                  <c:v>22.878431629561533</c:v>
                </c:pt>
                <c:pt idx="9">
                  <c:v>23.202473803976289</c:v>
                </c:pt>
                <c:pt idx="10">
                  <c:v>25.327567248455264</c:v>
                </c:pt>
                <c:pt idx="11">
                  <c:v>24.774488870453542</c:v>
                </c:pt>
                <c:pt idx="12">
                  <c:v>24.252381785775732</c:v>
                </c:pt>
                <c:pt idx="13">
                  <c:v>24.380979644890996</c:v>
                </c:pt>
                <c:pt idx="14">
                  <c:v>24.564276836085536</c:v>
                </c:pt>
                <c:pt idx="15">
                  <c:v>24.707546523062941</c:v>
                </c:pt>
                <c:pt idx="16">
                  <c:v>24.828960785195864</c:v>
                </c:pt>
                <c:pt idx="17">
                  <c:v>24.959960226124604</c:v>
                </c:pt>
                <c:pt idx="18" formatCode="General">
                  <c:v>25.156314518552062</c:v>
                </c:pt>
                <c:pt idx="19" formatCode="General">
                  <c:v>25.414097580328441</c:v>
                </c:pt>
                <c:pt idx="20" formatCode="General">
                  <c:v>25.690638680539209</c:v>
                </c:pt>
                <c:pt idx="21" formatCode="General">
                  <c:v>25.974392972776371</c:v>
                </c:pt>
                <c:pt idx="22">
                  <c:v>26.277805743948441</c:v>
                </c:pt>
                <c:pt idx="23">
                  <c:v>26.599515981153225</c:v>
                </c:pt>
                <c:pt idx="24">
                  <c:v>26.937020956252269</c:v>
                </c:pt>
                <c:pt idx="25">
                  <c:v>27.26079744831635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F13-4AC5-AC3B-DF816665A51E}"/>
            </c:ext>
          </c:extLst>
        </c:ser>
        <c:ser>
          <c:idx val="6"/>
          <c:order val="6"/>
          <c:tx>
            <c:strRef>
              <c:f>'Qual F1'!$L$12</c:f>
              <c:strCache>
                <c:ptCount val="1"/>
                <c:pt idx="0">
                  <c:v>RQF6 First degree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F1'!$M$12:$AL$12</c:f>
              <c:numCache>
                <c:formatCode>#,##0</c:formatCode>
                <c:ptCount val="26"/>
                <c:pt idx="0">
                  <c:v>58.990693534324727</c:v>
                </c:pt>
                <c:pt idx="1">
                  <c:v>64.114254123225066</c:v>
                </c:pt>
                <c:pt idx="2">
                  <c:v>64.025580455441499</c:v>
                </c:pt>
                <c:pt idx="3">
                  <c:v>61.530371486332356</c:v>
                </c:pt>
                <c:pt idx="4">
                  <c:v>66.590571144773563</c:v>
                </c:pt>
                <c:pt idx="5">
                  <c:v>77.667960417349221</c:v>
                </c:pt>
                <c:pt idx="6">
                  <c:v>75.43398320720533</c:v>
                </c:pt>
                <c:pt idx="7">
                  <c:v>72.539613397397659</c:v>
                </c:pt>
                <c:pt idx="8">
                  <c:v>75.108498150344843</c:v>
                </c:pt>
                <c:pt idx="9">
                  <c:v>75.155034915430335</c:v>
                </c:pt>
                <c:pt idx="10">
                  <c:v>82.75056463531584</c:v>
                </c:pt>
                <c:pt idx="11">
                  <c:v>85.711755082763645</c:v>
                </c:pt>
                <c:pt idx="12">
                  <c:v>85.483399220550254</c:v>
                </c:pt>
                <c:pt idx="13">
                  <c:v>87.681862215851467</c:v>
                </c:pt>
                <c:pt idx="14">
                  <c:v>90.00449861542188</c:v>
                </c:pt>
                <c:pt idx="15">
                  <c:v>92.194326075888512</c:v>
                </c:pt>
                <c:pt idx="16">
                  <c:v>94.306930499539476</c:v>
                </c:pt>
                <c:pt idx="17">
                  <c:v>96.403148254636093</c:v>
                </c:pt>
                <c:pt idx="18" formatCode="General">
                  <c:v>98.472740012514436</c:v>
                </c:pt>
                <c:pt idx="19" formatCode="General">
                  <c:v>100.50399363865731</c:v>
                </c:pt>
                <c:pt idx="20" formatCode="General">
                  <c:v>102.5849698988159</c:v>
                </c:pt>
                <c:pt idx="21" formatCode="General">
                  <c:v>104.67654026037397</c:v>
                </c:pt>
                <c:pt idx="22" formatCode="General">
                  <c:v>106.77539452126685</c:v>
                </c:pt>
                <c:pt idx="23" formatCode="General">
                  <c:v>108.89600473008919</c:v>
                </c:pt>
                <c:pt idx="24" formatCode="General">
                  <c:v>111.0275152323966</c:v>
                </c:pt>
                <c:pt idx="25" formatCode="General">
                  <c:v>113.11901698064986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F13-4AC5-AC3B-DF816665A51E}"/>
            </c:ext>
          </c:extLst>
        </c:ser>
        <c:ser>
          <c:idx val="7"/>
          <c:order val="7"/>
          <c:tx>
            <c:strRef>
              <c:f>'Qual F1'!$L$13</c:f>
              <c:strCache>
                <c:ptCount val="1"/>
                <c:pt idx="0">
                  <c:v>RQF7 Other higher degree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F1'!$M$13:$AL$13</c:f>
              <c:numCache>
                <c:formatCode>#,##0</c:formatCode>
                <c:ptCount val="26"/>
                <c:pt idx="0">
                  <c:v>29.093903096013332</c:v>
                </c:pt>
                <c:pt idx="1">
                  <c:v>24.271123779434401</c:v>
                </c:pt>
                <c:pt idx="2">
                  <c:v>22.8579609726238</c:v>
                </c:pt>
                <c:pt idx="3">
                  <c:v>27.979838271981503</c:v>
                </c:pt>
                <c:pt idx="4">
                  <c:v>29.865497261679948</c:v>
                </c:pt>
                <c:pt idx="5">
                  <c:v>34.137453238772807</c:v>
                </c:pt>
                <c:pt idx="6">
                  <c:v>31.668383223498044</c:v>
                </c:pt>
                <c:pt idx="7">
                  <c:v>39.009529651504906</c:v>
                </c:pt>
                <c:pt idx="8">
                  <c:v>32.376096848601769</c:v>
                </c:pt>
                <c:pt idx="9">
                  <c:v>45.314710901695712</c:v>
                </c:pt>
                <c:pt idx="10">
                  <c:v>39.987739972030006</c:v>
                </c:pt>
                <c:pt idx="11">
                  <c:v>37.935539905238848</c:v>
                </c:pt>
                <c:pt idx="12">
                  <c:v>43.256452833803316</c:v>
                </c:pt>
                <c:pt idx="13">
                  <c:v>44.733716863944984</c:v>
                </c:pt>
                <c:pt idx="14">
                  <c:v>46.23208981660148</c:v>
                </c:pt>
                <c:pt idx="15">
                  <c:v>47.604731550028291</c:v>
                </c:pt>
                <c:pt idx="16">
                  <c:v>48.8784953127725</c:v>
                </c:pt>
                <c:pt idx="17">
                  <c:v>50.090579849527415</c:v>
                </c:pt>
                <c:pt idx="18" formatCode="General">
                  <c:v>51.251882274693934</c:v>
                </c:pt>
                <c:pt idx="19" formatCode="General">
                  <c:v>52.359986512881072</c:v>
                </c:pt>
                <c:pt idx="20" formatCode="General">
                  <c:v>53.430332060109251</c:v>
                </c:pt>
                <c:pt idx="21" formatCode="General">
                  <c:v>54.441382157883304</c:v>
                </c:pt>
                <c:pt idx="22" formatCode="General">
                  <c:v>55.393454231641464</c:v>
                </c:pt>
                <c:pt idx="23" formatCode="General">
                  <c:v>56.295128671248712</c:v>
                </c:pt>
                <c:pt idx="24" formatCode="General">
                  <c:v>57.128542236224447</c:v>
                </c:pt>
                <c:pt idx="25" formatCode="General">
                  <c:v>57.86380678340101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F13-4AC5-AC3B-DF816665A51E}"/>
            </c:ext>
          </c:extLst>
        </c:ser>
        <c:ser>
          <c:idx val="8"/>
          <c:order val="8"/>
          <c:tx>
            <c:strRef>
              <c:f>'Qual F1'!$L$14</c:f>
              <c:strCache>
                <c:ptCount val="1"/>
                <c:pt idx="0">
                  <c:v>RQF8 Doctorate</c:v>
                </c:pt>
              </c:strCache>
            </c:strRef>
          </c:tx>
          <c:spPr>
            <a:solidFill>
              <a:schemeClr val="bg1">
                <a:lumMod val="9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F1'!$M$14:$AL$14</c:f>
              <c:numCache>
                <c:formatCode>#,##0</c:formatCode>
                <c:ptCount val="26"/>
                <c:pt idx="0">
                  <c:v>4.6488536296268581</c:v>
                </c:pt>
                <c:pt idx="1">
                  <c:v>3.9171135856983099</c:v>
                </c:pt>
                <c:pt idx="2">
                  <c:v>3.5624324028133802</c:v>
                </c:pt>
                <c:pt idx="3">
                  <c:v>4.5264994182747618</c:v>
                </c:pt>
                <c:pt idx="4">
                  <c:v>4.6597774112080748</c:v>
                </c:pt>
                <c:pt idx="5">
                  <c:v>5.3938869372483458</c:v>
                </c:pt>
                <c:pt idx="6">
                  <c:v>5.0990174823375094</c:v>
                </c:pt>
                <c:pt idx="7">
                  <c:v>6.2949073006785472</c:v>
                </c:pt>
                <c:pt idx="8">
                  <c:v>5.5108578302076117</c:v>
                </c:pt>
                <c:pt idx="9">
                  <c:v>7.010765620991668</c:v>
                </c:pt>
                <c:pt idx="10">
                  <c:v>6.2191239061433228</c:v>
                </c:pt>
                <c:pt idx="11">
                  <c:v>5.9084703895872668</c:v>
                </c:pt>
                <c:pt idx="12">
                  <c:v>6.8797441603508718</c:v>
                </c:pt>
                <c:pt idx="13">
                  <c:v>7.1379242572547721</c:v>
                </c:pt>
                <c:pt idx="14">
                  <c:v>7.3977380089155558</c:v>
                </c:pt>
                <c:pt idx="15">
                  <c:v>7.6363712242585455</c:v>
                </c:pt>
                <c:pt idx="16">
                  <c:v>7.8610264534494281</c:v>
                </c:pt>
                <c:pt idx="17">
                  <c:v>8.076367884891555</c:v>
                </c:pt>
                <c:pt idx="18" formatCode="General">
                  <c:v>8.2859242085633671</c:v>
                </c:pt>
                <c:pt idx="19" formatCode="General">
                  <c:v>8.4848148940873021</c:v>
                </c:pt>
                <c:pt idx="20" formatCode="General">
                  <c:v>8.6799897625167297</c:v>
                </c:pt>
                <c:pt idx="21" formatCode="General">
                  <c:v>8.8648628908941998</c:v>
                </c:pt>
                <c:pt idx="22" formatCode="General">
                  <c:v>9.0418805162731388</c:v>
                </c:pt>
                <c:pt idx="23" formatCode="General">
                  <c:v>9.2092559768084463</c:v>
                </c:pt>
                <c:pt idx="24" formatCode="General">
                  <c:v>9.3702344554677293</c:v>
                </c:pt>
                <c:pt idx="25" formatCode="General">
                  <c:v>9.5144226538408123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0F13-4AC5-AC3B-DF816665A5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685928"/>
        <c:axId val="313686320"/>
      </c:areaChart>
      <c:catAx>
        <c:axId val="31368592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632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686320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%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592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5.194451201428852E-2"/>
          <c:y val="0.88735215349989649"/>
          <c:w val="0.85740973872129711"/>
          <c:h val="0.10010325045247206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2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38787893154494418"/>
          <c:y val="4.3626565131883739E-2"/>
          <c:w val="0.58235719863626845"/>
          <c:h val="0.88058877054170548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'ShiftShare T1'!$C$4</c:f>
              <c:strCache>
                <c:ptCount val="1"/>
                <c:pt idx="0">
                  <c:v>2015</c:v>
                </c:pt>
              </c:strCache>
            </c:strRef>
          </c:tx>
          <c:invertIfNegative val="0"/>
          <c:cat>
            <c:strRef>
              <c:f>'ShiftShare T1'!$A$8:$A$33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'ShiftShare T1'!$B$8:$B$33</c:f>
              <c:numCache>
                <c:formatCode>#,##0</c:formatCode>
                <c:ptCount val="26"/>
                <c:pt idx="0">
                  <c:v>21.732746128315462</c:v>
                </c:pt>
                <c:pt idx="1">
                  <c:v>14.273459833951772</c:v>
                </c:pt>
                <c:pt idx="2">
                  <c:v>21.426021449350184</c:v>
                </c:pt>
                <c:pt idx="3">
                  <c:v>27.572687353088558</c:v>
                </c:pt>
                <c:pt idx="4">
                  <c:v>21.073206393473654</c:v>
                </c:pt>
                <c:pt idx="5">
                  <c:v>20.053361439408231</c:v>
                </c:pt>
                <c:pt idx="6">
                  <c:v>9.0554566906705691</c:v>
                </c:pt>
                <c:pt idx="7">
                  <c:v>9.6622274795413947</c:v>
                </c:pt>
                <c:pt idx="8">
                  <c:v>6.3572759436806443</c:v>
                </c:pt>
                <c:pt idx="9">
                  <c:v>5.8966157276684097</c:v>
                </c:pt>
                <c:pt idx="10">
                  <c:v>20.575349082820939</c:v>
                </c:pt>
                <c:pt idx="11">
                  <c:v>45.581332961093828</c:v>
                </c:pt>
                <c:pt idx="12">
                  <c:v>9.7042932340862489</c:v>
                </c:pt>
                <c:pt idx="13">
                  <c:v>4.6441267016966554</c:v>
                </c:pt>
                <c:pt idx="14">
                  <c:v>23.746739359376484</c:v>
                </c:pt>
                <c:pt idx="15">
                  <c:v>18.075106264951447</c:v>
                </c:pt>
                <c:pt idx="16">
                  <c:v>10.556309552348026</c:v>
                </c:pt>
                <c:pt idx="17">
                  <c:v>33.611923724291344</c:v>
                </c:pt>
                <c:pt idx="18">
                  <c:v>10.694469678421898</c:v>
                </c:pt>
                <c:pt idx="19">
                  <c:v>0.58215069720671409</c:v>
                </c:pt>
                <c:pt idx="20">
                  <c:v>47.90500212035964</c:v>
                </c:pt>
                <c:pt idx="21">
                  <c:v>8.2742482733071885</c:v>
                </c:pt>
                <c:pt idx="22">
                  <c:v>20.497099930923987</c:v>
                </c:pt>
                <c:pt idx="23">
                  <c:v>17.778560622425232</c:v>
                </c:pt>
                <c:pt idx="24">
                  <c:v>8.7079014188987056</c:v>
                </c:pt>
                <c:pt idx="25">
                  <c:v>51.673327938642913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22E-4752-A244-893F04CFF91E}"/>
            </c:ext>
          </c:extLst>
        </c:ser>
        <c:ser>
          <c:idx val="1"/>
          <c:order val="1"/>
          <c:tx>
            <c:strRef>
              <c:f>'ShiftShare T1'!$F$4</c:f>
              <c:strCache>
                <c:ptCount val="1"/>
                <c:pt idx="0">
                  <c:v>2020</c:v>
                </c:pt>
              </c:strCache>
            </c:strRef>
          </c:tx>
          <c:invertIfNegative val="0"/>
          <c:cat>
            <c:strRef>
              <c:f>'ShiftShare T1'!$A$8:$A$33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'ShiftShare T1'!$E$8:$E$33</c:f>
              <c:numCache>
                <c:formatCode>#,##0</c:formatCode>
                <c:ptCount val="26"/>
                <c:pt idx="0">
                  <c:v>25.412554043295046</c:v>
                </c:pt>
                <c:pt idx="1">
                  <c:v>14.832524681466086</c:v>
                </c:pt>
                <c:pt idx="2">
                  <c:v>23.469639078952422</c:v>
                </c:pt>
                <c:pt idx="3">
                  <c:v>29.027771962856097</c:v>
                </c:pt>
                <c:pt idx="4">
                  <c:v>22.082745267226372</c:v>
                </c:pt>
                <c:pt idx="5">
                  <c:v>24.487374649426325</c:v>
                </c:pt>
                <c:pt idx="6">
                  <c:v>10.70984051084127</c:v>
                </c:pt>
                <c:pt idx="7">
                  <c:v>10.403152312211862</c:v>
                </c:pt>
                <c:pt idx="8">
                  <c:v>7.0494931142783734</c:v>
                </c:pt>
                <c:pt idx="9">
                  <c:v>5.720866276556551</c:v>
                </c:pt>
                <c:pt idx="10">
                  <c:v>22.193704019032278</c:v>
                </c:pt>
                <c:pt idx="11">
                  <c:v>44.153660141328722</c:v>
                </c:pt>
                <c:pt idx="12">
                  <c:v>8.3494356737237503</c:v>
                </c:pt>
                <c:pt idx="13">
                  <c:v>3.9137663619264487</c:v>
                </c:pt>
                <c:pt idx="14">
                  <c:v>19.8153660104539</c:v>
                </c:pt>
                <c:pt idx="15">
                  <c:v>16.08769129935639</c:v>
                </c:pt>
                <c:pt idx="16">
                  <c:v>8.4288888775954423</c:v>
                </c:pt>
                <c:pt idx="17">
                  <c:v>31.610179921526679</c:v>
                </c:pt>
                <c:pt idx="18">
                  <c:v>10.590117171876656</c:v>
                </c:pt>
                <c:pt idx="19">
                  <c:v>0.64182464760198232</c:v>
                </c:pt>
                <c:pt idx="20">
                  <c:v>42.678069113601978</c:v>
                </c:pt>
                <c:pt idx="21">
                  <c:v>8.8901921095368301</c:v>
                </c:pt>
                <c:pt idx="22">
                  <c:v>16.493271233190935</c:v>
                </c:pt>
                <c:pt idx="23">
                  <c:v>19.085919456589171</c:v>
                </c:pt>
                <c:pt idx="24">
                  <c:v>6.6946553065972703</c:v>
                </c:pt>
                <c:pt idx="25">
                  <c:v>46.103296758951288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22E-4752-A244-893F04CFF91E}"/>
            </c:ext>
          </c:extLst>
        </c:ser>
        <c:ser>
          <c:idx val="2"/>
          <c:order val="2"/>
          <c:tx>
            <c:strRef>
              <c:f>'ShiftShare T1'!$F$40</c:f>
              <c:strCache>
                <c:ptCount val="1"/>
                <c:pt idx="0">
                  <c:v>2035</c:v>
                </c:pt>
              </c:strCache>
            </c:strRef>
          </c:tx>
          <c:invertIfNegative val="0"/>
          <c:cat>
            <c:strRef>
              <c:f>'ShiftShare T1'!$A$8:$A$33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'ShiftShare T1'!$E$44:$E$69</c:f>
              <c:numCache>
                <c:formatCode>#,##0</c:formatCode>
                <c:ptCount val="26"/>
                <c:pt idx="0">
                  <c:v>25.23356948501899</c:v>
                </c:pt>
                <c:pt idx="1">
                  <c:v>20.455568330896881</c:v>
                </c:pt>
                <c:pt idx="2">
                  <c:v>26.474817136388868</c:v>
                </c:pt>
                <c:pt idx="3">
                  <c:v>34.325942505499306</c:v>
                </c:pt>
                <c:pt idx="4">
                  <c:v>25.804378704259623</c:v>
                </c:pt>
                <c:pt idx="5">
                  <c:v>30.198762786552976</c:v>
                </c:pt>
                <c:pt idx="6">
                  <c:v>9.3668808984236378</c:v>
                </c:pt>
                <c:pt idx="7">
                  <c:v>11.167106544013857</c:v>
                </c:pt>
                <c:pt idx="8">
                  <c:v>9.0336950732721473</c:v>
                </c:pt>
                <c:pt idx="9">
                  <c:v>5.9844066350434453</c:v>
                </c:pt>
                <c:pt idx="10">
                  <c:v>21.86698363997229</c:v>
                </c:pt>
                <c:pt idx="11">
                  <c:v>37.996794001250002</c:v>
                </c:pt>
                <c:pt idx="12">
                  <c:v>7.8718020155096147</c:v>
                </c:pt>
                <c:pt idx="13">
                  <c:v>4.3882264054856144</c:v>
                </c:pt>
                <c:pt idx="14">
                  <c:v>16.745561719909368</c:v>
                </c:pt>
                <c:pt idx="15">
                  <c:v>14.220772873886741</c:v>
                </c:pt>
                <c:pt idx="16">
                  <c:v>7.8219265199229948</c:v>
                </c:pt>
                <c:pt idx="17">
                  <c:v>34.878615994605461</c:v>
                </c:pt>
                <c:pt idx="18">
                  <c:v>10.611845266662291</c:v>
                </c:pt>
                <c:pt idx="19">
                  <c:v>0.55999462457579885</c:v>
                </c:pt>
                <c:pt idx="20">
                  <c:v>38.750591491417339</c:v>
                </c:pt>
                <c:pt idx="21">
                  <c:v>13.164637816517791</c:v>
                </c:pt>
                <c:pt idx="22">
                  <c:v>18.228830196942472</c:v>
                </c:pt>
                <c:pt idx="23">
                  <c:v>17.902063583152078</c:v>
                </c:pt>
                <c:pt idx="24">
                  <c:v>4.88114497890591</c:v>
                </c:pt>
                <c:pt idx="25">
                  <c:v>44.843080771914373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22E-4752-A244-893F04CFF9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20200496"/>
        <c:axId val="320200888"/>
      </c:barChart>
      <c:catAx>
        <c:axId val="320200496"/>
        <c:scaling>
          <c:orientation val="maxMin"/>
        </c:scaling>
        <c:delete val="0"/>
        <c:axPos val="l"/>
        <c:numFmt formatCode="General" sourceLinked="0"/>
        <c:majorTickMark val="out"/>
        <c:minorTickMark val="none"/>
        <c:tickLblPos val="nextTo"/>
        <c:crossAx val="320200888"/>
        <c:crosses val="autoZero"/>
        <c:auto val="1"/>
        <c:lblAlgn val="ctr"/>
        <c:lblOffset val="100"/>
        <c:noMultiLvlLbl val="0"/>
      </c:catAx>
      <c:valAx>
        <c:axId val="320200888"/>
        <c:scaling>
          <c:orientation val="minMax"/>
        </c:scaling>
        <c:delete val="0"/>
        <c:axPos val="t"/>
        <c:majorGridlines/>
        <c:numFmt formatCode="#,##0" sourceLinked="1"/>
        <c:majorTickMark val="out"/>
        <c:minorTickMark val="none"/>
        <c:tickLblPos val="nextTo"/>
        <c:crossAx val="320200496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54132763162669373"/>
          <c:y val="0.95527891662688502"/>
          <c:w val="0.17405791669497794"/>
          <c:h val="3.1004491913691319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9718540339964518"/>
          <c:y val="3.4908754382882691E-2"/>
          <c:w val="0.46370250563807996"/>
          <c:h val="0.88947796371950538"/>
        </c:manualLayout>
      </c:layout>
      <c:barChart>
        <c:barDir val="bar"/>
        <c:grouping val="clustered"/>
        <c:varyColors val="0"/>
        <c:ser>
          <c:idx val="4"/>
          <c:order val="0"/>
          <c:tx>
            <c:strRef>
              <c:f>'ShiftShare T1'!$I$4</c:f>
              <c:strCache>
                <c:ptCount val="1"/>
                <c:pt idx="0">
                  <c:v>2015-2020</c:v>
                </c:pt>
              </c:strCache>
            </c:strRef>
          </c:tx>
          <c:invertIfNegative val="0"/>
          <c:cat>
            <c:strRef>
              <c:f>'ShiftShare T1'!$A$8:$A$33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'ShiftShare T1'!$H$8:$H$33</c:f>
              <c:numCache>
                <c:formatCode>#,##0</c:formatCode>
                <c:ptCount val="26"/>
                <c:pt idx="0">
                  <c:v>3.6798079149795839</c:v>
                </c:pt>
                <c:pt idx="1">
                  <c:v>0.55906484751431407</c:v>
                </c:pt>
                <c:pt idx="2">
                  <c:v>2.0436176296022381</c:v>
                </c:pt>
                <c:pt idx="3">
                  <c:v>1.455084609767539</c:v>
                </c:pt>
                <c:pt idx="4">
                  <c:v>1.0095388737527173</c:v>
                </c:pt>
                <c:pt idx="5">
                  <c:v>4.4340132100180938</c:v>
                </c:pt>
                <c:pt idx="6">
                  <c:v>1.6543838201707004</c:v>
                </c:pt>
                <c:pt idx="7">
                  <c:v>0.74092483267046738</c:v>
                </c:pt>
                <c:pt idx="8">
                  <c:v>0.69221717059772914</c:v>
                </c:pt>
                <c:pt idx="9">
                  <c:v>-0.17574945111185869</c:v>
                </c:pt>
                <c:pt idx="10">
                  <c:v>1.6183549362113396</c:v>
                </c:pt>
                <c:pt idx="11">
                  <c:v>-1.4276728197651067</c:v>
                </c:pt>
                <c:pt idx="12">
                  <c:v>-1.3548575603624986</c:v>
                </c:pt>
                <c:pt idx="13">
                  <c:v>-0.73036033977020676</c:v>
                </c:pt>
                <c:pt idx="14">
                  <c:v>-3.9313733489225839</c:v>
                </c:pt>
                <c:pt idx="15">
                  <c:v>-1.9874149655950575</c:v>
                </c:pt>
                <c:pt idx="16">
                  <c:v>-2.1274206747525835</c:v>
                </c:pt>
                <c:pt idx="17">
                  <c:v>-2.0017438027646648</c:v>
                </c:pt>
                <c:pt idx="18">
                  <c:v>-0.10435250654524175</c:v>
                </c:pt>
                <c:pt idx="19">
                  <c:v>5.9673950395268238E-2</c:v>
                </c:pt>
                <c:pt idx="20">
                  <c:v>-5.2269330067576618</c:v>
                </c:pt>
                <c:pt idx="21">
                  <c:v>0.61594383622964166</c:v>
                </c:pt>
                <c:pt idx="22">
                  <c:v>-4.0038286977330522</c:v>
                </c:pt>
                <c:pt idx="23">
                  <c:v>1.3073588341639386</c:v>
                </c:pt>
                <c:pt idx="24">
                  <c:v>-2.0132461123014354</c:v>
                </c:pt>
                <c:pt idx="25">
                  <c:v>-5.5700311796916253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130-4246-8424-BFF62A2BAC31}"/>
            </c:ext>
          </c:extLst>
        </c:ser>
        <c:ser>
          <c:idx val="5"/>
          <c:order val="1"/>
          <c:tx>
            <c:strRef>
              <c:f>'ShiftShare T1'!$I$40</c:f>
              <c:strCache>
                <c:ptCount val="1"/>
                <c:pt idx="0">
                  <c:v>2020-2035</c:v>
                </c:pt>
              </c:strCache>
            </c:strRef>
          </c:tx>
          <c:invertIfNegative val="0"/>
          <c:cat>
            <c:strRef>
              <c:f>'ShiftShare T1'!$A$8:$A$33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'ShiftShare T1'!$H$44:$H$69</c:f>
              <c:numCache>
                <c:formatCode>#,##0</c:formatCode>
                <c:ptCount val="26"/>
                <c:pt idx="0">
                  <c:v>-0.1789845582760563</c:v>
                </c:pt>
                <c:pt idx="1">
                  <c:v>5.6230436494307945</c:v>
                </c:pt>
                <c:pt idx="2">
                  <c:v>3.0051780574364457</c:v>
                </c:pt>
                <c:pt idx="3">
                  <c:v>5.2981705426432093</c:v>
                </c:pt>
                <c:pt idx="4">
                  <c:v>3.7216334370332511</c:v>
                </c:pt>
                <c:pt idx="5">
                  <c:v>5.7113881371266508</c:v>
                </c:pt>
                <c:pt idx="6">
                  <c:v>-1.3429596124176317</c:v>
                </c:pt>
                <c:pt idx="7">
                  <c:v>0.76395423180199451</c:v>
                </c:pt>
                <c:pt idx="8">
                  <c:v>1.9842019589937738</c:v>
                </c:pt>
                <c:pt idx="9">
                  <c:v>0.26354035848689428</c:v>
                </c:pt>
                <c:pt idx="10">
                  <c:v>-0.32672037905998863</c:v>
                </c:pt>
                <c:pt idx="11">
                  <c:v>-6.1568661400787192</c:v>
                </c:pt>
                <c:pt idx="12">
                  <c:v>-0.47763365821413561</c:v>
                </c:pt>
                <c:pt idx="13">
                  <c:v>0.47446004355916571</c:v>
                </c:pt>
                <c:pt idx="14">
                  <c:v>-3.069804290544532</c:v>
                </c:pt>
                <c:pt idx="15">
                  <c:v>-1.8669184254696489</c:v>
                </c:pt>
                <c:pt idx="16">
                  <c:v>-0.60696235767244744</c:v>
                </c:pt>
                <c:pt idx="17">
                  <c:v>3.2684360730787816</c:v>
                </c:pt>
                <c:pt idx="18">
                  <c:v>2.1728094785634866E-2</c:v>
                </c:pt>
                <c:pt idx="19">
                  <c:v>-8.1830023026183474E-2</c:v>
                </c:pt>
                <c:pt idx="20">
                  <c:v>-3.9274776221846395</c:v>
                </c:pt>
                <c:pt idx="21">
                  <c:v>4.2744457069809609</c:v>
                </c:pt>
                <c:pt idx="22">
                  <c:v>1.7355589637515365</c:v>
                </c:pt>
                <c:pt idx="23">
                  <c:v>-1.1838558734370928</c:v>
                </c:pt>
                <c:pt idx="24">
                  <c:v>-1.8135103276913602</c:v>
                </c:pt>
                <c:pt idx="25">
                  <c:v>-1.260215987036915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130-4246-8424-BFF62A2BAC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20201672"/>
        <c:axId val="320202064"/>
      </c:barChart>
      <c:catAx>
        <c:axId val="320201672"/>
        <c:scaling>
          <c:orientation val="maxMin"/>
        </c:scaling>
        <c:delete val="0"/>
        <c:axPos val="l"/>
        <c:numFmt formatCode="General" sourceLinked="0"/>
        <c:majorTickMark val="out"/>
        <c:minorTickMark val="none"/>
        <c:tickLblPos val="low"/>
        <c:crossAx val="320202064"/>
        <c:crosses val="autoZero"/>
        <c:auto val="1"/>
        <c:lblAlgn val="ctr"/>
        <c:lblOffset val="1000"/>
        <c:noMultiLvlLbl val="0"/>
      </c:catAx>
      <c:valAx>
        <c:axId val="320202064"/>
        <c:scaling>
          <c:orientation val="minMax"/>
        </c:scaling>
        <c:delete val="0"/>
        <c:axPos val="t"/>
        <c:majorGridlines/>
        <c:numFmt formatCode="#,##0" sourceLinked="1"/>
        <c:majorTickMark val="out"/>
        <c:minorTickMark val="none"/>
        <c:tickLblPos val="nextTo"/>
        <c:crossAx val="320201672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6164780852212991"/>
          <c:y val="0.94823266163463993"/>
          <c:w val="0.2106189753783651"/>
          <c:h val="3.1117474689689728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 orientation="portrait"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9295888892981675E-2"/>
          <c:y val="3.5947604941935246E-2"/>
          <c:w val="0.90390271996709393"/>
          <c:h val="0.80496508415316914"/>
        </c:manualLayout>
      </c:layout>
      <c:lineChart>
        <c:grouping val="standard"/>
        <c:varyColors val="0"/>
        <c:ser>
          <c:idx val="1"/>
          <c:order val="0"/>
          <c:tx>
            <c:strRef>
              <c:f>'ShiftShare T1'!$A$8</c:f>
              <c:strCache>
                <c:ptCount val="1"/>
                <c:pt idx="0">
                  <c:v>11 Corporate managers and directors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T1'!$C$8,'ShiftShare T1'!$F$8,'ShiftShare T1'!$F$44)</c:f>
              <c:numCache>
                <c:formatCode>0.0</c:formatCode>
                <c:ptCount val="3"/>
                <c:pt idx="0">
                  <c:v>4.4378717505458232</c:v>
                </c:pt>
                <c:pt idx="1">
                  <c:v>5.306154613300393</c:v>
                </c:pt>
                <c:pt idx="2">
                  <c:v>5.1206769549409676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B6E-4072-ACC3-8D57D4851C1D}"/>
            </c:ext>
          </c:extLst>
        </c:ser>
        <c:ser>
          <c:idx val="2"/>
          <c:order val="1"/>
          <c:tx>
            <c:strRef>
              <c:f>'ShiftShare T1'!$A$9</c:f>
              <c:strCache>
                <c:ptCount val="1"/>
                <c:pt idx="0">
                  <c:v>12 Other managers and proprietors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T1'!$C$9,'ShiftShare T1'!$F$9,'ShiftShare T1'!$F$45)</c:f>
              <c:numCache>
                <c:formatCode>0.0</c:formatCode>
                <c:ptCount val="3"/>
                <c:pt idx="0">
                  <c:v>2.9146700470178883</c:v>
                </c:pt>
                <c:pt idx="1">
                  <c:v>3.0970389332519188</c:v>
                </c:pt>
                <c:pt idx="2">
                  <c:v>4.1510717464856164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B6E-4072-ACC3-8D57D4851C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202848"/>
        <c:axId val="320203240"/>
      </c:lineChart>
      <c:catAx>
        <c:axId val="32020284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203240"/>
        <c:crosses val="autoZero"/>
        <c:auto val="1"/>
        <c:lblAlgn val="ctr"/>
        <c:lblOffset val="100"/>
        <c:noMultiLvlLbl val="0"/>
      </c:catAx>
      <c:valAx>
        <c:axId val="320203240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202848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2.367846311576052E-2"/>
          <c:y val="0.91788153826032881"/>
          <c:w val="0.95853017103776827"/>
          <c:h val="6.4621404430058801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0056854007996878E-2"/>
          <c:y val="3.1694845457226499E-2"/>
          <c:w val="0.89366434465146449"/>
          <c:h val="0.69172816728167286"/>
        </c:manualLayout>
      </c:layout>
      <c:lineChart>
        <c:grouping val="standard"/>
        <c:varyColors val="0"/>
        <c:ser>
          <c:idx val="3"/>
          <c:order val="0"/>
          <c:tx>
            <c:strRef>
              <c:f>'ShiftShare T1'!$A$14</c:f>
              <c:strCache>
                <c:ptCount val="1"/>
                <c:pt idx="0">
                  <c:v>31 Science, engineering and technology associate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T1'!$C$14,'ShiftShare T1'!$F$14,'ShiftShare T1'!$F$50)</c:f>
              <c:numCache>
                <c:formatCode>0.0</c:formatCode>
                <c:ptCount val="3"/>
                <c:pt idx="0">
                  <c:v>1.8491430028466926</c:v>
                </c:pt>
                <c:pt idx="1">
                  <c:v>2.2362203160490908</c:v>
                </c:pt>
                <c:pt idx="2">
                  <c:v>1.9008317941189827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A1D-49CD-BB27-98A48CC6E552}"/>
            </c:ext>
          </c:extLst>
        </c:ser>
        <c:ser>
          <c:idx val="0"/>
          <c:order val="1"/>
          <c:tx>
            <c:strRef>
              <c:f>'ShiftShare T1'!$A$15</c:f>
              <c:strCache>
                <c:ptCount val="1"/>
                <c:pt idx="0">
                  <c:v>32 Health and social care associate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T1'!$C$15,'ShiftShare T1'!$F$15,'ShiftShare T1'!$F$51)</c:f>
              <c:numCache>
                <c:formatCode>0.0</c:formatCode>
                <c:ptCount val="3"/>
                <c:pt idx="0">
                  <c:v>1.973046854071359</c:v>
                </c:pt>
                <c:pt idx="1">
                  <c:v>2.1721836593151886</c:v>
                </c:pt>
                <c:pt idx="2">
                  <c:v>2.266153631861378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A1D-49CD-BB27-98A48CC6E552}"/>
            </c:ext>
          </c:extLst>
        </c:ser>
        <c:ser>
          <c:idx val="1"/>
          <c:order val="2"/>
          <c:tx>
            <c:strRef>
              <c:f>'ShiftShare T1'!$A$16</c:f>
              <c:strCache>
                <c:ptCount val="1"/>
                <c:pt idx="0">
                  <c:v>33 Protective service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T1'!$C$16,'ShiftShare T1'!$F$16,'ShiftShare T1'!$F$52)</c:f>
              <c:numCache>
                <c:formatCode>0.0</c:formatCode>
                <c:ptCount val="3"/>
                <c:pt idx="0">
                  <c:v>1.298168908535982</c:v>
                </c:pt>
                <c:pt idx="1">
                  <c:v>1.4719378597692279</c:v>
                </c:pt>
                <c:pt idx="2">
                  <c:v>1.8332180156728082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CA1D-49CD-BB27-98A48CC6E552}"/>
            </c:ext>
          </c:extLst>
        </c:ser>
        <c:ser>
          <c:idx val="4"/>
          <c:order val="3"/>
          <c:tx>
            <c:strRef>
              <c:f>'ShiftShare T1'!$A$17</c:f>
              <c:strCache>
                <c:ptCount val="1"/>
                <c:pt idx="0">
                  <c:v>34 Culture, media and sports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T1'!$C$17,'ShiftShare T1'!$F$17,'ShiftShare T1'!$F$53)</c:f>
              <c:numCache>
                <c:formatCode>0.0</c:formatCode>
                <c:ptCount val="3"/>
                <c:pt idx="0">
                  <c:v>1.204101138767234</c:v>
                </c:pt>
                <c:pt idx="1">
                  <c:v>1.194519879178944</c:v>
                </c:pt>
                <c:pt idx="2">
                  <c:v>1.2144224448014009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CA1D-49CD-BB27-98A48CC6E552}"/>
            </c:ext>
          </c:extLst>
        </c:ser>
        <c:ser>
          <c:idx val="5"/>
          <c:order val="4"/>
          <c:tx>
            <c:strRef>
              <c:f>'ShiftShare T1'!$A$18</c:f>
              <c:strCache>
                <c:ptCount val="1"/>
                <c:pt idx="0">
                  <c:v>35 Business and public service associate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T1'!$C$18,'ShiftShare T1'!$F$18,'ShiftShare T1'!$F$54)</c:f>
              <c:numCache>
                <c:formatCode>0.0</c:formatCode>
                <c:ptCount val="3"/>
                <c:pt idx="0">
                  <c:v>4.2015288778117981</c:v>
                </c:pt>
                <c:pt idx="1">
                  <c:v>4.6340570399252234</c:v>
                </c:pt>
                <c:pt idx="2">
                  <c:v>4.4374918604264595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CA1D-49CD-BB27-98A48CC6E5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204024"/>
        <c:axId val="320269064"/>
      </c:lineChart>
      <c:catAx>
        <c:axId val="32020402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269064"/>
        <c:crosses val="autoZero"/>
        <c:auto val="1"/>
        <c:lblAlgn val="ctr"/>
        <c:lblOffset val="100"/>
        <c:noMultiLvlLbl val="0"/>
      </c:catAx>
      <c:valAx>
        <c:axId val="320269064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204024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8.4124142788133807E-2"/>
          <c:y val="0.78352008300784759"/>
          <c:w val="0.84908255569149549"/>
          <c:h val="0.20791568661300647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2847506889025924E-2"/>
          <c:y val="2.5974457843128223E-2"/>
          <c:w val="0.89314628400895379"/>
          <c:h val="0.78565359775118182"/>
        </c:manualLayout>
      </c:layout>
      <c:lineChart>
        <c:grouping val="standard"/>
        <c:varyColors val="0"/>
        <c:ser>
          <c:idx val="4"/>
          <c:order val="0"/>
          <c:tx>
            <c:strRef>
              <c:f>'ShiftShare T1'!$A$19</c:f>
              <c:strCache>
                <c:ptCount val="1"/>
                <c:pt idx="0">
                  <c:v>41 Administrative occupations</c:v>
                </c:pt>
              </c:strCache>
            </c:strRef>
          </c:tx>
          <c:val>
            <c:numRef>
              <c:f>('ShiftShare T1'!$C$19,'ShiftShare T1'!$F$19,'ShiftShare T1'!$F$55)</c:f>
              <c:numCache>
                <c:formatCode>0.0</c:formatCode>
                <c:ptCount val="3"/>
                <c:pt idx="0">
                  <c:v>9.3078025531576412</c:v>
                </c:pt>
                <c:pt idx="1">
                  <c:v>9.2193073964096151</c:v>
                </c:pt>
                <c:pt idx="2">
                  <c:v>7.7107326222457209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E4E-489B-AA3C-D474FCE6D67C}"/>
            </c:ext>
          </c:extLst>
        </c:ser>
        <c:ser>
          <c:idx val="1"/>
          <c:order val="1"/>
          <c:tx>
            <c:strRef>
              <c:f>'ShiftShare T1'!$A$20</c:f>
              <c:strCache>
                <c:ptCount val="1"/>
                <c:pt idx="0">
                  <c:v>42 Secretarial and related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T1'!$C$20,'ShiftShare T1'!$F$20,'ShiftShare T1'!$F$56)</c:f>
              <c:numCache>
                <c:formatCode>0.0</c:formatCode>
                <c:ptCount val="3"/>
                <c:pt idx="0">
                  <c:v>1.9816367682339682</c:v>
                </c:pt>
                <c:pt idx="1">
                  <c:v>1.7433665480102871</c:v>
                </c:pt>
                <c:pt idx="2">
                  <c:v>1.5974337359844837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E4E-489B-AA3C-D474FCE6D6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269848"/>
        <c:axId val="320270240"/>
      </c:lineChart>
      <c:catAx>
        <c:axId val="32026984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270240"/>
        <c:crosses val="autoZero"/>
        <c:auto val="1"/>
        <c:lblAlgn val="ctr"/>
        <c:lblOffset val="100"/>
        <c:noMultiLvlLbl val="0"/>
      </c:catAx>
      <c:valAx>
        <c:axId val="320270240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269848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4.4974248467898471E-2"/>
          <c:y val="0.89428044341365409"/>
          <c:w val="0.88541212612219578"/>
          <c:h val="9.6042139689575881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4098805656060376E-2"/>
          <c:y val="3.1694838332767254E-2"/>
          <c:w val="0.89724219155004581"/>
          <c:h val="0.7489724514245768"/>
        </c:manualLayout>
      </c:layout>
      <c:lineChart>
        <c:grouping val="standard"/>
        <c:varyColors val="0"/>
        <c:ser>
          <c:idx val="2"/>
          <c:order val="0"/>
          <c:tx>
            <c:strRef>
              <c:f>'ShiftShare T1'!$A$25</c:f>
              <c:strCache>
                <c:ptCount val="1"/>
                <c:pt idx="0">
                  <c:v>61 Caring personal service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T1'!$C$25,'ShiftShare T1'!$F$25,'ShiftShare T1'!$F$61)</c:f>
              <c:numCache>
                <c:formatCode>0.0</c:formatCode>
                <c:ptCount val="3"/>
                <c:pt idx="0">
                  <c:v>6.8636244079245383</c:v>
                </c:pt>
                <c:pt idx="1">
                  <c:v>6.6002221473728024</c:v>
                </c:pt>
                <c:pt idx="2">
                  <c:v>7.077957212904284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3C8-4F4F-9A85-289A2A78C237}"/>
            </c:ext>
          </c:extLst>
        </c:ser>
        <c:ser>
          <c:idx val="3"/>
          <c:order val="1"/>
          <c:tx>
            <c:strRef>
              <c:f>'ShiftShare T1'!$A$26</c:f>
              <c:strCache>
                <c:ptCount val="1"/>
                <c:pt idx="0">
                  <c:v>62 Leisure, travel and related personal service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T1'!$C$26,'ShiftShare T1'!$F$26,'ShiftShare T1'!$F$62)</c:f>
              <c:numCache>
                <c:formatCode>0.0</c:formatCode>
                <c:ptCount val="3"/>
                <c:pt idx="0">
                  <c:v>2.1838328480311646</c:v>
                </c:pt>
                <c:pt idx="1">
                  <c:v>2.2112220200775599</c:v>
                </c:pt>
                <c:pt idx="2">
                  <c:v>2.1534738293232034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3C8-4F4F-9A85-289A2A78C237}"/>
            </c:ext>
          </c:extLst>
        </c:ser>
        <c:ser>
          <c:idx val="0"/>
          <c:order val="2"/>
          <c:tx>
            <c:strRef>
              <c:f>'ShiftShare T1'!$A$27</c:f>
              <c:strCache>
                <c:ptCount val="1"/>
                <c:pt idx="0">
                  <c:v>63 Community and civil enforcement occupations</c:v>
                </c:pt>
              </c:strCache>
            </c:strRef>
          </c:tx>
          <c:val>
            <c:numRef>
              <c:f>('ShiftShare T1'!$C$27,'ShiftShare T1'!$F$27,'ShiftShare T1'!$F$63)</c:f>
              <c:numCache>
                <c:formatCode>0.0</c:formatCode>
                <c:ptCount val="3"/>
                <c:pt idx="0">
                  <c:v>0.11887637753832647</c:v>
                </c:pt>
                <c:pt idx="1">
                  <c:v>0.13401332306076141</c:v>
                </c:pt>
                <c:pt idx="2">
                  <c:v>0.11364034607385051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F18-4F57-BBB7-C2844FF396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271024"/>
        <c:axId val="320271416"/>
      </c:lineChart>
      <c:catAx>
        <c:axId val="32027102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271416"/>
        <c:crosses val="autoZero"/>
        <c:auto val="1"/>
        <c:lblAlgn val="ctr"/>
        <c:lblOffset val="100"/>
        <c:noMultiLvlLbl val="0"/>
      </c:catAx>
      <c:valAx>
        <c:axId val="320271416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271024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3.3354350200792061E-2"/>
          <c:y val="0.84966379700769423"/>
          <c:w val="0.92471690542165774"/>
          <c:h val="0.15033620299230585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4098876564146626E-2"/>
          <c:y val="3.7432015198227891E-2"/>
          <c:w val="0.89724219155004581"/>
          <c:h val="0.82011132728884228"/>
        </c:manualLayout>
      </c:layout>
      <c:lineChart>
        <c:grouping val="standard"/>
        <c:varyColors val="0"/>
        <c:ser>
          <c:idx val="1"/>
          <c:order val="0"/>
          <c:tx>
            <c:strRef>
              <c:f>'ShiftShare T1'!$A$28</c:f>
              <c:strCache>
                <c:ptCount val="1"/>
                <c:pt idx="0">
                  <c:v>71 Sales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T1'!$C$28,'ShiftShare T1'!$F$28,'ShiftShare T1'!$F$64)</c:f>
              <c:numCache>
                <c:formatCode>0.0</c:formatCode>
                <c:ptCount val="3"/>
                <c:pt idx="0">
                  <c:v>9.7823006059409803</c:v>
                </c:pt>
                <c:pt idx="1">
                  <c:v>8.9112032158625691</c:v>
                </c:pt>
                <c:pt idx="2">
                  <c:v>7.8637016042553354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D00-4934-A6E0-AD279657781B}"/>
            </c:ext>
          </c:extLst>
        </c:ser>
        <c:ser>
          <c:idx val="0"/>
          <c:order val="1"/>
          <c:tx>
            <c:strRef>
              <c:f>'ShiftShare T1'!$A$29</c:f>
              <c:strCache>
                <c:ptCount val="1"/>
                <c:pt idx="0">
                  <c:v>72 Customer service occupations</c:v>
                </c:pt>
              </c:strCache>
            </c:strRef>
          </c:tx>
          <c:val>
            <c:numRef>
              <c:f>('ShiftShare T1'!$C$29,'ShiftShare T1'!$F$29,'ShiftShare T1'!$F$65)</c:f>
              <c:numCache>
                <c:formatCode>0.0</c:formatCode>
                <c:ptCount val="3"/>
                <c:pt idx="0">
                  <c:v>1.6896186267629658</c:v>
                </c:pt>
                <c:pt idx="1">
                  <c:v>1.8562767754385496</c:v>
                </c:pt>
                <c:pt idx="2">
                  <c:v>2.6715149248785046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D00-4934-A6E0-AD27965778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272200"/>
        <c:axId val="320272592"/>
      </c:lineChart>
      <c:catAx>
        <c:axId val="320272200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272592"/>
        <c:crosses val="autoZero"/>
        <c:auto val="1"/>
        <c:lblAlgn val="ctr"/>
        <c:lblOffset val="100"/>
        <c:noMultiLvlLbl val="0"/>
      </c:catAx>
      <c:valAx>
        <c:axId val="320272592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272200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12934200636663143"/>
          <c:y val="0.91484329410538578"/>
          <c:w val="0.71469576168901416"/>
          <c:h val="8.4585720128865061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4"/>
          <c:order val="0"/>
          <c:tx>
            <c:strRef>
              <c:f>'ShiftShare T1'!$A$30</c:f>
              <c:strCache>
                <c:ptCount val="1"/>
                <c:pt idx="0">
                  <c:v>81 Process, plant and machine operatives</c:v>
                </c:pt>
              </c:strCache>
            </c:strRef>
          </c:tx>
          <c:spPr>
            <a:ln>
              <a:solidFill>
                <a:schemeClr val="accent2"/>
              </a:solidFill>
            </a:ln>
          </c:spPr>
          <c:marker>
            <c:symbol val="square"/>
            <c:size val="7"/>
            <c:spPr>
              <a:solidFill>
                <a:schemeClr val="accent2"/>
              </a:solidFill>
              <a:ln>
                <a:noFill/>
              </a:ln>
            </c:spPr>
          </c:marker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T1'!$C$30,'ShiftShare T1'!$F$30,'ShiftShare T1'!$F$66)</c:f>
              <c:numCache>
                <c:formatCode>0.0</c:formatCode>
                <c:ptCount val="3"/>
                <c:pt idx="0">
                  <c:v>4.1855502390030006</c:v>
                </c:pt>
                <c:pt idx="1">
                  <c:v>3.4438036843251218</c:v>
                </c:pt>
                <c:pt idx="2">
                  <c:v>3.6991972443864132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043-4921-A6ED-19CFEF663EF3}"/>
            </c:ext>
          </c:extLst>
        </c:ser>
        <c:ser>
          <c:idx val="0"/>
          <c:order val="1"/>
          <c:tx>
            <c:strRef>
              <c:f>'ShiftShare T1'!$A$31</c:f>
              <c:strCache>
                <c:ptCount val="1"/>
                <c:pt idx="0">
                  <c:v>82 Transport and mobile machine drivers and operatives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T1'!$C$31,'ShiftShare T1'!$F$31,'ShiftShare T1'!$F$67)</c:f>
              <c:numCache>
                <c:formatCode>0.0</c:formatCode>
                <c:ptCount val="3"/>
                <c:pt idx="0">
                  <c:v>3.6304188842858807</c:v>
                </c:pt>
                <c:pt idx="1">
                  <c:v>3.9851499932326009</c:v>
                </c:pt>
                <c:pt idx="2">
                  <c:v>3.632886123802622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043-4921-A6ED-19CFEF663E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366712"/>
        <c:axId val="320367104"/>
      </c:lineChart>
      <c:catAx>
        <c:axId val="32036671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367104"/>
        <c:crosses val="autoZero"/>
        <c:auto val="1"/>
        <c:lblAlgn val="ctr"/>
        <c:lblOffset val="100"/>
        <c:noMultiLvlLbl val="0"/>
      </c:catAx>
      <c:valAx>
        <c:axId val="320367104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366712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12948318894961647"/>
          <c:y val="0.88079660216829048"/>
          <c:w val="0.78098456447296272"/>
          <c:h val="0.11919508435149125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0056854007996878E-2"/>
          <c:y val="3.1694845457226499E-2"/>
          <c:w val="0.89366434465146449"/>
          <c:h val="0.69172816728167286"/>
        </c:manualLayout>
      </c:layout>
      <c:lineChart>
        <c:grouping val="standard"/>
        <c:varyColors val="0"/>
        <c:ser>
          <c:idx val="2"/>
          <c:order val="0"/>
          <c:tx>
            <c:strRef>
              <c:f>'ShiftShare T1'!$A$10</c:f>
              <c:strCache>
                <c:ptCount val="1"/>
                <c:pt idx="0">
                  <c:v>21 Science, research, engineering and technology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T1'!$C$10,'ShiftShare T1'!$F$10,'ShiftShare T1'!$F$46)</c:f>
              <c:numCache>
                <c:formatCode>0.0</c:formatCode>
                <c:ptCount val="3"/>
                <c:pt idx="0">
                  <c:v>4.3752379361195031</c:v>
                </c:pt>
                <c:pt idx="1">
                  <c:v>4.9004729496733148</c:v>
                </c:pt>
                <c:pt idx="2">
                  <c:v>5.3725647525638074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A1D-49CD-BB27-98A48CC6E552}"/>
            </c:ext>
          </c:extLst>
        </c:ser>
        <c:ser>
          <c:idx val="3"/>
          <c:order val="1"/>
          <c:tx>
            <c:strRef>
              <c:f>'ShiftShare T1'!$A$11</c:f>
              <c:strCache>
                <c:ptCount val="1"/>
                <c:pt idx="0">
                  <c:v>22 Health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T1'!$C$11,'ShiftShare T1'!$F$11,'ShiftShare T1'!$F$47)</c:f>
              <c:numCache>
                <c:formatCode>0.0</c:formatCode>
                <c:ptCount val="3"/>
                <c:pt idx="0">
                  <c:v>5.6303998384942453</c:v>
                </c:pt>
                <c:pt idx="1">
                  <c:v>6.0610140111115474</c:v>
                </c:pt>
                <c:pt idx="2">
                  <c:v>6.9658025531779657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A1D-49CD-BB27-98A48CC6E552}"/>
            </c:ext>
          </c:extLst>
        </c:ser>
        <c:ser>
          <c:idx val="0"/>
          <c:order val="2"/>
          <c:tx>
            <c:strRef>
              <c:f>'ShiftShare T1'!$A$12</c:f>
              <c:strCache>
                <c:ptCount val="1"/>
                <c:pt idx="0">
                  <c:v>23 Teaching and other educational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T1'!$C$12,'ShiftShare T1'!$F$12,'ShiftShare T1'!$F$48)</c:f>
              <c:numCache>
                <c:formatCode>0.0</c:formatCode>
                <c:ptCount val="3"/>
                <c:pt idx="0">
                  <c:v>4.3031923713115798</c:v>
                </c:pt>
                <c:pt idx="1">
                  <c:v>4.6108887943495169</c:v>
                </c:pt>
                <c:pt idx="2">
                  <c:v>5.236511919010109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A1D-49CD-BB27-98A48CC6E552}"/>
            </c:ext>
          </c:extLst>
        </c:ser>
        <c:ser>
          <c:idx val="1"/>
          <c:order val="3"/>
          <c:tx>
            <c:strRef>
              <c:f>'ShiftShare T1'!$A$13</c:f>
              <c:strCache>
                <c:ptCount val="1"/>
                <c:pt idx="0">
                  <c:v>24 Business, media and public service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T1'!$C$13,'ShiftShare T1'!$F$13,'ShiftShare T1'!$F$49)</c:f>
              <c:numCache>
                <c:formatCode>0.0</c:formatCode>
                <c:ptCount val="3"/>
                <c:pt idx="0">
                  <c:v>4.0949379204077969</c:v>
                </c:pt>
                <c:pt idx="1">
                  <c:v>5.1129766705976127</c:v>
                </c:pt>
                <c:pt idx="2">
                  <c:v>6.1282692787731978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588-46B4-8BF5-03AE894803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367888"/>
        <c:axId val="320368280"/>
      </c:lineChart>
      <c:catAx>
        <c:axId val="32036788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368280"/>
        <c:crosses val="autoZero"/>
        <c:auto val="1"/>
        <c:lblAlgn val="ctr"/>
        <c:lblOffset val="100"/>
        <c:noMultiLvlLbl val="0"/>
      </c:catAx>
      <c:valAx>
        <c:axId val="320368280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367888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8.4124142788133807E-2"/>
          <c:y val="0.78352008300784759"/>
          <c:w val="0.67585879198024412"/>
          <c:h val="0.216479820742559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2847506889025924E-2"/>
          <c:y val="2.5974457843128223E-2"/>
          <c:w val="0.89314628400895379"/>
          <c:h val="0.68242781751896942"/>
        </c:manualLayout>
      </c:layout>
      <c:lineChart>
        <c:grouping val="standard"/>
        <c:varyColors val="0"/>
        <c:ser>
          <c:idx val="2"/>
          <c:order val="0"/>
          <c:tx>
            <c:strRef>
              <c:f>'ShiftShare T1'!$A$21</c:f>
              <c:strCache>
                <c:ptCount val="1"/>
                <c:pt idx="0">
                  <c:v>51 Skilled agricultural and related trades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T1'!$C$21,'ShiftShare T1'!$F$21,'ShiftShare T1'!$F$57)</c:f>
              <c:numCache>
                <c:formatCode>0.0</c:formatCode>
                <c:ptCount val="3"/>
                <c:pt idx="0">
                  <c:v>0.94834028676028403</c:v>
                </c:pt>
                <c:pt idx="1">
                  <c:v>0.81719646916777289</c:v>
                </c:pt>
                <c:pt idx="2">
                  <c:v>0.89050777540507409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E4E-489B-AA3C-D474FCE6D67C}"/>
            </c:ext>
          </c:extLst>
        </c:ser>
        <c:ser>
          <c:idx val="3"/>
          <c:order val="1"/>
          <c:tx>
            <c:strRef>
              <c:f>'ShiftShare T1'!$A$22</c:f>
              <c:strCache>
                <c:ptCount val="1"/>
                <c:pt idx="0">
                  <c:v>52 Skilled metal, electrical and electronic trades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T1'!$C$22,'ShiftShare T1'!$F$22,'ShiftShare T1'!$F$58)</c:f>
              <c:numCache>
                <c:formatCode>0.0</c:formatCode>
                <c:ptCount val="3"/>
                <c:pt idx="0">
                  <c:v>4.8491333376984551</c:v>
                </c:pt>
                <c:pt idx="1">
                  <c:v>4.1374588162793202</c:v>
                </c:pt>
                <c:pt idx="2">
                  <c:v>3.3981958853498688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3E4E-489B-AA3C-D474FCE6D67C}"/>
            </c:ext>
          </c:extLst>
        </c:ser>
        <c:ser>
          <c:idx val="0"/>
          <c:order val="2"/>
          <c:tx>
            <c:strRef>
              <c:f>'ShiftShare T1'!$A$23</c:f>
              <c:strCache>
                <c:ptCount val="1"/>
                <c:pt idx="0">
                  <c:v>53 Skilled construction and building trades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T1'!$C$23,'ShiftShare T1'!$F$23,'ShiftShare T1'!$F$59)</c:f>
              <c:numCache>
                <c:formatCode>0.0</c:formatCode>
                <c:ptCount val="3"/>
                <c:pt idx="0">
                  <c:v>3.6909741183986973</c:v>
                </c:pt>
                <c:pt idx="1">
                  <c:v>3.3591183814109873</c:v>
                </c:pt>
                <c:pt idx="2">
                  <c:v>2.885837613263325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3E4E-489B-AA3C-D474FCE6D67C}"/>
            </c:ext>
          </c:extLst>
        </c:ser>
        <c:ser>
          <c:idx val="1"/>
          <c:order val="3"/>
          <c:tx>
            <c:strRef>
              <c:f>'ShiftShare T1'!$A$24</c:f>
              <c:strCache>
                <c:ptCount val="1"/>
                <c:pt idx="0">
                  <c:v>54 Textiles, printing and other skilled trades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T1'!$C$24,'ShiftShare T1'!$F$24,'ShiftShare T1'!$F$60)</c:f>
              <c:numCache>
                <c:formatCode>0.0</c:formatCode>
                <c:ptCount val="3"/>
                <c:pt idx="0">
                  <c:v>2.1556202642677058</c:v>
                </c:pt>
                <c:pt idx="1">
                  <c:v>1.7599564186524517</c:v>
                </c:pt>
                <c:pt idx="2">
                  <c:v>1.5873124449393028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A1E-4A90-85D0-2B206F5901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369064"/>
        <c:axId val="320369456"/>
      </c:lineChart>
      <c:catAx>
        <c:axId val="32036906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369456"/>
        <c:crosses val="autoZero"/>
        <c:auto val="1"/>
        <c:lblAlgn val="ctr"/>
        <c:lblOffset val="100"/>
        <c:noMultiLvlLbl val="0"/>
      </c:catAx>
      <c:valAx>
        <c:axId val="320369456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369064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9.1071051195981773E-2"/>
          <c:y val="0.80073229115401567"/>
          <c:w val="0.53487078385524123"/>
          <c:h val="0.19926791992178819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4"/>
          <c:order val="0"/>
          <c:tx>
            <c:strRef>
              <c:f>'ShiftShare T1'!$A$32</c:f>
              <c:strCache>
                <c:ptCount val="1"/>
                <c:pt idx="0">
                  <c:v>91 Elementary trades and related occupations</c:v>
                </c:pt>
              </c:strCache>
            </c:strRef>
          </c:tx>
          <c:spPr>
            <a:ln>
              <a:solidFill>
                <a:schemeClr val="accent2"/>
              </a:solidFill>
            </a:ln>
          </c:spPr>
          <c:marker>
            <c:symbol val="square"/>
            <c:size val="7"/>
            <c:spPr>
              <a:solidFill>
                <a:schemeClr val="accent2"/>
              </a:solidFill>
              <a:ln>
                <a:noFill/>
              </a:ln>
            </c:spPr>
          </c:marker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T1'!$C$32,'ShiftShare T1'!$F$32,'ShiftShare T1'!$F$68)</c:f>
              <c:numCache>
                <c:formatCode>0.0</c:formatCode>
                <c:ptCount val="3"/>
                <c:pt idx="0">
                  <c:v>1.7781714968417504</c:v>
                </c:pt>
                <c:pt idx="1">
                  <c:v>1.3978475394105287</c:v>
                </c:pt>
                <c:pt idx="2">
                  <c:v>0.99053630212913557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043-4921-A6ED-19CFEF663EF3}"/>
            </c:ext>
          </c:extLst>
        </c:ser>
        <c:ser>
          <c:idx val="0"/>
          <c:order val="1"/>
          <c:tx>
            <c:strRef>
              <c:f>'ShiftShare T1'!$A$33</c:f>
              <c:strCache>
                <c:ptCount val="1"/>
                <c:pt idx="0">
                  <c:v>92 Elementary administration and service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T1'!$C$33,'ShiftShare T1'!$F$33,'ShiftShare T1'!$F$69)</c:f>
              <c:numCache>
                <c:formatCode>0.0</c:formatCode>
                <c:ptCount val="3"/>
                <c:pt idx="0">
                  <c:v>10.551800539224748</c:v>
                </c:pt>
                <c:pt idx="1">
                  <c:v>9.6263925447670999</c:v>
                </c:pt>
                <c:pt idx="2">
                  <c:v>9.1000573832261971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043-4921-A6ED-19CFEF663E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597792"/>
        <c:axId val="320598184"/>
      </c:lineChart>
      <c:catAx>
        <c:axId val="32059779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598184"/>
        <c:crosses val="autoZero"/>
        <c:auto val="1"/>
        <c:lblAlgn val="ctr"/>
        <c:lblOffset val="100"/>
        <c:noMultiLvlLbl val="0"/>
      </c:catAx>
      <c:valAx>
        <c:axId val="320598184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597792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12948318894961647"/>
          <c:y val="0.88079660216829048"/>
          <c:w val="0.78098456447296272"/>
          <c:h val="0.11919508435149125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5195838515216912"/>
          <c:y val="3.420523138833001E-2"/>
          <c:w val="0.71932160735152795"/>
          <c:h val="0.83702213279678073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'RD F1'!$P$5</c:f>
              <c:strCache>
                <c:ptCount val="1"/>
                <c:pt idx="0">
                  <c:v>Net Change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7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'RD F1'!$O$7:$O$15</c:f>
              <c:strCache>
                <c:ptCount val="9"/>
                <c:pt idx="0">
                  <c:v>Elementary occupations</c:v>
                </c:pt>
                <c:pt idx="1">
                  <c:v>Process, plant and machine operatives</c:v>
                </c:pt>
                <c:pt idx="2">
                  <c:v>Sales and customer service occupations</c:v>
                </c:pt>
                <c:pt idx="3">
                  <c:v>Caring, leisure and other service occupations</c:v>
                </c:pt>
                <c:pt idx="4">
                  <c:v>Skilled trades occupations</c:v>
                </c:pt>
                <c:pt idx="5">
                  <c:v>Administrative and secretarial occupations</c:v>
                </c:pt>
                <c:pt idx="6">
                  <c:v>Associate professional occupations</c:v>
                </c:pt>
                <c:pt idx="7">
                  <c:v>Professional occupations</c:v>
                </c:pt>
                <c:pt idx="8">
                  <c:v>Managers, directors and senior officials</c:v>
                </c:pt>
              </c:strCache>
            </c:strRef>
          </c:cat>
          <c:val>
            <c:numRef>
              <c:f>'RD F1'!$P$7:$P$15</c:f>
              <c:numCache>
                <c:formatCode>#,##0</c:formatCode>
                <c:ptCount val="9"/>
                <c:pt idx="0">
                  <c:v>-3.0737263147282761</c:v>
                </c:pt>
                <c:pt idx="1">
                  <c:v>0.55170309031444731</c:v>
                </c:pt>
                <c:pt idx="2">
                  <c:v>0.34696808479632324</c:v>
                </c:pt>
                <c:pt idx="3">
                  <c:v>3.2083341448382399</c:v>
                </c:pt>
                <c:pt idx="4">
                  <c:v>-5.0692250301274626</c:v>
                </c:pt>
                <c:pt idx="5">
                  <c:v>-6.6344997982928575</c:v>
                </c:pt>
                <c:pt idx="6">
                  <c:v>1.3420165578050387</c:v>
                </c:pt>
                <c:pt idx="7">
                  <c:v>17.736370174239553</c:v>
                </c:pt>
                <c:pt idx="8">
                  <c:v>5.4440590911547417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91C-463B-A3CC-2301F74E2AFA}"/>
            </c:ext>
          </c:extLst>
        </c:ser>
        <c:ser>
          <c:idx val="1"/>
          <c:order val="1"/>
          <c:tx>
            <c:strRef>
              <c:f>'RD F1'!$Q$5</c:f>
              <c:strCache>
                <c:ptCount val="1"/>
                <c:pt idx="0">
                  <c:v>Total Requirement</c:v>
                </c:pt>
              </c:strCache>
            </c:strRef>
          </c:tx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7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'RD F1'!$O$7:$O$15</c:f>
              <c:strCache>
                <c:ptCount val="9"/>
                <c:pt idx="0">
                  <c:v>Elementary occupations</c:v>
                </c:pt>
                <c:pt idx="1">
                  <c:v>Process, plant and machine operatives</c:v>
                </c:pt>
                <c:pt idx="2">
                  <c:v>Sales and customer service occupations</c:v>
                </c:pt>
                <c:pt idx="3">
                  <c:v>Caring, leisure and other service occupations</c:v>
                </c:pt>
                <c:pt idx="4">
                  <c:v>Skilled trades occupations</c:v>
                </c:pt>
                <c:pt idx="5">
                  <c:v>Administrative and secretarial occupations</c:v>
                </c:pt>
                <c:pt idx="6">
                  <c:v>Associate professional occupations</c:v>
                </c:pt>
                <c:pt idx="7">
                  <c:v>Professional occupations</c:v>
                </c:pt>
                <c:pt idx="8">
                  <c:v>Managers, directors and senior officials</c:v>
                </c:pt>
              </c:strCache>
            </c:strRef>
          </c:cat>
          <c:val>
            <c:numRef>
              <c:f>'RD F1'!$Q$7:$Q$15</c:f>
              <c:numCache>
                <c:formatCode>#,##0</c:formatCode>
                <c:ptCount val="9"/>
                <c:pt idx="0">
                  <c:v>20.794262039103881</c:v>
                </c:pt>
                <c:pt idx="1">
                  <c:v>17.223478991628241</c:v>
                </c:pt>
                <c:pt idx="2">
                  <c:v>25.925967754083942</c:v>
                </c:pt>
                <c:pt idx="3">
                  <c:v>28.033057958563429</c:v>
                </c:pt>
                <c:pt idx="4">
                  <c:v>13.991225143257353</c:v>
                </c:pt>
                <c:pt idx="5">
                  <c:v>18.056075644107576</c:v>
                </c:pt>
                <c:pt idx="6">
                  <c:v>26.862997113844322</c:v>
                </c:pt>
                <c:pt idx="7">
                  <c:v>70.138072867236218</c:v>
                </c:pt>
                <c:pt idx="8">
                  <c:v>28.20267651807935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91C-463B-A3CC-2301F74E2AFA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60"/>
        <c:axId val="313683184"/>
        <c:axId val="313683576"/>
      </c:barChart>
      <c:catAx>
        <c:axId val="313683184"/>
        <c:scaling>
          <c:orientation val="minMax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12700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357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683576"/>
        <c:scaling>
          <c:orientation val="minMax"/>
        </c:scaling>
        <c:delete val="0"/>
        <c:axPos val="b"/>
        <c:numFmt formatCode="#,##0" sourceLinked="1"/>
        <c:majorTickMark val="out"/>
        <c:minorTickMark val="none"/>
        <c:tickLblPos val="low"/>
        <c:spPr>
          <a:ln w="12700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3184"/>
        <c:crosses val="autoZero"/>
        <c:crossBetween val="between"/>
      </c:valAx>
      <c:spPr>
        <a:solidFill>
          <a:srgbClr val="FFFFFF"/>
        </a:solidFill>
        <a:ln w="25400">
          <a:noFill/>
        </a:ln>
      </c:spPr>
    </c:plotArea>
    <c:legend>
      <c:legendPos val="b"/>
      <c:layout>
        <c:manualLayout>
          <c:xMode val="edge"/>
          <c:yMode val="edge"/>
          <c:x val="0.3387492920127439"/>
          <c:y val="0.94214950973126332"/>
          <c:w val="0.55287045856034256"/>
          <c:h val="4.0241448692150461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0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12700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  <c:userShapes r:id="rId1"/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5195838515216912"/>
          <c:y val="3.420523138833001E-2"/>
          <c:w val="0.71932160735152795"/>
          <c:h val="0.88160123311870753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'RD F1'!$P$5</c:f>
              <c:strCache>
                <c:ptCount val="1"/>
                <c:pt idx="0">
                  <c:v>Net Change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7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'RD F1'!$O$37:$O$62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'RD F1'!$P$37:$P$62</c:f>
              <c:numCache>
                <c:formatCode>#,##0</c:formatCode>
                <c:ptCount val="26"/>
                <c:pt idx="0">
                  <c:v>-0.1789845582760563</c:v>
                </c:pt>
                <c:pt idx="1">
                  <c:v>5.6230436494307945</c:v>
                </c:pt>
                <c:pt idx="2">
                  <c:v>3.0051780574364457</c:v>
                </c:pt>
                <c:pt idx="3">
                  <c:v>5.2981705426432093</c:v>
                </c:pt>
                <c:pt idx="4">
                  <c:v>3.7216334370332511</c:v>
                </c:pt>
                <c:pt idx="5">
                  <c:v>5.7113881371266508</c:v>
                </c:pt>
                <c:pt idx="6">
                  <c:v>-1.3429596124176317</c:v>
                </c:pt>
                <c:pt idx="7">
                  <c:v>0.76395423180199451</c:v>
                </c:pt>
                <c:pt idx="8">
                  <c:v>1.9842019589937738</c:v>
                </c:pt>
                <c:pt idx="9">
                  <c:v>0.26354035848689428</c:v>
                </c:pt>
                <c:pt idx="10">
                  <c:v>-0.32672037905998863</c:v>
                </c:pt>
                <c:pt idx="11">
                  <c:v>-6.1568661400787192</c:v>
                </c:pt>
                <c:pt idx="12">
                  <c:v>-0.47763365821413561</c:v>
                </c:pt>
                <c:pt idx="13">
                  <c:v>0.47446004355916571</c:v>
                </c:pt>
                <c:pt idx="14">
                  <c:v>-3.069804290544532</c:v>
                </c:pt>
                <c:pt idx="15">
                  <c:v>-1.8669184254696489</c:v>
                </c:pt>
                <c:pt idx="16">
                  <c:v>-0.60696235767244744</c:v>
                </c:pt>
                <c:pt idx="17">
                  <c:v>3.2684360730787816</c:v>
                </c:pt>
                <c:pt idx="18">
                  <c:v>2.1728094785634866E-2</c:v>
                </c:pt>
                <c:pt idx="19">
                  <c:v>-8.1830023026183474E-2</c:v>
                </c:pt>
                <c:pt idx="20">
                  <c:v>-3.9274776221846395</c:v>
                </c:pt>
                <c:pt idx="21">
                  <c:v>4.2744457069809609</c:v>
                </c:pt>
                <c:pt idx="22">
                  <c:v>1.7355589637515365</c:v>
                </c:pt>
                <c:pt idx="23">
                  <c:v>-1.1838558734370928</c:v>
                </c:pt>
                <c:pt idx="24">
                  <c:v>-1.8135103276913602</c:v>
                </c:pt>
                <c:pt idx="25">
                  <c:v>-1.260215987036915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FC9-4190-A82C-A7B3F7C4586D}"/>
            </c:ext>
          </c:extLst>
        </c:ser>
        <c:ser>
          <c:idx val="1"/>
          <c:order val="1"/>
          <c:tx>
            <c:strRef>
              <c:f>'RD F1'!$Q$5</c:f>
              <c:strCache>
                <c:ptCount val="1"/>
                <c:pt idx="0">
                  <c:v>Total Requirement</c:v>
                </c:pt>
              </c:strCache>
            </c:strRef>
          </c:tx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7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'RD F1'!$O$37:$O$62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'RD F1'!$Q$37:$Q$62</c:f>
              <c:numCache>
                <c:formatCode>#,##0</c:formatCode>
                <c:ptCount val="26"/>
                <c:pt idx="0">
                  <c:v>12.157534740346327</c:v>
                </c:pt>
                <c:pt idx="1">
                  <c:v>16.045141777733022</c:v>
                </c:pt>
                <c:pt idx="2">
                  <c:v>12.08536579381752</c:v>
                </c:pt>
                <c:pt idx="3">
                  <c:v>22.8986183683981</c:v>
                </c:pt>
                <c:pt idx="4">
                  <c:v>15.934375631546482</c:v>
                </c:pt>
                <c:pt idx="5">
                  <c:v>19.219713073474111</c:v>
                </c:pt>
                <c:pt idx="6">
                  <c:v>2.3182055577610949</c:v>
                </c:pt>
                <c:pt idx="7">
                  <c:v>7.0004426816589858</c:v>
                </c:pt>
                <c:pt idx="8">
                  <c:v>4.9294083479954196</c:v>
                </c:pt>
                <c:pt idx="9">
                  <c:v>3.0095176242247765</c:v>
                </c:pt>
                <c:pt idx="10">
                  <c:v>9.6054229022040474</c:v>
                </c:pt>
                <c:pt idx="11">
                  <c:v>13.895887349768099</c:v>
                </c:pt>
                <c:pt idx="12">
                  <c:v>4.1601882943394806</c:v>
                </c:pt>
                <c:pt idx="13">
                  <c:v>2.7577148400056077</c:v>
                </c:pt>
                <c:pt idx="14">
                  <c:v>3.6924514225083653</c:v>
                </c:pt>
                <c:pt idx="15">
                  <c:v>4.5083739418535069</c:v>
                </c:pt>
                <c:pt idx="16">
                  <c:v>3.0326849388898722</c:v>
                </c:pt>
                <c:pt idx="17">
                  <c:v>22.460438729159868</c:v>
                </c:pt>
                <c:pt idx="18">
                  <c:v>5.3845520225403094</c:v>
                </c:pt>
                <c:pt idx="19">
                  <c:v>0.18806720686324424</c:v>
                </c:pt>
                <c:pt idx="20">
                  <c:v>16.224508378415926</c:v>
                </c:pt>
                <c:pt idx="21">
                  <c:v>9.7014593756680121</c:v>
                </c:pt>
                <c:pt idx="22">
                  <c:v>8.7728679866793993</c:v>
                </c:pt>
                <c:pt idx="23">
                  <c:v>8.4506110049488381</c:v>
                </c:pt>
                <c:pt idx="24">
                  <c:v>0.20747831280513163</c:v>
                </c:pt>
                <c:pt idx="25">
                  <c:v>20.586783726298751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FC9-4190-A82C-A7B3F7C4586D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60"/>
        <c:axId val="313683184"/>
        <c:axId val="313683576"/>
      </c:barChart>
      <c:catAx>
        <c:axId val="313683184"/>
        <c:scaling>
          <c:orientation val="maxMin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12700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357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683576"/>
        <c:scaling>
          <c:orientation val="minMax"/>
        </c:scaling>
        <c:delete val="0"/>
        <c:axPos val="b"/>
        <c:numFmt formatCode="#,##0" sourceLinked="1"/>
        <c:majorTickMark val="out"/>
        <c:minorTickMark val="none"/>
        <c:tickLblPos val="nextTo"/>
        <c:spPr>
          <a:ln w="12700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3184"/>
        <c:crosses val="max"/>
        <c:crossBetween val="between"/>
      </c:valAx>
      <c:spPr>
        <a:solidFill>
          <a:srgbClr val="FFFFFF"/>
        </a:solidFill>
        <a:ln w="25400">
          <a:noFill/>
        </a:ln>
      </c:spPr>
    </c:plotArea>
    <c:legend>
      <c:legendPos val="b"/>
      <c:layout>
        <c:manualLayout>
          <c:xMode val="edge"/>
          <c:yMode val="edge"/>
          <c:x val="0.21775285466260869"/>
          <c:y val="0.9476861167002012"/>
          <c:w val="0.55287045856034256"/>
          <c:h val="4.0241448692150461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0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12700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  <c:userShapes r:id="rId1"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hyperlink" Target="#Contents!A1"/><Relationship Id="rId1" Type="http://schemas.openxmlformats.org/officeDocument/2006/relationships/chart" Target="../charts/chart1.xml"/></Relationships>
</file>

<file path=xl/drawings/_rels/drawing9.xml.rels><?xml version="1.0" encoding="UTF-8" standalone="yes"?>
<Relationships xmlns="http://schemas.openxmlformats.org/package/2006/relationships"><Relationship Id="rId8" Type="http://schemas.openxmlformats.org/officeDocument/2006/relationships/chart" Target="../charts/chart9.xml"/><Relationship Id="rId3" Type="http://schemas.openxmlformats.org/officeDocument/2006/relationships/chart" Target="../charts/chart4.xml"/><Relationship Id="rId7" Type="http://schemas.openxmlformats.org/officeDocument/2006/relationships/chart" Target="../charts/chart8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Relationship Id="rId6" Type="http://schemas.openxmlformats.org/officeDocument/2006/relationships/chart" Target="../charts/chart7.xml"/><Relationship Id="rId11" Type="http://schemas.openxmlformats.org/officeDocument/2006/relationships/image" Target="../media/image3.png"/><Relationship Id="rId5" Type="http://schemas.openxmlformats.org/officeDocument/2006/relationships/chart" Target="../charts/chart6.xml"/><Relationship Id="rId10" Type="http://schemas.openxmlformats.org/officeDocument/2006/relationships/hyperlink" Target="#Contents!A1"/><Relationship Id="rId4" Type="http://schemas.openxmlformats.org/officeDocument/2006/relationships/chart" Target="../charts/chart5.xml"/><Relationship Id="rId9" Type="http://schemas.openxmlformats.org/officeDocument/2006/relationships/chart" Target="../charts/chart10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4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5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6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7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hyperlink" Target="#Contents!A1"/><Relationship Id="rId1" Type="http://schemas.openxmlformats.org/officeDocument/2006/relationships/chart" Target="../charts/chart11.xml"/><Relationship Id="rId5" Type="http://schemas.openxmlformats.org/officeDocument/2006/relationships/chart" Target="../charts/chart13.xml"/><Relationship Id="rId4" Type="http://schemas.openxmlformats.org/officeDocument/2006/relationships/chart" Target="../charts/chart12.xml"/></Relationships>
</file>

<file path=xl/drawings/_rels/drawing18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1.xml"/><Relationship Id="rId13" Type="http://schemas.openxmlformats.org/officeDocument/2006/relationships/chart" Target="../charts/chart26.xml"/><Relationship Id="rId3" Type="http://schemas.openxmlformats.org/officeDocument/2006/relationships/chart" Target="../charts/chart16.xml"/><Relationship Id="rId7" Type="http://schemas.openxmlformats.org/officeDocument/2006/relationships/chart" Target="../charts/chart20.xml"/><Relationship Id="rId12" Type="http://schemas.openxmlformats.org/officeDocument/2006/relationships/chart" Target="../charts/chart25.xml"/><Relationship Id="rId2" Type="http://schemas.openxmlformats.org/officeDocument/2006/relationships/chart" Target="../charts/chart15.xml"/><Relationship Id="rId16" Type="http://schemas.openxmlformats.org/officeDocument/2006/relationships/chart" Target="../charts/chart27.xml"/><Relationship Id="rId1" Type="http://schemas.openxmlformats.org/officeDocument/2006/relationships/chart" Target="../charts/chart14.xml"/><Relationship Id="rId6" Type="http://schemas.openxmlformats.org/officeDocument/2006/relationships/chart" Target="../charts/chart19.xml"/><Relationship Id="rId11" Type="http://schemas.openxmlformats.org/officeDocument/2006/relationships/chart" Target="../charts/chart24.xml"/><Relationship Id="rId5" Type="http://schemas.openxmlformats.org/officeDocument/2006/relationships/chart" Target="../charts/chart18.xml"/><Relationship Id="rId15" Type="http://schemas.openxmlformats.org/officeDocument/2006/relationships/image" Target="../media/image3.png"/><Relationship Id="rId10" Type="http://schemas.openxmlformats.org/officeDocument/2006/relationships/chart" Target="../charts/chart23.xml"/><Relationship Id="rId4" Type="http://schemas.openxmlformats.org/officeDocument/2006/relationships/chart" Target="../charts/chart17.xml"/><Relationship Id="rId9" Type="http://schemas.openxmlformats.org/officeDocument/2006/relationships/chart" Target="../charts/chart22.xml"/><Relationship Id="rId14" Type="http://schemas.openxmlformats.org/officeDocument/2006/relationships/hyperlink" Target="#Contents!A1"/></Relationships>
</file>

<file path=xl/drawings/_rels/drawing1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0.xml"/><Relationship Id="rId2" Type="http://schemas.openxmlformats.org/officeDocument/2006/relationships/chart" Target="../charts/chart29.xml"/><Relationship Id="rId1" Type="http://schemas.openxmlformats.org/officeDocument/2006/relationships/chart" Target="../charts/chart28.xml"/><Relationship Id="rId6" Type="http://schemas.openxmlformats.org/officeDocument/2006/relationships/image" Target="../media/image3.png"/><Relationship Id="rId5" Type="http://schemas.openxmlformats.org/officeDocument/2006/relationships/hyperlink" Target="#Contents!A1"/><Relationship Id="rId4" Type="http://schemas.openxmlformats.org/officeDocument/2006/relationships/chart" Target="../charts/chart31.xml"/></Relationships>
</file>

<file path=xl/drawings/_rels/drawing20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hyperlink" Target="#Contents!A1"/><Relationship Id="rId1" Type="http://schemas.openxmlformats.org/officeDocument/2006/relationships/chart" Target="../charts/chart32.xml"/></Relationships>
</file>

<file path=xl/drawings/_rels/drawing2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hyperlink" Target="#Contents!A1"/><Relationship Id="rId1" Type="http://schemas.openxmlformats.org/officeDocument/2006/relationships/chart" Target="../charts/chart33.xml"/><Relationship Id="rId5" Type="http://schemas.openxmlformats.org/officeDocument/2006/relationships/chart" Target="../charts/chart35.xml"/><Relationship Id="rId4" Type="http://schemas.openxmlformats.org/officeDocument/2006/relationships/chart" Target="../charts/chart34.xml"/></Relationships>
</file>

<file path=xl/drawings/_rels/drawing2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23.xml.rels><?xml version="1.0" encoding="UTF-8" standalone="yes"?>
<Relationships xmlns="http://schemas.openxmlformats.org/package/2006/relationships"><Relationship Id="rId3" Type="http://schemas.openxmlformats.org/officeDocument/2006/relationships/hyperlink" Target="#Contents!A1"/><Relationship Id="rId2" Type="http://schemas.openxmlformats.org/officeDocument/2006/relationships/chart" Target="../charts/chart37.xml"/><Relationship Id="rId1" Type="http://schemas.openxmlformats.org/officeDocument/2006/relationships/chart" Target="../charts/chart36.xml"/><Relationship Id="rId4" Type="http://schemas.openxmlformats.org/officeDocument/2006/relationships/image" Target="../media/image3.png"/></Relationships>
</file>

<file path=xl/drawings/_rels/drawing2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45.xml"/><Relationship Id="rId13" Type="http://schemas.openxmlformats.org/officeDocument/2006/relationships/chart" Target="../charts/chart48.xml"/><Relationship Id="rId3" Type="http://schemas.openxmlformats.org/officeDocument/2006/relationships/chart" Target="../charts/chart40.xml"/><Relationship Id="rId7" Type="http://schemas.openxmlformats.org/officeDocument/2006/relationships/chart" Target="../charts/chart44.xml"/><Relationship Id="rId12" Type="http://schemas.openxmlformats.org/officeDocument/2006/relationships/chart" Target="../charts/chart47.xml"/><Relationship Id="rId2" Type="http://schemas.openxmlformats.org/officeDocument/2006/relationships/chart" Target="../charts/chart39.xml"/><Relationship Id="rId1" Type="http://schemas.openxmlformats.org/officeDocument/2006/relationships/chart" Target="../charts/chart38.xml"/><Relationship Id="rId6" Type="http://schemas.openxmlformats.org/officeDocument/2006/relationships/chart" Target="../charts/chart43.xml"/><Relationship Id="rId11" Type="http://schemas.openxmlformats.org/officeDocument/2006/relationships/chart" Target="../charts/chart46.xml"/><Relationship Id="rId5" Type="http://schemas.openxmlformats.org/officeDocument/2006/relationships/chart" Target="../charts/chart42.xml"/><Relationship Id="rId10" Type="http://schemas.openxmlformats.org/officeDocument/2006/relationships/image" Target="../media/image3.png"/><Relationship Id="rId4" Type="http://schemas.openxmlformats.org/officeDocument/2006/relationships/chart" Target="../charts/chart41.xml"/><Relationship Id="rId9" Type="http://schemas.openxmlformats.org/officeDocument/2006/relationships/hyperlink" Target="#Contents!A1"/></Relationships>
</file>

<file path=xl/drawings/_rels/drawing25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26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hyperlink" Target="#Contents!A1"/><Relationship Id="rId1" Type="http://schemas.openxmlformats.org/officeDocument/2006/relationships/chart" Target="../charts/chart49.xml"/><Relationship Id="rId4" Type="http://schemas.openxmlformats.org/officeDocument/2006/relationships/chart" Target="../charts/chart50.xml"/></Relationships>
</file>

<file path=xl/drawings/_rels/drawing29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30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31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38100</xdr:colOff>
          <xdr:row>10</xdr:row>
          <xdr:rowOff>95250</xdr:rowOff>
        </xdr:from>
        <xdr:to>
          <xdr:col>7</xdr:col>
          <xdr:colOff>609600</xdr:colOff>
          <xdr:row>12</xdr:row>
          <xdr:rowOff>76200</xdr:rowOff>
        </xdr:to>
        <xdr:sp macro="" textlink="">
          <xdr:nvSpPr>
            <xdr:cNvPr id="1025" name="SummaryTablesA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3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85725</xdr:colOff>
          <xdr:row>6</xdr:row>
          <xdr:rowOff>85725</xdr:rowOff>
        </xdr:from>
        <xdr:to>
          <xdr:col>1</xdr:col>
          <xdr:colOff>657225</xdr:colOff>
          <xdr:row>7</xdr:row>
          <xdr:rowOff>190500</xdr:rowOff>
        </xdr:to>
        <xdr:sp macro="" textlink="">
          <xdr:nvSpPr>
            <xdr:cNvPr id="1029" name="installDataButton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3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2609850</xdr:colOff>
      <xdr:row>1</xdr:row>
      <xdr:rowOff>9525</xdr:rowOff>
    </xdr:from>
    <xdr:to>
      <xdr:col>1</xdr:col>
      <xdr:colOff>2771775</xdr:colOff>
      <xdr:row>2</xdr:row>
      <xdr:rowOff>9525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52825" y="200025"/>
          <a:ext cx="161925" cy="161925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20</xdr:col>
      <xdr:colOff>246531</xdr:colOff>
      <xdr:row>0</xdr:row>
      <xdr:rowOff>33618</xdr:rowOff>
    </xdr:from>
    <xdr:to>
      <xdr:col>21</xdr:col>
      <xdr:colOff>9302</xdr:colOff>
      <xdr:row>2</xdr:row>
      <xdr:rowOff>35859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696766" y="33618"/>
          <a:ext cx="369794" cy="369794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179296</xdr:colOff>
      <xdr:row>0</xdr:row>
      <xdr:rowOff>22412</xdr:rowOff>
    </xdr:from>
    <xdr:to>
      <xdr:col>9</xdr:col>
      <xdr:colOff>552900</xdr:colOff>
      <xdr:row>2</xdr:row>
      <xdr:rowOff>33618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597590" y="22412"/>
          <a:ext cx="369794" cy="369794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235323</xdr:colOff>
      <xdr:row>0</xdr:row>
      <xdr:rowOff>0</xdr:rowOff>
    </xdr:from>
    <xdr:to>
      <xdr:col>12</xdr:col>
      <xdr:colOff>605154</xdr:colOff>
      <xdr:row>2</xdr:row>
      <xdr:rowOff>9301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242176" y="0"/>
          <a:ext cx="369794" cy="369794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112060</xdr:colOff>
      <xdr:row>0</xdr:row>
      <xdr:rowOff>33618</xdr:rowOff>
    </xdr:from>
    <xdr:to>
      <xdr:col>14</xdr:col>
      <xdr:colOff>483796</xdr:colOff>
      <xdr:row>2</xdr:row>
      <xdr:rowOff>42919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12089" y="33618"/>
          <a:ext cx="367926" cy="369794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25</xdr:col>
      <xdr:colOff>89647</xdr:colOff>
      <xdr:row>0</xdr:row>
      <xdr:rowOff>56029</xdr:rowOff>
    </xdr:from>
    <xdr:to>
      <xdr:col>25</xdr:col>
      <xdr:colOff>457573</xdr:colOff>
      <xdr:row>2</xdr:row>
      <xdr:rowOff>69140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752294" y="56029"/>
          <a:ext cx="367926" cy="369794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</xdr:row>
      <xdr:rowOff>149860</xdr:rowOff>
    </xdr:from>
    <xdr:to>
      <xdr:col>9</xdr:col>
      <xdr:colOff>990600</xdr:colOff>
      <xdr:row>62</xdr:row>
      <xdr:rowOff>25400</xdr:rowOff>
    </xdr:to>
    <xdr:graphicFrame macro="">
      <xdr:nvGraphicFramePr>
        <xdr:cNvPr id="2051" name="Chart 3">
          <a:extLst>
            <a:ext uri="{FF2B5EF4-FFF2-40B4-BE49-F238E27FC236}">
              <a16:creationId xmlns:a16="http://schemas.microsoft.com/office/drawing/2014/main" id="{00000000-0008-0000-0A00-00000308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13</xdr:col>
      <xdr:colOff>266700</xdr:colOff>
      <xdr:row>0</xdr:row>
      <xdr:rowOff>0</xdr:rowOff>
    </xdr:from>
    <xdr:to>
      <xdr:col>13</xdr:col>
      <xdr:colOff>638399</xdr:colOff>
      <xdr:row>2</xdr:row>
      <xdr:rowOff>1494</xdr:rowOff>
    </xdr:to>
    <xdr:pic>
      <xdr:nvPicPr>
        <xdr:cNvPr id="3" name="Picture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60000" y="0"/>
          <a:ext cx="369794" cy="369794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47</xdr:row>
      <xdr:rowOff>28575</xdr:rowOff>
    </xdr:from>
    <xdr:to>
      <xdr:col>9</xdr:col>
      <xdr:colOff>38100</xdr:colOff>
      <xdr:row>75</xdr:row>
      <xdr:rowOff>38100</xdr:rowOff>
    </xdr:to>
    <xdr:graphicFrame macro="">
      <xdr:nvGraphicFramePr>
        <xdr:cNvPr id="3082" name="Sector 1">
          <a:extLst>
            <a:ext uri="{FF2B5EF4-FFF2-40B4-BE49-F238E27FC236}">
              <a16:creationId xmlns:a16="http://schemas.microsoft.com/office/drawing/2014/main" id="{00000000-0008-0000-0B00-00000A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9525</xdr:colOff>
      <xdr:row>77</xdr:row>
      <xdr:rowOff>28575</xdr:rowOff>
    </xdr:from>
    <xdr:to>
      <xdr:col>9</xdr:col>
      <xdr:colOff>38100</xdr:colOff>
      <xdr:row>105</xdr:row>
      <xdr:rowOff>47625</xdr:rowOff>
    </xdr:to>
    <xdr:graphicFrame macro="">
      <xdr:nvGraphicFramePr>
        <xdr:cNvPr id="3083" name="Sector 2">
          <a:extLst>
            <a:ext uri="{FF2B5EF4-FFF2-40B4-BE49-F238E27FC236}">
              <a16:creationId xmlns:a16="http://schemas.microsoft.com/office/drawing/2014/main" id="{00000000-0008-0000-0B00-00000B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28575</xdr:colOff>
      <xdr:row>107</xdr:row>
      <xdr:rowOff>9525</xdr:rowOff>
    </xdr:from>
    <xdr:to>
      <xdr:col>9</xdr:col>
      <xdr:colOff>57150</xdr:colOff>
      <xdr:row>135</xdr:row>
      <xdr:rowOff>28575</xdr:rowOff>
    </xdr:to>
    <xdr:graphicFrame macro="">
      <xdr:nvGraphicFramePr>
        <xdr:cNvPr id="3084" name="Sector 3">
          <a:extLst>
            <a:ext uri="{FF2B5EF4-FFF2-40B4-BE49-F238E27FC236}">
              <a16:creationId xmlns:a16="http://schemas.microsoft.com/office/drawing/2014/main" id="{00000000-0008-0000-0B00-00000C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28575</xdr:colOff>
      <xdr:row>137</xdr:row>
      <xdr:rowOff>28575</xdr:rowOff>
    </xdr:from>
    <xdr:to>
      <xdr:col>9</xdr:col>
      <xdr:colOff>28575</xdr:colOff>
      <xdr:row>165</xdr:row>
      <xdr:rowOff>47625</xdr:rowOff>
    </xdr:to>
    <xdr:graphicFrame macro="">
      <xdr:nvGraphicFramePr>
        <xdr:cNvPr id="3085" name="Sector 4">
          <a:extLst>
            <a:ext uri="{FF2B5EF4-FFF2-40B4-BE49-F238E27FC236}">
              <a16:creationId xmlns:a16="http://schemas.microsoft.com/office/drawing/2014/main" id="{00000000-0008-0000-0B00-00000D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167</xdr:row>
      <xdr:rowOff>9525</xdr:rowOff>
    </xdr:from>
    <xdr:to>
      <xdr:col>9</xdr:col>
      <xdr:colOff>28575</xdr:colOff>
      <xdr:row>195</xdr:row>
      <xdr:rowOff>19050</xdr:rowOff>
    </xdr:to>
    <xdr:graphicFrame macro="">
      <xdr:nvGraphicFramePr>
        <xdr:cNvPr id="3086" name="Sector 5">
          <a:extLst>
            <a:ext uri="{FF2B5EF4-FFF2-40B4-BE49-F238E27FC236}">
              <a16:creationId xmlns:a16="http://schemas.microsoft.com/office/drawing/2014/main" id="{00000000-0008-0000-0B00-00000E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0</xdr:colOff>
      <xdr:row>197</xdr:row>
      <xdr:rowOff>0</xdr:rowOff>
    </xdr:from>
    <xdr:to>
      <xdr:col>9</xdr:col>
      <xdr:colOff>28575</xdr:colOff>
      <xdr:row>225</xdr:row>
      <xdr:rowOff>28575</xdr:rowOff>
    </xdr:to>
    <xdr:graphicFrame macro="">
      <xdr:nvGraphicFramePr>
        <xdr:cNvPr id="3087" name="Sector 6">
          <a:extLst>
            <a:ext uri="{FF2B5EF4-FFF2-40B4-BE49-F238E27FC236}">
              <a16:creationId xmlns:a16="http://schemas.microsoft.com/office/drawing/2014/main" id="{00000000-0008-0000-0B00-00000F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0</xdr:colOff>
      <xdr:row>2</xdr:row>
      <xdr:rowOff>17780</xdr:rowOff>
    </xdr:from>
    <xdr:to>
      <xdr:col>9</xdr:col>
      <xdr:colOff>30480</xdr:colOff>
      <xdr:row>45</xdr:row>
      <xdr:rowOff>17780</xdr:rowOff>
    </xdr:to>
    <xdr:graphicFrame macro="">
      <xdr:nvGraphicFramePr>
        <xdr:cNvPr id="3088" name="Sector 7">
          <a:extLst>
            <a:ext uri="{FF2B5EF4-FFF2-40B4-BE49-F238E27FC236}">
              <a16:creationId xmlns:a16="http://schemas.microsoft.com/office/drawing/2014/main" id="{00000000-0008-0000-0B00-000010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0</xdr:col>
      <xdr:colOff>38100</xdr:colOff>
      <xdr:row>226</xdr:row>
      <xdr:rowOff>177800</xdr:rowOff>
    </xdr:from>
    <xdr:to>
      <xdr:col>9</xdr:col>
      <xdr:colOff>28575</xdr:colOff>
      <xdr:row>255</xdr:row>
      <xdr:rowOff>22225</xdr:rowOff>
    </xdr:to>
    <xdr:graphicFrame macro="">
      <xdr:nvGraphicFramePr>
        <xdr:cNvPr id="3089" name="Chart 17">
          <a:extLst>
            <a:ext uri="{FF2B5EF4-FFF2-40B4-BE49-F238E27FC236}">
              <a16:creationId xmlns:a16="http://schemas.microsoft.com/office/drawing/2014/main" id="{00000000-0008-0000-0B00-000011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0</xdr:col>
      <xdr:colOff>0</xdr:colOff>
      <xdr:row>257</xdr:row>
      <xdr:rowOff>0</xdr:rowOff>
    </xdr:from>
    <xdr:to>
      <xdr:col>8</xdr:col>
      <xdr:colOff>600075</xdr:colOff>
      <xdr:row>285</xdr:row>
      <xdr:rowOff>28575</xdr:rowOff>
    </xdr:to>
    <xdr:graphicFrame macro="">
      <xdr:nvGraphicFramePr>
        <xdr:cNvPr id="3090" name="Chart 18">
          <a:extLst>
            <a:ext uri="{FF2B5EF4-FFF2-40B4-BE49-F238E27FC236}">
              <a16:creationId xmlns:a16="http://schemas.microsoft.com/office/drawing/2014/main" id="{00000000-0008-0000-0B00-000012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 editAs="oneCell">
    <xdr:from>
      <xdr:col>10</xdr:col>
      <xdr:colOff>1231900</xdr:colOff>
      <xdr:row>0</xdr:row>
      <xdr:rowOff>38100</xdr:rowOff>
    </xdr:from>
    <xdr:to>
      <xdr:col>10</xdr:col>
      <xdr:colOff>1601694</xdr:colOff>
      <xdr:row>2</xdr:row>
      <xdr:rowOff>39594</xdr:rowOff>
    </xdr:to>
    <xdr:pic>
      <xdr:nvPicPr>
        <xdr:cNvPr id="11" name="Picture 10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0B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848600" y="38100"/>
          <a:ext cx="369794" cy="369794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235323</xdr:colOff>
      <xdr:row>0</xdr:row>
      <xdr:rowOff>0</xdr:rowOff>
    </xdr:from>
    <xdr:to>
      <xdr:col>17</xdr:col>
      <xdr:colOff>36</xdr:colOff>
      <xdr:row>2</xdr:row>
      <xdr:rowOff>9301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054352" y="0"/>
          <a:ext cx="367926" cy="369794"/>
        </a:xfrm>
        <a:prstGeom prst="rect">
          <a:avLst/>
        </a:prstGeom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235324</xdr:colOff>
      <xdr:row>0</xdr:row>
      <xdr:rowOff>0</xdr:rowOff>
    </xdr:from>
    <xdr:to>
      <xdr:col>20</xdr:col>
      <xdr:colOff>37</xdr:colOff>
      <xdr:row>2</xdr:row>
      <xdr:rowOff>9301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97353" y="0"/>
          <a:ext cx="367926" cy="369794"/>
        </a:xfrm>
        <a:prstGeom prst="rect">
          <a:avLst/>
        </a:prstGeom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35</xdr:col>
      <xdr:colOff>224118</xdr:colOff>
      <xdr:row>0</xdr:row>
      <xdr:rowOff>0</xdr:rowOff>
    </xdr:from>
    <xdr:to>
      <xdr:col>35</xdr:col>
      <xdr:colOff>593912</xdr:colOff>
      <xdr:row>2</xdr:row>
      <xdr:rowOff>11206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230794" y="0"/>
          <a:ext cx="369794" cy="369794"/>
        </a:xfrm>
        <a:prstGeom prst="rect">
          <a:avLst/>
        </a:prstGeom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33</xdr:col>
      <xdr:colOff>224117</xdr:colOff>
      <xdr:row>0</xdr:row>
      <xdr:rowOff>0</xdr:rowOff>
    </xdr:from>
    <xdr:to>
      <xdr:col>33</xdr:col>
      <xdr:colOff>597721</xdr:colOff>
      <xdr:row>2</xdr:row>
      <xdr:rowOff>9301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396205" y="0"/>
          <a:ext cx="369794" cy="369794"/>
        </a:xfrm>
        <a:prstGeom prst="rect">
          <a:avLst/>
        </a:prstGeom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235323</xdr:colOff>
      <xdr:row>0</xdr:row>
      <xdr:rowOff>0</xdr:rowOff>
    </xdr:from>
    <xdr:to>
      <xdr:col>13</xdr:col>
      <xdr:colOff>1867</xdr:colOff>
      <xdr:row>2</xdr:row>
      <xdr:rowOff>9301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113558" y="0"/>
          <a:ext cx="369794" cy="369794"/>
        </a:xfrm>
        <a:prstGeom prst="rect">
          <a:avLst/>
        </a:prstGeom>
      </xdr:spPr>
    </xdr:pic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oneCell">
    <xdr:from>
      <xdr:col>21</xdr:col>
      <xdr:colOff>89647</xdr:colOff>
      <xdr:row>0</xdr:row>
      <xdr:rowOff>56029</xdr:rowOff>
    </xdr:from>
    <xdr:to>
      <xdr:col>21</xdr:col>
      <xdr:colOff>457573</xdr:colOff>
      <xdr:row>2</xdr:row>
      <xdr:rowOff>72950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530853" y="56029"/>
          <a:ext cx="367926" cy="369794"/>
        </a:xfrm>
        <a:prstGeom prst="rect">
          <a:avLst/>
        </a:prstGeom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oneCell">
    <xdr:from>
      <xdr:col>48</xdr:col>
      <xdr:colOff>224118</xdr:colOff>
      <xdr:row>0</xdr:row>
      <xdr:rowOff>33619</xdr:rowOff>
    </xdr:from>
    <xdr:to>
      <xdr:col>48</xdr:col>
      <xdr:colOff>597722</xdr:colOff>
      <xdr:row>2</xdr:row>
      <xdr:rowOff>42920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726030" y="33619"/>
          <a:ext cx="369794" cy="369794"/>
        </a:xfrm>
        <a:prstGeom prst="rect">
          <a:avLst/>
        </a:prstGeom>
      </xdr:spPr>
    </xdr:pic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</xdr:row>
      <xdr:rowOff>12700</xdr:rowOff>
    </xdr:from>
    <xdr:to>
      <xdr:col>9</xdr:col>
      <xdr:colOff>1057275</xdr:colOff>
      <xdr:row>78</xdr:row>
      <xdr:rowOff>79375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13</xdr:col>
      <xdr:colOff>279400</xdr:colOff>
      <xdr:row>0</xdr:row>
      <xdr:rowOff>0</xdr:rowOff>
    </xdr:from>
    <xdr:to>
      <xdr:col>13</xdr:col>
      <xdr:colOff>651062</xdr:colOff>
      <xdr:row>2</xdr:row>
      <xdr:rowOff>1494</xdr:rowOff>
    </xdr:to>
    <xdr:pic>
      <xdr:nvPicPr>
        <xdr:cNvPr id="3" name="Picture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3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811000" y="0"/>
          <a:ext cx="371662" cy="369794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80</xdr:row>
      <xdr:rowOff>41276</xdr:rowOff>
    </xdr:from>
    <xdr:to>
      <xdr:col>9</xdr:col>
      <xdr:colOff>1057275</xdr:colOff>
      <xdr:row>147</xdr:row>
      <xdr:rowOff>155576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1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150</xdr:row>
      <xdr:rowOff>0</xdr:rowOff>
    </xdr:from>
    <xdr:to>
      <xdr:col>9</xdr:col>
      <xdr:colOff>1057275</xdr:colOff>
      <xdr:row>184</xdr:row>
      <xdr:rowOff>101600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1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162</xdr:row>
      <xdr:rowOff>9525</xdr:rowOff>
    </xdr:from>
    <xdr:to>
      <xdr:col>9</xdr:col>
      <xdr:colOff>9525</xdr:colOff>
      <xdr:row>194</xdr:row>
      <xdr:rowOff>57150</xdr:rowOff>
    </xdr:to>
    <xdr:graphicFrame macro="">
      <xdr:nvGraphicFramePr>
        <xdr:cNvPr id="2" name="OccGroup 1">
          <a:extLst>
            <a:ext uri="{FF2B5EF4-FFF2-40B4-BE49-F238E27FC236}">
              <a16:creationId xmlns:a16="http://schemas.microsoft.com/office/drawing/2014/main" id="{00000000-0008-0000-1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28575</xdr:colOff>
      <xdr:row>196</xdr:row>
      <xdr:rowOff>190500</xdr:rowOff>
    </xdr:from>
    <xdr:to>
      <xdr:col>9</xdr:col>
      <xdr:colOff>9525</xdr:colOff>
      <xdr:row>229</xdr:row>
      <xdr:rowOff>28575</xdr:rowOff>
    </xdr:to>
    <xdr:graphicFrame macro="">
      <xdr:nvGraphicFramePr>
        <xdr:cNvPr id="3" name="OccGroup 2">
          <a:extLst>
            <a:ext uri="{FF2B5EF4-FFF2-40B4-BE49-F238E27FC236}">
              <a16:creationId xmlns:a16="http://schemas.microsoft.com/office/drawing/2014/main" id="{00000000-0008-0000-1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73025</xdr:colOff>
      <xdr:row>232</xdr:row>
      <xdr:rowOff>50800</xdr:rowOff>
    </xdr:from>
    <xdr:to>
      <xdr:col>9</xdr:col>
      <xdr:colOff>57150</xdr:colOff>
      <xdr:row>264</xdr:row>
      <xdr:rowOff>69850</xdr:rowOff>
    </xdr:to>
    <xdr:graphicFrame macro="">
      <xdr:nvGraphicFramePr>
        <xdr:cNvPr id="4" name="OccGroup 3">
          <a:extLst>
            <a:ext uri="{FF2B5EF4-FFF2-40B4-BE49-F238E27FC236}">
              <a16:creationId xmlns:a16="http://schemas.microsoft.com/office/drawing/2014/main" id="{00000000-0008-0000-1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9525</xdr:colOff>
      <xdr:row>267</xdr:row>
      <xdr:rowOff>0</xdr:rowOff>
    </xdr:from>
    <xdr:to>
      <xdr:col>9</xdr:col>
      <xdr:colOff>9525</xdr:colOff>
      <xdr:row>299</xdr:row>
      <xdr:rowOff>47625</xdr:rowOff>
    </xdr:to>
    <xdr:graphicFrame macro="">
      <xdr:nvGraphicFramePr>
        <xdr:cNvPr id="5" name="OccGroup 4">
          <a:extLst>
            <a:ext uri="{FF2B5EF4-FFF2-40B4-BE49-F238E27FC236}">
              <a16:creationId xmlns:a16="http://schemas.microsoft.com/office/drawing/2014/main" id="{00000000-0008-0000-14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302</xdr:row>
      <xdr:rowOff>0</xdr:rowOff>
    </xdr:from>
    <xdr:to>
      <xdr:col>8</xdr:col>
      <xdr:colOff>2105025</xdr:colOff>
      <xdr:row>334</xdr:row>
      <xdr:rowOff>38100</xdr:rowOff>
    </xdr:to>
    <xdr:graphicFrame macro="">
      <xdr:nvGraphicFramePr>
        <xdr:cNvPr id="6" name="OccGroup 5">
          <a:extLst>
            <a:ext uri="{FF2B5EF4-FFF2-40B4-BE49-F238E27FC236}">
              <a16:creationId xmlns:a16="http://schemas.microsoft.com/office/drawing/2014/main" id="{00000000-0008-0000-14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9525</xdr:colOff>
      <xdr:row>337</xdr:row>
      <xdr:rowOff>0</xdr:rowOff>
    </xdr:from>
    <xdr:to>
      <xdr:col>8</xdr:col>
      <xdr:colOff>2114550</xdr:colOff>
      <xdr:row>369</xdr:row>
      <xdr:rowOff>9525</xdr:rowOff>
    </xdr:to>
    <xdr:graphicFrame macro="">
      <xdr:nvGraphicFramePr>
        <xdr:cNvPr id="7" name="OccGroup 6">
          <a:extLst>
            <a:ext uri="{FF2B5EF4-FFF2-40B4-BE49-F238E27FC236}">
              <a16:creationId xmlns:a16="http://schemas.microsoft.com/office/drawing/2014/main" id="{00000000-0008-0000-14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9525</xdr:colOff>
      <xdr:row>372</xdr:row>
      <xdr:rowOff>0</xdr:rowOff>
    </xdr:from>
    <xdr:to>
      <xdr:col>9</xdr:col>
      <xdr:colOff>9525</xdr:colOff>
      <xdr:row>404</xdr:row>
      <xdr:rowOff>38100</xdr:rowOff>
    </xdr:to>
    <xdr:graphicFrame macro="">
      <xdr:nvGraphicFramePr>
        <xdr:cNvPr id="8" name="OccGroup 7">
          <a:extLst>
            <a:ext uri="{FF2B5EF4-FFF2-40B4-BE49-F238E27FC236}">
              <a16:creationId xmlns:a16="http://schemas.microsoft.com/office/drawing/2014/main" id="{00000000-0008-0000-14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0</xdr:col>
      <xdr:colOff>0</xdr:colOff>
      <xdr:row>406</xdr:row>
      <xdr:rowOff>200025</xdr:rowOff>
    </xdr:from>
    <xdr:to>
      <xdr:col>9</xdr:col>
      <xdr:colOff>0</xdr:colOff>
      <xdr:row>437</xdr:row>
      <xdr:rowOff>114300</xdr:rowOff>
    </xdr:to>
    <xdr:graphicFrame macro="">
      <xdr:nvGraphicFramePr>
        <xdr:cNvPr id="9" name="OccGroup 8">
          <a:extLst>
            <a:ext uri="{FF2B5EF4-FFF2-40B4-BE49-F238E27FC236}">
              <a16:creationId xmlns:a16="http://schemas.microsoft.com/office/drawing/2014/main" id="{00000000-0008-0000-14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0</xdr:col>
      <xdr:colOff>28575</xdr:colOff>
      <xdr:row>442</xdr:row>
      <xdr:rowOff>0</xdr:rowOff>
    </xdr:from>
    <xdr:to>
      <xdr:col>9</xdr:col>
      <xdr:colOff>9525</xdr:colOff>
      <xdr:row>474</xdr:row>
      <xdr:rowOff>0</xdr:rowOff>
    </xdr:to>
    <xdr:graphicFrame macro="">
      <xdr:nvGraphicFramePr>
        <xdr:cNvPr id="10" name="OccGroup 9">
          <a:extLst>
            <a:ext uri="{FF2B5EF4-FFF2-40B4-BE49-F238E27FC236}">
              <a16:creationId xmlns:a16="http://schemas.microsoft.com/office/drawing/2014/main" id="{00000000-0008-0000-14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0</xdr:col>
      <xdr:colOff>0</xdr:colOff>
      <xdr:row>2</xdr:row>
      <xdr:rowOff>38100</xdr:rowOff>
    </xdr:from>
    <xdr:to>
      <xdr:col>9</xdr:col>
      <xdr:colOff>0</xdr:colOff>
      <xdr:row>57</xdr:row>
      <xdr:rowOff>15875</xdr:rowOff>
    </xdr:to>
    <xdr:graphicFrame macro="">
      <xdr:nvGraphicFramePr>
        <xdr:cNvPr id="12" name="OccGroup 11">
          <a:extLst>
            <a:ext uri="{FF2B5EF4-FFF2-40B4-BE49-F238E27FC236}">
              <a16:creationId xmlns:a16="http://schemas.microsoft.com/office/drawing/2014/main" id="{00000000-0008-0000-14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0</xdr:col>
      <xdr:colOff>0</xdr:colOff>
      <xdr:row>116</xdr:row>
      <xdr:rowOff>0</xdr:rowOff>
    </xdr:from>
    <xdr:to>
      <xdr:col>9</xdr:col>
      <xdr:colOff>0</xdr:colOff>
      <xdr:row>159</xdr:row>
      <xdr:rowOff>142875</xdr:rowOff>
    </xdr:to>
    <xdr:graphicFrame macro="">
      <xdr:nvGraphicFramePr>
        <xdr:cNvPr id="13" name="OccGroup 11">
          <a:extLst>
            <a:ext uri="{FF2B5EF4-FFF2-40B4-BE49-F238E27FC236}">
              <a16:creationId xmlns:a16="http://schemas.microsoft.com/office/drawing/2014/main" id="{00000000-0008-0000-14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0</xdr:col>
      <xdr:colOff>0</xdr:colOff>
      <xdr:row>477</xdr:row>
      <xdr:rowOff>0</xdr:rowOff>
    </xdr:from>
    <xdr:to>
      <xdr:col>8</xdr:col>
      <xdr:colOff>2108200</xdr:colOff>
      <xdr:row>501</xdr:row>
      <xdr:rowOff>114300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00000000-0008-0000-14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0</xdr:col>
      <xdr:colOff>0</xdr:colOff>
      <xdr:row>505</xdr:row>
      <xdr:rowOff>0</xdr:rowOff>
    </xdr:from>
    <xdr:to>
      <xdr:col>8</xdr:col>
      <xdr:colOff>2082800</xdr:colOff>
      <xdr:row>530</xdr:row>
      <xdr:rowOff>12700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00000000-0008-0000-14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375472</xdr:colOff>
      <xdr:row>2</xdr:row>
      <xdr:rowOff>1494</xdr:rowOff>
    </xdr:to>
    <xdr:pic>
      <xdr:nvPicPr>
        <xdr:cNvPr id="16" name="Picture 15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00000000-0008-0000-14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674100" y="0"/>
          <a:ext cx="371662" cy="369794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58</xdr:row>
      <xdr:rowOff>76200</xdr:rowOff>
    </xdr:from>
    <xdr:to>
      <xdr:col>9</xdr:col>
      <xdr:colOff>0</xdr:colOff>
      <xdr:row>113</xdr:row>
      <xdr:rowOff>53975</xdr:rowOff>
    </xdr:to>
    <xdr:graphicFrame macro="">
      <xdr:nvGraphicFramePr>
        <xdr:cNvPr id="17" name="OccGroup 11">
          <a:extLst>
            <a:ext uri="{FF2B5EF4-FFF2-40B4-BE49-F238E27FC236}">
              <a16:creationId xmlns:a16="http://schemas.microsoft.com/office/drawing/2014/main" id="{00000000-0008-0000-14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</xdr:row>
      <xdr:rowOff>25400</xdr:rowOff>
    </xdr:from>
    <xdr:to>
      <xdr:col>18</xdr:col>
      <xdr:colOff>622300</xdr:colOff>
      <xdr:row>29</xdr:row>
      <xdr:rowOff>0</xdr:rowOff>
    </xdr:to>
    <xdr:grpSp>
      <xdr:nvGrpSpPr>
        <xdr:cNvPr id="17" name="Group 16">
          <a:extLst>
            <a:ext uri="{FF2B5EF4-FFF2-40B4-BE49-F238E27FC236}">
              <a16:creationId xmlns:a16="http://schemas.microsoft.com/office/drawing/2014/main" id="{00000000-0008-0000-1500-000011000000}"/>
            </a:ext>
          </a:extLst>
        </xdr:cNvPr>
        <xdr:cNvGrpSpPr/>
      </xdr:nvGrpSpPr>
      <xdr:grpSpPr>
        <a:xfrm>
          <a:off x="0" y="393700"/>
          <a:ext cx="11582400" cy="4432300"/>
          <a:chOff x="0" y="279400"/>
          <a:chExt cx="11582400" cy="4432300"/>
        </a:xfrm>
      </xdr:grpSpPr>
      <xdr:grpSp>
        <xdr:nvGrpSpPr>
          <xdr:cNvPr id="15" name="Group 14">
            <a:extLst>
              <a:ext uri="{FF2B5EF4-FFF2-40B4-BE49-F238E27FC236}">
                <a16:creationId xmlns:a16="http://schemas.microsoft.com/office/drawing/2014/main" id="{00000000-0008-0000-1500-00000F000000}"/>
              </a:ext>
            </a:extLst>
          </xdr:cNvPr>
          <xdr:cNvGrpSpPr/>
        </xdr:nvGrpSpPr>
        <xdr:grpSpPr>
          <a:xfrm>
            <a:off x="0" y="279400"/>
            <a:ext cx="11582400" cy="4432300"/>
            <a:chOff x="38100" y="292100"/>
            <a:chExt cx="11582400" cy="4432300"/>
          </a:xfrm>
        </xdr:grpSpPr>
        <xdr:grpSp>
          <xdr:nvGrpSpPr>
            <xdr:cNvPr id="11" name="Group 10">
              <a:extLst>
                <a:ext uri="{FF2B5EF4-FFF2-40B4-BE49-F238E27FC236}">
                  <a16:creationId xmlns:a16="http://schemas.microsoft.com/office/drawing/2014/main" id="{00000000-0008-0000-1500-00000B000000}"/>
                </a:ext>
              </a:extLst>
            </xdr:cNvPr>
            <xdr:cNvGrpSpPr/>
          </xdr:nvGrpSpPr>
          <xdr:grpSpPr>
            <a:xfrm>
              <a:off x="76200" y="368300"/>
              <a:ext cx="11366500" cy="4229100"/>
              <a:chOff x="76200" y="368300"/>
              <a:chExt cx="11366500" cy="4229100"/>
            </a:xfrm>
            <a:noFill/>
          </xdr:grpSpPr>
          <xdr:graphicFrame macro="">
            <xdr:nvGraphicFramePr>
              <xdr:cNvPr id="7" name="Chart 6">
                <a:extLst>
                  <a:ext uri="{FF2B5EF4-FFF2-40B4-BE49-F238E27FC236}">
                    <a16:creationId xmlns:a16="http://schemas.microsoft.com/office/drawing/2014/main" id="{00000000-0008-0000-1500-000007000000}"/>
                  </a:ext>
                </a:extLst>
              </xdr:cNvPr>
              <xdr:cNvGraphicFramePr/>
            </xdr:nvGraphicFramePr>
            <xdr:xfrm>
              <a:off x="76200" y="368300"/>
              <a:ext cx="4533900" cy="4229100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1"/>
              </a:graphicData>
            </a:graphic>
          </xdr:graphicFrame>
          <xdr:graphicFrame macro="">
            <xdr:nvGraphicFramePr>
              <xdr:cNvPr id="8" name="Chart 7">
                <a:extLst>
                  <a:ext uri="{FF2B5EF4-FFF2-40B4-BE49-F238E27FC236}">
                    <a16:creationId xmlns:a16="http://schemas.microsoft.com/office/drawing/2014/main" id="{00000000-0008-0000-1500-000008000000}"/>
                  </a:ext>
                </a:extLst>
              </xdr:cNvPr>
              <xdr:cNvGraphicFramePr>
                <a:graphicFrameLocks/>
              </xdr:cNvGraphicFramePr>
            </xdr:nvGraphicFramePr>
            <xdr:xfrm>
              <a:off x="4597400" y="368300"/>
              <a:ext cx="2286000" cy="4229100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2"/>
              </a:graphicData>
            </a:graphic>
          </xdr:graphicFrame>
          <xdr:graphicFrame macro="">
            <xdr:nvGraphicFramePr>
              <xdr:cNvPr id="9" name="Chart 8">
                <a:extLst>
                  <a:ext uri="{FF2B5EF4-FFF2-40B4-BE49-F238E27FC236}">
                    <a16:creationId xmlns:a16="http://schemas.microsoft.com/office/drawing/2014/main" id="{00000000-0008-0000-1500-000009000000}"/>
                  </a:ext>
                </a:extLst>
              </xdr:cNvPr>
              <xdr:cNvGraphicFramePr>
                <a:graphicFrameLocks/>
              </xdr:cNvGraphicFramePr>
            </xdr:nvGraphicFramePr>
            <xdr:xfrm>
              <a:off x="6870700" y="368300"/>
              <a:ext cx="2286000" cy="4229100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3"/>
              </a:graphicData>
            </a:graphic>
          </xdr:graphicFrame>
          <xdr:graphicFrame macro="">
            <xdr:nvGraphicFramePr>
              <xdr:cNvPr id="10" name="Chart 9">
                <a:extLst>
                  <a:ext uri="{FF2B5EF4-FFF2-40B4-BE49-F238E27FC236}">
                    <a16:creationId xmlns:a16="http://schemas.microsoft.com/office/drawing/2014/main" id="{00000000-0008-0000-1500-00000A000000}"/>
                  </a:ext>
                </a:extLst>
              </xdr:cNvPr>
              <xdr:cNvGraphicFramePr>
                <a:graphicFrameLocks/>
              </xdr:cNvGraphicFramePr>
            </xdr:nvGraphicFramePr>
            <xdr:xfrm>
              <a:off x="9156700" y="368300"/>
              <a:ext cx="2286000" cy="4229100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4"/>
              </a:graphicData>
            </a:graphic>
          </xdr:graphicFrame>
        </xdr:grpSp>
        <xdr:sp macro="" textlink="">
          <xdr:nvSpPr>
            <xdr:cNvPr id="14" name="Rectangle 13">
              <a:extLst>
                <a:ext uri="{FF2B5EF4-FFF2-40B4-BE49-F238E27FC236}">
                  <a16:creationId xmlns:a16="http://schemas.microsoft.com/office/drawing/2014/main" id="{00000000-0008-0000-1500-00000E000000}"/>
                </a:ext>
              </a:extLst>
            </xdr:cNvPr>
            <xdr:cNvSpPr/>
          </xdr:nvSpPr>
          <xdr:spPr>
            <a:xfrm>
              <a:off x="38100" y="292100"/>
              <a:ext cx="11582400" cy="4432300"/>
            </a:xfrm>
            <a:prstGeom prst="rect">
              <a:avLst/>
            </a:prstGeom>
            <a:noFill/>
            <a:ln w="3175"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GB" sz="1100">
                <a:latin typeface="Arial" panose="020B0604020202020204" pitchFamily="34" charset="0"/>
                <a:cs typeface="Arial" panose="020B0604020202020204" pitchFamily="34" charset="0"/>
              </a:endParaRPr>
            </a:p>
          </xdr:txBody>
        </xdr:sp>
      </xdr:grpSp>
      <xdr:sp macro="" textlink="">
        <xdr:nvSpPr>
          <xdr:cNvPr id="16" name="TextBox 15">
            <a:extLst>
              <a:ext uri="{FF2B5EF4-FFF2-40B4-BE49-F238E27FC236}">
                <a16:creationId xmlns:a16="http://schemas.microsoft.com/office/drawing/2014/main" id="{00000000-0008-0000-1500-000010000000}"/>
              </a:ext>
            </a:extLst>
          </xdr:cNvPr>
          <xdr:cNvSpPr txBox="1"/>
        </xdr:nvSpPr>
        <xdr:spPr>
          <a:xfrm>
            <a:off x="10744200" y="279400"/>
            <a:ext cx="835806" cy="25455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GB" sz="1100">
                <a:latin typeface="Arial" panose="020B0604020202020204" pitchFamily="34" charset="0"/>
                <a:cs typeface="Arial" panose="020B0604020202020204" pitchFamily="34" charset="0"/>
              </a:rPr>
              <a:t>thousands</a:t>
            </a:r>
          </a:p>
        </xdr:txBody>
      </xdr:sp>
    </xdr:grpSp>
    <xdr:clientData/>
  </xdr:twoCellAnchor>
  <xdr:twoCellAnchor editAs="oneCell">
    <xdr:from>
      <xdr:col>21</xdr:col>
      <xdr:colOff>0</xdr:colOff>
      <xdr:row>0</xdr:row>
      <xdr:rowOff>0</xdr:rowOff>
    </xdr:from>
    <xdr:to>
      <xdr:col>21</xdr:col>
      <xdr:colOff>371662</xdr:colOff>
      <xdr:row>2</xdr:row>
      <xdr:rowOff>1494</xdr:rowOff>
    </xdr:to>
    <xdr:pic>
      <xdr:nvPicPr>
        <xdr:cNvPr id="21" name="Picture 20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15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160500" y="0"/>
          <a:ext cx="371662" cy="369794"/>
        </a:xfrm>
        <a:prstGeom prst="rect">
          <a:avLst/>
        </a:prstGeom>
      </xdr:spPr>
    </xdr:pic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</xdr:row>
      <xdr:rowOff>38100</xdr:rowOff>
    </xdr:from>
    <xdr:to>
      <xdr:col>9</xdr:col>
      <xdr:colOff>234951</xdr:colOff>
      <xdr:row>38</xdr:row>
      <xdr:rowOff>38100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16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16</xdr:col>
      <xdr:colOff>0</xdr:colOff>
      <xdr:row>0</xdr:row>
      <xdr:rowOff>0</xdr:rowOff>
    </xdr:from>
    <xdr:to>
      <xdr:col>16</xdr:col>
      <xdr:colOff>371662</xdr:colOff>
      <xdr:row>2</xdr:row>
      <xdr:rowOff>1494</xdr:rowOff>
    </xdr:to>
    <xdr:pic>
      <xdr:nvPicPr>
        <xdr:cNvPr id="5" name="Picture 4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6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544300" y="0"/>
          <a:ext cx="371662" cy="369794"/>
        </a:xfrm>
        <a:prstGeom prst="rect">
          <a:avLst/>
        </a:prstGeom>
      </xdr:spPr>
    </xdr:pic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12700</xdr:colOff>
      <xdr:row>2</xdr:row>
      <xdr:rowOff>76200</xdr:rowOff>
    </xdr:from>
    <xdr:to>
      <xdr:col>9</xdr:col>
      <xdr:colOff>247651</xdr:colOff>
      <xdr:row>38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16</xdr:col>
      <xdr:colOff>0</xdr:colOff>
      <xdr:row>0</xdr:row>
      <xdr:rowOff>0</xdr:rowOff>
    </xdr:from>
    <xdr:to>
      <xdr:col>16</xdr:col>
      <xdr:colOff>371662</xdr:colOff>
      <xdr:row>2</xdr:row>
      <xdr:rowOff>1494</xdr:rowOff>
    </xdr:to>
    <xdr:pic>
      <xdr:nvPicPr>
        <xdr:cNvPr id="3" name="Picture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7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242800" y="0"/>
          <a:ext cx="371662" cy="369794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40</xdr:row>
      <xdr:rowOff>0</xdr:rowOff>
    </xdr:from>
    <xdr:to>
      <xdr:col>9</xdr:col>
      <xdr:colOff>234951</xdr:colOff>
      <xdr:row>76</xdr:row>
      <xdr:rowOff>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1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79</xdr:row>
      <xdr:rowOff>0</xdr:rowOff>
    </xdr:from>
    <xdr:to>
      <xdr:col>9</xdr:col>
      <xdr:colOff>234951</xdr:colOff>
      <xdr:row>115</xdr:row>
      <xdr:rowOff>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17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257736</xdr:colOff>
      <xdr:row>0</xdr:row>
      <xdr:rowOff>0</xdr:rowOff>
    </xdr:from>
    <xdr:to>
      <xdr:col>10</xdr:col>
      <xdr:colOff>24280</xdr:colOff>
      <xdr:row>2</xdr:row>
      <xdr:rowOff>11206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438030" y="0"/>
          <a:ext cx="371662" cy="369794"/>
        </a:xfrm>
        <a:prstGeom prst="rect">
          <a:avLst/>
        </a:prstGeom>
      </xdr:spPr>
    </xdr:pic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2</xdr:row>
      <xdr:rowOff>28575</xdr:rowOff>
    </xdr:from>
    <xdr:to>
      <xdr:col>8</xdr:col>
      <xdr:colOff>2114550</xdr:colOff>
      <xdr:row>47</xdr:row>
      <xdr:rowOff>85725</xdr:rowOff>
    </xdr:to>
    <xdr:graphicFrame macro="">
      <xdr:nvGraphicFramePr>
        <xdr:cNvPr id="29708" name="Qual 1">
          <a:extLst>
            <a:ext uri="{FF2B5EF4-FFF2-40B4-BE49-F238E27FC236}">
              <a16:creationId xmlns:a16="http://schemas.microsoft.com/office/drawing/2014/main" id="{00000000-0008-0000-1900-00000C74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52</xdr:row>
      <xdr:rowOff>12700</xdr:rowOff>
    </xdr:from>
    <xdr:to>
      <xdr:col>8</xdr:col>
      <xdr:colOff>2105025</xdr:colOff>
      <xdr:row>97</xdr:row>
      <xdr:rowOff>69850</xdr:rowOff>
    </xdr:to>
    <xdr:graphicFrame macro="">
      <xdr:nvGraphicFramePr>
        <xdr:cNvPr id="3" name="Qual 2">
          <a:extLst>
            <a:ext uri="{FF2B5EF4-FFF2-40B4-BE49-F238E27FC236}">
              <a16:creationId xmlns:a16="http://schemas.microsoft.com/office/drawing/2014/main" id="{00000000-0008-0000-1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371662</xdr:colOff>
      <xdr:row>2</xdr:row>
      <xdr:rowOff>1494</xdr:rowOff>
    </xdr:to>
    <xdr:pic>
      <xdr:nvPicPr>
        <xdr:cNvPr id="4" name="Picture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19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267700" y="0"/>
          <a:ext cx="371662" cy="369794"/>
        </a:xfrm>
        <a:prstGeom prst="rect">
          <a:avLst/>
        </a:prstGeom>
      </xdr:spPr>
    </xdr:pic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35252</xdr:colOff>
      <xdr:row>2</xdr:row>
      <xdr:rowOff>11206</xdr:rowOff>
    </xdr:from>
    <xdr:to>
      <xdr:col>35</xdr:col>
      <xdr:colOff>381000</xdr:colOff>
      <xdr:row>54</xdr:row>
      <xdr:rowOff>44824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35</xdr:col>
      <xdr:colOff>547079</xdr:colOff>
      <xdr:row>2</xdr:row>
      <xdr:rowOff>38099</xdr:rowOff>
    </xdr:from>
    <xdr:to>
      <xdr:col>48</xdr:col>
      <xdr:colOff>582706</xdr:colOff>
      <xdr:row>54</xdr:row>
      <xdr:rowOff>44823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1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22</xdr:col>
      <xdr:colOff>134471</xdr:colOff>
      <xdr:row>56</xdr:row>
      <xdr:rowOff>122892</xdr:rowOff>
    </xdr:from>
    <xdr:to>
      <xdr:col>30</xdr:col>
      <xdr:colOff>505946</xdr:colOff>
      <xdr:row>82</xdr:row>
      <xdr:rowOff>123264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1B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41</xdr:col>
      <xdr:colOff>5041</xdr:colOff>
      <xdr:row>57</xdr:row>
      <xdr:rowOff>14382</xdr:rowOff>
    </xdr:from>
    <xdr:to>
      <xdr:col>49</xdr:col>
      <xdr:colOff>480172</xdr:colOff>
      <xdr:row>82</xdr:row>
      <xdr:rowOff>156881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1B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22</xdr:col>
      <xdr:colOff>99359</xdr:colOff>
      <xdr:row>83</xdr:row>
      <xdr:rowOff>85910</xdr:rowOff>
    </xdr:from>
    <xdr:to>
      <xdr:col>30</xdr:col>
      <xdr:colOff>493058</xdr:colOff>
      <xdr:row>108</xdr:row>
      <xdr:rowOff>100852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1B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41</xdr:col>
      <xdr:colOff>0</xdr:colOff>
      <xdr:row>83</xdr:row>
      <xdr:rowOff>142688</xdr:rowOff>
    </xdr:from>
    <xdr:to>
      <xdr:col>49</xdr:col>
      <xdr:colOff>489698</xdr:colOff>
      <xdr:row>109</xdr:row>
      <xdr:rowOff>44824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1B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22</xdr:col>
      <xdr:colOff>38659</xdr:colOff>
      <xdr:row>110</xdr:row>
      <xdr:rowOff>53041</xdr:rowOff>
    </xdr:from>
    <xdr:to>
      <xdr:col>30</xdr:col>
      <xdr:colOff>518271</xdr:colOff>
      <xdr:row>138</xdr:row>
      <xdr:rowOff>112434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00000000-0008-0000-1B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31</xdr:col>
      <xdr:colOff>267449</xdr:colOff>
      <xdr:row>110</xdr:row>
      <xdr:rowOff>53041</xdr:rowOff>
    </xdr:from>
    <xdr:to>
      <xdr:col>40</xdr:col>
      <xdr:colOff>120464</xdr:colOff>
      <xdr:row>138</xdr:row>
      <xdr:rowOff>110939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00000000-0008-0000-1B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 editAs="oneCell">
    <xdr:from>
      <xdr:col>18</xdr:col>
      <xdr:colOff>33618</xdr:colOff>
      <xdr:row>0</xdr:row>
      <xdr:rowOff>56029</xdr:rowOff>
    </xdr:from>
    <xdr:to>
      <xdr:col>18</xdr:col>
      <xdr:colOff>405280</xdr:colOff>
      <xdr:row>1</xdr:row>
      <xdr:rowOff>190499</xdr:rowOff>
    </xdr:to>
    <xdr:pic>
      <xdr:nvPicPr>
        <xdr:cNvPr id="28" name="Picture 27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1B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909177" y="56029"/>
          <a:ext cx="371662" cy="369794"/>
        </a:xfrm>
        <a:prstGeom prst="rect">
          <a:avLst/>
        </a:prstGeom>
      </xdr:spPr>
    </xdr:pic>
    <xdr:clientData/>
  </xdr:twoCellAnchor>
  <xdr:twoCellAnchor>
    <xdr:from>
      <xdr:col>31</xdr:col>
      <xdr:colOff>336177</xdr:colOff>
      <xdr:row>56</xdr:row>
      <xdr:rowOff>134470</xdr:rowOff>
    </xdr:from>
    <xdr:to>
      <xdr:col>40</xdr:col>
      <xdr:colOff>206190</xdr:colOff>
      <xdr:row>82</xdr:row>
      <xdr:rowOff>120087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00000000-0008-0000-1B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31</xdr:col>
      <xdr:colOff>313765</xdr:colOff>
      <xdr:row>83</xdr:row>
      <xdr:rowOff>134470</xdr:rowOff>
    </xdr:from>
    <xdr:to>
      <xdr:col>40</xdr:col>
      <xdr:colOff>102346</xdr:colOff>
      <xdr:row>108</xdr:row>
      <xdr:rowOff>149412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00000000-0008-0000-1B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41</xdr:col>
      <xdr:colOff>0</xdr:colOff>
      <xdr:row>110</xdr:row>
      <xdr:rowOff>56029</xdr:rowOff>
    </xdr:from>
    <xdr:to>
      <xdr:col>49</xdr:col>
      <xdr:colOff>458133</xdr:colOff>
      <xdr:row>138</xdr:row>
      <xdr:rowOff>113927</xdr:rowOff>
    </xdr:to>
    <xdr:graphicFrame macro="">
      <xdr:nvGraphicFramePr>
        <xdr:cNvPr id="16" name="Chart 15">
          <a:extLst>
            <a:ext uri="{FF2B5EF4-FFF2-40B4-BE49-F238E27FC236}">
              <a16:creationId xmlns:a16="http://schemas.microsoft.com/office/drawing/2014/main" id="{00000000-0008-0000-1B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 editAs="oneCell">
    <xdr:from>
      <xdr:col>32</xdr:col>
      <xdr:colOff>201708</xdr:colOff>
      <xdr:row>0</xdr:row>
      <xdr:rowOff>11206</xdr:rowOff>
    </xdr:from>
    <xdr:to>
      <xdr:col>32</xdr:col>
      <xdr:colOff>573370</xdr:colOff>
      <xdr:row>1</xdr:row>
      <xdr:rowOff>78441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C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6676855" y="11206"/>
          <a:ext cx="371662" cy="369794"/>
        </a:xfrm>
        <a:prstGeom prst="rect">
          <a:avLst/>
        </a:prstGeom>
      </xdr:spPr>
    </xdr:pic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7844</xdr:colOff>
      <xdr:row>2</xdr:row>
      <xdr:rowOff>39781</xdr:rowOff>
    </xdr:from>
    <xdr:to>
      <xdr:col>11</xdr:col>
      <xdr:colOff>593912</xdr:colOff>
      <xdr:row>31</xdr:row>
      <xdr:rowOff>77881</xdr:rowOff>
    </xdr:to>
    <xdr:graphicFrame macro="">
      <xdr:nvGraphicFramePr>
        <xdr:cNvPr id="19457" name="Chart 1">
          <a:extLst>
            <a:ext uri="{FF2B5EF4-FFF2-40B4-BE49-F238E27FC236}">
              <a16:creationId xmlns:a16="http://schemas.microsoft.com/office/drawing/2014/main" id="{00000000-0008-0000-1D00-0000014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16</xdr:col>
      <xdr:colOff>672353</xdr:colOff>
      <xdr:row>0</xdr:row>
      <xdr:rowOff>0</xdr:rowOff>
    </xdr:from>
    <xdr:to>
      <xdr:col>16</xdr:col>
      <xdr:colOff>1044015</xdr:colOff>
      <xdr:row>2</xdr:row>
      <xdr:rowOff>11206</xdr:rowOff>
    </xdr:to>
    <xdr:pic>
      <xdr:nvPicPr>
        <xdr:cNvPr id="3" name="Picture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D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211735" y="0"/>
          <a:ext cx="371662" cy="369794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34</xdr:row>
      <xdr:rowOff>22412</xdr:rowOff>
    </xdr:from>
    <xdr:to>
      <xdr:col>11</xdr:col>
      <xdr:colOff>586068</xdr:colOff>
      <xdr:row>77</xdr:row>
      <xdr:rowOff>112059</xdr:rowOff>
    </xdr:to>
    <xdr:graphicFrame macro="">
      <xdr:nvGraphicFramePr>
        <xdr:cNvPr id="4" name="Chart 1">
          <a:extLst>
            <a:ext uri="{FF2B5EF4-FFF2-40B4-BE49-F238E27FC236}">
              <a16:creationId xmlns:a16="http://schemas.microsoft.com/office/drawing/2014/main" id="{00000000-0008-0000-1D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7.xml><?xml version="1.0" encoding="utf-8"?>
<c:userShapes xmlns:c="http://schemas.openxmlformats.org/drawingml/2006/chart">
  <cdr:relSizeAnchor xmlns:cdr="http://schemas.openxmlformats.org/drawingml/2006/chartDrawing">
    <cdr:from>
      <cdr:x>0.00652</cdr:x>
      <cdr:y>0.02964</cdr:y>
    </cdr:from>
    <cdr:to>
      <cdr:x>0.00652</cdr:x>
      <cdr:y>0.05659</cdr:y>
    </cdr:to>
    <cdr:sp macro="" textlink="">
      <cdr:nvSpPr>
        <cdr:cNvPr id="2048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0800" y="143764"/>
          <a:ext cx="0" cy="127826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 vertOverflow="clip" wrap="square" lIns="27432" tIns="22860" rIns="27432" bIns="0" anchor="t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GB" sz="1000" b="1" i="0" u="none" strike="noStrike" baseline="0">
              <a:solidFill>
                <a:srgbClr val="000080"/>
              </a:solidFill>
              <a:latin typeface="Arial"/>
              <a:cs typeface="Arial"/>
            </a:rPr>
            <a:t>by SOC 2000 Sub-Major Group</a:t>
          </a:r>
        </a:p>
      </cdr:txBody>
    </cdr:sp>
  </cdr:relSizeAnchor>
  <cdr:relSizeAnchor xmlns:cdr="http://schemas.openxmlformats.org/drawingml/2006/chartDrawing">
    <cdr:from>
      <cdr:x>0.00652</cdr:x>
      <cdr:y>0.05659</cdr:y>
    </cdr:from>
    <cdr:to>
      <cdr:x>0.00652</cdr:x>
      <cdr:y>0.08329</cdr:y>
    </cdr:to>
    <cdr:sp macro="" textlink="">
      <cdr:nvSpPr>
        <cdr:cNvPr id="2048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0800" y="271590"/>
          <a:ext cx="0" cy="12666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</cdr:sp>
  </cdr:relSizeAnchor>
</c:userShapes>
</file>

<file path=xl/drawings/drawing28.xml><?xml version="1.0" encoding="utf-8"?>
<c:userShapes xmlns:c="http://schemas.openxmlformats.org/drawingml/2006/chart">
  <cdr:relSizeAnchor xmlns:cdr="http://schemas.openxmlformats.org/drawingml/2006/chartDrawing">
    <cdr:from>
      <cdr:x>0.00652</cdr:x>
      <cdr:y>0.02964</cdr:y>
    </cdr:from>
    <cdr:to>
      <cdr:x>0.00652</cdr:x>
      <cdr:y>0.05659</cdr:y>
    </cdr:to>
    <cdr:sp macro="" textlink="">
      <cdr:nvSpPr>
        <cdr:cNvPr id="2048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0800" y="143764"/>
          <a:ext cx="0" cy="127826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 vertOverflow="clip" wrap="square" lIns="27432" tIns="22860" rIns="27432" bIns="0" anchor="t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GB" sz="1000" b="1" i="0" u="none" strike="noStrike" baseline="0">
              <a:solidFill>
                <a:srgbClr val="000080"/>
              </a:solidFill>
              <a:latin typeface="Arial"/>
              <a:cs typeface="Arial"/>
            </a:rPr>
            <a:t>by SOC 2000 Sub-Major Group</a:t>
          </a:r>
        </a:p>
      </cdr:txBody>
    </cdr:sp>
  </cdr:relSizeAnchor>
  <cdr:relSizeAnchor xmlns:cdr="http://schemas.openxmlformats.org/drawingml/2006/chartDrawing">
    <cdr:from>
      <cdr:x>0.00652</cdr:x>
      <cdr:y>0.05659</cdr:y>
    </cdr:from>
    <cdr:to>
      <cdr:x>0.00652</cdr:x>
      <cdr:y>0.08329</cdr:y>
    </cdr:to>
    <cdr:sp macro="" textlink="">
      <cdr:nvSpPr>
        <cdr:cNvPr id="2048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0800" y="271590"/>
          <a:ext cx="0" cy="12666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</cdr:sp>
  </cdr:relSizeAnchor>
</c:userShapes>
</file>

<file path=xl/drawings/drawing29.xml><?xml version="1.0" encoding="utf-8"?>
<xdr:wsDr xmlns:xdr="http://schemas.openxmlformats.org/drawingml/2006/spreadsheetDrawing" xmlns:a="http://schemas.openxmlformats.org/drawingml/2006/main">
  <xdr:twoCellAnchor editAs="oneCell">
    <xdr:from>
      <xdr:col>40</xdr:col>
      <xdr:colOff>105522</xdr:colOff>
      <xdr:row>0</xdr:row>
      <xdr:rowOff>0</xdr:rowOff>
    </xdr:from>
    <xdr:to>
      <xdr:col>40</xdr:col>
      <xdr:colOff>477184</xdr:colOff>
      <xdr:row>2</xdr:row>
      <xdr:rowOff>11206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E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298397" y="0"/>
          <a:ext cx="371662" cy="376331"/>
        </a:xfrm>
        <a:prstGeom prst="rect">
          <a:avLst/>
        </a:prstGeom>
      </xdr:spPr>
    </xdr:pic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 editAs="oneCell">
    <xdr:from>
      <xdr:col>98</xdr:col>
      <xdr:colOff>93381</xdr:colOff>
      <xdr:row>0</xdr:row>
      <xdr:rowOff>331508</xdr:rowOff>
    </xdr:from>
    <xdr:to>
      <xdr:col>98</xdr:col>
      <xdr:colOff>462242</xdr:colOff>
      <xdr:row>1</xdr:row>
      <xdr:rowOff>73773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F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911006" y="331508"/>
          <a:ext cx="368861" cy="377265"/>
        </a:xfrm>
        <a:prstGeom prst="rect">
          <a:avLst/>
        </a:prstGeom>
      </xdr:spPr>
    </xdr:pic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 editAs="oneCell">
    <xdr:from>
      <xdr:col>33</xdr:col>
      <xdr:colOff>92449</xdr:colOff>
      <xdr:row>0</xdr:row>
      <xdr:rowOff>15875</xdr:rowOff>
    </xdr:from>
    <xdr:to>
      <xdr:col>33</xdr:col>
      <xdr:colOff>464111</xdr:colOff>
      <xdr:row>1</xdr:row>
      <xdr:rowOff>183963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2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111824" y="15875"/>
          <a:ext cx="371662" cy="374463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dfeesudb/stfdir/output/roee_c01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roee_c01"/>
      <sheetName val="Contents"/>
      <sheetName val="Chapter 7 - Charts"/>
      <sheetName val="Chapter 5 - Charts"/>
      <sheetName val="Chapter 3 - Charts"/>
      <sheetName val="Chapter 4 - Charts"/>
      <sheetName val="Chapter 2 - Charts"/>
    </sheetNames>
    <sheetDataSet>
      <sheetData sheetId="0" refreshError="1"/>
      <sheetData sheetId="1" refreshError="1"/>
      <sheetData sheetId="2" refreshError="1">
        <row r="25">
          <cell r="D25" t="str">
            <v>Chart 7.1.   Regional economic activity rates, 1971-2010</v>
          </cell>
        </row>
        <row r="26">
          <cell r="D26" t="str">
            <v>All Regions</v>
          </cell>
        </row>
        <row r="27">
          <cell r="D27" t="str">
            <v>Total Employment</v>
          </cell>
        </row>
        <row r="67">
          <cell r="D67" t="str">
            <v>Chart 7.2.   Regional unemployment rates, 1971-2010</v>
          </cell>
        </row>
        <row r="68">
          <cell r="D68" t="str">
            <v>All Regions</v>
          </cell>
        </row>
        <row r="69">
          <cell r="D69" t="str">
            <v>Total Employment</v>
          </cell>
        </row>
        <row r="366">
          <cell r="D366" t="str">
            <v>Chart 7.6.b. (a)   Employment Levels by Broad Industrial Sector</v>
          </cell>
        </row>
        <row r="367">
          <cell r="D367" t="str">
            <v>East</v>
          </cell>
        </row>
        <row r="368">
          <cell r="D368" t="str">
            <v>Total Employment</v>
          </cell>
        </row>
        <row r="410">
          <cell r="D410" t="str">
            <v>Chart 7.7.b. (a)   Employment Levels by Broad Industrial Sector</v>
          </cell>
        </row>
        <row r="411">
          <cell r="D411" t="str">
            <v>North West</v>
          </cell>
        </row>
        <row r="412">
          <cell r="D412" t="str">
            <v>Total Employment</v>
          </cell>
        </row>
        <row r="454">
          <cell r="D454" t="str">
            <v>Chart 7.5.b. (b)   Employment Growth by Broad Industrial Sector</v>
          </cell>
        </row>
        <row r="455">
          <cell r="D455" t="str">
            <v>London</v>
          </cell>
        </row>
        <row r="456">
          <cell r="D456" t="str">
            <v>Total Employment</v>
          </cell>
        </row>
        <row r="499">
          <cell r="D499" t="str">
            <v>Chart 7.6.b. (b)   Employment Growth by Broad Industrial Sector</v>
          </cell>
        </row>
        <row r="500">
          <cell r="D500" t="str">
            <v>East</v>
          </cell>
        </row>
        <row r="501">
          <cell r="D501" t="str">
            <v>Total Employment</v>
          </cell>
        </row>
        <row r="543">
          <cell r="D543" t="str">
            <v>Chart 7.7.b. (b)   Employment Growth by Broad Industrial Sector</v>
          </cell>
        </row>
        <row r="544">
          <cell r="D544" t="str">
            <v>North West</v>
          </cell>
        </row>
        <row r="545">
          <cell r="D545" t="str">
            <v>Total Employment</v>
          </cell>
        </row>
        <row r="843">
          <cell r="D843" t="str">
            <v xml:space="preserve">Chart 7.10.a  Employment profiles by gender in the 'Distribution &amp; Transport, etc.' sector. </v>
          </cell>
        </row>
        <row r="844">
          <cell r="D844" t="str">
            <v>South West</v>
          </cell>
        </row>
        <row r="845">
          <cell r="D845" t="str">
            <v>Males</v>
          </cell>
        </row>
        <row r="886">
          <cell r="D886" t="str">
            <v xml:space="preserve">Chart 7.10.b  Employment profiles by gender in the 'Distribution &amp; Transport, etc.' sector. </v>
          </cell>
        </row>
        <row r="887">
          <cell r="D887" t="str">
            <v>South West</v>
          </cell>
        </row>
        <row r="888">
          <cell r="D888" t="str">
            <v>Females</v>
          </cell>
        </row>
        <row r="931">
          <cell r="D931" t="str">
            <v>Chart 7.11.a  Changing Occupational Profile of employment in Banking &amp; Business Services</v>
          </cell>
        </row>
        <row r="932">
          <cell r="D932" t="str">
            <v>London</v>
          </cell>
        </row>
        <row r="976">
          <cell r="D976" t="str">
            <v>Chart 7.11.b  Changing Occupational Profile of employment in Banking &amp; Business Services</v>
          </cell>
        </row>
        <row r="977">
          <cell r="D977" t="str">
            <v>Yorkshire &amp; the Humber</v>
          </cell>
        </row>
        <row r="1021">
          <cell r="D1021" t="str">
            <v>Chart 7.12.a.  Changing occupational profile of employment in Engineering</v>
          </cell>
        </row>
        <row r="1022">
          <cell r="D1022" t="str">
            <v>South East</v>
          </cell>
        </row>
        <row r="1065">
          <cell r="D1065" t="str">
            <v>Chart 7.12.b.  Changing occupational profile of employment in Engineering</v>
          </cell>
        </row>
        <row r="1066">
          <cell r="D1066" t="str">
            <v>West Midlands</v>
          </cell>
        </row>
        <row r="1110">
          <cell r="D1110" t="str">
            <v>Chart 7.12.c.  Changing occupational profile of employment in Engineering</v>
          </cell>
        </row>
        <row r="1111">
          <cell r="D1111" t="str">
            <v>Wales</v>
          </cell>
        </row>
      </sheetData>
      <sheetData sheetId="3" refreshError="1">
        <row r="25">
          <cell r="D25" t="str">
            <v>Chart 5.1.  Qualification Structure, 1979-1998 [% of total employment]</v>
          </cell>
        </row>
        <row r="26">
          <cell r="D26" t="str">
            <v>United Kingdom</v>
          </cell>
        </row>
        <row r="27">
          <cell r="D27" t="str">
            <v>Total Employment</v>
          </cell>
        </row>
        <row r="62">
          <cell r="D62" t="str">
            <v>Source: Labour Force Survey</v>
          </cell>
        </row>
        <row r="71">
          <cell r="D71" t="str">
            <v>Chart 5.2. (a)  Change in Employment Shares, 1979 - 1998 [% of total employment]</v>
          </cell>
        </row>
        <row r="72">
          <cell r="D72" t="str">
            <v>United Kingdom</v>
          </cell>
        </row>
        <row r="73">
          <cell r="D73" t="str">
            <v>Total Employment</v>
          </cell>
        </row>
        <row r="75">
          <cell r="AJ75">
            <v>2531.5990000000002</v>
          </cell>
          <cell r="AK75">
            <v>4287.2929999999997</v>
          </cell>
        </row>
        <row r="76">
          <cell r="AJ76">
            <v>1804.5730000000001</v>
          </cell>
          <cell r="AK76">
            <v>2817.6059999999998</v>
          </cell>
        </row>
        <row r="77">
          <cell r="AJ77">
            <v>1520.395</v>
          </cell>
          <cell r="AK77">
            <v>2662.07</v>
          </cell>
        </row>
        <row r="78">
          <cell r="AJ78">
            <v>4189.2690000000002</v>
          </cell>
          <cell r="AK78">
            <v>3973.6420000000007</v>
          </cell>
        </row>
        <row r="79">
          <cell r="AJ79">
            <v>4706.652</v>
          </cell>
          <cell r="AK79">
            <v>3247.0230000000001</v>
          </cell>
        </row>
        <row r="80">
          <cell r="AJ80">
            <v>1555.508</v>
          </cell>
          <cell r="AK80">
            <v>2827.058</v>
          </cell>
        </row>
        <row r="81">
          <cell r="AJ81">
            <v>999.12599999999998</v>
          </cell>
          <cell r="AK81">
            <v>1782.453</v>
          </cell>
        </row>
        <row r="82">
          <cell r="AJ82">
            <v>3585.4629999999997</v>
          </cell>
          <cell r="AK82">
            <v>2524.634</v>
          </cell>
        </row>
        <row r="83">
          <cell r="AJ83">
            <v>2810.288</v>
          </cell>
          <cell r="AK83">
            <v>2123.3029999999999</v>
          </cell>
        </row>
        <row r="84">
          <cell r="AJ84">
            <v>0</v>
          </cell>
          <cell r="AK84">
            <v>115.41700000000002</v>
          </cell>
        </row>
        <row r="85">
          <cell r="AJ85">
            <v>23702.873</v>
          </cell>
          <cell r="AK85">
            <v>26360.499000000003</v>
          </cell>
        </row>
        <row r="108">
          <cell r="D108" t="str">
            <v>Source: Labour Force Survey</v>
          </cell>
        </row>
        <row r="118">
          <cell r="D118" t="str">
            <v>Chart 5.2. (b)  Change in Employment Shares, 1983 - 1998 [% of total employment]</v>
          </cell>
        </row>
        <row r="119">
          <cell r="D119" t="str">
            <v>United Kingdom</v>
          </cell>
        </row>
        <row r="120">
          <cell r="D120" t="str">
            <v>Total Employment</v>
          </cell>
        </row>
        <row r="530">
          <cell r="D530" t="str">
            <v>Chart 5.3.  Change in Employment by Qualification, 1983 - 1998</v>
          </cell>
        </row>
        <row r="531">
          <cell r="D531" t="str">
            <v>United Kingdom</v>
          </cell>
        </row>
        <row r="532">
          <cell r="D532" t="str">
            <v>Total Employment</v>
          </cell>
        </row>
        <row r="567">
          <cell r="D567" t="str">
            <v>Source: Labour Force Survey</v>
          </cell>
        </row>
      </sheetData>
      <sheetData sheetId="4" refreshError="1">
        <row r="118">
          <cell r="D118" t="str">
            <v>Chart 3.4.  Change in Employment Structure, 1981-2010</v>
          </cell>
        </row>
        <row r="119">
          <cell r="D119" t="str">
            <v>United Kingdom</v>
          </cell>
        </row>
        <row r="120">
          <cell r="D120" t="str">
            <v>Total Employment</v>
          </cell>
        </row>
        <row r="599">
          <cell r="D599" t="str">
            <v>Chart 3.4.  Change in Employmend Broad by sector, 1981 - 2010</v>
          </cell>
        </row>
      </sheetData>
      <sheetData sheetId="5" refreshError="1">
        <row r="25">
          <cell r="D25" t="str">
            <v>Chart 4.2.(a)  Occupational Change, 1999-2010</v>
          </cell>
        </row>
        <row r="26">
          <cell r="D26" t="str">
            <v>United Kingdom</v>
          </cell>
        </row>
        <row r="27">
          <cell r="D27" t="str">
            <v>Total Employment</v>
          </cell>
        </row>
        <row r="62">
          <cell r="D62" t="str">
            <v>Source: CE/IER estimates, F92F9 Forecast</v>
          </cell>
        </row>
        <row r="71">
          <cell r="D71" t="str">
            <v>Chart 4.3.(a)  Occupational Change, 1999-2010</v>
          </cell>
        </row>
        <row r="72">
          <cell r="D72" t="str">
            <v>United Kingdom</v>
          </cell>
        </row>
        <row r="73">
          <cell r="D73" t="str">
            <v>Male Employment</v>
          </cell>
        </row>
        <row r="108">
          <cell r="D108" t="str">
            <v>Source: CE/IER estimates, F92F9 Forecast</v>
          </cell>
        </row>
        <row r="118">
          <cell r="D118" t="str">
            <v>Chart 4.4.(a)  Occupational Change, 1999-2010</v>
          </cell>
        </row>
        <row r="119">
          <cell r="D119" t="str">
            <v>United Kingdom</v>
          </cell>
        </row>
        <row r="120">
          <cell r="D120" t="str">
            <v>Female Employment</v>
          </cell>
        </row>
        <row r="155">
          <cell r="D155" t="str">
            <v>Source: CE/IER estimates, F92F9 Forecast</v>
          </cell>
        </row>
        <row r="165">
          <cell r="D165" t="str">
            <v>Chart 4.2.(b)  Occupational Change by Status, 1999-2010</v>
          </cell>
        </row>
        <row r="166">
          <cell r="D166" t="str">
            <v>United Kingdom</v>
          </cell>
        </row>
        <row r="167">
          <cell r="D167" t="str">
            <v>Total Employment</v>
          </cell>
        </row>
        <row r="209">
          <cell r="D209" t="str">
            <v>Source: CE/IER estimates, F92F9 Forecast</v>
          </cell>
        </row>
        <row r="216">
          <cell r="D216" t="str">
            <v>Chart 4.3.(b)  Occupational Change by Status, 1999-2010</v>
          </cell>
        </row>
        <row r="217">
          <cell r="D217" t="str">
            <v>United Kingdom</v>
          </cell>
        </row>
        <row r="218">
          <cell r="D218" t="str">
            <v>Male Employment</v>
          </cell>
        </row>
        <row r="260">
          <cell r="D260" t="str">
            <v>Source: CE/IER estimates, F92F9 Forecast</v>
          </cell>
        </row>
        <row r="267">
          <cell r="D267" t="str">
            <v>Chart 4.4.(b)  Occupational Change by Status, 1999-2010</v>
          </cell>
        </row>
        <row r="268">
          <cell r="D268" t="str">
            <v>United Kingdom</v>
          </cell>
        </row>
        <row r="269">
          <cell r="D269" t="str">
            <v>Female Employment</v>
          </cell>
        </row>
        <row r="311">
          <cell r="D311" t="str">
            <v>Source: CE/IER estimates, F92F9 Forecast</v>
          </cell>
        </row>
      </sheetData>
      <sheetData sheetId="6" refreshError="1">
        <row r="71">
          <cell r="D71" t="str">
            <v>Chart 2.2.  Growth in  Unemployment, Employment &amp; Labour Force, 1999-2010</v>
          </cell>
        </row>
        <row r="72">
          <cell r="D72" t="str">
            <v>United Kingdom</v>
          </cell>
        </row>
        <row r="73">
          <cell r="D73" t="str">
            <v>Total Employment</v>
          </cell>
        </row>
        <row r="108">
          <cell r="D108" t="str">
            <v>Source: CE/IER estimates, F02F9 Forecast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r.a.wilson@warwick.ac.uk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3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5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6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7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8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9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20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21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2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3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4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5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7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8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9.bin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30.bin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31.bin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32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5.bin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6.bin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7.bin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/>
  <dimension ref="A1:J12"/>
  <sheetViews>
    <sheetView workbookViewId="0">
      <selection activeCell="B2" sqref="B2"/>
    </sheetView>
  </sheetViews>
  <sheetFormatPr defaultRowHeight="12.75" x14ac:dyDescent="0.2"/>
  <cols>
    <col min="1" max="1" width="16.42578125" customWidth="1"/>
  </cols>
  <sheetData>
    <row r="1" spans="1:10" x14ac:dyDescent="0.2">
      <c r="B1">
        <v>1</v>
      </c>
      <c r="C1">
        <v>2</v>
      </c>
      <c r="D1">
        <v>3</v>
      </c>
      <c r="E1">
        <v>4</v>
      </c>
      <c r="F1">
        <v>5</v>
      </c>
      <c r="G1">
        <v>6</v>
      </c>
      <c r="H1">
        <v>7</v>
      </c>
      <c r="I1">
        <v>8</v>
      </c>
      <c r="J1">
        <v>9</v>
      </c>
    </row>
    <row r="2" spans="1:10" x14ac:dyDescent="0.2">
      <c r="A2" t="s">
        <v>146</v>
      </c>
      <c r="B2" s="83" t="s">
        <v>524</v>
      </c>
      <c r="C2" t="s">
        <v>508</v>
      </c>
      <c r="D2" t="s">
        <v>507</v>
      </c>
    </row>
    <row r="3" spans="1:10" x14ac:dyDescent="0.2">
      <c r="B3" s="83"/>
    </row>
    <row r="11" spans="1:10" x14ac:dyDescent="0.2">
      <c r="A11" t="s">
        <v>147</v>
      </c>
      <c r="B11" s="83" t="s">
        <v>524</v>
      </c>
    </row>
    <row r="12" spans="1:10" x14ac:dyDescent="0.2">
      <c r="B12" s="83"/>
    </row>
  </sheetData>
  <phoneticPr fontId="4" type="noConversion"/>
  <pageMargins left="0.75" right="0.75" top="1" bottom="1" header="0.5" footer="0.5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9"/>
  <dimension ref="A1:N93"/>
  <sheetViews>
    <sheetView showGridLines="0" tabSelected="1" zoomScale="75" zoomScaleNormal="75" workbookViewId="0"/>
  </sheetViews>
  <sheetFormatPr defaultColWidth="10.42578125" defaultRowHeight="12.75" x14ac:dyDescent="0.2"/>
  <cols>
    <col min="1" max="13" width="11.5703125" style="214" customWidth="1"/>
    <col min="14" max="256" width="10.42578125" style="214"/>
    <col min="257" max="269" width="11.5703125" style="214" customWidth="1"/>
    <col min="270" max="512" width="10.42578125" style="214"/>
    <col min="513" max="525" width="11.5703125" style="214" customWidth="1"/>
    <col min="526" max="768" width="10.42578125" style="214"/>
    <col min="769" max="781" width="11.5703125" style="214" customWidth="1"/>
    <col min="782" max="1024" width="10.42578125" style="214"/>
    <col min="1025" max="1037" width="11.5703125" style="214" customWidth="1"/>
    <col min="1038" max="1280" width="10.42578125" style="214"/>
    <col min="1281" max="1293" width="11.5703125" style="214" customWidth="1"/>
    <col min="1294" max="1536" width="10.42578125" style="214"/>
    <col min="1537" max="1549" width="11.5703125" style="214" customWidth="1"/>
    <col min="1550" max="1792" width="10.42578125" style="214"/>
    <col min="1793" max="1805" width="11.5703125" style="214" customWidth="1"/>
    <col min="1806" max="2048" width="10.42578125" style="214"/>
    <col min="2049" max="2061" width="11.5703125" style="214" customWidth="1"/>
    <col min="2062" max="2304" width="10.42578125" style="214"/>
    <col min="2305" max="2317" width="11.5703125" style="214" customWidth="1"/>
    <col min="2318" max="2560" width="10.42578125" style="214"/>
    <col min="2561" max="2573" width="11.5703125" style="214" customWidth="1"/>
    <col min="2574" max="2816" width="10.42578125" style="214"/>
    <col min="2817" max="2829" width="11.5703125" style="214" customWidth="1"/>
    <col min="2830" max="3072" width="10.42578125" style="214"/>
    <col min="3073" max="3085" width="11.5703125" style="214" customWidth="1"/>
    <col min="3086" max="3328" width="10.42578125" style="214"/>
    <col min="3329" max="3341" width="11.5703125" style="214" customWidth="1"/>
    <col min="3342" max="3584" width="10.42578125" style="214"/>
    <col min="3585" max="3597" width="11.5703125" style="214" customWidth="1"/>
    <col min="3598" max="3840" width="10.42578125" style="214"/>
    <col min="3841" max="3853" width="11.5703125" style="214" customWidth="1"/>
    <col min="3854" max="4096" width="10.42578125" style="214"/>
    <col min="4097" max="4109" width="11.5703125" style="214" customWidth="1"/>
    <col min="4110" max="4352" width="10.42578125" style="214"/>
    <col min="4353" max="4365" width="11.5703125" style="214" customWidth="1"/>
    <col min="4366" max="4608" width="10.42578125" style="214"/>
    <col min="4609" max="4621" width="11.5703125" style="214" customWidth="1"/>
    <col min="4622" max="4864" width="10.42578125" style="214"/>
    <col min="4865" max="4877" width="11.5703125" style="214" customWidth="1"/>
    <col min="4878" max="5120" width="10.42578125" style="214"/>
    <col min="5121" max="5133" width="11.5703125" style="214" customWidth="1"/>
    <col min="5134" max="5376" width="10.42578125" style="214"/>
    <col min="5377" max="5389" width="11.5703125" style="214" customWidth="1"/>
    <col min="5390" max="5632" width="10.42578125" style="214"/>
    <col min="5633" max="5645" width="11.5703125" style="214" customWidth="1"/>
    <col min="5646" max="5888" width="10.42578125" style="214"/>
    <col min="5889" max="5901" width="11.5703125" style="214" customWidth="1"/>
    <col min="5902" max="6144" width="10.42578125" style="214"/>
    <col min="6145" max="6157" width="11.5703125" style="214" customWidth="1"/>
    <col min="6158" max="6400" width="10.42578125" style="214"/>
    <col min="6401" max="6413" width="11.5703125" style="214" customWidth="1"/>
    <col min="6414" max="6656" width="10.42578125" style="214"/>
    <col min="6657" max="6669" width="11.5703125" style="214" customWidth="1"/>
    <col min="6670" max="6912" width="10.42578125" style="214"/>
    <col min="6913" max="6925" width="11.5703125" style="214" customWidth="1"/>
    <col min="6926" max="7168" width="10.42578125" style="214"/>
    <col min="7169" max="7181" width="11.5703125" style="214" customWidth="1"/>
    <col min="7182" max="7424" width="10.42578125" style="214"/>
    <col min="7425" max="7437" width="11.5703125" style="214" customWidth="1"/>
    <col min="7438" max="7680" width="10.42578125" style="214"/>
    <col min="7681" max="7693" width="11.5703125" style="214" customWidth="1"/>
    <col min="7694" max="7936" width="10.42578125" style="214"/>
    <col min="7937" max="7949" width="11.5703125" style="214" customWidth="1"/>
    <col min="7950" max="8192" width="10.42578125" style="214"/>
    <col min="8193" max="8205" width="11.5703125" style="214" customWidth="1"/>
    <col min="8206" max="8448" width="10.42578125" style="214"/>
    <col min="8449" max="8461" width="11.5703125" style="214" customWidth="1"/>
    <col min="8462" max="8704" width="10.42578125" style="214"/>
    <col min="8705" max="8717" width="11.5703125" style="214" customWidth="1"/>
    <col min="8718" max="8960" width="10.42578125" style="214"/>
    <col min="8961" max="8973" width="11.5703125" style="214" customWidth="1"/>
    <col min="8974" max="9216" width="10.42578125" style="214"/>
    <col min="9217" max="9229" width="11.5703125" style="214" customWidth="1"/>
    <col min="9230" max="9472" width="10.42578125" style="214"/>
    <col min="9473" max="9485" width="11.5703125" style="214" customWidth="1"/>
    <col min="9486" max="9728" width="10.42578125" style="214"/>
    <col min="9729" max="9741" width="11.5703125" style="214" customWidth="1"/>
    <col min="9742" max="9984" width="10.42578125" style="214"/>
    <col min="9985" max="9997" width="11.5703125" style="214" customWidth="1"/>
    <col min="9998" max="10240" width="10.42578125" style="214"/>
    <col min="10241" max="10253" width="11.5703125" style="214" customWidth="1"/>
    <col min="10254" max="10496" width="10.42578125" style="214"/>
    <col min="10497" max="10509" width="11.5703125" style="214" customWidth="1"/>
    <col min="10510" max="10752" width="10.42578125" style="214"/>
    <col min="10753" max="10765" width="11.5703125" style="214" customWidth="1"/>
    <col min="10766" max="11008" width="10.42578125" style="214"/>
    <col min="11009" max="11021" width="11.5703125" style="214" customWidth="1"/>
    <col min="11022" max="11264" width="10.42578125" style="214"/>
    <col min="11265" max="11277" width="11.5703125" style="214" customWidth="1"/>
    <col min="11278" max="11520" width="10.42578125" style="214"/>
    <col min="11521" max="11533" width="11.5703125" style="214" customWidth="1"/>
    <col min="11534" max="11776" width="10.42578125" style="214"/>
    <col min="11777" max="11789" width="11.5703125" style="214" customWidth="1"/>
    <col min="11790" max="12032" width="10.42578125" style="214"/>
    <col min="12033" max="12045" width="11.5703125" style="214" customWidth="1"/>
    <col min="12046" max="12288" width="10.42578125" style="214"/>
    <col min="12289" max="12301" width="11.5703125" style="214" customWidth="1"/>
    <col min="12302" max="12544" width="10.42578125" style="214"/>
    <col min="12545" max="12557" width="11.5703125" style="214" customWidth="1"/>
    <col min="12558" max="12800" width="10.42578125" style="214"/>
    <col min="12801" max="12813" width="11.5703125" style="214" customWidth="1"/>
    <col min="12814" max="13056" width="10.42578125" style="214"/>
    <col min="13057" max="13069" width="11.5703125" style="214" customWidth="1"/>
    <col min="13070" max="13312" width="10.42578125" style="214"/>
    <col min="13313" max="13325" width="11.5703125" style="214" customWidth="1"/>
    <col min="13326" max="13568" width="10.42578125" style="214"/>
    <col min="13569" max="13581" width="11.5703125" style="214" customWidth="1"/>
    <col min="13582" max="13824" width="10.42578125" style="214"/>
    <col min="13825" max="13837" width="11.5703125" style="214" customWidth="1"/>
    <col min="13838" max="14080" width="10.42578125" style="214"/>
    <col min="14081" max="14093" width="11.5703125" style="214" customWidth="1"/>
    <col min="14094" max="14336" width="10.42578125" style="214"/>
    <col min="14337" max="14349" width="11.5703125" style="214" customWidth="1"/>
    <col min="14350" max="14592" width="10.42578125" style="214"/>
    <col min="14593" max="14605" width="11.5703125" style="214" customWidth="1"/>
    <col min="14606" max="14848" width="10.42578125" style="214"/>
    <col min="14849" max="14861" width="11.5703125" style="214" customWidth="1"/>
    <col min="14862" max="15104" width="10.42578125" style="214"/>
    <col min="15105" max="15117" width="11.5703125" style="214" customWidth="1"/>
    <col min="15118" max="15360" width="10.42578125" style="214"/>
    <col min="15361" max="15373" width="11.5703125" style="214" customWidth="1"/>
    <col min="15374" max="15616" width="10.42578125" style="214"/>
    <col min="15617" max="15629" width="11.5703125" style="214" customWidth="1"/>
    <col min="15630" max="15872" width="10.42578125" style="214"/>
    <col min="15873" max="15885" width="11.5703125" style="214" customWidth="1"/>
    <col min="15886" max="16128" width="10.42578125" style="214"/>
    <col min="16129" max="16141" width="11.5703125" style="214" customWidth="1"/>
    <col min="16142" max="16384" width="10.42578125" style="214"/>
  </cols>
  <sheetData>
    <row r="1" spans="1:14" x14ac:dyDescent="0.2">
      <c r="A1" s="216"/>
      <c r="B1" s="216"/>
      <c r="C1" s="216"/>
      <c r="D1" s="216"/>
      <c r="E1" s="216"/>
      <c r="F1" s="216"/>
      <c r="G1" s="216"/>
      <c r="H1" s="216"/>
      <c r="I1" s="216"/>
      <c r="J1" s="216"/>
      <c r="K1" s="216"/>
      <c r="L1" s="216"/>
      <c r="M1" s="216"/>
      <c r="N1" s="216"/>
    </row>
    <row r="2" spans="1:14" ht="18.75" customHeight="1" x14ac:dyDescent="0.2">
      <c r="A2" s="216"/>
      <c r="B2" s="216"/>
      <c r="C2" s="216"/>
      <c r="D2" s="216"/>
      <c r="E2" s="216"/>
      <c r="F2" s="368" t="s">
        <v>151</v>
      </c>
      <c r="G2" s="368"/>
      <c r="H2" s="368"/>
      <c r="I2" s="216"/>
      <c r="J2" s="216"/>
      <c r="K2" s="216"/>
      <c r="L2" s="216"/>
      <c r="M2" s="216"/>
      <c r="N2" s="216"/>
    </row>
    <row r="3" spans="1:14" ht="18.75" customHeight="1" x14ac:dyDescent="0.2">
      <c r="A3" s="216"/>
      <c r="B3" s="216"/>
      <c r="C3" s="369" t="s">
        <v>453</v>
      </c>
      <c r="D3" s="369"/>
      <c r="E3" s="369"/>
      <c r="F3" s="369"/>
      <c r="G3" s="369"/>
      <c r="H3" s="369"/>
      <c r="I3" s="369"/>
      <c r="J3" s="369"/>
      <c r="K3" s="369"/>
      <c r="L3" s="216"/>
      <c r="M3" s="216"/>
      <c r="N3" s="216"/>
    </row>
    <row r="4" spans="1:14" ht="18.75" customHeight="1" x14ac:dyDescent="0.2">
      <c r="A4" s="216"/>
      <c r="B4" s="216"/>
      <c r="C4" s="369" t="s">
        <v>454</v>
      </c>
      <c r="D4" s="369"/>
      <c r="E4" s="369"/>
      <c r="F4" s="369"/>
      <c r="G4" s="369"/>
      <c r="H4" s="369"/>
      <c r="I4" s="369"/>
      <c r="J4" s="369"/>
      <c r="K4" s="369"/>
      <c r="L4" s="216"/>
      <c r="M4" s="216"/>
      <c r="N4" s="216"/>
    </row>
    <row r="5" spans="1:14" ht="18.75" customHeight="1" x14ac:dyDescent="0.2">
      <c r="A5" s="216"/>
      <c r="B5" s="216"/>
      <c r="C5" s="216"/>
      <c r="D5" s="216"/>
      <c r="E5" s="216"/>
      <c r="F5" s="216"/>
      <c r="G5" s="356" t="s">
        <v>152</v>
      </c>
      <c r="H5" s="216"/>
      <c r="I5" s="216"/>
      <c r="J5" s="216"/>
      <c r="K5" s="216"/>
      <c r="L5" s="216"/>
      <c r="M5" s="216"/>
      <c r="N5" s="216"/>
    </row>
    <row r="6" spans="1:14" ht="12.75" customHeight="1" x14ac:dyDescent="0.2">
      <c r="A6" s="216"/>
      <c r="B6" s="216"/>
      <c r="C6" s="216"/>
      <c r="D6" s="216"/>
      <c r="E6" s="216"/>
      <c r="F6" s="216"/>
      <c r="G6" s="216"/>
      <c r="H6" s="216"/>
      <c r="I6" s="216"/>
      <c r="J6" s="216"/>
      <c r="K6" s="216"/>
      <c r="L6" s="216"/>
      <c r="M6" s="216"/>
      <c r="N6" s="216"/>
    </row>
    <row r="7" spans="1:14" ht="19.5" customHeight="1" x14ac:dyDescent="0.2">
      <c r="A7" s="216"/>
      <c r="B7" s="216"/>
      <c r="C7" s="370" t="s">
        <v>153</v>
      </c>
      <c r="D7" s="370"/>
      <c r="E7" s="370"/>
      <c r="F7" s="370"/>
      <c r="G7" s="370"/>
      <c r="H7" s="370"/>
      <c r="I7" s="370"/>
      <c r="J7" s="370"/>
      <c r="K7" s="370"/>
      <c r="L7" s="216"/>
      <c r="M7" s="216"/>
      <c r="N7" s="216"/>
    </row>
    <row r="8" spans="1:14" ht="18.75" customHeight="1" x14ac:dyDescent="0.2">
      <c r="A8" s="216"/>
      <c r="B8" s="216"/>
      <c r="C8" s="371" t="s">
        <v>154</v>
      </c>
      <c r="D8" s="371"/>
      <c r="E8" s="371"/>
      <c r="F8" s="371"/>
      <c r="G8" s="371"/>
      <c r="H8" s="371"/>
      <c r="I8" s="371"/>
      <c r="J8" s="371"/>
      <c r="K8" s="371"/>
      <c r="L8" s="216"/>
      <c r="M8" s="216"/>
      <c r="N8" s="216"/>
    </row>
    <row r="9" spans="1:14" ht="18.75" customHeight="1" x14ac:dyDescent="0.2">
      <c r="A9" s="216"/>
      <c r="B9" s="371" t="s">
        <v>155</v>
      </c>
      <c r="C9" s="371"/>
      <c r="D9" s="371"/>
      <c r="E9" s="371"/>
      <c r="F9" s="371"/>
      <c r="G9" s="371"/>
      <c r="H9" s="371"/>
      <c r="I9" s="371"/>
      <c r="J9" s="371"/>
      <c r="K9" s="371"/>
      <c r="L9" s="371"/>
      <c r="M9" s="355"/>
      <c r="N9" s="216"/>
    </row>
    <row r="10" spans="1:14" ht="18.75" customHeight="1" x14ac:dyDescent="0.2">
      <c r="A10" s="216"/>
      <c r="B10" s="355"/>
      <c r="C10" s="355"/>
      <c r="D10" s="355"/>
      <c r="E10" s="355"/>
      <c r="F10" s="355"/>
      <c r="G10" s="355"/>
      <c r="H10" s="355"/>
      <c r="I10" s="355"/>
      <c r="J10" s="355"/>
      <c r="K10" s="355"/>
      <c r="L10" s="355"/>
      <c r="M10" s="355"/>
      <c r="N10" s="216"/>
    </row>
    <row r="11" spans="1:14" x14ac:dyDescent="0.2">
      <c r="A11" s="216"/>
      <c r="B11" s="216"/>
      <c r="C11" s="216"/>
      <c r="D11" s="216"/>
      <c r="E11" s="216"/>
      <c r="F11" s="216"/>
      <c r="G11" s="216"/>
      <c r="H11" s="216"/>
      <c r="I11" s="216"/>
      <c r="J11" s="216"/>
      <c r="K11" s="216"/>
      <c r="L11" s="216"/>
      <c r="M11" s="216"/>
      <c r="N11" s="216"/>
    </row>
    <row r="12" spans="1:14" ht="15.75" x14ac:dyDescent="0.2">
      <c r="A12" s="216"/>
      <c r="B12" s="216"/>
      <c r="C12" s="216"/>
      <c r="D12" s="216"/>
      <c r="E12" s="216"/>
      <c r="F12" s="216"/>
      <c r="G12" s="217" t="s">
        <v>506</v>
      </c>
      <c r="H12" s="216"/>
      <c r="I12" s="216"/>
      <c r="J12" s="216"/>
      <c r="K12" s="216"/>
      <c r="L12" s="216"/>
      <c r="M12" s="216"/>
      <c r="N12" s="216"/>
    </row>
    <row r="13" spans="1:14" x14ac:dyDescent="0.2">
      <c r="A13" s="216"/>
      <c r="B13" s="216"/>
      <c r="C13" s="216"/>
      <c r="D13" s="216"/>
      <c r="E13" s="216"/>
      <c r="F13" s="216"/>
      <c r="G13" s="216"/>
      <c r="H13" s="216"/>
      <c r="I13" s="216"/>
      <c r="J13" s="216"/>
      <c r="K13" s="216"/>
      <c r="L13" s="216"/>
      <c r="M13" s="216"/>
      <c r="N13" s="216"/>
    </row>
    <row r="14" spans="1:14" ht="13.5" thickBot="1" x14ac:dyDescent="0.25">
      <c r="A14" s="216"/>
      <c r="B14" s="216"/>
      <c r="C14" s="216"/>
      <c r="D14" s="216"/>
      <c r="E14" s="216"/>
      <c r="F14" s="216"/>
      <c r="G14" s="216"/>
      <c r="H14" s="216"/>
      <c r="I14" s="216"/>
      <c r="J14" s="216"/>
      <c r="K14" s="216"/>
      <c r="L14" s="216"/>
      <c r="M14" s="216"/>
      <c r="N14" s="216"/>
    </row>
    <row r="15" spans="1:14" ht="15.75" x14ac:dyDescent="0.2">
      <c r="A15" s="218"/>
      <c r="B15" s="219"/>
      <c r="C15" s="220"/>
      <c r="D15" s="220"/>
      <c r="E15" s="220"/>
      <c r="F15" s="220"/>
      <c r="G15" s="221" t="s">
        <v>156</v>
      </c>
      <c r="H15" s="220"/>
      <c r="I15" s="220"/>
      <c r="J15" s="220"/>
      <c r="K15" s="220"/>
      <c r="L15" s="222"/>
      <c r="M15" s="216"/>
      <c r="N15" s="216"/>
    </row>
    <row r="16" spans="1:14" ht="15" x14ac:dyDescent="0.2">
      <c r="A16" s="218"/>
      <c r="B16" s="223"/>
      <c r="C16" s="216"/>
      <c r="D16" s="216"/>
      <c r="E16" s="216"/>
      <c r="F16" s="216"/>
      <c r="G16" s="224" t="s">
        <v>157</v>
      </c>
      <c r="H16" s="216"/>
      <c r="I16" s="216"/>
      <c r="J16" s="216"/>
      <c r="K16" s="216"/>
      <c r="L16" s="225"/>
      <c r="M16" s="216"/>
      <c r="N16" s="216"/>
    </row>
    <row r="17" spans="1:14" ht="15" x14ac:dyDescent="0.2">
      <c r="A17" s="218"/>
      <c r="B17" s="223"/>
      <c r="C17" s="216"/>
      <c r="D17" s="216"/>
      <c r="E17" s="216"/>
      <c r="F17" s="216"/>
      <c r="G17" s="224" t="s">
        <v>158</v>
      </c>
      <c r="H17" s="216"/>
      <c r="I17" s="216"/>
      <c r="J17" s="216"/>
      <c r="K17" s="216"/>
      <c r="L17" s="225"/>
      <c r="M17" s="216"/>
      <c r="N17" s="216"/>
    </row>
    <row r="18" spans="1:14" ht="15" x14ac:dyDescent="0.2">
      <c r="A18" s="218"/>
      <c r="B18" s="223"/>
      <c r="C18" s="216"/>
      <c r="D18" s="216"/>
      <c r="E18" s="216"/>
      <c r="F18" s="216"/>
      <c r="G18" s="224" t="s">
        <v>509</v>
      </c>
      <c r="H18" s="216"/>
      <c r="I18" s="216"/>
      <c r="J18" s="216"/>
      <c r="K18" s="216"/>
      <c r="L18" s="225"/>
      <c r="M18" s="216"/>
      <c r="N18" s="216"/>
    </row>
    <row r="19" spans="1:14" ht="15" x14ac:dyDescent="0.2">
      <c r="A19" s="218"/>
      <c r="B19" s="223"/>
      <c r="C19" s="216"/>
      <c r="D19" s="216"/>
      <c r="E19" s="216"/>
      <c r="F19" s="216"/>
      <c r="G19" s="224"/>
      <c r="H19" s="216"/>
      <c r="I19" s="216"/>
      <c r="J19" s="216"/>
      <c r="K19" s="216"/>
      <c r="L19" s="225"/>
      <c r="M19" s="216"/>
      <c r="N19" s="216"/>
    </row>
    <row r="20" spans="1:14" ht="15" x14ac:dyDescent="0.2">
      <c r="A20" s="218"/>
      <c r="B20" s="223"/>
      <c r="C20" s="216"/>
      <c r="D20" s="216"/>
      <c r="E20" s="216"/>
      <c r="F20" s="216"/>
      <c r="G20" s="224" t="s">
        <v>510</v>
      </c>
      <c r="H20" s="216"/>
      <c r="I20" s="216"/>
      <c r="J20" s="216"/>
      <c r="K20" s="216"/>
      <c r="L20" s="225"/>
      <c r="M20" s="216"/>
      <c r="N20" s="216"/>
    </row>
    <row r="21" spans="1:14" ht="15" x14ac:dyDescent="0.2">
      <c r="A21" s="218"/>
      <c r="B21" s="223"/>
      <c r="C21" s="216"/>
      <c r="D21" s="216"/>
      <c r="E21" s="216"/>
      <c r="F21" s="216"/>
      <c r="G21" s="216"/>
      <c r="H21" s="216"/>
      <c r="I21" s="216"/>
      <c r="J21" s="216"/>
      <c r="K21" s="216"/>
      <c r="L21" s="225"/>
      <c r="M21" s="216"/>
      <c r="N21" s="216"/>
    </row>
    <row r="22" spans="1:14" ht="15" x14ac:dyDescent="0.2">
      <c r="A22" s="218"/>
      <c r="B22" s="223"/>
      <c r="C22" s="216"/>
      <c r="D22" s="216"/>
      <c r="E22" s="216"/>
      <c r="F22" s="216"/>
      <c r="G22" s="357" t="s">
        <v>511</v>
      </c>
      <c r="H22" s="216"/>
      <c r="I22" s="216"/>
      <c r="J22" s="216"/>
      <c r="K22" s="216"/>
      <c r="L22" s="225"/>
      <c r="M22" s="216"/>
      <c r="N22" s="216"/>
    </row>
    <row r="23" spans="1:14" ht="15" x14ac:dyDescent="0.2">
      <c r="A23" s="218"/>
      <c r="B23" s="223"/>
      <c r="C23" s="216"/>
      <c r="D23" s="216"/>
      <c r="E23" s="216"/>
      <c r="F23" s="216"/>
      <c r="G23" s="357" t="s">
        <v>455</v>
      </c>
      <c r="H23" s="216"/>
      <c r="I23" s="216"/>
      <c r="J23" s="216"/>
      <c r="K23" s="216"/>
      <c r="L23" s="225"/>
      <c r="M23" s="216"/>
      <c r="N23" s="216"/>
    </row>
    <row r="24" spans="1:14" ht="15" x14ac:dyDescent="0.2">
      <c r="A24" s="218"/>
      <c r="B24" s="223"/>
      <c r="C24" s="216"/>
      <c r="D24" s="216"/>
      <c r="E24" s="216"/>
      <c r="F24" s="216"/>
      <c r="G24" s="357" t="s">
        <v>456</v>
      </c>
      <c r="H24" s="216"/>
      <c r="I24" s="216"/>
      <c r="J24" s="216"/>
      <c r="K24" s="216"/>
      <c r="L24" s="225"/>
      <c r="M24" s="216"/>
      <c r="N24" s="216"/>
    </row>
    <row r="25" spans="1:14" ht="15" x14ac:dyDescent="0.2">
      <c r="A25" s="218"/>
      <c r="B25" s="223"/>
      <c r="C25" s="216"/>
      <c r="D25" s="216"/>
      <c r="E25" s="216"/>
      <c r="F25" s="216"/>
      <c r="G25" s="227"/>
      <c r="H25" s="216"/>
      <c r="I25" s="216"/>
      <c r="J25" s="216"/>
      <c r="K25" s="216"/>
      <c r="L25" s="225"/>
      <c r="M25" s="216"/>
      <c r="N25" s="216"/>
    </row>
    <row r="26" spans="1:14" ht="15" x14ac:dyDescent="0.2">
      <c r="A26" s="218"/>
      <c r="B26" s="223"/>
      <c r="C26" s="216"/>
      <c r="D26" s="216"/>
      <c r="E26" s="216"/>
      <c r="F26" s="216"/>
      <c r="G26" s="224" t="s">
        <v>161</v>
      </c>
      <c r="H26" s="216"/>
      <c r="I26" s="216"/>
      <c r="J26" s="216"/>
      <c r="K26" s="216"/>
      <c r="L26" s="225"/>
      <c r="M26" s="216"/>
      <c r="N26" s="216"/>
    </row>
    <row r="27" spans="1:14" ht="15" x14ac:dyDescent="0.2">
      <c r="A27" s="218"/>
      <c r="B27" s="223"/>
      <c r="C27" s="216"/>
      <c r="D27" s="216"/>
      <c r="E27" s="216"/>
      <c r="F27" s="216"/>
      <c r="G27" s="224" t="s">
        <v>457</v>
      </c>
      <c r="H27" s="216"/>
      <c r="I27" s="216"/>
      <c r="J27" s="216"/>
      <c r="K27" s="216"/>
      <c r="L27" s="225"/>
      <c r="M27" s="216"/>
      <c r="N27" s="216"/>
    </row>
    <row r="28" spans="1:14" ht="15" x14ac:dyDescent="0.2">
      <c r="A28" s="218"/>
      <c r="B28" s="223"/>
      <c r="C28" s="216"/>
      <c r="D28" s="216"/>
      <c r="E28" s="216"/>
      <c r="F28" s="216"/>
      <c r="G28" s="357" t="s">
        <v>458</v>
      </c>
      <c r="H28" s="216"/>
      <c r="I28" s="216"/>
      <c r="J28" s="216"/>
      <c r="K28" s="216"/>
      <c r="L28" s="225"/>
      <c r="M28" s="216"/>
      <c r="N28" s="216"/>
    </row>
    <row r="29" spans="1:14" ht="15" x14ac:dyDescent="0.2">
      <c r="A29" s="218"/>
      <c r="B29" s="223"/>
      <c r="C29" s="216"/>
      <c r="D29" s="216"/>
      <c r="E29" s="216"/>
      <c r="F29" s="216"/>
      <c r="G29" s="224" t="s">
        <v>162</v>
      </c>
      <c r="H29" s="216"/>
      <c r="I29" s="216"/>
      <c r="J29" s="216"/>
      <c r="K29" s="216"/>
      <c r="L29" s="225"/>
      <c r="M29" s="216"/>
      <c r="N29" s="216"/>
    </row>
    <row r="30" spans="1:14" ht="15" x14ac:dyDescent="0.2">
      <c r="A30" s="218"/>
      <c r="B30" s="223"/>
      <c r="C30" s="216"/>
      <c r="D30" s="216"/>
      <c r="E30" s="216"/>
      <c r="F30" s="216"/>
      <c r="G30" s="224" t="s">
        <v>163</v>
      </c>
      <c r="H30" s="216"/>
      <c r="I30" s="216"/>
      <c r="J30" s="216"/>
      <c r="K30" s="216"/>
      <c r="L30" s="225"/>
      <c r="M30" s="216"/>
      <c r="N30" s="216"/>
    </row>
    <row r="31" spans="1:14" ht="15" x14ac:dyDescent="0.2">
      <c r="A31" s="218"/>
      <c r="B31" s="223"/>
      <c r="C31" s="216"/>
      <c r="D31" s="216"/>
      <c r="E31" s="216"/>
      <c r="F31" s="216"/>
      <c r="G31" s="216"/>
      <c r="H31" s="216"/>
      <c r="I31" s="216"/>
      <c r="J31" s="216"/>
      <c r="K31" s="216"/>
      <c r="L31" s="225"/>
      <c r="M31" s="216"/>
      <c r="N31" s="216"/>
    </row>
    <row r="32" spans="1:14" ht="15" x14ac:dyDescent="0.2">
      <c r="A32" s="218"/>
      <c r="B32" s="223"/>
      <c r="C32" s="216"/>
      <c r="D32" s="216"/>
      <c r="E32" s="216"/>
      <c r="F32" s="216"/>
      <c r="G32" s="224" t="s">
        <v>159</v>
      </c>
      <c r="H32" s="216"/>
      <c r="I32" s="216"/>
      <c r="J32" s="216"/>
      <c r="K32" s="216"/>
      <c r="L32" s="225"/>
      <c r="M32" s="216"/>
      <c r="N32" s="216"/>
    </row>
    <row r="33" spans="1:14" ht="15" x14ac:dyDescent="0.2">
      <c r="A33" s="218"/>
      <c r="B33" s="223"/>
      <c r="C33" s="216"/>
      <c r="D33" s="216"/>
      <c r="E33" s="216"/>
      <c r="F33" s="216"/>
      <c r="G33" s="357" t="s">
        <v>459</v>
      </c>
      <c r="H33" s="216"/>
      <c r="I33" s="216"/>
      <c r="J33" s="216"/>
      <c r="K33" s="216"/>
      <c r="L33" s="225"/>
      <c r="M33" s="216"/>
      <c r="N33" s="216"/>
    </row>
    <row r="34" spans="1:14" ht="15" x14ac:dyDescent="0.2">
      <c r="A34" s="218"/>
      <c r="B34" s="223"/>
      <c r="C34" s="216"/>
      <c r="D34" s="216"/>
      <c r="E34" s="216"/>
      <c r="F34" s="216"/>
      <c r="G34" s="224" t="s">
        <v>160</v>
      </c>
      <c r="H34" s="216"/>
      <c r="I34" s="216"/>
      <c r="J34" s="216"/>
      <c r="K34" s="216"/>
      <c r="L34" s="225"/>
      <c r="M34" s="216"/>
      <c r="N34" s="216"/>
    </row>
    <row r="35" spans="1:14" ht="15" x14ac:dyDescent="0.2">
      <c r="A35" s="218"/>
      <c r="B35" s="223"/>
      <c r="C35" s="216"/>
      <c r="D35" s="216"/>
      <c r="E35" s="216"/>
      <c r="F35" s="216"/>
      <c r="G35" s="216"/>
      <c r="H35" s="216"/>
      <c r="I35" s="216"/>
      <c r="J35" s="216"/>
      <c r="K35" s="216"/>
      <c r="L35" s="225"/>
      <c r="M35" s="216"/>
      <c r="N35" s="216"/>
    </row>
    <row r="36" spans="1:14" ht="15.75" x14ac:dyDescent="0.2">
      <c r="A36" s="218"/>
      <c r="B36" s="226"/>
      <c r="C36" s="216"/>
      <c r="D36" s="216"/>
      <c r="E36" s="216"/>
      <c r="F36" s="216"/>
      <c r="G36" s="224" t="s">
        <v>512</v>
      </c>
      <c r="H36" s="216"/>
      <c r="I36" s="216"/>
      <c r="J36" s="216"/>
      <c r="K36" s="216"/>
      <c r="L36" s="225"/>
      <c r="M36" s="216"/>
      <c r="N36" s="216"/>
    </row>
    <row r="37" spans="1:14" ht="15.75" x14ac:dyDescent="0.2">
      <c r="A37" s="218"/>
      <c r="B37" s="226"/>
      <c r="C37" s="216"/>
      <c r="D37" s="216"/>
      <c r="E37" s="216"/>
      <c r="F37" s="216"/>
      <c r="G37" s="216"/>
      <c r="H37" s="216"/>
      <c r="I37" s="216"/>
      <c r="J37" s="216"/>
      <c r="K37" s="216"/>
      <c r="L37" s="225"/>
      <c r="M37" s="216"/>
      <c r="N37" s="216"/>
    </row>
    <row r="38" spans="1:14" ht="15" x14ac:dyDescent="0.2">
      <c r="A38" s="216"/>
      <c r="B38" s="359"/>
      <c r="C38" s="215"/>
      <c r="D38" s="215"/>
      <c r="E38" s="215"/>
      <c r="F38" s="215"/>
      <c r="G38" s="224" t="s">
        <v>164</v>
      </c>
      <c r="H38" s="215"/>
      <c r="I38" s="215"/>
      <c r="J38" s="215"/>
      <c r="K38" s="215"/>
      <c r="L38" s="225"/>
      <c r="M38" s="216"/>
      <c r="N38" s="216"/>
    </row>
    <row r="39" spans="1:14" ht="15" x14ac:dyDescent="0.2">
      <c r="A39" s="216"/>
      <c r="B39" s="360"/>
      <c r="C39" s="216"/>
      <c r="D39" s="216"/>
      <c r="E39" s="216"/>
      <c r="F39" s="216"/>
      <c r="G39" s="224" t="s">
        <v>165</v>
      </c>
      <c r="H39" s="216"/>
      <c r="I39" s="216"/>
      <c r="J39" s="216"/>
      <c r="K39" s="216"/>
      <c r="L39" s="218"/>
      <c r="M39" s="216"/>
      <c r="N39" s="216"/>
    </row>
    <row r="40" spans="1:14" ht="13.5" thickBot="1" x14ac:dyDescent="0.25">
      <c r="A40" s="216"/>
      <c r="B40" s="361"/>
      <c r="C40" s="362"/>
      <c r="D40" s="362"/>
      <c r="E40" s="362"/>
      <c r="F40" s="362"/>
      <c r="G40" s="362"/>
      <c r="H40" s="362"/>
      <c r="I40" s="362"/>
      <c r="J40" s="362"/>
      <c r="K40" s="362"/>
      <c r="L40" s="363"/>
      <c r="M40" s="216"/>
      <c r="N40" s="216"/>
    </row>
    <row r="41" spans="1:14" x14ac:dyDescent="0.2">
      <c r="A41" s="367"/>
      <c r="B41" s="367"/>
      <c r="C41" s="367"/>
      <c r="D41" s="367"/>
      <c r="E41" s="367"/>
      <c r="F41" s="367"/>
      <c r="G41" s="367"/>
      <c r="H41" s="366"/>
      <c r="I41" s="366"/>
      <c r="J41" s="366"/>
      <c r="K41" s="366"/>
      <c r="L41" s="366"/>
      <c r="M41" s="366"/>
      <c r="N41" s="366"/>
    </row>
    <row r="42" spans="1:14" x14ac:dyDescent="0.2">
      <c r="A42" s="367"/>
      <c r="B42" s="367"/>
      <c r="C42" s="367"/>
      <c r="D42" s="367"/>
      <c r="E42" s="367"/>
      <c r="F42" s="367"/>
      <c r="G42" s="367"/>
      <c r="H42" s="366"/>
      <c r="I42" s="366"/>
      <c r="J42" s="366"/>
      <c r="K42" s="366"/>
      <c r="L42" s="366"/>
      <c r="M42" s="366"/>
      <c r="N42" s="366"/>
    </row>
    <row r="43" spans="1:14" x14ac:dyDescent="0.2">
      <c r="A43" s="227"/>
      <c r="B43" s="227"/>
      <c r="C43" s="227"/>
      <c r="D43" s="227"/>
      <c r="E43" s="227"/>
      <c r="F43" s="227"/>
      <c r="G43" s="227"/>
      <c r="H43" s="366"/>
      <c r="I43" s="366"/>
      <c r="J43" s="366"/>
      <c r="K43" s="366"/>
      <c r="L43" s="366"/>
      <c r="M43" s="366"/>
      <c r="N43" s="366"/>
    </row>
    <row r="44" spans="1:14" x14ac:dyDescent="0.2">
      <c r="A44" s="227"/>
      <c r="B44" s="227"/>
      <c r="C44" s="227"/>
      <c r="D44" s="227"/>
      <c r="E44" s="227"/>
      <c r="F44" s="227"/>
      <c r="G44" s="227"/>
      <c r="H44" s="366"/>
      <c r="I44" s="366"/>
      <c r="J44" s="366"/>
      <c r="K44" s="366"/>
      <c r="L44" s="366"/>
      <c r="M44" s="366"/>
      <c r="N44" s="366"/>
    </row>
    <row r="45" spans="1:14" x14ac:dyDescent="0.2">
      <c r="A45" s="227"/>
      <c r="B45" s="227"/>
      <c r="C45" s="227"/>
      <c r="D45" s="227"/>
      <c r="E45" s="227"/>
      <c r="F45" s="227"/>
      <c r="G45" s="227"/>
      <c r="H45" s="366"/>
      <c r="I45" s="366"/>
      <c r="J45" s="366"/>
      <c r="K45" s="366"/>
      <c r="L45" s="366"/>
      <c r="M45" s="366"/>
      <c r="N45" s="366"/>
    </row>
    <row r="46" spans="1:14" x14ac:dyDescent="0.2">
      <c r="A46" s="227"/>
      <c r="B46" s="227"/>
      <c r="C46" s="227"/>
      <c r="D46" s="227"/>
      <c r="E46" s="227"/>
      <c r="F46" s="227"/>
      <c r="G46" s="227"/>
      <c r="H46" s="366"/>
      <c r="I46" s="366"/>
      <c r="J46" s="366"/>
      <c r="K46" s="366"/>
      <c r="L46" s="366"/>
      <c r="M46" s="366"/>
      <c r="N46" s="366"/>
    </row>
    <row r="47" spans="1:14" x14ac:dyDescent="0.2">
      <c r="A47" s="227"/>
      <c r="B47" s="227"/>
      <c r="C47" s="227"/>
      <c r="D47" s="227"/>
      <c r="E47" s="227"/>
      <c r="F47" s="227"/>
      <c r="G47" s="227"/>
      <c r="H47" s="366"/>
      <c r="I47" s="366"/>
      <c r="J47" s="366"/>
      <c r="K47" s="366"/>
      <c r="L47" s="366"/>
      <c r="M47" s="366"/>
      <c r="N47" s="366"/>
    </row>
    <row r="48" spans="1:14" x14ac:dyDescent="0.2">
      <c r="A48" s="227"/>
      <c r="B48" s="227"/>
      <c r="C48" s="227"/>
      <c r="D48" s="227"/>
      <c r="E48" s="227"/>
      <c r="F48" s="227"/>
      <c r="G48" s="227"/>
      <c r="H48" s="366"/>
      <c r="I48" s="366"/>
      <c r="J48" s="366"/>
      <c r="K48" s="366"/>
      <c r="L48" s="366"/>
      <c r="M48" s="366"/>
      <c r="N48" s="366"/>
    </row>
    <row r="49" spans="1:14" x14ac:dyDescent="0.2">
      <c r="A49" s="227"/>
      <c r="B49" s="227"/>
      <c r="C49" s="227"/>
      <c r="D49" s="227"/>
      <c r="E49" s="227"/>
      <c r="F49" s="227"/>
      <c r="G49" s="227"/>
      <c r="H49" s="366"/>
      <c r="I49" s="366"/>
      <c r="J49" s="366"/>
      <c r="K49" s="366"/>
      <c r="L49" s="366"/>
      <c r="M49" s="366"/>
      <c r="N49" s="366"/>
    </row>
    <row r="50" spans="1:14" x14ac:dyDescent="0.2">
      <c r="A50" s="227"/>
      <c r="B50" s="227"/>
      <c r="C50" s="227"/>
      <c r="D50" s="227"/>
      <c r="E50" s="227"/>
      <c r="F50" s="227"/>
      <c r="G50" s="227"/>
      <c r="H50" s="366"/>
      <c r="I50" s="366"/>
      <c r="J50" s="366"/>
      <c r="K50" s="366"/>
      <c r="L50" s="366"/>
      <c r="M50" s="366"/>
      <c r="N50" s="366"/>
    </row>
    <row r="51" spans="1:14" x14ac:dyDescent="0.2">
      <c r="A51" s="227"/>
      <c r="B51" s="227"/>
      <c r="C51" s="227"/>
      <c r="D51" s="227"/>
      <c r="E51" s="227"/>
      <c r="F51" s="227"/>
      <c r="G51" s="227"/>
      <c r="H51" s="366"/>
      <c r="I51" s="366"/>
      <c r="J51" s="366"/>
      <c r="K51" s="366"/>
      <c r="L51" s="366"/>
      <c r="M51" s="366"/>
      <c r="N51" s="366"/>
    </row>
    <row r="52" spans="1:14" x14ac:dyDescent="0.2">
      <c r="A52" s="227"/>
      <c r="B52" s="227"/>
      <c r="C52" s="227"/>
      <c r="D52" s="227"/>
      <c r="E52" s="227"/>
      <c r="F52" s="227"/>
      <c r="G52" s="227"/>
      <c r="H52" s="366"/>
      <c r="I52" s="366"/>
      <c r="J52" s="366"/>
      <c r="K52" s="366"/>
      <c r="L52" s="366"/>
      <c r="M52" s="366"/>
      <c r="N52" s="366"/>
    </row>
    <row r="53" spans="1:14" x14ac:dyDescent="0.2">
      <c r="A53" s="227"/>
      <c r="B53" s="227"/>
      <c r="C53" s="227"/>
      <c r="D53" s="227"/>
      <c r="E53" s="227"/>
      <c r="F53" s="227"/>
      <c r="G53" s="227"/>
      <c r="H53" s="366"/>
      <c r="I53" s="366"/>
      <c r="J53" s="366"/>
      <c r="K53" s="366"/>
      <c r="L53" s="366"/>
      <c r="M53" s="366"/>
      <c r="N53" s="366"/>
    </row>
    <row r="54" spans="1:14" x14ac:dyDescent="0.2">
      <c r="A54" s="227"/>
      <c r="B54" s="227"/>
      <c r="C54" s="227"/>
      <c r="D54" s="227"/>
      <c r="E54" s="227"/>
      <c r="F54" s="227"/>
      <c r="G54" s="227"/>
      <c r="H54" s="366"/>
      <c r="I54" s="366"/>
      <c r="J54" s="366"/>
      <c r="K54" s="366"/>
      <c r="L54" s="366"/>
      <c r="M54" s="366"/>
      <c r="N54" s="366"/>
    </row>
    <row r="55" spans="1:14" x14ac:dyDescent="0.2">
      <c r="A55" s="227"/>
      <c r="B55" s="227"/>
      <c r="C55" s="227"/>
      <c r="D55" s="227"/>
      <c r="E55" s="227"/>
      <c r="F55" s="227"/>
      <c r="G55" s="227"/>
      <c r="H55" s="366"/>
      <c r="I55" s="366"/>
      <c r="J55" s="366"/>
      <c r="K55" s="366"/>
      <c r="L55" s="366"/>
      <c r="M55" s="366"/>
      <c r="N55" s="366"/>
    </row>
    <row r="56" spans="1:14" x14ac:dyDescent="0.2">
      <c r="A56" s="227"/>
      <c r="B56" s="227"/>
      <c r="C56" s="227"/>
      <c r="D56" s="227"/>
      <c r="E56" s="227"/>
      <c r="F56" s="227"/>
      <c r="G56" s="227"/>
      <c r="H56" s="366"/>
      <c r="I56" s="366"/>
      <c r="J56" s="366"/>
      <c r="K56" s="366"/>
      <c r="L56" s="366"/>
      <c r="M56" s="366"/>
      <c r="N56" s="366"/>
    </row>
    <row r="57" spans="1:14" x14ac:dyDescent="0.2">
      <c r="A57" s="227"/>
      <c r="B57" s="227"/>
      <c r="C57" s="227"/>
      <c r="D57" s="227"/>
      <c r="E57" s="227"/>
      <c r="F57" s="227"/>
      <c r="G57" s="227"/>
      <c r="H57" s="366"/>
      <c r="I57" s="366"/>
      <c r="J57" s="366"/>
      <c r="K57" s="366"/>
      <c r="L57" s="366"/>
      <c r="M57" s="366"/>
      <c r="N57" s="366"/>
    </row>
    <row r="58" spans="1:14" x14ac:dyDescent="0.2">
      <c r="A58" s="227"/>
      <c r="B58" s="227"/>
      <c r="C58" s="227"/>
      <c r="D58" s="227"/>
      <c r="E58" s="227"/>
      <c r="F58" s="227"/>
      <c r="G58" s="227"/>
      <c r="H58" s="366"/>
      <c r="I58" s="366"/>
      <c r="J58" s="366"/>
      <c r="K58" s="366"/>
      <c r="L58" s="366"/>
      <c r="M58" s="366"/>
      <c r="N58" s="366"/>
    </row>
    <row r="59" spans="1:14" x14ac:dyDescent="0.2">
      <c r="A59" s="227"/>
      <c r="B59" s="227"/>
      <c r="C59" s="227"/>
      <c r="D59" s="227"/>
      <c r="E59" s="227"/>
      <c r="F59" s="227"/>
      <c r="G59" s="227"/>
      <c r="H59" s="366"/>
      <c r="I59" s="366"/>
      <c r="J59" s="366"/>
      <c r="K59" s="366"/>
      <c r="L59" s="366"/>
      <c r="M59" s="366"/>
      <c r="N59" s="366"/>
    </row>
    <row r="60" spans="1:14" x14ac:dyDescent="0.2">
      <c r="A60" s="227"/>
      <c r="B60" s="227"/>
      <c r="C60" s="227"/>
      <c r="D60" s="227"/>
      <c r="E60" s="227"/>
      <c r="F60" s="227"/>
      <c r="G60" s="227"/>
      <c r="H60" s="366"/>
      <c r="I60" s="366"/>
      <c r="J60" s="366"/>
      <c r="K60" s="366"/>
      <c r="L60" s="366"/>
      <c r="M60" s="366"/>
      <c r="N60" s="366"/>
    </row>
    <row r="61" spans="1:14" x14ac:dyDescent="0.2">
      <c r="A61" s="227"/>
      <c r="B61" s="227"/>
      <c r="C61" s="227"/>
      <c r="D61" s="227"/>
      <c r="E61" s="227"/>
      <c r="F61" s="227"/>
      <c r="G61" s="227"/>
      <c r="H61" s="366"/>
      <c r="I61" s="366"/>
      <c r="J61" s="366"/>
      <c r="K61" s="366"/>
      <c r="L61" s="366"/>
      <c r="M61" s="366"/>
      <c r="N61" s="366"/>
    </row>
    <row r="62" spans="1:14" x14ac:dyDescent="0.2">
      <c r="A62" s="227"/>
      <c r="B62" s="227"/>
      <c r="C62" s="227"/>
      <c r="D62" s="227"/>
      <c r="E62" s="227"/>
      <c r="F62" s="227"/>
      <c r="G62" s="227"/>
      <c r="H62" s="366"/>
      <c r="I62" s="366"/>
      <c r="J62" s="366"/>
      <c r="K62" s="366"/>
      <c r="L62" s="366"/>
      <c r="M62" s="366"/>
      <c r="N62" s="366"/>
    </row>
    <row r="63" spans="1:14" x14ac:dyDescent="0.2">
      <c r="A63" s="227"/>
      <c r="B63" s="227"/>
      <c r="C63" s="227"/>
      <c r="D63" s="227"/>
      <c r="E63" s="227"/>
      <c r="F63" s="227"/>
      <c r="G63" s="227"/>
      <c r="H63" s="366"/>
      <c r="I63" s="366"/>
      <c r="J63" s="366"/>
      <c r="K63" s="366"/>
      <c r="L63" s="366"/>
      <c r="M63" s="366"/>
      <c r="N63" s="366"/>
    </row>
    <row r="64" spans="1:14" x14ac:dyDescent="0.2">
      <c r="A64" s="227"/>
      <c r="B64" s="227"/>
      <c r="C64" s="227"/>
      <c r="D64" s="227"/>
      <c r="E64" s="227"/>
      <c r="F64" s="227"/>
      <c r="G64" s="227"/>
      <c r="H64" s="366"/>
      <c r="I64" s="366"/>
      <c r="J64" s="366"/>
      <c r="K64" s="366"/>
      <c r="L64" s="366"/>
      <c r="M64" s="366"/>
      <c r="N64" s="366"/>
    </row>
    <row r="65" spans="1:14" x14ac:dyDescent="0.2">
      <c r="A65" s="227"/>
      <c r="B65" s="227"/>
      <c r="C65" s="227"/>
      <c r="D65" s="227"/>
      <c r="E65" s="227"/>
      <c r="F65" s="227"/>
      <c r="G65" s="227"/>
      <c r="H65" s="366"/>
      <c r="I65" s="366"/>
      <c r="J65" s="366"/>
      <c r="K65" s="366"/>
      <c r="L65" s="366"/>
      <c r="M65" s="366"/>
      <c r="N65" s="366"/>
    </row>
    <row r="66" spans="1:14" x14ac:dyDescent="0.2">
      <c r="A66" s="227"/>
      <c r="B66" s="227"/>
      <c r="C66" s="227"/>
      <c r="D66" s="227"/>
      <c r="E66" s="227"/>
      <c r="F66" s="227"/>
      <c r="G66" s="227"/>
      <c r="H66" s="366"/>
      <c r="I66" s="366"/>
      <c r="J66" s="366"/>
      <c r="K66" s="366"/>
      <c r="L66" s="366"/>
      <c r="M66" s="366"/>
      <c r="N66" s="366"/>
    </row>
    <row r="67" spans="1:14" x14ac:dyDescent="0.2">
      <c r="A67" s="227"/>
      <c r="B67" s="227"/>
      <c r="C67" s="227"/>
      <c r="D67" s="227"/>
      <c r="E67" s="227"/>
      <c r="F67" s="227"/>
      <c r="G67" s="227"/>
      <c r="H67" s="366"/>
      <c r="I67" s="366"/>
      <c r="J67" s="366"/>
      <c r="K67" s="366"/>
      <c r="L67" s="366"/>
      <c r="M67" s="366"/>
      <c r="N67" s="366"/>
    </row>
    <row r="68" spans="1:14" x14ac:dyDescent="0.2">
      <c r="A68" s="227"/>
      <c r="B68" s="227"/>
      <c r="C68" s="227"/>
      <c r="D68" s="227"/>
      <c r="E68" s="227"/>
      <c r="F68" s="227"/>
      <c r="G68" s="227"/>
      <c r="H68" s="366"/>
      <c r="I68" s="366"/>
      <c r="J68" s="366"/>
      <c r="K68" s="366"/>
      <c r="L68" s="366"/>
      <c r="M68" s="366"/>
      <c r="N68" s="366"/>
    </row>
    <row r="69" spans="1:14" x14ac:dyDescent="0.2">
      <c r="A69" s="227"/>
      <c r="B69" s="227"/>
      <c r="C69" s="227"/>
      <c r="D69" s="227"/>
      <c r="E69" s="227"/>
      <c r="F69" s="227"/>
      <c r="G69" s="227"/>
      <c r="H69" s="366"/>
      <c r="I69" s="366"/>
      <c r="J69" s="366"/>
      <c r="K69" s="366"/>
      <c r="L69" s="366"/>
      <c r="M69" s="366"/>
      <c r="N69" s="366"/>
    </row>
    <row r="70" spans="1:14" x14ac:dyDescent="0.2">
      <c r="A70" s="227"/>
      <c r="B70" s="227"/>
      <c r="C70" s="227"/>
      <c r="D70" s="227"/>
      <c r="E70" s="227"/>
      <c r="F70" s="227"/>
      <c r="G70" s="227"/>
      <c r="H70" s="366"/>
      <c r="I70" s="366"/>
      <c r="J70" s="366"/>
      <c r="K70" s="366"/>
      <c r="L70" s="366"/>
      <c r="M70" s="366"/>
      <c r="N70" s="366"/>
    </row>
    <row r="71" spans="1:14" x14ac:dyDescent="0.2">
      <c r="A71" s="227"/>
      <c r="B71" s="227"/>
      <c r="C71" s="227"/>
      <c r="D71" s="227"/>
      <c r="E71" s="227"/>
      <c r="F71" s="227"/>
      <c r="G71" s="227"/>
      <c r="H71" s="366"/>
      <c r="I71" s="366"/>
      <c r="J71" s="366"/>
      <c r="K71" s="366"/>
      <c r="L71" s="366"/>
      <c r="M71" s="366"/>
      <c r="N71" s="366"/>
    </row>
    <row r="72" spans="1:14" x14ac:dyDescent="0.2">
      <c r="A72" s="227"/>
      <c r="B72" s="227"/>
      <c r="C72" s="227"/>
      <c r="D72" s="227"/>
      <c r="E72" s="227"/>
      <c r="F72" s="227"/>
      <c r="G72" s="227"/>
      <c r="H72" s="366"/>
      <c r="I72" s="366"/>
      <c r="J72" s="366"/>
      <c r="K72" s="366"/>
      <c r="L72" s="366"/>
      <c r="M72" s="366"/>
      <c r="N72" s="366"/>
    </row>
    <row r="73" spans="1:14" x14ac:dyDescent="0.2">
      <c r="A73" s="227"/>
      <c r="B73" s="227"/>
      <c r="C73" s="227"/>
      <c r="D73" s="227"/>
      <c r="E73" s="227"/>
      <c r="F73" s="227"/>
      <c r="G73" s="227"/>
      <c r="H73" s="366"/>
      <c r="I73" s="366"/>
      <c r="J73" s="366"/>
      <c r="K73" s="366"/>
      <c r="L73" s="366"/>
      <c r="M73" s="366"/>
      <c r="N73" s="366"/>
    </row>
    <row r="74" spans="1:14" x14ac:dyDescent="0.2">
      <c r="A74" s="227"/>
      <c r="B74" s="227"/>
      <c r="C74" s="227"/>
      <c r="D74" s="227"/>
      <c r="E74" s="227"/>
      <c r="F74" s="227"/>
      <c r="G74" s="227"/>
      <c r="H74" s="366"/>
      <c r="I74" s="366"/>
      <c r="J74" s="366"/>
      <c r="K74" s="366"/>
      <c r="L74" s="366"/>
      <c r="M74" s="366"/>
      <c r="N74" s="366"/>
    </row>
    <row r="75" spans="1:14" x14ac:dyDescent="0.2">
      <c r="A75" s="227"/>
      <c r="B75" s="227"/>
      <c r="C75" s="227"/>
      <c r="D75" s="227"/>
      <c r="E75" s="227"/>
      <c r="F75" s="227"/>
      <c r="G75" s="227"/>
      <c r="H75" s="366"/>
      <c r="I75" s="366"/>
      <c r="J75" s="366"/>
      <c r="K75" s="366"/>
      <c r="L75" s="366"/>
      <c r="M75" s="366"/>
      <c r="N75" s="366"/>
    </row>
    <row r="76" spans="1:14" x14ac:dyDescent="0.2">
      <c r="A76" s="227"/>
      <c r="B76" s="227"/>
      <c r="C76" s="227"/>
      <c r="D76" s="227"/>
      <c r="E76" s="227"/>
      <c r="F76" s="227"/>
      <c r="G76" s="227"/>
      <c r="H76" s="366"/>
      <c r="I76" s="366"/>
      <c r="J76" s="366"/>
      <c r="K76" s="366"/>
      <c r="L76" s="366"/>
      <c r="M76" s="366"/>
      <c r="N76" s="366"/>
    </row>
    <row r="77" spans="1:14" x14ac:dyDescent="0.2">
      <c r="A77" s="227"/>
      <c r="B77" s="227"/>
      <c r="C77" s="227"/>
      <c r="D77" s="227"/>
      <c r="E77" s="227"/>
      <c r="F77" s="227"/>
      <c r="G77" s="227"/>
      <c r="H77" s="366"/>
      <c r="I77" s="366"/>
      <c r="J77" s="366"/>
      <c r="K77" s="366"/>
      <c r="L77" s="366"/>
      <c r="M77" s="366"/>
      <c r="N77" s="366"/>
    </row>
    <row r="78" spans="1:14" x14ac:dyDescent="0.2">
      <c r="A78" s="227"/>
      <c r="B78" s="227"/>
      <c r="C78" s="227"/>
      <c r="D78" s="227"/>
      <c r="E78" s="227"/>
      <c r="F78" s="227"/>
      <c r="G78" s="227"/>
      <c r="H78" s="366"/>
      <c r="I78" s="366"/>
      <c r="J78" s="366"/>
      <c r="K78" s="366"/>
      <c r="L78" s="366"/>
      <c r="M78" s="366"/>
      <c r="N78" s="366"/>
    </row>
    <row r="79" spans="1:14" x14ac:dyDescent="0.2">
      <c r="A79" s="227"/>
      <c r="B79" s="227"/>
      <c r="C79" s="227"/>
      <c r="D79" s="227"/>
      <c r="E79" s="227"/>
      <c r="F79" s="227"/>
      <c r="G79" s="227"/>
      <c r="H79" s="366"/>
      <c r="I79" s="366"/>
      <c r="J79" s="366"/>
      <c r="K79" s="366"/>
      <c r="L79" s="366"/>
      <c r="M79" s="366"/>
      <c r="N79" s="366"/>
    </row>
    <row r="80" spans="1:14" x14ac:dyDescent="0.2">
      <c r="A80" s="227"/>
      <c r="B80" s="227"/>
      <c r="C80" s="227"/>
      <c r="D80" s="227"/>
      <c r="E80" s="227"/>
      <c r="F80" s="227"/>
      <c r="G80" s="227"/>
      <c r="H80" s="366"/>
      <c r="I80" s="366"/>
      <c r="J80" s="366"/>
      <c r="K80" s="366"/>
      <c r="L80" s="366"/>
      <c r="M80" s="366"/>
      <c r="N80" s="366"/>
    </row>
    <row r="81" spans="1:14" x14ac:dyDescent="0.2">
      <c r="A81" s="227"/>
      <c r="B81" s="227"/>
      <c r="C81" s="227"/>
      <c r="D81" s="227"/>
      <c r="E81" s="227"/>
      <c r="F81" s="227"/>
      <c r="G81" s="227"/>
      <c r="H81" s="366"/>
      <c r="I81" s="366"/>
      <c r="J81" s="366"/>
      <c r="K81" s="366"/>
      <c r="L81" s="366"/>
      <c r="M81" s="366"/>
      <c r="N81" s="366"/>
    </row>
    <row r="82" spans="1:14" x14ac:dyDescent="0.2">
      <c r="A82" s="227"/>
      <c r="B82" s="227"/>
      <c r="C82" s="227"/>
      <c r="D82" s="227"/>
      <c r="E82" s="227"/>
      <c r="F82" s="227"/>
      <c r="G82" s="227"/>
      <c r="H82" s="366"/>
      <c r="I82" s="366"/>
      <c r="J82" s="366"/>
      <c r="K82" s="366"/>
      <c r="L82" s="366"/>
      <c r="M82" s="366"/>
      <c r="N82" s="366"/>
    </row>
    <row r="83" spans="1:14" x14ac:dyDescent="0.2">
      <c r="A83" s="227"/>
      <c r="B83" s="227"/>
      <c r="C83" s="227"/>
      <c r="D83" s="227"/>
      <c r="E83" s="227"/>
      <c r="F83" s="227"/>
      <c r="G83" s="227"/>
      <c r="H83" s="366"/>
      <c r="I83" s="366"/>
      <c r="J83" s="366"/>
      <c r="K83" s="366"/>
      <c r="L83" s="366"/>
      <c r="M83" s="366"/>
      <c r="N83" s="366"/>
    </row>
    <row r="84" spans="1:14" x14ac:dyDescent="0.2">
      <c r="A84" s="227"/>
      <c r="B84" s="227"/>
      <c r="C84" s="227"/>
      <c r="D84" s="227"/>
      <c r="E84" s="227"/>
      <c r="F84" s="227"/>
      <c r="G84" s="227"/>
      <c r="H84" s="366"/>
      <c r="I84" s="366"/>
      <c r="J84" s="366"/>
      <c r="K84" s="366"/>
      <c r="L84" s="366"/>
      <c r="M84" s="366"/>
      <c r="N84" s="366"/>
    </row>
    <row r="85" spans="1:14" x14ac:dyDescent="0.2">
      <c r="A85" s="227"/>
      <c r="B85" s="227"/>
      <c r="C85" s="227"/>
      <c r="D85" s="227"/>
      <c r="E85" s="227"/>
      <c r="F85" s="227"/>
      <c r="G85" s="227"/>
      <c r="H85" s="366"/>
      <c r="I85" s="366"/>
      <c r="J85" s="366"/>
      <c r="K85" s="366"/>
      <c r="L85" s="366"/>
      <c r="M85" s="366"/>
      <c r="N85" s="366"/>
    </row>
    <row r="86" spans="1:14" x14ac:dyDescent="0.2">
      <c r="A86" s="227"/>
      <c r="B86" s="227"/>
      <c r="C86" s="227"/>
      <c r="D86" s="227"/>
      <c r="E86" s="227"/>
      <c r="F86" s="227"/>
      <c r="G86" s="227"/>
      <c r="H86" s="366"/>
      <c r="I86" s="366"/>
      <c r="J86" s="366"/>
      <c r="K86" s="366"/>
      <c r="L86" s="366"/>
      <c r="M86" s="366"/>
      <c r="N86" s="366"/>
    </row>
    <row r="87" spans="1:14" x14ac:dyDescent="0.2">
      <c r="A87" s="227"/>
      <c r="B87" s="227"/>
      <c r="C87" s="227"/>
      <c r="D87" s="227"/>
      <c r="E87" s="227"/>
      <c r="F87" s="227"/>
      <c r="G87" s="227"/>
      <c r="H87" s="366"/>
      <c r="I87" s="366"/>
      <c r="J87" s="366"/>
      <c r="K87" s="366"/>
      <c r="L87" s="366"/>
      <c r="M87" s="366"/>
      <c r="N87" s="366"/>
    </row>
    <row r="88" spans="1:14" x14ac:dyDescent="0.2">
      <c r="A88" s="227"/>
      <c r="B88" s="227"/>
      <c r="C88" s="227"/>
      <c r="D88" s="227"/>
      <c r="E88" s="227"/>
      <c r="F88" s="227"/>
      <c r="G88" s="227"/>
      <c r="H88" s="366"/>
      <c r="I88" s="366"/>
      <c r="J88" s="366"/>
      <c r="K88" s="366"/>
      <c r="L88" s="366"/>
      <c r="M88" s="366"/>
      <c r="N88" s="366"/>
    </row>
    <row r="89" spans="1:14" x14ac:dyDescent="0.2">
      <c r="A89" s="227"/>
      <c r="B89" s="227"/>
      <c r="C89" s="227"/>
      <c r="D89" s="227"/>
      <c r="E89" s="227"/>
      <c r="F89" s="227"/>
      <c r="G89" s="227"/>
      <c r="H89" s="366"/>
      <c r="I89" s="366"/>
      <c r="J89" s="366"/>
      <c r="K89" s="366"/>
      <c r="L89" s="366"/>
      <c r="M89" s="366"/>
      <c r="N89" s="366"/>
    </row>
    <row r="90" spans="1:14" x14ac:dyDescent="0.2">
      <c r="A90" s="227"/>
      <c r="B90" s="227"/>
      <c r="C90" s="227"/>
      <c r="D90" s="227"/>
      <c r="E90" s="227"/>
      <c r="F90" s="227"/>
      <c r="G90" s="227"/>
      <c r="H90" s="366"/>
      <c r="I90" s="366"/>
      <c r="J90" s="366"/>
      <c r="K90" s="366"/>
      <c r="L90" s="366"/>
      <c r="M90" s="366"/>
      <c r="N90" s="366"/>
    </row>
    <row r="91" spans="1:14" x14ac:dyDescent="0.2">
      <c r="A91" s="227"/>
      <c r="B91" s="227"/>
      <c r="C91" s="227"/>
      <c r="D91" s="227"/>
      <c r="E91" s="227"/>
      <c r="F91" s="227"/>
      <c r="G91" s="227"/>
      <c r="H91" s="366"/>
      <c r="I91" s="366"/>
      <c r="J91" s="366"/>
      <c r="K91" s="366"/>
      <c r="L91" s="366"/>
      <c r="M91" s="366"/>
      <c r="N91" s="366"/>
    </row>
    <row r="92" spans="1:14" x14ac:dyDescent="0.2">
      <c r="A92" s="227"/>
      <c r="B92" s="227"/>
      <c r="C92" s="227"/>
      <c r="D92" s="227"/>
      <c r="E92" s="227"/>
      <c r="F92" s="227"/>
      <c r="G92" s="227"/>
      <c r="H92" s="366"/>
      <c r="I92" s="366"/>
      <c r="J92" s="366"/>
      <c r="K92" s="366"/>
      <c r="L92" s="366"/>
      <c r="M92" s="366"/>
      <c r="N92" s="366"/>
    </row>
    <row r="93" spans="1:14" x14ac:dyDescent="0.2">
      <c r="A93" s="227"/>
      <c r="B93" s="227"/>
      <c r="C93" s="227"/>
      <c r="D93" s="227"/>
      <c r="E93" s="227"/>
      <c r="F93" s="227"/>
      <c r="G93" s="227"/>
      <c r="H93" s="366"/>
      <c r="I93" s="366"/>
      <c r="J93" s="366"/>
      <c r="K93" s="366"/>
      <c r="L93" s="366"/>
      <c r="M93" s="366"/>
      <c r="N93" s="366"/>
    </row>
  </sheetData>
  <mergeCells count="15">
    <mergeCell ref="M41:M93"/>
    <mergeCell ref="N41:N93"/>
    <mergeCell ref="A42:G42"/>
    <mergeCell ref="F2:H2"/>
    <mergeCell ref="C3:K3"/>
    <mergeCell ref="C4:K4"/>
    <mergeCell ref="C7:K7"/>
    <mergeCell ref="C8:K8"/>
    <mergeCell ref="B9:L9"/>
    <mergeCell ref="A41:G41"/>
    <mergeCell ref="H41:H93"/>
    <mergeCell ref="I41:I93"/>
    <mergeCell ref="J41:J93"/>
    <mergeCell ref="K41:K93"/>
    <mergeCell ref="L41:L93"/>
  </mergeCells>
  <hyperlinks>
    <hyperlink ref="G17" r:id="rId1" display="mailto:r.a.wilson@warwick.ac.uk" xr:uid="{7E8E5E92-E83A-47E2-B6DC-64D03DC62CD4}"/>
  </hyperlinks>
  <pageMargins left="0.7" right="0.7" top="0.75" bottom="0.75" header="0.3" footer="0.3"/>
  <pageSetup paperSize="9" orientation="portrait"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3"/>
  <dimension ref="A1:G40"/>
  <sheetViews>
    <sheetView zoomScale="85" workbookViewId="0"/>
  </sheetViews>
  <sheetFormatPr defaultRowHeight="12.75" x14ac:dyDescent="0.2"/>
  <cols>
    <col min="1" max="1" width="18.140625" customWidth="1"/>
    <col min="2" max="2" width="25.7109375" customWidth="1"/>
  </cols>
  <sheetData>
    <row r="1" spans="1:2" x14ac:dyDescent="0.2">
      <c r="A1" t="s">
        <v>525</v>
      </c>
      <c r="B1" t="s">
        <v>526</v>
      </c>
    </row>
    <row r="2" spans="1:2" x14ac:dyDescent="0.2">
      <c r="A2" t="s">
        <v>430</v>
      </c>
      <c r="B2" t="s">
        <v>431</v>
      </c>
    </row>
    <row r="3" spans="1:2" x14ac:dyDescent="0.2">
      <c r="A3" t="s">
        <v>432</v>
      </c>
      <c r="B3" t="s">
        <v>504</v>
      </c>
    </row>
    <row r="4" spans="1:2" x14ac:dyDescent="0.2">
      <c r="A4" t="s">
        <v>505</v>
      </c>
      <c r="B4" t="s">
        <v>527</v>
      </c>
    </row>
    <row r="5" spans="1:2" x14ac:dyDescent="0.2">
      <c r="A5" t="s">
        <v>528</v>
      </c>
      <c r="B5" t="s">
        <v>529</v>
      </c>
    </row>
    <row r="6" spans="1:2" x14ac:dyDescent="0.2">
      <c r="A6" t="s">
        <v>127</v>
      </c>
      <c r="B6" t="s">
        <v>530</v>
      </c>
    </row>
    <row r="40" spans="7:7" x14ac:dyDescent="0.2">
      <c r="G40" s="336"/>
    </row>
  </sheetData>
  <phoneticPr fontId="4" type="noConversion"/>
  <pageMargins left="0.75" right="0.75" top="1" bottom="1" header="0.5" footer="0.5"/>
  <pageSetup paperSize="9" orientation="landscape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Manager"/>
  <dimension ref="A1:AZ18"/>
  <sheetViews>
    <sheetView showGridLines="0" zoomScale="85" zoomScaleNormal="85" workbookViewId="0"/>
  </sheetViews>
  <sheetFormatPr defaultRowHeight="12.75" x14ac:dyDescent="0.2"/>
  <cols>
    <col min="1" max="1" width="3.42578125" customWidth="1"/>
    <col min="2" max="2" width="18.28515625" customWidth="1"/>
    <col min="3" max="4" width="6.140625" customWidth="1"/>
    <col min="5" max="5" width="6.28515625" customWidth="1"/>
    <col min="6" max="6" width="9.28515625" customWidth="1"/>
    <col min="7" max="7" width="6.140625" customWidth="1"/>
    <col min="8" max="8" width="10.42578125" customWidth="1"/>
  </cols>
  <sheetData>
    <row r="1" spans="1:52" x14ac:dyDescent="0.2">
      <c r="A1" s="10"/>
      <c r="B1" s="10"/>
      <c r="C1" s="10"/>
      <c r="D1" s="10"/>
      <c r="E1" s="10"/>
      <c r="F1" s="10"/>
      <c r="G1" s="196"/>
      <c r="H1" s="10"/>
      <c r="I1" s="10"/>
      <c r="J1" s="10"/>
      <c r="K1" s="10"/>
      <c r="L1" s="10"/>
      <c r="M1" s="10"/>
      <c r="N1" s="10"/>
      <c r="O1" s="10"/>
      <c r="P1" s="10"/>
      <c r="Q1" s="10"/>
      <c r="R1" s="10"/>
      <c r="S1" s="10"/>
      <c r="T1" s="10"/>
      <c r="U1" s="10"/>
      <c r="V1" s="10"/>
      <c r="W1" s="10"/>
      <c r="X1" s="10"/>
      <c r="Y1" s="10"/>
      <c r="Z1" s="10"/>
      <c r="AA1" s="10"/>
      <c r="AB1" s="10"/>
      <c r="AC1" s="10"/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</row>
    <row r="2" spans="1:52" ht="20.25" x14ac:dyDescent="0.3">
      <c r="B2" s="175" t="s">
        <v>103</v>
      </c>
    </row>
    <row r="4" spans="1:52" x14ac:dyDescent="0.2">
      <c r="B4" s="83" t="s">
        <v>102</v>
      </c>
      <c r="C4" t="str">
        <f>Stored!B11</f>
        <v>M:/IE/Projects/Nuffield via NFER AI and automation/Data/Results/Workbooks/MCAs/NE_MCA/NE_MCA_Database.Main.xlsx</v>
      </c>
    </row>
    <row r="5" spans="1:52" x14ac:dyDescent="0.2">
      <c r="B5" s="83"/>
    </row>
    <row r="6" spans="1:52" ht="22.5" customHeight="1" x14ac:dyDescent="0.2">
      <c r="B6" s="176" t="s">
        <v>143</v>
      </c>
      <c r="C6" s="176"/>
      <c r="D6" s="199"/>
    </row>
    <row r="7" spans="1:52" ht="15.75" customHeight="1" x14ac:dyDescent="0.2">
      <c r="B7" s="53"/>
      <c r="C7" s="54"/>
      <c r="D7" s="55"/>
    </row>
    <row r="8" spans="1:52" ht="21" customHeight="1" x14ac:dyDescent="0.2">
      <c r="B8" s="56"/>
      <c r="C8" s="198"/>
      <c r="D8" s="57"/>
    </row>
    <row r="10" spans="1:52" ht="17.25" customHeight="1" x14ac:dyDescent="0.2">
      <c r="B10" s="177" t="s">
        <v>407</v>
      </c>
      <c r="C10" s="51"/>
      <c r="D10" s="51"/>
      <c r="E10" s="51"/>
      <c r="F10" s="51"/>
      <c r="G10" s="51"/>
      <c r="H10" s="52"/>
    </row>
    <row r="11" spans="1:52" x14ac:dyDescent="0.2">
      <c r="B11" s="53"/>
      <c r="C11" s="59" t="s">
        <v>23</v>
      </c>
      <c r="D11" s="59" t="s">
        <v>24</v>
      </c>
      <c r="E11" s="59" t="s">
        <v>25</v>
      </c>
      <c r="F11" s="59" t="s">
        <v>26</v>
      </c>
      <c r="G11" s="59" t="s">
        <v>27</v>
      </c>
      <c r="H11" s="55"/>
    </row>
    <row r="12" spans="1:52" ht="13.5" thickBot="1" x14ac:dyDescent="0.25">
      <c r="B12" s="174" t="s">
        <v>17</v>
      </c>
      <c r="C12" s="60">
        <f>'Ind T2'!B3</f>
        <v>2015</v>
      </c>
      <c r="D12" s="60">
        <f>'Ind T2'!C3</f>
        <v>2019</v>
      </c>
      <c r="E12" s="60">
        <f>'Ind T2'!D3</f>
        <v>2020</v>
      </c>
      <c r="F12" s="60">
        <f>'Ind T2'!E3</f>
        <v>2025</v>
      </c>
      <c r="G12" s="60">
        <f>'Ind T2'!F3</f>
        <v>2035</v>
      </c>
      <c r="H12" s="55"/>
    </row>
    <row r="13" spans="1:52" ht="13.5" thickBot="1" x14ac:dyDescent="0.25">
      <c r="B13" s="204" t="s">
        <v>12</v>
      </c>
      <c r="C13" s="127">
        <v>2015</v>
      </c>
      <c r="D13" s="61">
        <v>2019</v>
      </c>
      <c r="E13" s="61">
        <v>2020</v>
      </c>
      <c r="F13" s="61">
        <v>2025</v>
      </c>
      <c r="G13" s="62">
        <v>2035</v>
      </c>
      <c r="H13" s="58"/>
    </row>
    <row r="14" spans="1:52" x14ac:dyDescent="0.2">
      <c r="A14" s="83"/>
    </row>
    <row r="16" spans="1:52" ht="45.75" customHeight="1" x14ac:dyDescent="0.2"/>
    <row r="17" spans="5:5" ht="15.75" customHeight="1" x14ac:dyDescent="0.2">
      <c r="E17" s="54"/>
    </row>
    <row r="18" spans="5:5" ht="24" customHeight="1" x14ac:dyDescent="0.2">
      <c r="E18" s="54"/>
    </row>
  </sheetData>
  <phoneticPr fontId="4" type="noConversion"/>
  <pageMargins left="0.75" right="0.75" top="1" bottom="1" header="0.5" footer="0.5"/>
  <pageSetup paperSize="9" orientation="landscape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25" r:id="rId4" name="SummaryTablesA">
          <controlPr autoLine="0" r:id="rId5">
            <anchor moveWithCells="1">
              <from>
                <xdr:col>7</xdr:col>
                <xdr:colOff>38100</xdr:colOff>
                <xdr:row>10</xdr:row>
                <xdr:rowOff>95250</xdr:rowOff>
              </from>
              <to>
                <xdr:col>7</xdr:col>
                <xdr:colOff>609600</xdr:colOff>
                <xdr:row>12</xdr:row>
                <xdr:rowOff>76200</xdr:rowOff>
              </to>
            </anchor>
          </controlPr>
        </control>
      </mc:Choice>
      <mc:Fallback>
        <control shapeId="1025" r:id="rId4" name="SummaryTablesA"/>
      </mc:Fallback>
    </mc:AlternateContent>
    <mc:AlternateContent xmlns:mc="http://schemas.openxmlformats.org/markup-compatibility/2006">
      <mc:Choice Requires="x14">
        <control shapeId="1029" r:id="rId6" name="installDataButton">
          <controlPr defaultSize="0" autoLine="0" r:id="rId7">
            <anchor moveWithCells="1">
              <from>
                <xdr:col>1</xdr:col>
                <xdr:colOff>85725</xdr:colOff>
                <xdr:row>6</xdr:row>
                <xdr:rowOff>85725</xdr:rowOff>
              </from>
              <to>
                <xdr:col>1</xdr:col>
                <xdr:colOff>657225</xdr:colOff>
                <xdr:row>7</xdr:row>
                <xdr:rowOff>190500</xdr:rowOff>
              </to>
            </anchor>
          </controlPr>
        </control>
      </mc:Choice>
      <mc:Fallback>
        <control shapeId="1029" r:id="rId6" name="installDataButton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7"/>
  <dimension ref="A1:B31"/>
  <sheetViews>
    <sheetView showGridLines="0" workbookViewId="0"/>
  </sheetViews>
  <sheetFormatPr defaultColWidth="9.140625" defaultRowHeight="12.75" x14ac:dyDescent="0.2"/>
  <cols>
    <col min="1" max="1" width="14.140625" customWidth="1"/>
    <col min="2" max="2" width="100.85546875" customWidth="1"/>
    <col min="3" max="3" width="9.140625" customWidth="1"/>
  </cols>
  <sheetData>
    <row r="1" spans="1:2" ht="15" x14ac:dyDescent="0.25">
      <c r="A1" s="213" t="s">
        <v>150</v>
      </c>
    </row>
    <row r="2" spans="1:2" x14ac:dyDescent="0.2">
      <c r="A2" s="83" t="s">
        <v>148</v>
      </c>
    </row>
    <row r="3" spans="1:2" s="1" customFormat="1" x14ac:dyDescent="0.2">
      <c r="A3" s="208"/>
      <c r="B3" s="208"/>
    </row>
    <row r="4" spans="1:2" s="83" customFormat="1" x14ac:dyDescent="0.2">
      <c r="A4" s="209" t="s">
        <v>149</v>
      </c>
      <c r="B4" s="209" t="s">
        <v>150</v>
      </c>
    </row>
    <row r="5" spans="1:2" x14ac:dyDescent="0.2">
      <c r="A5" s="210" t="s">
        <v>374</v>
      </c>
      <c r="B5" s="211" t="s">
        <v>377</v>
      </c>
    </row>
    <row r="6" spans="1:2" x14ac:dyDescent="0.2">
      <c r="A6" s="210" t="s">
        <v>375</v>
      </c>
      <c r="B6" s="211" t="s">
        <v>378</v>
      </c>
    </row>
    <row r="7" spans="1:2" x14ac:dyDescent="0.2">
      <c r="A7" s="210" t="s">
        <v>380</v>
      </c>
      <c r="B7" s="211" t="s">
        <v>384</v>
      </c>
    </row>
    <row r="8" spans="1:2" x14ac:dyDescent="0.2">
      <c r="A8" s="210" t="s">
        <v>383</v>
      </c>
      <c r="B8" s="212" t="s">
        <v>385</v>
      </c>
    </row>
    <row r="9" spans="1:2" x14ac:dyDescent="0.2">
      <c r="A9" s="210" t="s">
        <v>381</v>
      </c>
      <c r="B9" s="212" t="s">
        <v>433</v>
      </c>
    </row>
    <row r="10" spans="1:2" x14ac:dyDescent="0.2">
      <c r="A10" s="210" t="s">
        <v>386</v>
      </c>
      <c r="B10" s="211" t="s">
        <v>393</v>
      </c>
    </row>
    <row r="11" spans="1:2" x14ac:dyDescent="0.2">
      <c r="A11" s="210" t="s">
        <v>388</v>
      </c>
      <c r="B11" s="211" t="s">
        <v>391</v>
      </c>
    </row>
    <row r="12" spans="1:2" x14ac:dyDescent="0.2">
      <c r="A12" s="210" t="s">
        <v>390</v>
      </c>
      <c r="B12" s="211" t="s">
        <v>434</v>
      </c>
    </row>
    <row r="13" spans="1:2" x14ac:dyDescent="0.2">
      <c r="A13" s="210" t="s">
        <v>405</v>
      </c>
      <c r="B13" s="211" t="s">
        <v>435</v>
      </c>
    </row>
    <row r="14" spans="1:2" x14ac:dyDescent="0.2">
      <c r="A14" s="210" t="s">
        <v>392</v>
      </c>
      <c r="B14" s="211" t="s">
        <v>425</v>
      </c>
    </row>
    <row r="15" spans="1:2" x14ac:dyDescent="0.2">
      <c r="A15" s="210" t="s">
        <v>376</v>
      </c>
      <c r="B15" s="211" t="s">
        <v>460</v>
      </c>
    </row>
    <row r="16" spans="1:2" x14ac:dyDescent="0.2">
      <c r="A16" s="210" t="s">
        <v>379</v>
      </c>
      <c r="B16" s="211" t="s">
        <v>461</v>
      </c>
    </row>
    <row r="17" spans="1:2" x14ac:dyDescent="0.2">
      <c r="A17" s="210" t="s">
        <v>382</v>
      </c>
      <c r="B17" s="211" t="s">
        <v>462</v>
      </c>
    </row>
    <row r="18" spans="1:2" x14ac:dyDescent="0.2">
      <c r="A18" s="210" t="s">
        <v>426</v>
      </c>
      <c r="B18" s="211" t="s">
        <v>427</v>
      </c>
    </row>
    <row r="19" spans="1:2" x14ac:dyDescent="0.2">
      <c r="A19" s="210" t="s">
        <v>387</v>
      </c>
      <c r="B19" s="211" t="s">
        <v>463</v>
      </c>
    </row>
    <row r="20" spans="1:2" x14ac:dyDescent="0.2">
      <c r="A20" s="210" t="s">
        <v>389</v>
      </c>
      <c r="B20" s="211" t="s">
        <v>464</v>
      </c>
    </row>
    <row r="21" spans="1:2" x14ac:dyDescent="0.2">
      <c r="A21" s="210" t="s">
        <v>417</v>
      </c>
      <c r="B21" s="211" t="s">
        <v>419</v>
      </c>
    </row>
    <row r="22" spans="1:2" x14ac:dyDescent="0.2">
      <c r="A22" s="210" t="s">
        <v>418</v>
      </c>
      <c r="B22" s="211" t="s">
        <v>420</v>
      </c>
    </row>
    <row r="23" spans="1:2" x14ac:dyDescent="0.2">
      <c r="A23" s="210" t="s">
        <v>423</v>
      </c>
      <c r="B23" s="211" t="s">
        <v>424</v>
      </c>
    </row>
    <row r="24" spans="1:2" x14ac:dyDescent="0.2">
      <c r="A24" s="210" t="s">
        <v>394</v>
      </c>
      <c r="B24" s="211" t="s">
        <v>395</v>
      </c>
    </row>
    <row r="25" spans="1:2" x14ac:dyDescent="0.2">
      <c r="A25" s="210" t="s">
        <v>396</v>
      </c>
      <c r="B25" s="211" t="s">
        <v>397</v>
      </c>
    </row>
    <row r="26" spans="1:2" x14ac:dyDescent="0.2">
      <c r="A26" s="210" t="s">
        <v>398</v>
      </c>
      <c r="B26" s="211" t="s">
        <v>465</v>
      </c>
    </row>
    <row r="27" spans="1:2" x14ac:dyDescent="0.2">
      <c r="A27" s="210" t="s">
        <v>400</v>
      </c>
      <c r="B27" s="211" t="s">
        <v>466</v>
      </c>
    </row>
    <row r="28" spans="1:2" x14ac:dyDescent="0.2">
      <c r="A28" s="210" t="s">
        <v>399</v>
      </c>
      <c r="B28" s="211" t="s">
        <v>467</v>
      </c>
    </row>
    <row r="29" spans="1:2" x14ac:dyDescent="0.2">
      <c r="A29" s="210" t="s">
        <v>401</v>
      </c>
      <c r="B29" s="211" t="s">
        <v>404</v>
      </c>
    </row>
    <row r="30" spans="1:2" x14ac:dyDescent="0.2">
      <c r="A30" s="210" t="s">
        <v>402</v>
      </c>
      <c r="B30" s="211" t="s">
        <v>468</v>
      </c>
    </row>
    <row r="31" spans="1:2" x14ac:dyDescent="0.2">
      <c r="A31" s="210" t="s">
        <v>403</v>
      </c>
      <c r="B31" s="211" t="s">
        <v>469</v>
      </c>
    </row>
  </sheetData>
  <hyperlinks>
    <hyperlink ref="A5" location="'Ind T1'!A1" display="Ind T1" xr:uid="{00000000-0004-0000-0400-000000000000}"/>
    <hyperlink ref="A6" location="'Ind T2'!A1" display="Ind T2" xr:uid="{00000000-0004-0000-0400-000001000000}"/>
    <hyperlink ref="A7" location="'Ind T4'!A1" display="Ind T4" xr:uid="{00000000-0004-0000-0400-000002000000}"/>
    <hyperlink ref="A8" location="'Ind T5'!A1" display="Ind T5" xr:uid="{00000000-0004-0000-0400-000003000000}"/>
    <hyperlink ref="A9" location="'Ind T6'!A1" display="Ind T6" xr:uid="{00000000-0004-0000-0400-000004000000}"/>
    <hyperlink ref="A10" location="'Ind F1'!A1" display="Ind F1" xr:uid="{00000000-0004-0000-0400-000005000000}"/>
    <hyperlink ref="A11" location="'Ind F2'!A1" display="Ind F2" xr:uid="{00000000-0004-0000-0400-000006000000}"/>
    <hyperlink ref="A12" location="'Ind Occ T1'!A1" display="IndOcc T1" xr:uid="{00000000-0004-0000-0400-000007000000}"/>
    <hyperlink ref="A13" location="'Ind Occ T2'!A1" display="IndOcc T2" xr:uid="{00000000-0004-0000-0400-000008000000}"/>
    <hyperlink ref="A14" location="'Occ T1'!A1" display="Occ T1" xr:uid="{00000000-0004-0000-0400-000009000000}"/>
    <hyperlink ref="A15" location="'Occ T2'!A1" display="Occ T2" xr:uid="{00000000-0004-0000-0400-00000A000000}"/>
    <hyperlink ref="A16" location="'Occ T3'!A1" display="Occ T3" xr:uid="{00000000-0004-0000-0400-00000B000000}"/>
    <hyperlink ref="A17" location="'Occ T4'!A1" display="Occ T4" xr:uid="{00000000-0004-0000-0400-00000C000000}"/>
    <hyperlink ref="A19" location="'Occ F1'!A1" display="Occ F1" xr:uid="{00000000-0004-0000-0400-00000D000000}"/>
    <hyperlink ref="A20" location="'Occ F2'!A1" display="Occ F2" xr:uid="{00000000-0004-0000-0400-00000E000000}"/>
    <hyperlink ref="A24" location="'Qual T1'!A1" display="Qual T1" xr:uid="{00000000-0004-0000-0400-00000F000000}"/>
    <hyperlink ref="A25" location="'Qual F1'!A1" display="Qual F1" xr:uid="{00000000-0004-0000-0400-000010000000}"/>
    <hyperlink ref="A26" location="'ShiftShare T1'!A1" display="ShiftShare T1" xr:uid="{00000000-0004-0000-0400-000011000000}"/>
    <hyperlink ref="A27" location="'RD T1'!A1" display="RD T1" xr:uid="{00000000-0004-0000-0400-000012000000}"/>
    <hyperlink ref="A28" location="'RD F1'!A1" display="RD F1" xr:uid="{00000000-0004-0000-0400-000013000000}"/>
    <hyperlink ref="A29" location="'Basic T1'!A1" display="Basic T1" xr:uid="{00000000-0004-0000-0400-000014000000}"/>
    <hyperlink ref="A30" location="'Basic T2'!A1" display="Basic T2" xr:uid="{00000000-0004-0000-0400-000015000000}"/>
    <hyperlink ref="A31" location="'Basic T3'!A1" display="Basic T3" xr:uid="{00000000-0004-0000-0400-000016000000}"/>
    <hyperlink ref="A21" location="'Occ F3'!A1" display="Occ F3" xr:uid="{00000000-0004-0000-0400-000017000000}"/>
    <hyperlink ref="A22" location="'Occ F4'!A1" display="Occ F3" xr:uid="{00000000-0004-0000-0400-000018000000}"/>
    <hyperlink ref="A23" location="'Occ F5'!A1" display="Occ F5" xr:uid="{00000000-0004-0000-0400-000019000000}"/>
    <hyperlink ref="A18" location="'Occ T5'!A1" display="Occ T5" xr:uid="{00000000-0004-0000-0400-00001A000000}"/>
  </hyperlinks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S52"/>
  <sheetViews>
    <sheetView showGridLines="0" zoomScale="85" zoomScaleNormal="85" workbookViewId="0"/>
  </sheetViews>
  <sheetFormatPr defaultRowHeight="12.75" x14ac:dyDescent="0.2"/>
  <cols>
    <col min="1" max="1" width="26.7109375" customWidth="1"/>
    <col min="2" max="6" width="11.7109375" customWidth="1"/>
    <col min="7" max="7" width="4.85546875" customWidth="1"/>
    <col min="8" max="10" width="11.7109375" customWidth="1"/>
    <col min="11" max="11" width="4.85546875" customWidth="1"/>
    <col min="12" max="12" width="26.7109375" customWidth="1"/>
    <col min="13" max="17" width="11.7109375" customWidth="1"/>
    <col min="18" max="19" width="10.7109375" customWidth="1"/>
  </cols>
  <sheetData>
    <row r="1" spans="1:19" ht="15.75" x14ac:dyDescent="0.25">
      <c r="A1" s="19" t="str">
        <f>CONCATENATE("Industry Table 1  Employment by Industry Sector (SIC 2007), ",B$5,"-",F$5,", ",Info!B5)</f>
        <v>Industry Table 1  Employment by Industry Sector (SIC 2007), 2015-2035, North East</v>
      </c>
      <c r="L1" s="19" t="str">
        <f>CONCATENATE("Industry Table 1.1  Employment by Industry Sector (SIC 2007), ",B$5,"-",F$5,", ",Info!B5)</f>
        <v>Industry Table 1.1  Employment by Industry Sector (SIC 2007), 2015-2035, North East</v>
      </c>
    </row>
    <row r="2" spans="1:19" x14ac:dyDescent="0.2">
      <c r="A2" s="1" t="s">
        <v>513</v>
      </c>
      <c r="J2" s="16" t="s">
        <v>36</v>
      </c>
    </row>
    <row r="3" spans="1:19" ht="15.75" x14ac:dyDescent="0.25">
      <c r="A3" s="353"/>
      <c r="B3" s="36"/>
      <c r="C3" s="36"/>
      <c r="D3" s="36"/>
      <c r="E3" s="36"/>
      <c r="F3" s="36"/>
      <c r="G3" s="17"/>
      <c r="H3" s="28" t="str">
        <f>CONCATENATE(D5,"-",F5)</f>
        <v>2020-2035</v>
      </c>
      <c r="I3" s="36"/>
      <c r="J3" s="36"/>
      <c r="K3" s="17"/>
      <c r="O3" s="1" t="s">
        <v>13</v>
      </c>
      <c r="R3" s="76" t="s">
        <v>44</v>
      </c>
    </row>
    <row r="4" spans="1:19" x14ac:dyDescent="0.2">
      <c r="G4" s="10"/>
      <c r="H4" s="16" t="s">
        <v>30</v>
      </c>
      <c r="I4" s="16" t="s">
        <v>31</v>
      </c>
      <c r="J4" s="16" t="s">
        <v>33</v>
      </c>
      <c r="K4" s="10"/>
      <c r="L4" s="22"/>
      <c r="M4" s="23">
        <f>B5</f>
        <v>2015</v>
      </c>
      <c r="N4" s="23">
        <f>C5</f>
        <v>2019</v>
      </c>
      <c r="O4" s="23">
        <f>D5</f>
        <v>2020</v>
      </c>
      <c r="P4" s="23">
        <f>E5</f>
        <v>2025</v>
      </c>
      <c r="Q4" s="23">
        <f>F5</f>
        <v>2035</v>
      </c>
      <c r="R4" s="75" t="str">
        <f>CONCATENATE(B$5,"-",D$5)</f>
        <v>2015-2020</v>
      </c>
      <c r="S4" s="75" t="str">
        <f t="shared" ref="S4:S10" si="0">F33</f>
        <v>2020-2035</v>
      </c>
    </row>
    <row r="5" spans="1:19" x14ac:dyDescent="0.2">
      <c r="A5" s="24"/>
      <c r="B5" s="35">
        <f>'Ind T2'!B3</f>
        <v>2015</v>
      </c>
      <c r="C5" s="35">
        <f>'Ind T2'!C3</f>
        <v>2019</v>
      </c>
      <c r="D5" s="35">
        <f>'Ind T2'!D3</f>
        <v>2020</v>
      </c>
      <c r="E5" s="35">
        <f>'Ind T2'!E3</f>
        <v>2025</v>
      </c>
      <c r="F5" s="35">
        <f>'Ind T2'!F3</f>
        <v>2035</v>
      </c>
      <c r="G5" s="11"/>
      <c r="H5" s="63" t="s">
        <v>19</v>
      </c>
      <c r="I5" s="63" t="s">
        <v>32</v>
      </c>
      <c r="J5" s="63" t="s">
        <v>34</v>
      </c>
      <c r="K5" s="11"/>
      <c r="L5" t="str">
        <f t="shared" ref="L5:Q10" si="1">A7</f>
        <v>Primary sector and utilities</v>
      </c>
      <c r="M5" s="11">
        <f t="shared" si="1"/>
        <v>8.3899999999999952</v>
      </c>
      <c r="N5" s="11">
        <f t="shared" si="1"/>
        <v>11.074000000000003</v>
      </c>
      <c r="O5" s="11">
        <f t="shared" si="1"/>
        <v>11.735999999999995</v>
      </c>
      <c r="P5" s="11">
        <f t="shared" si="1"/>
        <v>11.704999999999995</v>
      </c>
      <c r="Q5" s="11">
        <f t="shared" si="1"/>
        <v>11.858000000000009</v>
      </c>
      <c r="R5" s="40">
        <f t="shared" ref="R5:R10" si="2">IF(D$5-B$5 &lt;&gt; 0,(EXP(LN(D7/B7)/(D$5-B$5))-1)*100,0)</f>
        <v>6.9428190332837092</v>
      </c>
      <c r="S5" s="40">
        <f t="shared" si="0"/>
        <v>6.8968468615326906E-2</v>
      </c>
    </row>
    <row r="6" spans="1:19" x14ac:dyDescent="0.2">
      <c r="A6" s="1" t="s">
        <v>13</v>
      </c>
      <c r="C6" s="10"/>
      <c r="D6" s="10"/>
      <c r="E6" s="10"/>
      <c r="F6" s="10"/>
      <c r="G6" s="11"/>
      <c r="H6" s="11"/>
      <c r="I6" s="11"/>
      <c r="J6" s="11"/>
      <c r="K6" s="11"/>
      <c r="L6" t="str">
        <f t="shared" si="1"/>
        <v>Manufacturing</v>
      </c>
      <c r="M6" s="11">
        <f t="shared" si="1"/>
        <v>64.017999999999873</v>
      </c>
      <c r="N6" s="11">
        <f t="shared" si="1"/>
        <v>59.384999999999913</v>
      </c>
      <c r="O6" s="11">
        <f t="shared" si="1"/>
        <v>55.156999999999897</v>
      </c>
      <c r="P6" s="11">
        <f t="shared" si="1"/>
        <v>53.937999999999917</v>
      </c>
      <c r="Q6" s="11">
        <f t="shared" si="1"/>
        <v>49.054999999999957</v>
      </c>
      <c r="R6" s="40">
        <f t="shared" si="2"/>
        <v>-2.9356597593099942</v>
      </c>
      <c r="S6" s="40">
        <f t="shared" si="0"/>
        <v>-0.77856367999591392</v>
      </c>
    </row>
    <row r="7" spans="1:19" x14ac:dyDescent="0.2">
      <c r="A7" t="str">
        <f>name!C4</f>
        <v>Primary sector and utilities</v>
      </c>
      <c r="B7" s="11">
        <f t="array" ref="B7:B12">MMULT(aggregation!$B$3:$W$8,'Ind T2'!B5:B26)</f>
        <v>8.3899999999999952</v>
      </c>
      <c r="C7" s="11">
        <f t="array" ref="C7:C12">MMULT(aggregation!$B$3:$W$8,'Ind T2'!C5:C26)</f>
        <v>11.074000000000003</v>
      </c>
      <c r="D7" s="11">
        <f t="array" ref="D7:D12">MMULT(aggregation!$B$3:$W$8,'Ind T2'!D5:D26)</f>
        <v>11.735999999999995</v>
      </c>
      <c r="E7" s="11">
        <f t="array" ref="E7:E12">MMULT(aggregation!$B$3:$W$8,'Ind T2'!E5:E26)</f>
        <v>11.704999999999995</v>
      </c>
      <c r="F7" s="11">
        <f t="array" ref="F7:F12">MMULT(aggregation!$B$3:$W$8,'Ind T2'!F5:F26)</f>
        <v>11.858000000000009</v>
      </c>
      <c r="G7" s="11"/>
      <c r="H7" s="11">
        <f>F7-D7</f>
        <v>0.1220000000000141</v>
      </c>
      <c r="I7" s="11">
        <f t="array" ref="I7:I12">MMULT(aggregation!$B$3:$W$8,'RD T1'!AB7:AB28)</f>
        <v>5.3243360523443073</v>
      </c>
      <c r="J7" s="11">
        <f>SUM(H7:I7)</f>
        <v>5.4463360523443214</v>
      </c>
      <c r="K7" s="11"/>
      <c r="L7" t="str">
        <f t="shared" si="1"/>
        <v>Construction</v>
      </c>
      <c r="M7" s="11">
        <f t="shared" si="1"/>
        <v>28.748999999999974</v>
      </c>
      <c r="N7" s="11">
        <f t="shared" si="1"/>
        <v>32.118000000000016</v>
      </c>
      <c r="O7" s="11">
        <f t="shared" si="1"/>
        <v>30.615000000000023</v>
      </c>
      <c r="P7" s="11">
        <f t="shared" si="1"/>
        <v>29.636999999999983</v>
      </c>
      <c r="Q7" s="11">
        <f t="shared" si="1"/>
        <v>29.409999999999986</v>
      </c>
      <c r="R7" s="40">
        <f>IF(D$5-B$5 &lt;&gt; 0,(EXP(LN(D9/B9)/(D$5-B$5))-1)*100,0)</f>
        <v>1.2656848581371394</v>
      </c>
      <c r="S7" s="40">
        <f t="shared" si="0"/>
        <v>-0.26734421291025878</v>
      </c>
    </row>
    <row r="8" spans="1:19" x14ac:dyDescent="0.2">
      <c r="A8" t="str">
        <f>name!C5</f>
        <v>Manufacturing</v>
      </c>
      <c r="B8" s="11">
        <v>64.017999999999873</v>
      </c>
      <c r="C8" s="11">
        <v>59.384999999999913</v>
      </c>
      <c r="D8" s="11">
        <v>55.156999999999897</v>
      </c>
      <c r="E8" s="11">
        <v>53.937999999999917</v>
      </c>
      <c r="F8" s="11">
        <v>49.054999999999957</v>
      </c>
      <c r="G8" s="11"/>
      <c r="H8" s="11">
        <f t="shared" ref="H8:H12" si="3">F8-D8</f>
        <v>-6.1019999999999399</v>
      </c>
      <c r="I8" s="11">
        <v>21.417310931020197</v>
      </c>
      <c r="J8" s="11">
        <f t="shared" ref="J8:J12" si="4">SUM(H8:I8)</f>
        <v>15.315310931020257</v>
      </c>
      <c r="K8" s="11"/>
      <c r="L8" t="str">
        <f t="shared" si="1"/>
        <v>Trade, accomod. and transport</v>
      </c>
      <c r="M8" s="11">
        <f t="shared" si="1"/>
        <v>130.01699999999977</v>
      </c>
      <c r="N8" s="11">
        <f t="shared" si="1"/>
        <v>133.38300000000004</v>
      </c>
      <c r="O8" s="11">
        <f t="shared" si="1"/>
        <v>133.41199999999998</v>
      </c>
      <c r="P8" s="11">
        <f t="shared" si="1"/>
        <v>134.44699999999995</v>
      </c>
      <c r="Q8" s="11">
        <f t="shared" si="1"/>
        <v>139.0920000000001</v>
      </c>
      <c r="R8" s="40">
        <f t="shared" si="2"/>
        <v>0.51686864742230831</v>
      </c>
      <c r="S8" s="40">
        <f t="shared" si="0"/>
        <v>0.27834332595311206</v>
      </c>
    </row>
    <row r="9" spans="1:19" x14ac:dyDescent="0.2">
      <c r="A9" t="str">
        <f>name!C6</f>
        <v>Construction</v>
      </c>
      <c r="B9" s="11">
        <v>28.748999999999974</v>
      </c>
      <c r="C9" s="11">
        <v>32.118000000000016</v>
      </c>
      <c r="D9" s="11">
        <v>30.615000000000023</v>
      </c>
      <c r="E9" s="11">
        <v>29.636999999999983</v>
      </c>
      <c r="F9" s="11">
        <v>29.409999999999986</v>
      </c>
      <c r="G9" s="11"/>
      <c r="H9" s="11">
        <f t="shared" si="3"/>
        <v>-1.2050000000000374</v>
      </c>
      <c r="I9" s="11">
        <v>12.250921411803006</v>
      </c>
      <c r="J9" s="11">
        <f t="shared" si="4"/>
        <v>11.045921411802968</v>
      </c>
      <c r="K9" s="11"/>
      <c r="L9" t="str">
        <f t="shared" si="1"/>
        <v>Business and other services</v>
      </c>
      <c r="M9" s="11">
        <f t="shared" si="1"/>
        <v>114.80700000000002</v>
      </c>
      <c r="N9" s="11">
        <f t="shared" si="1"/>
        <v>109.67299999999987</v>
      </c>
      <c r="O9" s="11">
        <f t="shared" si="1"/>
        <v>107.56200000000005</v>
      </c>
      <c r="P9" s="11">
        <f t="shared" si="1"/>
        <v>107.75200000000002</v>
      </c>
      <c r="Q9" s="11">
        <f t="shared" si="1"/>
        <v>113.09699999999992</v>
      </c>
      <c r="R9" s="40">
        <f t="shared" si="2"/>
        <v>-1.2952392760916642</v>
      </c>
      <c r="S9" s="40">
        <f t="shared" si="0"/>
        <v>0.33508303269660367</v>
      </c>
    </row>
    <row r="10" spans="1:19" x14ac:dyDescent="0.2">
      <c r="A10" t="str">
        <f>name!C7</f>
        <v>Trade, accomod. and transport</v>
      </c>
      <c r="B10" s="11">
        <v>130.01699999999977</v>
      </c>
      <c r="C10" s="11">
        <v>133.38300000000004</v>
      </c>
      <c r="D10" s="11">
        <v>133.41199999999998</v>
      </c>
      <c r="E10" s="11">
        <v>134.44699999999995</v>
      </c>
      <c r="F10" s="11">
        <v>139.0920000000001</v>
      </c>
      <c r="G10" s="11"/>
      <c r="H10" s="11">
        <f t="shared" si="3"/>
        <v>5.6800000000001205</v>
      </c>
      <c r="I10" s="11">
        <v>65.678539643946223</v>
      </c>
      <c r="J10" s="11">
        <f t="shared" si="4"/>
        <v>71.358539643946344</v>
      </c>
      <c r="K10" s="11"/>
      <c r="L10" t="str">
        <f t="shared" si="1"/>
        <v>Non-marketed services</v>
      </c>
      <c r="M10" s="11">
        <f t="shared" si="1"/>
        <v>143.73000000000008</v>
      </c>
      <c r="N10" s="11">
        <f t="shared" si="1"/>
        <v>137.94199999999998</v>
      </c>
      <c r="O10" s="11">
        <f t="shared" si="1"/>
        <v>140.44399999999996</v>
      </c>
      <c r="P10" s="11">
        <f t="shared" si="1"/>
        <v>145.27199999999993</v>
      </c>
      <c r="Q10" s="11">
        <f t="shared" si="1"/>
        <v>150.26600000000008</v>
      </c>
      <c r="R10" s="40">
        <f t="shared" si="2"/>
        <v>-0.46148600098521175</v>
      </c>
      <c r="S10" s="40">
        <f t="shared" si="0"/>
        <v>0.45167180345637714</v>
      </c>
    </row>
    <row r="11" spans="1:19" x14ac:dyDescent="0.2">
      <c r="A11" t="str">
        <f>name!C8</f>
        <v>Business and other services</v>
      </c>
      <c r="B11" s="11">
        <v>114.80700000000002</v>
      </c>
      <c r="C11" s="11">
        <v>109.67299999999987</v>
      </c>
      <c r="D11" s="11">
        <v>107.56200000000005</v>
      </c>
      <c r="E11" s="11">
        <v>107.75200000000002</v>
      </c>
      <c r="F11" s="11">
        <v>113.09699999999992</v>
      </c>
      <c r="G11" s="11"/>
      <c r="H11" s="11">
        <f t="shared" si="3"/>
        <v>5.5349999999998687</v>
      </c>
      <c r="I11" s="11">
        <v>52.124205137374894</v>
      </c>
      <c r="J11" s="11">
        <f t="shared" si="4"/>
        <v>57.659205137374762</v>
      </c>
      <c r="K11" s="11"/>
      <c r="M11" s="11"/>
      <c r="N11" s="11"/>
      <c r="O11" s="11"/>
      <c r="P11" s="11"/>
      <c r="Q11" s="11"/>
      <c r="R11" s="40"/>
      <c r="S11" s="40"/>
    </row>
    <row r="12" spans="1:19" x14ac:dyDescent="0.2">
      <c r="A12" t="str">
        <f>name!C9</f>
        <v>Non-marketed services</v>
      </c>
      <c r="B12" s="11">
        <v>143.73000000000008</v>
      </c>
      <c r="C12" s="11">
        <v>137.94199999999998</v>
      </c>
      <c r="D12" s="11">
        <v>140.44399999999996</v>
      </c>
      <c r="E12" s="11">
        <v>145.27199999999993</v>
      </c>
      <c r="F12" s="11">
        <v>150.26600000000008</v>
      </c>
      <c r="G12" s="11"/>
      <c r="H12" s="11">
        <f t="shared" si="3"/>
        <v>9.8220000000001164</v>
      </c>
      <c r="I12" s="11">
        <v>78.580500853415927</v>
      </c>
      <c r="J12" s="11">
        <f t="shared" si="4"/>
        <v>88.402500853416043</v>
      </c>
      <c r="K12" s="11"/>
      <c r="L12" s="24" t="str">
        <f t="shared" ref="L12:Q12" si="5">A14</f>
        <v>All industries</v>
      </c>
      <c r="M12" s="34">
        <f t="shared" si="5"/>
        <v>489.71099999999973</v>
      </c>
      <c r="N12" s="34">
        <f t="shared" si="5"/>
        <v>483.57499999999982</v>
      </c>
      <c r="O12" s="34">
        <f t="shared" si="5"/>
        <v>478.92599999999993</v>
      </c>
      <c r="P12" s="34">
        <f t="shared" si="5"/>
        <v>482.75099999999981</v>
      </c>
      <c r="Q12" s="34">
        <f t="shared" si="5"/>
        <v>492.77800000000002</v>
      </c>
      <c r="R12" s="43">
        <f>IF(D$5-B$5 &lt;&gt; 0,(EXP(LN(D14/B14)/(D$5-B$5))-1)*100,0)</f>
        <v>-0.44439610986766187</v>
      </c>
      <c r="S12" s="43">
        <f>F41</f>
        <v>0.1902652511108327</v>
      </c>
    </row>
    <row r="13" spans="1:19" x14ac:dyDescent="0.2">
      <c r="B13" s="11"/>
      <c r="C13" s="11"/>
      <c r="D13" s="11"/>
      <c r="E13" s="11"/>
      <c r="F13" s="11"/>
      <c r="G13" s="11"/>
      <c r="H13" s="11"/>
      <c r="I13" s="11"/>
      <c r="J13" s="11"/>
      <c r="K13" s="11"/>
      <c r="L13" s="11"/>
    </row>
    <row r="14" spans="1:19" x14ac:dyDescent="0.2">
      <c r="A14" s="24" t="str">
        <f>name!C3</f>
        <v>All industries</v>
      </c>
      <c r="B14" s="34">
        <f>SUM(B7:B12)</f>
        <v>489.71099999999973</v>
      </c>
      <c r="C14" s="34">
        <f t="shared" ref="C14:F14" si="6">SUM(C7:C12)</f>
        <v>483.57499999999982</v>
      </c>
      <c r="D14" s="34">
        <f t="shared" si="6"/>
        <v>478.92599999999993</v>
      </c>
      <c r="E14" s="34">
        <f t="shared" si="6"/>
        <v>482.75099999999981</v>
      </c>
      <c r="F14" s="34">
        <f t="shared" si="6"/>
        <v>492.77800000000002</v>
      </c>
      <c r="G14" s="34"/>
      <c r="H14" s="34">
        <f>SUM(H7:H12)</f>
        <v>13.852000000000142</v>
      </c>
      <c r="I14" s="34">
        <f>SUM(I7:I12)</f>
        <v>235.37581402990457</v>
      </c>
      <c r="J14" s="34">
        <f t="shared" ref="J14" si="7">SUM(J7:J12)</f>
        <v>249.22781402990472</v>
      </c>
      <c r="K14" s="11"/>
      <c r="L14" s="11"/>
    </row>
    <row r="15" spans="1:19" x14ac:dyDescent="0.2">
      <c r="B15" s="11"/>
      <c r="C15" s="11"/>
      <c r="D15" s="11"/>
      <c r="E15" s="11"/>
      <c r="F15" s="11"/>
      <c r="G15" s="17"/>
      <c r="H15" s="11"/>
      <c r="I15" s="11"/>
      <c r="J15" s="11"/>
      <c r="K15" s="17"/>
      <c r="L15" s="11"/>
    </row>
    <row r="16" spans="1:19" x14ac:dyDescent="0.2">
      <c r="B16" s="11"/>
      <c r="C16" s="11"/>
      <c r="D16" s="11"/>
      <c r="E16" s="11"/>
      <c r="F16" s="11"/>
      <c r="G16" s="351"/>
      <c r="H16" s="17"/>
      <c r="I16" s="17"/>
      <c r="J16" s="352" t="s">
        <v>35</v>
      </c>
      <c r="K16" s="351"/>
      <c r="L16" s="11"/>
    </row>
    <row r="17" spans="1:12" x14ac:dyDescent="0.2">
      <c r="A17" s="36"/>
      <c r="B17" s="65"/>
      <c r="C17" s="65"/>
      <c r="D17" s="65"/>
      <c r="E17" s="65"/>
      <c r="F17" s="65"/>
      <c r="G17" s="351"/>
      <c r="H17" s="28" t="str">
        <f>CONCATENATE(D19,"-",F19)</f>
        <v>2020-2035</v>
      </c>
      <c r="I17" s="36"/>
      <c r="J17" s="36"/>
      <c r="K17" s="351"/>
      <c r="L17" s="11"/>
    </row>
    <row r="18" spans="1:12" x14ac:dyDescent="0.2">
      <c r="B18" s="11"/>
      <c r="C18" s="11"/>
      <c r="D18" s="11"/>
      <c r="E18" s="11"/>
      <c r="F18" s="11"/>
      <c r="G18" s="351"/>
      <c r="H18" s="16" t="s">
        <v>30</v>
      </c>
      <c r="I18" s="16" t="s">
        <v>31</v>
      </c>
      <c r="J18" s="16" t="s">
        <v>33</v>
      </c>
      <c r="K18" s="351"/>
      <c r="L18" s="11"/>
    </row>
    <row r="19" spans="1:12" x14ac:dyDescent="0.2">
      <c r="A19" s="41" t="s">
        <v>14</v>
      </c>
      <c r="B19" s="35">
        <f>B$5</f>
        <v>2015</v>
      </c>
      <c r="C19" s="35">
        <f>C$5</f>
        <v>2019</v>
      </c>
      <c r="D19" s="35">
        <f>D$5</f>
        <v>2020</v>
      </c>
      <c r="E19" s="35">
        <f>E$5</f>
        <v>2025</v>
      </c>
      <c r="F19" s="35">
        <f>F$5</f>
        <v>2035</v>
      </c>
      <c r="G19" s="351"/>
      <c r="H19" s="63" t="s">
        <v>19</v>
      </c>
      <c r="I19" s="63" t="s">
        <v>32</v>
      </c>
      <c r="J19" s="63" t="s">
        <v>34</v>
      </c>
      <c r="K19" s="351"/>
      <c r="L19" s="11"/>
    </row>
    <row r="20" spans="1:12" x14ac:dyDescent="0.2">
      <c r="A20" t="str">
        <f>$A$7</f>
        <v>Primary sector and utilities</v>
      </c>
      <c r="B20" s="18">
        <f t="shared" ref="B20:F25" si="8">B7/B$14*100</f>
        <v>1.7132553689829306</v>
      </c>
      <c r="C20" s="18">
        <f t="shared" si="8"/>
        <v>2.2900274000930585</v>
      </c>
      <c r="D20" s="18">
        <f t="shared" si="8"/>
        <v>2.4504829556131837</v>
      </c>
      <c r="E20" s="18">
        <f t="shared" si="8"/>
        <v>2.4246454176169494</v>
      </c>
      <c r="F20" s="18">
        <f t="shared" si="8"/>
        <v>2.4063574266708354</v>
      </c>
      <c r="G20" s="351"/>
      <c r="H20" s="40">
        <f>IF(D7&gt;0,(H7/D7)*100,0)</f>
        <v>1.0395364689844424</v>
      </c>
      <c r="I20" s="40">
        <f>IF(D7&gt;0,(I7/D7)*100,0)</f>
        <v>45.367553274917427</v>
      </c>
      <c r="J20" s="40">
        <f>IF(D7&gt;0,(J7/D7)*100,0)</f>
        <v>46.407089743901871</v>
      </c>
      <c r="K20" s="351"/>
      <c r="L20" s="11"/>
    </row>
    <row r="21" spans="1:12" x14ac:dyDescent="0.2">
      <c r="A21" t="str">
        <f>$A$8</f>
        <v>Manufacturing</v>
      </c>
      <c r="B21" s="18">
        <f t="shared" si="8"/>
        <v>13.072608130101205</v>
      </c>
      <c r="C21" s="18">
        <f t="shared" si="8"/>
        <v>12.280411518378727</v>
      </c>
      <c r="D21" s="18">
        <f t="shared" si="8"/>
        <v>11.516810530228032</v>
      </c>
      <c r="E21" s="18">
        <f t="shared" si="8"/>
        <v>11.173047803111738</v>
      </c>
      <c r="F21" s="18">
        <f t="shared" si="8"/>
        <v>9.95478694259889</v>
      </c>
      <c r="G21" s="351"/>
      <c r="H21" s="40">
        <f t="shared" ref="H21:H25" si="9">IF(D8&gt;0,(H8/D8)*100,0)</f>
        <v>-11.062965716046833</v>
      </c>
      <c r="I21" s="40">
        <f t="shared" ref="I21:I25" si="10">IF(D8&gt;0,(I8/D8)*100,0)</f>
        <v>38.829724116649267</v>
      </c>
      <c r="J21" s="40">
        <f t="shared" ref="J21:J27" si="11">IF(D8&gt;0,(J8/D8)*100,0)</f>
        <v>27.766758400602438</v>
      </c>
      <c r="K21" s="351"/>
      <c r="L21" s="11"/>
    </row>
    <row r="22" spans="1:12" x14ac:dyDescent="0.2">
      <c r="A22" t="str">
        <f>$A$9</f>
        <v>Construction</v>
      </c>
      <c r="B22" s="18">
        <f t="shared" si="8"/>
        <v>5.8706053161966931</v>
      </c>
      <c r="C22" s="18">
        <f t="shared" si="8"/>
        <v>6.6417825569973692</v>
      </c>
      <c r="D22" s="18">
        <f t="shared" si="8"/>
        <v>6.3924280577792869</v>
      </c>
      <c r="E22" s="18">
        <f t="shared" si="8"/>
        <v>6.1391897686384898</v>
      </c>
      <c r="F22" s="18">
        <f t="shared" si="8"/>
        <v>5.9682047494003356</v>
      </c>
      <c r="G22" s="351"/>
      <c r="H22" s="40">
        <f t="shared" si="9"/>
        <v>-3.9359790952148832</v>
      </c>
      <c r="I22" s="40">
        <f t="shared" si="10"/>
        <v>40.016075165124924</v>
      </c>
      <c r="J22" s="40">
        <f t="shared" si="11"/>
        <v>36.080096069910041</v>
      </c>
      <c r="K22" s="351"/>
    </row>
    <row r="23" spans="1:12" x14ac:dyDescent="0.2">
      <c r="A23" t="str">
        <f>$A$10</f>
        <v>Trade, accomod. and transport</v>
      </c>
      <c r="B23" s="18">
        <f t="shared" si="8"/>
        <v>26.549740561269779</v>
      </c>
      <c r="C23" s="18">
        <f t="shared" si="8"/>
        <v>27.582691412914251</v>
      </c>
      <c r="D23" s="18">
        <f t="shared" si="8"/>
        <v>27.856495575516888</v>
      </c>
      <c r="E23" s="18">
        <f t="shared" si="8"/>
        <v>27.850175349196583</v>
      </c>
      <c r="F23" s="18">
        <f t="shared" si="8"/>
        <v>28.226097755987499</v>
      </c>
      <c r="G23" s="351"/>
      <c r="H23" s="40">
        <f t="shared" si="9"/>
        <v>4.257488082031692</v>
      </c>
      <c r="I23" s="40">
        <f t="shared" si="10"/>
        <v>49.229859116081187</v>
      </c>
      <c r="J23" s="40">
        <f t="shared" si="11"/>
        <v>53.487347198112879</v>
      </c>
      <c r="K23" s="351"/>
      <c r="L23" s="11"/>
    </row>
    <row r="24" spans="1:12" x14ac:dyDescent="0.2">
      <c r="A24" t="str">
        <f>$A$11</f>
        <v>Business and other services</v>
      </c>
      <c r="B24" s="18">
        <f t="shared" si="8"/>
        <v>23.443827073518889</v>
      </c>
      <c r="C24" s="18">
        <f t="shared" si="8"/>
        <v>22.679625704389167</v>
      </c>
      <c r="D24" s="18">
        <f t="shared" si="8"/>
        <v>22.459002017013081</v>
      </c>
      <c r="E24" s="18">
        <f t="shared" si="8"/>
        <v>22.320409486464047</v>
      </c>
      <c r="F24" s="18">
        <f t="shared" si="8"/>
        <v>22.950902840630043</v>
      </c>
      <c r="G24" s="351"/>
      <c r="H24" s="40">
        <f t="shared" si="9"/>
        <v>5.1458693590672038</v>
      </c>
      <c r="I24" s="40">
        <f t="shared" si="10"/>
        <v>48.459683845014844</v>
      </c>
      <c r="J24" s="40">
        <f t="shared" si="11"/>
        <v>53.605553204082042</v>
      </c>
      <c r="K24" s="351"/>
      <c r="L24" s="11"/>
    </row>
    <row r="25" spans="1:12" x14ac:dyDescent="0.2">
      <c r="A25" t="str">
        <f>$A$12</f>
        <v>Non-marketed services</v>
      </c>
      <c r="B25" s="18">
        <f t="shared" si="8"/>
        <v>29.349963549930504</v>
      </c>
      <c r="C25" s="18">
        <f t="shared" si="8"/>
        <v>28.525461407227425</v>
      </c>
      <c r="D25" s="18">
        <f t="shared" si="8"/>
        <v>29.324780863849526</v>
      </c>
      <c r="E25" s="18">
        <f t="shared" si="8"/>
        <v>30.092532174972192</v>
      </c>
      <c r="F25" s="18">
        <f t="shared" si="8"/>
        <v>30.493650284712398</v>
      </c>
      <c r="G25" s="351"/>
      <c r="H25" s="40">
        <f t="shared" si="9"/>
        <v>6.9935347896671409</v>
      </c>
      <c r="I25" s="40">
        <f t="shared" si="10"/>
        <v>55.951483049055817</v>
      </c>
      <c r="J25" s="40">
        <f t="shared" si="11"/>
        <v>62.945017838722961</v>
      </c>
      <c r="K25" s="351"/>
      <c r="L25" s="11"/>
    </row>
    <row r="26" spans="1:12" x14ac:dyDescent="0.2">
      <c r="B26" s="18"/>
      <c r="C26" s="18"/>
      <c r="D26" s="18"/>
      <c r="E26" s="18"/>
      <c r="F26" s="18"/>
      <c r="G26" s="351"/>
      <c r="H26" s="40"/>
      <c r="I26" s="40"/>
      <c r="J26" s="40"/>
      <c r="K26" s="351"/>
      <c r="L26" s="11"/>
    </row>
    <row r="27" spans="1:12" x14ac:dyDescent="0.2">
      <c r="A27" s="24" t="str">
        <f>$A$14</f>
        <v>All industries</v>
      </c>
      <c r="B27" s="26">
        <f>B14/B$14*100</f>
        <v>100</v>
      </c>
      <c r="C27" s="26">
        <f>C14/C$14*100</f>
        <v>100</v>
      </c>
      <c r="D27" s="26">
        <f>D14/D$14*100</f>
        <v>100</v>
      </c>
      <c r="E27" s="26">
        <f>E14/E$14*100</f>
        <v>100</v>
      </c>
      <c r="F27" s="26">
        <f>F14/F$14*100</f>
        <v>100</v>
      </c>
      <c r="G27" s="351"/>
      <c r="H27" s="43">
        <f>IF(D14&gt;0,(H14/D14)*100,0)</f>
        <v>2.892304865469852</v>
      </c>
      <c r="I27" s="43">
        <f>IF(D14&gt;0,(I14/D14)*100,0)</f>
        <v>49.146593425686767</v>
      </c>
      <c r="J27" s="43">
        <f t="shared" si="11"/>
        <v>52.03889829115662</v>
      </c>
      <c r="K27" s="351"/>
      <c r="L27" s="11"/>
    </row>
    <row r="28" spans="1:12" x14ac:dyDescent="0.2">
      <c r="B28" s="18"/>
      <c r="C28" s="18"/>
      <c r="D28" s="18"/>
      <c r="E28" s="18"/>
      <c r="F28" s="18"/>
    </row>
    <row r="29" spans="1:12" x14ac:dyDescent="0.2">
      <c r="B29" s="18"/>
      <c r="C29" s="18"/>
      <c r="D29" s="18"/>
      <c r="E29" s="18"/>
      <c r="F29" s="18"/>
      <c r="G29" s="20"/>
      <c r="H29" s="20"/>
      <c r="I29" s="20"/>
      <c r="J29" s="20"/>
      <c r="K29" s="20"/>
    </row>
    <row r="30" spans="1:12" x14ac:dyDescent="0.2">
      <c r="B30" s="18"/>
      <c r="C30" s="18"/>
      <c r="D30" s="18"/>
      <c r="E30" s="18"/>
      <c r="F30" s="18"/>
      <c r="G30" s="18"/>
      <c r="H30" s="18"/>
      <c r="I30" s="18"/>
      <c r="J30" s="18"/>
      <c r="K30" s="18"/>
    </row>
    <row r="31" spans="1:12" ht="15.75" x14ac:dyDescent="0.25">
      <c r="A31" s="194" t="str">
        <f>CONCATENATE(A1," (Continued)")</f>
        <v>Industry Table 1  Employment by Industry Sector (SIC 2007), 2015-2035, North East (Continued)</v>
      </c>
      <c r="B31" s="18"/>
      <c r="C31" s="18"/>
      <c r="D31" s="18"/>
      <c r="E31" s="18"/>
      <c r="F31" s="18"/>
      <c r="G31" s="18"/>
      <c r="H31" s="18"/>
      <c r="I31" s="18"/>
      <c r="J31" s="18"/>
      <c r="K31" s="18"/>
    </row>
    <row r="32" spans="1:12" x14ac:dyDescent="0.2">
      <c r="G32" s="18"/>
      <c r="H32" s="18"/>
      <c r="I32" s="18"/>
      <c r="J32" s="18"/>
      <c r="K32" s="18"/>
    </row>
    <row r="33" spans="1:11" x14ac:dyDescent="0.2">
      <c r="A33" s="195" t="s">
        <v>15</v>
      </c>
      <c r="B33" s="25" t="str">
        <f>CONCATENATE(B$5,"-",C$5)</f>
        <v>2015-2019</v>
      </c>
      <c r="C33" s="25" t="str">
        <f>CONCATENATE(C$5,"-",D$5)</f>
        <v>2019-2020</v>
      </c>
      <c r="D33" s="25" t="str">
        <f>CONCATENATE(D$5,"-",E$5)</f>
        <v>2020-2025</v>
      </c>
      <c r="E33" s="25" t="str">
        <f>CONCATENATE(E$5,"-",F$5)</f>
        <v>2025-2035</v>
      </c>
      <c r="F33" s="25" t="str">
        <f>CONCATENATE(D$5,"-",F$5)</f>
        <v>2020-2035</v>
      </c>
      <c r="G33" s="18"/>
      <c r="H33" s="18"/>
      <c r="I33" s="18"/>
      <c r="J33" s="18"/>
      <c r="K33" s="18"/>
    </row>
    <row r="34" spans="1:11" x14ac:dyDescent="0.2">
      <c r="A34" t="str">
        <f>$A$7</f>
        <v>Primary sector and utilities</v>
      </c>
      <c r="B34" s="18">
        <f t="shared" ref="B34:E39" si="12">IF(C$5-B$5 &lt;&gt; 0,(EXP(LN(C7/B7)/(C$5-B$5))-1)*100,0)</f>
        <v>7.1854016224552231</v>
      </c>
      <c r="C34" s="18">
        <f t="shared" si="12"/>
        <v>5.9779664078019934</v>
      </c>
      <c r="D34" s="18">
        <f t="shared" si="12"/>
        <v>-5.2884809008779676E-2</v>
      </c>
      <c r="E34" s="18">
        <f t="shared" si="12"/>
        <v>0.12995080640445522</v>
      </c>
      <c r="F34" s="18">
        <f t="shared" ref="F34:F39" si="13">IF(F$5-D$5 &lt;&gt; 0,(EXP(LN(F7/D7)/(F$5-D$5))-1)*100,0)</f>
        <v>6.8968468615326906E-2</v>
      </c>
      <c r="G34" s="18"/>
      <c r="H34" s="18"/>
      <c r="I34" s="18"/>
      <c r="J34" s="18"/>
      <c r="K34" s="18"/>
    </row>
    <row r="35" spans="1:11" x14ac:dyDescent="0.2">
      <c r="A35" t="str">
        <f>$A$8</f>
        <v>Manufacturing</v>
      </c>
      <c r="B35" s="18">
        <f t="shared" si="12"/>
        <v>-1.8605398491068903</v>
      </c>
      <c r="C35" s="18">
        <f t="shared" si="12"/>
        <v>-7.1196430074935151</v>
      </c>
      <c r="D35" s="18">
        <f t="shared" si="12"/>
        <v>-0.44597109076023322</v>
      </c>
      <c r="E35" s="18">
        <f t="shared" si="12"/>
        <v>-0.94444306720156135</v>
      </c>
      <c r="F35" s="18">
        <f t="shared" si="13"/>
        <v>-0.77856367999591392</v>
      </c>
      <c r="G35" s="18"/>
      <c r="H35" s="18"/>
      <c r="I35" s="18"/>
      <c r="J35" s="18"/>
      <c r="K35" s="18"/>
    </row>
    <row r="36" spans="1:11" x14ac:dyDescent="0.2">
      <c r="A36" t="str">
        <f>$A$9</f>
        <v>Construction</v>
      </c>
      <c r="B36" s="18">
        <f t="shared" si="12"/>
        <v>2.8090716901228774</v>
      </c>
      <c r="C36" s="18">
        <f t="shared" si="12"/>
        <v>-4.6796189052867305</v>
      </c>
      <c r="D36" s="18">
        <f t="shared" si="12"/>
        <v>-0.64722649174798752</v>
      </c>
      <c r="E36" s="18">
        <f t="shared" si="12"/>
        <v>-7.685873018051792E-2</v>
      </c>
      <c r="F36" s="18">
        <f t="shared" si="13"/>
        <v>-0.26734421291025878</v>
      </c>
      <c r="G36" s="18"/>
      <c r="H36" s="18"/>
      <c r="I36" s="18"/>
      <c r="J36" s="18"/>
      <c r="K36" s="18"/>
    </row>
    <row r="37" spans="1:11" x14ac:dyDescent="0.2">
      <c r="A37" t="str">
        <f>$A$10</f>
        <v>Trade, accomod. and transport</v>
      </c>
      <c r="B37" s="18">
        <f t="shared" si="12"/>
        <v>0.64103282546386087</v>
      </c>
      <c r="C37" s="18">
        <f t="shared" si="12"/>
        <v>2.1741901141769659E-2</v>
      </c>
      <c r="D37" s="18">
        <f>IF(E$5-D$5 &lt;&gt; 0,(EXP(LN(E10/D10)/(E$5-D$5))-1)*100,0)</f>
        <v>0.15467920266303281</v>
      </c>
      <c r="E37" s="18">
        <f t="shared" si="12"/>
        <v>0.34023263530944536</v>
      </c>
      <c r="F37" s="18">
        <f t="shared" si="13"/>
        <v>0.27834332595311206</v>
      </c>
      <c r="G37" s="18"/>
      <c r="H37" s="18"/>
      <c r="I37" s="18"/>
      <c r="J37" s="18"/>
      <c r="K37" s="18"/>
    </row>
    <row r="38" spans="1:11" x14ac:dyDescent="0.2">
      <c r="A38" t="str">
        <f>$A$11</f>
        <v>Business and other services</v>
      </c>
      <c r="B38" s="18">
        <f t="shared" si="12"/>
        <v>-1.137215420830151</v>
      </c>
      <c r="C38" s="18">
        <f t="shared" si="12"/>
        <v>-1.9248128527530217</v>
      </c>
      <c r="D38" s="18">
        <f t="shared" si="12"/>
        <v>3.5303526143648511E-2</v>
      </c>
      <c r="E38" s="18">
        <f t="shared" si="12"/>
        <v>0.48530950304226383</v>
      </c>
      <c r="F38" s="18">
        <f t="shared" si="13"/>
        <v>0.33508303269660367</v>
      </c>
      <c r="G38" s="18"/>
      <c r="H38" s="18"/>
      <c r="I38" s="18"/>
      <c r="J38" s="18"/>
      <c r="K38" s="18"/>
    </row>
    <row r="39" spans="1:11" x14ac:dyDescent="0.2">
      <c r="A39" t="str">
        <f>$A$12</f>
        <v>Non-marketed services</v>
      </c>
      <c r="B39" s="18">
        <f t="shared" si="12"/>
        <v>-1.0223192412602278</v>
      </c>
      <c r="C39" s="18">
        <f t="shared" si="12"/>
        <v>1.8138058024386838</v>
      </c>
      <c r="D39" s="18">
        <f t="shared" si="12"/>
        <v>0.67827019259085741</v>
      </c>
      <c r="E39" s="18">
        <f t="shared" si="12"/>
        <v>0.33856393409021912</v>
      </c>
      <c r="F39" s="18">
        <f t="shared" si="13"/>
        <v>0.45167180345637714</v>
      </c>
    </row>
    <row r="40" spans="1:11" x14ac:dyDescent="0.2">
      <c r="B40" s="18"/>
      <c r="C40" s="18"/>
      <c r="D40" s="18"/>
      <c r="E40" s="18"/>
      <c r="F40" s="18"/>
      <c r="G40" s="20"/>
      <c r="H40" s="20"/>
      <c r="I40" s="20"/>
      <c r="J40" s="20"/>
      <c r="K40" s="20"/>
    </row>
    <row r="41" spans="1:11" x14ac:dyDescent="0.2">
      <c r="A41" t="str">
        <f>$A$14</f>
        <v>All industries</v>
      </c>
      <c r="B41" s="18">
        <f>IF(C$5-B$5 &lt;&gt; 0,(EXP(LN(C14/B14)/(C$5-B$5))-1)*100,0)</f>
        <v>-0.31472867268405036</v>
      </c>
      <c r="C41" s="18">
        <f>IF(D$5-C$5 &lt;&gt; 0,(EXP(LN(D14/C14)/(D$5-C$5))-1)*100,0)</f>
        <v>-0.96138137827636028</v>
      </c>
      <c r="D41" s="18">
        <f>IF(E$5-D$5 &lt;&gt; 0,(EXP(LN(E14/D14)/(E$5-D$5))-1)*100,0)</f>
        <v>0.15922454414900589</v>
      </c>
      <c r="E41" s="18">
        <f>IF(F$5-E$5 &lt;&gt; 0,(EXP(LN(F14/E14)/(F$5-E$5))-1)*100,0)</f>
        <v>0.20578921188203481</v>
      </c>
      <c r="F41" s="18">
        <f>IF(F$5-D$5 &lt;&gt; 0,(EXP(LN(F14/D14)/(F$5-D$5))-1)*100,0)</f>
        <v>0.1902652511108327</v>
      </c>
      <c r="G41" s="27"/>
      <c r="H41" s="27"/>
      <c r="I41" s="27"/>
      <c r="J41" s="27"/>
      <c r="K41" s="27"/>
    </row>
    <row r="42" spans="1:11" x14ac:dyDescent="0.2">
      <c r="B42" s="18"/>
      <c r="C42" s="18"/>
      <c r="D42" s="18"/>
      <c r="E42" s="18"/>
      <c r="F42" s="18"/>
      <c r="G42" s="27"/>
      <c r="H42" s="27"/>
      <c r="I42" s="27"/>
      <c r="J42" s="27"/>
      <c r="K42" s="27"/>
    </row>
    <row r="43" spans="1:11" x14ac:dyDescent="0.2">
      <c r="G43" s="27"/>
      <c r="H43" s="27"/>
      <c r="I43" s="27"/>
      <c r="J43" s="27"/>
      <c r="K43" s="27"/>
    </row>
    <row r="44" spans="1:11" x14ac:dyDescent="0.2">
      <c r="A44" s="1" t="s">
        <v>16</v>
      </c>
      <c r="B44" s="20" t="str">
        <f>CONCATENATE(B$5,"-",C$5)</f>
        <v>2015-2019</v>
      </c>
      <c r="C44" s="20" t="str">
        <f>CONCATENATE(C$5,"-",D$5)</f>
        <v>2019-2020</v>
      </c>
      <c r="D44" s="20" t="str">
        <f>CONCATENATE(D$5,"-",E$5)</f>
        <v>2020-2025</v>
      </c>
      <c r="E44" s="20" t="str">
        <f>CONCATENATE(E$5,"-",F$5)</f>
        <v>2025-2035</v>
      </c>
      <c r="F44" s="20" t="str">
        <f>CONCATENATE(D$5,"-",F$5)</f>
        <v>2020-2035</v>
      </c>
      <c r="G44" s="27"/>
      <c r="H44" s="27"/>
      <c r="I44" s="27"/>
      <c r="J44" s="27"/>
      <c r="K44" s="27"/>
    </row>
    <row r="45" spans="1:11" x14ac:dyDescent="0.2">
      <c r="A45" t="str">
        <f>$A$7</f>
        <v>Primary sector and utilities</v>
      </c>
      <c r="B45" s="27">
        <f>C7-B7</f>
        <v>2.6840000000000082</v>
      </c>
      <c r="C45" s="27">
        <f>D7-C7</f>
        <v>0.66199999999999193</v>
      </c>
      <c r="D45" s="27">
        <f>E7-D7</f>
        <v>-3.1000000000000583E-2</v>
      </c>
      <c r="E45" s="27">
        <f>F7-E7</f>
        <v>0.15300000000001468</v>
      </c>
      <c r="F45" s="27">
        <f>F7-D7</f>
        <v>0.1220000000000141</v>
      </c>
      <c r="G45" s="27"/>
      <c r="H45" s="27"/>
      <c r="I45" s="27"/>
      <c r="J45" s="27"/>
      <c r="K45" s="27"/>
    </row>
    <row r="46" spans="1:11" x14ac:dyDescent="0.2">
      <c r="A46" t="str">
        <f>$A$8</f>
        <v>Manufacturing</v>
      </c>
      <c r="B46" s="27">
        <f t="shared" ref="B46:E52" si="14">C8-B8</f>
        <v>-4.63299999999996</v>
      </c>
      <c r="C46" s="27">
        <f>D8-C8</f>
        <v>-4.2280000000000157</v>
      </c>
      <c r="D46" s="27">
        <f t="shared" si="14"/>
        <v>-1.2189999999999799</v>
      </c>
      <c r="E46" s="27">
        <f t="shared" si="14"/>
        <v>-4.88299999999996</v>
      </c>
      <c r="F46" s="27">
        <f t="shared" ref="F46:F52" si="15">F8-D8</f>
        <v>-6.1019999999999399</v>
      </c>
      <c r="G46" s="27"/>
      <c r="H46" s="27"/>
      <c r="I46" s="27"/>
      <c r="J46" s="27"/>
      <c r="K46" s="27"/>
    </row>
    <row r="47" spans="1:11" x14ac:dyDescent="0.2">
      <c r="A47" t="str">
        <f>$A$9</f>
        <v>Construction</v>
      </c>
      <c r="B47" s="27">
        <f t="shared" si="14"/>
        <v>3.3690000000000424</v>
      </c>
      <c r="C47" s="27">
        <f t="shared" ref="C47:C50" si="16">D9-C9</f>
        <v>-1.502999999999993</v>
      </c>
      <c r="D47" s="27">
        <f t="shared" si="14"/>
        <v>-0.97800000000004061</v>
      </c>
      <c r="E47" s="27">
        <f t="shared" si="14"/>
        <v>-0.22699999999999676</v>
      </c>
      <c r="F47" s="27">
        <f t="shared" si="15"/>
        <v>-1.2050000000000374</v>
      </c>
      <c r="G47" s="27"/>
      <c r="H47" s="27"/>
      <c r="I47" s="27"/>
      <c r="J47" s="27"/>
      <c r="K47" s="27"/>
    </row>
    <row r="48" spans="1:11" x14ac:dyDescent="0.2">
      <c r="A48" t="str">
        <f>$A$10</f>
        <v>Trade, accomod. and transport</v>
      </c>
      <c r="B48" s="27">
        <f t="shared" si="14"/>
        <v>3.3660000000002697</v>
      </c>
      <c r="C48" s="27">
        <f t="shared" si="16"/>
        <v>2.8999999999939519E-2</v>
      </c>
      <c r="D48" s="27">
        <f t="shared" si="14"/>
        <v>1.0349999999999682</v>
      </c>
      <c r="E48" s="27">
        <f t="shared" si="14"/>
        <v>4.6450000000001523</v>
      </c>
      <c r="F48" s="27">
        <f t="shared" si="15"/>
        <v>5.6800000000001205</v>
      </c>
      <c r="G48" s="27"/>
      <c r="H48" s="27"/>
      <c r="I48" s="27"/>
      <c r="J48" s="27"/>
      <c r="K48" s="27"/>
    </row>
    <row r="49" spans="1:6" x14ac:dyDescent="0.2">
      <c r="A49" t="str">
        <f>$A$11</f>
        <v>Business and other services</v>
      </c>
      <c r="B49" s="27">
        <f t="shared" si="14"/>
        <v>-5.1340000000001424</v>
      </c>
      <c r="C49" s="27">
        <f t="shared" si="16"/>
        <v>-2.1109999999998195</v>
      </c>
      <c r="D49" s="27">
        <f t="shared" si="14"/>
        <v>0.1899999999999693</v>
      </c>
      <c r="E49" s="27">
        <f t="shared" si="14"/>
        <v>5.3449999999998994</v>
      </c>
      <c r="F49" s="27">
        <f t="shared" si="15"/>
        <v>5.5349999999998687</v>
      </c>
    </row>
    <row r="50" spans="1:6" x14ac:dyDescent="0.2">
      <c r="A50" t="str">
        <f>$A$12</f>
        <v>Non-marketed services</v>
      </c>
      <c r="B50" s="27">
        <f t="shared" si="14"/>
        <v>-5.7880000000000962</v>
      </c>
      <c r="C50" s="27">
        <f t="shared" si="16"/>
        <v>2.5019999999999811</v>
      </c>
      <c r="D50" s="27">
        <f t="shared" si="14"/>
        <v>4.8279999999999745</v>
      </c>
      <c r="E50" s="27">
        <f t="shared" si="14"/>
        <v>4.9940000000001419</v>
      </c>
      <c r="F50" s="27">
        <f t="shared" si="15"/>
        <v>9.8220000000001164</v>
      </c>
    </row>
    <row r="51" spans="1:6" x14ac:dyDescent="0.2">
      <c r="B51" s="27"/>
      <c r="C51" s="27"/>
      <c r="D51" s="27"/>
      <c r="E51" s="27"/>
      <c r="F51" s="27"/>
    </row>
    <row r="52" spans="1:6" x14ac:dyDescent="0.2">
      <c r="A52" s="24" t="str">
        <f>$A$14</f>
        <v>All industries</v>
      </c>
      <c r="B52" s="29">
        <f>C14-B14</f>
        <v>-6.1359999999999104</v>
      </c>
      <c r="C52" s="29">
        <f>D14-C14</f>
        <v>-4.6489999999998872</v>
      </c>
      <c r="D52" s="29">
        <f t="shared" si="14"/>
        <v>3.8249999999998749</v>
      </c>
      <c r="E52" s="29">
        <f t="shared" si="14"/>
        <v>10.027000000000214</v>
      </c>
      <c r="F52" s="29">
        <f t="shared" si="15"/>
        <v>13.852000000000089</v>
      </c>
    </row>
  </sheetData>
  <phoneticPr fontId="4" type="noConversion"/>
  <pageMargins left="0.74803149606299213" right="0.74803149606299213" top="0.78740157480314965" bottom="0.78740157480314965" header="0.51181102362204722" footer="0.51181102362204722"/>
  <pageSetup paperSize="9" scale="69" orientation="portrait" r:id="rId1"/>
  <headerFooter alignWithMargins="0"/>
  <colBreaks count="1" manualBreakCount="1">
    <brk id="10" max="51" man="1"/>
  </colBreaks>
  <ignoredErrors>
    <ignoredError sqref="C32 C42:C43 C51" formula="1"/>
  </ignoredErrors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I113"/>
  <sheetViews>
    <sheetView showGridLines="0" zoomScale="85" zoomScaleNormal="85" workbookViewId="0"/>
  </sheetViews>
  <sheetFormatPr defaultRowHeight="12.75" x14ac:dyDescent="0.2"/>
  <cols>
    <col min="1" max="1" width="25.140625" customWidth="1"/>
    <col min="2" max="6" width="11.7109375" customWidth="1"/>
  </cols>
  <sheetData>
    <row r="1" spans="1:7" ht="15.75" x14ac:dyDescent="0.25">
      <c r="A1" s="19" t="str">
        <f>CONCATENATE("Industry Table 2  Employment by Industry Group (SIC 2007), ",B$3,"-",F$3,", ",Info!B5)</f>
        <v>Industry Table 2  Employment by Industry Group (SIC 2007), 2015-2035, North East</v>
      </c>
    </row>
    <row r="2" spans="1:7" x14ac:dyDescent="0.2">
      <c r="A2" s="1" t="s">
        <v>514</v>
      </c>
    </row>
    <row r="3" spans="1:7" x14ac:dyDescent="0.2">
      <c r="A3" s="22"/>
      <c r="B3" s="23">
        <v>2015</v>
      </c>
      <c r="C3" s="23">
        <v>2019</v>
      </c>
      <c r="D3" s="23">
        <v>2020</v>
      </c>
      <c r="E3" s="23">
        <v>2025</v>
      </c>
      <c r="F3" s="23">
        <v>2035</v>
      </c>
    </row>
    <row r="4" spans="1:7" x14ac:dyDescent="0.2">
      <c r="A4" s="1" t="s">
        <v>13</v>
      </c>
    </row>
    <row r="5" spans="1:7" x14ac:dyDescent="0.2">
      <c r="A5" s="10" t="str">
        <f>name!B4</f>
        <v>Agriculture</v>
      </c>
      <c r="B5" s="11">
        <v>2.5589999999999962</v>
      </c>
      <c r="C5" s="11">
        <v>1.9729999999999996</v>
      </c>
      <c r="D5" s="11">
        <v>1.9019999999999981</v>
      </c>
      <c r="E5" s="11">
        <v>1.9700000000000037</v>
      </c>
      <c r="F5" s="11">
        <v>2.025000000000003</v>
      </c>
      <c r="G5" s="10"/>
    </row>
    <row r="6" spans="1:7" x14ac:dyDescent="0.2">
      <c r="A6" s="10" t="str">
        <f>name!B5</f>
        <v>Mining and quarrying</v>
      </c>
      <c r="B6" s="11">
        <v>0.25900000000000067</v>
      </c>
      <c r="C6" s="11">
        <v>0.38199999999999923</v>
      </c>
      <c r="D6" s="11">
        <v>0.46699999999999953</v>
      </c>
      <c r="E6" s="11">
        <v>0.4160000000000007</v>
      </c>
      <c r="F6" s="11">
        <v>0.36699999999999977</v>
      </c>
    </row>
    <row r="7" spans="1:7" x14ac:dyDescent="0.2">
      <c r="A7" s="10" t="str">
        <f>name!B6</f>
        <v>Food drink and tobacco</v>
      </c>
      <c r="B7" s="11">
        <v>4.0409999999999942</v>
      </c>
      <c r="C7" s="11">
        <v>4.6129999999999987</v>
      </c>
      <c r="D7" s="11">
        <v>4.4239999999999942</v>
      </c>
      <c r="E7" s="11">
        <v>4.4560000000000102</v>
      </c>
      <c r="F7" s="11">
        <v>4.328999999999998</v>
      </c>
      <c r="G7" s="11"/>
    </row>
    <row r="8" spans="1:7" x14ac:dyDescent="0.2">
      <c r="A8" s="10" t="str">
        <f>name!B7</f>
        <v>Engineering</v>
      </c>
      <c r="B8" s="11">
        <v>11.625000000000009</v>
      </c>
      <c r="C8" s="11">
        <v>11.173999999999978</v>
      </c>
      <c r="D8" s="11">
        <v>10.317999999999991</v>
      </c>
      <c r="E8" s="11">
        <v>10.549999999999999</v>
      </c>
      <c r="F8" s="11">
        <v>9.4499999999999833</v>
      </c>
      <c r="G8" s="11"/>
    </row>
    <row r="9" spans="1:7" x14ac:dyDescent="0.2">
      <c r="A9" s="10" t="str">
        <f>name!B8</f>
        <v>Rest of manufacturing</v>
      </c>
      <c r="B9" s="11">
        <v>48.351999999999869</v>
      </c>
      <c r="C9" s="11">
        <v>43.597999999999935</v>
      </c>
      <c r="D9" s="11">
        <v>40.414999999999914</v>
      </c>
      <c r="E9" s="11">
        <v>38.93199999999991</v>
      </c>
      <c r="F9" s="11">
        <v>35.275999999999975</v>
      </c>
      <c r="G9" s="11"/>
    </row>
    <row r="10" spans="1:7" x14ac:dyDescent="0.2">
      <c r="A10" s="10" t="str">
        <f>name!B9</f>
        <v>Electricity and gas</v>
      </c>
      <c r="B10" s="11">
        <v>2.7310000000000025</v>
      </c>
      <c r="C10" s="11">
        <v>5.5930000000000026</v>
      </c>
      <c r="D10" s="11">
        <v>5.8249999999999913</v>
      </c>
      <c r="E10" s="11">
        <v>5.740999999999989</v>
      </c>
      <c r="F10" s="11">
        <v>5.8660000000000023</v>
      </c>
      <c r="G10" s="11"/>
    </row>
    <row r="11" spans="1:7" x14ac:dyDescent="0.2">
      <c r="A11" s="10" t="str">
        <f>name!B10</f>
        <v>Water and sewerage</v>
      </c>
      <c r="B11" s="11">
        <v>2.8409999999999953</v>
      </c>
      <c r="C11" s="11">
        <v>3.1260000000000017</v>
      </c>
      <c r="D11" s="11">
        <v>3.5420000000000074</v>
      </c>
      <c r="E11" s="11">
        <v>3.5780000000000012</v>
      </c>
      <c r="F11" s="11">
        <v>3.6000000000000028</v>
      </c>
      <c r="G11" s="11"/>
    </row>
    <row r="12" spans="1:7" x14ac:dyDescent="0.2">
      <c r="A12" s="10" t="str">
        <f>name!B11</f>
        <v>Construction</v>
      </c>
      <c r="B12" s="11">
        <v>28.748999999999974</v>
      </c>
      <c r="C12" s="11">
        <v>32.118000000000016</v>
      </c>
      <c r="D12" s="11">
        <v>30.615000000000023</v>
      </c>
      <c r="E12" s="11">
        <v>29.636999999999983</v>
      </c>
      <c r="F12" s="11">
        <v>29.409999999999986</v>
      </c>
      <c r="G12" s="11"/>
    </row>
    <row r="13" spans="1:7" x14ac:dyDescent="0.2">
      <c r="A13" s="10" t="str">
        <f>name!B12</f>
        <v>Wholesale and retail trade</v>
      </c>
      <c r="B13" s="11">
        <v>74.617999999999881</v>
      </c>
      <c r="C13" s="11">
        <v>71.895000000000067</v>
      </c>
      <c r="D13" s="11">
        <v>72.056999999999917</v>
      </c>
      <c r="E13" s="11">
        <v>71.422999999999917</v>
      </c>
      <c r="F13" s="11">
        <v>71.717000000000127</v>
      </c>
      <c r="G13" s="11"/>
    </row>
    <row r="14" spans="1:7" x14ac:dyDescent="0.2">
      <c r="A14" s="10" t="str">
        <f>name!B13</f>
        <v>Transport and storage</v>
      </c>
      <c r="B14" s="11">
        <v>22.279999999999951</v>
      </c>
      <c r="C14" s="11">
        <v>26.582999999999938</v>
      </c>
      <c r="D14" s="11">
        <v>27.424000000000007</v>
      </c>
      <c r="E14" s="11">
        <v>28.243000000000062</v>
      </c>
      <c r="F14" s="11">
        <v>28.280999999999995</v>
      </c>
      <c r="G14" s="11"/>
    </row>
    <row r="15" spans="1:7" x14ac:dyDescent="0.2">
      <c r="A15" s="10" t="str">
        <f>name!B14</f>
        <v>Accommodation and food</v>
      </c>
      <c r="B15" s="11">
        <v>33.11899999999995</v>
      </c>
      <c r="C15" s="11">
        <v>34.905000000000037</v>
      </c>
      <c r="D15" s="11">
        <v>33.931000000000061</v>
      </c>
      <c r="E15" s="11">
        <v>34.780999999999956</v>
      </c>
      <c r="F15" s="11">
        <v>39.093999999999973</v>
      </c>
      <c r="G15" s="11"/>
    </row>
    <row r="16" spans="1:7" x14ac:dyDescent="0.2">
      <c r="A16" s="10" t="str">
        <f>name!B15</f>
        <v>Media</v>
      </c>
      <c r="B16" s="11">
        <v>2.5630000000000068</v>
      </c>
      <c r="C16" s="11">
        <v>2.9880000000000035</v>
      </c>
      <c r="D16" s="11">
        <v>2.8960000000000048</v>
      </c>
      <c r="E16" s="11">
        <v>2.8369999999999993</v>
      </c>
      <c r="F16" s="11">
        <v>2.8879999999999977</v>
      </c>
      <c r="G16" s="11"/>
    </row>
    <row r="17" spans="1:7" x14ac:dyDescent="0.2">
      <c r="A17" s="10" t="str">
        <f>name!B16</f>
        <v>Information technology</v>
      </c>
      <c r="B17" s="11">
        <v>8.537000000000015</v>
      </c>
      <c r="C17" s="11">
        <v>6.4880000000000049</v>
      </c>
      <c r="D17" s="11">
        <v>5.6369999999999907</v>
      </c>
      <c r="E17" s="11">
        <v>6.1230000000000224</v>
      </c>
      <c r="F17" s="11">
        <v>6.7169999999999943</v>
      </c>
      <c r="G17" s="11"/>
    </row>
    <row r="18" spans="1:7" x14ac:dyDescent="0.2">
      <c r="A18" s="10" t="str">
        <f>name!B17</f>
        <v>Finance and insurance</v>
      </c>
      <c r="B18" s="11">
        <v>9.3589999999999769</v>
      </c>
      <c r="C18" s="11">
        <v>8.4649999999999928</v>
      </c>
      <c r="D18" s="11">
        <v>7.9720000000000066</v>
      </c>
      <c r="E18" s="11">
        <v>8.2219999999999889</v>
      </c>
      <c r="F18" s="11">
        <v>8.2010000000000023</v>
      </c>
      <c r="G18" s="11"/>
    </row>
    <row r="19" spans="1:7" x14ac:dyDescent="0.2">
      <c r="A19" s="10" t="str">
        <f>name!B18</f>
        <v>Real estate</v>
      </c>
      <c r="B19" s="11">
        <v>7.2680000000000007</v>
      </c>
      <c r="C19" s="11">
        <v>7.5290000000000097</v>
      </c>
      <c r="D19" s="11">
        <v>6.7819999999999885</v>
      </c>
      <c r="E19" s="11">
        <v>6.7620000000000191</v>
      </c>
      <c r="F19" s="11">
        <v>7.8439999999999861</v>
      </c>
      <c r="G19" s="11"/>
    </row>
    <row r="20" spans="1:7" x14ac:dyDescent="0.2">
      <c r="A20" s="10" t="str">
        <f>name!B19</f>
        <v>Professional services</v>
      </c>
      <c r="B20" s="11">
        <v>25.363999999999997</v>
      </c>
      <c r="C20" s="11">
        <v>22.099000000000004</v>
      </c>
      <c r="D20" s="11">
        <v>23.094000000000012</v>
      </c>
      <c r="E20" s="11">
        <v>23.910999999999991</v>
      </c>
      <c r="F20" s="11">
        <v>25.574999999999996</v>
      </c>
      <c r="G20" s="11"/>
    </row>
    <row r="21" spans="1:7" x14ac:dyDescent="0.2">
      <c r="A21" s="10" t="str">
        <f>name!B20</f>
        <v>Support services</v>
      </c>
      <c r="B21" s="11">
        <v>35.167999999999999</v>
      </c>
      <c r="C21" s="11">
        <v>36.009999999999856</v>
      </c>
      <c r="D21" s="11">
        <v>35.190000000000062</v>
      </c>
      <c r="E21" s="11">
        <v>36.036999999999985</v>
      </c>
      <c r="F21" s="11">
        <v>37.686999999999948</v>
      </c>
      <c r="G21" s="11"/>
    </row>
    <row r="22" spans="1:7" x14ac:dyDescent="0.2">
      <c r="A22" s="10" t="str">
        <f>name!B21</f>
        <v>Public admin. and defence</v>
      </c>
      <c r="B22" s="11">
        <v>30.572000000000074</v>
      </c>
      <c r="C22" s="11">
        <v>30.999999999999993</v>
      </c>
      <c r="D22" s="11">
        <v>31.607000000000031</v>
      </c>
      <c r="E22" s="11">
        <v>30.495000000000008</v>
      </c>
      <c r="F22" s="11">
        <v>30.647000000000016</v>
      </c>
      <c r="G22" s="11"/>
    </row>
    <row r="23" spans="1:7" x14ac:dyDescent="0.2">
      <c r="A23" s="10" t="str">
        <f>name!B22</f>
        <v>Education</v>
      </c>
      <c r="B23" s="11">
        <v>44.228000000000037</v>
      </c>
      <c r="C23" s="11">
        <v>44.338000000000008</v>
      </c>
      <c r="D23" s="11">
        <v>43.000999999999983</v>
      </c>
      <c r="E23" s="11">
        <v>45.634999999999962</v>
      </c>
      <c r="F23" s="11">
        <v>47.142000000000053</v>
      </c>
      <c r="G23" s="11"/>
    </row>
    <row r="24" spans="1:7" x14ac:dyDescent="0.2">
      <c r="A24" s="10" t="str">
        <f>name!B23</f>
        <v>Health and social work</v>
      </c>
      <c r="B24" s="11">
        <v>68.929999999999978</v>
      </c>
      <c r="C24" s="11">
        <v>62.603999999999978</v>
      </c>
      <c r="D24" s="11">
        <v>65.835999999999956</v>
      </c>
      <c r="E24" s="11">
        <v>69.141999999999953</v>
      </c>
      <c r="F24" s="11">
        <v>72.47699999999999</v>
      </c>
      <c r="G24" s="11"/>
    </row>
    <row r="25" spans="1:7" x14ac:dyDescent="0.2">
      <c r="A25" s="10" t="str">
        <f>name!B24</f>
        <v>Arts and entertainment</v>
      </c>
      <c r="B25" s="11">
        <v>12.142999999999999</v>
      </c>
      <c r="C25" s="11">
        <v>13.485999999999997</v>
      </c>
      <c r="D25" s="11">
        <v>12.614999999999977</v>
      </c>
      <c r="E25" s="11">
        <v>12.903000000000011</v>
      </c>
      <c r="F25" s="11">
        <v>14.023000000000003</v>
      </c>
      <c r="G25" s="11"/>
    </row>
    <row r="26" spans="1:7" x14ac:dyDescent="0.2">
      <c r="A26" s="10" t="str">
        <f>name!B25</f>
        <v>Other services</v>
      </c>
      <c r="B26" s="11">
        <v>14.405000000000024</v>
      </c>
      <c r="C26" s="11">
        <v>12.608000000000022</v>
      </c>
      <c r="D26" s="11">
        <v>13.376000000000015</v>
      </c>
      <c r="E26" s="11">
        <v>10.957000000000017</v>
      </c>
      <c r="F26" s="11">
        <v>10.162000000000006</v>
      </c>
      <c r="G26" s="11"/>
    </row>
    <row r="27" spans="1:7" x14ac:dyDescent="0.2">
      <c r="B27" s="11"/>
      <c r="C27" s="11"/>
      <c r="D27" s="11"/>
      <c r="E27" s="11"/>
      <c r="F27" s="11"/>
      <c r="G27" s="11"/>
    </row>
    <row r="28" spans="1:7" x14ac:dyDescent="0.2">
      <c r="A28" s="10" t="str">
        <f>name!B3</f>
        <v>All industries</v>
      </c>
      <c r="B28" s="11">
        <f>SUM(B5:B26)</f>
        <v>489.71099999999967</v>
      </c>
      <c r="C28" s="11">
        <f t="shared" ref="C28:F28" si="0">SUM(C5:C26)</f>
        <v>483.57499999999987</v>
      </c>
      <c r="D28" s="11">
        <f t="shared" si="0"/>
        <v>478.92599999999993</v>
      </c>
      <c r="E28" s="11">
        <f t="shared" si="0"/>
        <v>482.75099999999975</v>
      </c>
      <c r="F28" s="11">
        <f t="shared" si="0"/>
        <v>492.77800000000002</v>
      </c>
      <c r="G28" s="11"/>
    </row>
    <row r="29" spans="1:7" x14ac:dyDescent="0.2">
      <c r="B29" s="11"/>
      <c r="C29" s="11"/>
      <c r="D29" s="11"/>
      <c r="E29" s="11"/>
      <c r="F29" s="11"/>
      <c r="G29" s="11"/>
    </row>
    <row r="31" spans="1:7" x14ac:dyDescent="0.2">
      <c r="A31" s="1" t="s">
        <v>14</v>
      </c>
      <c r="B31" s="17">
        <f>B$3</f>
        <v>2015</v>
      </c>
      <c r="C31" s="17">
        <f>C$3</f>
        <v>2019</v>
      </c>
      <c r="D31" s="17">
        <f>D$3</f>
        <v>2020</v>
      </c>
      <c r="E31" s="17">
        <f>E$3</f>
        <v>2025</v>
      </c>
      <c r="F31" s="17">
        <f>F$3</f>
        <v>2035</v>
      </c>
      <c r="G31" s="11"/>
    </row>
    <row r="32" spans="1:7" x14ac:dyDescent="0.2">
      <c r="A32" t="str">
        <f>$A$5</f>
        <v>Agriculture</v>
      </c>
      <c r="B32" s="18">
        <f>B5/B$28*100</f>
        <v>0.52255309764330349</v>
      </c>
      <c r="C32" s="18">
        <f t="shared" ref="C32:E32" si="1">C5/C$28*100</f>
        <v>0.40800289510417204</v>
      </c>
      <c r="D32" s="18">
        <f t="shared" si="1"/>
        <v>0.39713859761215692</v>
      </c>
      <c r="E32" s="18">
        <f t="shared" si="1"/>
        <v>0.40807787037209758</v>
      </c>
      <c r="F32" s="18">
        <f>F5/F$28*100</f>
        <v>0.41093555312940167</v>
      </c>
    </row>
    <row r="33" spans="1:6" x14ac:dyDescent="0.2">
      <c r="A33" t="str">
        <f>$A$6</f>
        <v>Mining and quarrying</v>
      </c>
      <c r="B33" s="18">
        <f t="shared" ref="B33:F53" si="2">B6/B$28*100</f>
        <v>5.2888336181952385E-2</v>
      </c>
      <c r="C33" s="18">
        <f t="shared" si="2"/>
        <v>7.8994985265987555E-2</v>
      </c>
      <c r="D33" s="18">
        <f t="shared" si="2"/>
        <v>9.7509844944730417E-2</v>
      </c>
      <c r="E33" s="18">
        <f t="shared" si="2"/>
        <v>8.6172788870453071E-2</v>
      </c>
      <c r="F33" s="18">
        <f t="shared" si="2"/>
        <v>7.4475727406661779E-2</v>
      </c>
    </row>
    <row r="34" spans="1:6" x14ac:dyDescent="0.2">
      <c r="A34" t="str">
        <f>$A$7</f>
        <v>Food drink and tobacco</v>
      </c>
      <c r="B34" s="18">
        <f t="shared" si="2"/>
        <v>0.8251805656805743</v>
      </c>
      <c r="C34" s="18">
        <f t="shared" si="2"/>
        <v>0.95393682469110275</v>
      </c>
      <c r="D34" s="18">
        <f t="shared" si="2"/>
        <v>0.92373352041860213</v>
      </c>
      <c r="E34" s="18">
        <f t="shared" si="2"/>
        <v>0.92304314232389217</v>
      </c>
      <c r="F34" s="18">
        <f t="shared" si="2"/>
        <v>0.8784888935788524</v>
      </c>
    </row>
    <row r="35" spans="1:6" x14ac:dyDescent="0.2">
      <c r="A35" t="str">
        <f>$A$8</f>
        <v>Engineering</v>
      </c>
      <c r="B35" s="18">
        <f t="shared" si="2"/>
        <v>2.3738490660818354</v>
      </c>
      <c r="C35" s="18">
        <f t="shared" si="2"/>
        <v>2.3107067156077092</v>
      </c>
      <c r="D35" s="18">
        <f t="shared" si="2"/>
        <v>2.1544038118623736</v>
      </c>
      <c r="E35" s="18">
        <f t="shared" si="2"/>
        <v>2.1853916408251881</v>
      </c>
      <c r="F35" s="18">
        <f t="shared" si="2"/>
        <v>1.9176992479372015</v>
      </c>
    </row>
    <row r="36" spans="1:6" x14ac:dyDescent="0.2">
      <c r="A36" t="str">
        <f>$A$9</f>
        <v>Rest of manufacturing</v>
      </c>
      <c r="B36" s="18">
        <f t="shared" si="2"/>
        <v>9.8735784983387962</v>
      </c>
      <c r="C36" s="18">
        <f t="shared" si="2"/>
        <v>9.0157679780799143</v>
      </c>
      <c r="D36" s="18">
        <f t="shared" si="2"/>
        <v>8.4386731979470575</v>
      </c>
      <c r="E36" s="18">
        <f t="shared" si="2"/>
        <v>8.0646130199626569</v>
      </c>
      <c r="F36" s="18">
        <f t="shared" si="2"/>
        <v>7.1585988010828352</v>
      </c>
    </row>
    <row r="37" spans="1:6" x14ac:dyDescent="0.2">
      <c r="A37" t="str">
        <f>$A$10</f>
        <v>Electricity and gas</v>
      </c>
      <c r="B37" s="18">
        <f t="shared" si="2"/>
        <v>0.55767585371780592</v>
      </c>
      <c r="C37" s="18">
        <f t="shared" si="2"/>
        <v>1.1565941167347371</v>
      </c>
      <c r="D37" s="18">
        <f t="shared" si="2"/>
        <v>1.2162630552527931</v>
      </c>
      <c r="E37" s="18">
        <f t="shared" si="2"/>
        <v>1.1892259156376666</v>
      </c>
      <c r="F37" s="18">
        <f t="shared" si="2"/>
        <v>1.1903940516825025</v>
      </c>
    </row>
    <row r="38" spans="1:6" x14ac:dyDescent="0.2">
      <c r="A38" t="str">
        <f>$A$11</f>
        <v>Water and sewerage</v>
      </c>
      <c r="B38" s="18">
        <f t="shared" si="2"/>
        <v>0.58013808143986911</v>
      </c>
      <c r="C38" s="18">
        <f t="shared" si="2"/>
        <v>0.6464354029881616</v>
      </c>
      <c r="D38" s="18">
        <f t="shared" si="2"/>
        <v>0.73957145780350364</v>
      </c>
      <c r="E38" s="18">
        <f t="shared" si="2"/>
        <v>0.74116884273673245</v>
      </c>
      <c r="F38" s="18">
        <f t="shared" si="2"/>
        <v>0.7305520944522691</v>
      </c>
    </row>
    <row r="39" spans="1:6" x14ac:dyDescent="0.2">
      <c r="A39" t="str">
        <f>$A$12</f>
        <v>Construction</v>
      </c>
      <c r="B39" s="18">
        <f t="shared" si="2"/>
        <v>5.870605316196694</v>
      </c>
      <c r="C39" s="18">
        <f t="shared" si="2"/>
        <v>6.6417825569973683</v>
      </c>
      <c r="D39" s="18">
        <f t="shared" si="2"/>
        <v>6.3924280577792869</v>
      </c>
      <c r="E39" s="18">
        <f t="shared" si="2"/>
        <v>6.1391897686384898</v>
      </c>
      <c r="F39" s="18">
        <f t="shared" si="2"/>
        <v>5.9682047494003356</v>
      </c>
    </row>
    <row r="40" spans="1:6" x14ac:dyDescent="0.2">
      <c r="A40" t="str">
        <f>$A$13</f>
        <v>Wholesale and retail trade</v>
      </c>
      <c r="B40" s="18">
        <f t="shared" si="2"/>
        <v>15.237150074227438</v>
      </c>
      <c r="C40" s="18">
        <f t="shared" si="2"/>
        <v>14.867393889262285</v>
      </c>
      <c r="D40" s="18">
        <f t="shared" si="2"/>
        <v>15.045539394394943</v>
      </c>
      <c r="E40" s="18">
        <f t="shared" si="2"/>
        <v>14.794997835322961</v>
      </c>
      <c r="F40" s="18">
        <f t="shared" si="2"/>
        <v>14.553612377175954</v>
      </c>
    </row>
    <row r="41" spans="1:6" x14ac:dyDescent="0.2">
      <c r="A41" t="str">
        <f>$A$14</f>
        <v>Transport and storage</v>
      </c>
      <c r="B41" s="18">
        <f t="shared" si="2"/>
        <v>4.5496221240690868</v>
      </c>
      <c r="C41" s="18">
        <f t="shared" si="2"/>
        <v>5.4971824432611163</v>
      </c>
      <c r="D41" s="18">
        <f t="shared" si="2"/>
        <v>5.7261455840777096</v>
      </c>
      <c r="E41" s="18">
        <f t="shared" si="2"/>
        <v>5.8504280674716522</v>
      </c>
      <c r="F41" s="18">
        <f t="shared" si="2"/>
        <v>5.7390954953346114</v>
      </c>
    </row>
    <row r="42" spans="1:6" x14ac:dyDescent="0.2">
      <c r="A42" t="str">
        <f>$A$15</f>
        <v>Accommodation and food</v>
      </c>
      <c r="B42" s="18">
        <f t="shared" si="2"/>
        <v>6.7629683629732584</v>
      </c>
      <c r="C42" s="18">
        <f t="shared" si="2"/>
        <v>7.2181150803908478</v>
      </c>
      <c r="D42" s="18">
        <f t="shared" si="2"/>
        <v>7.0848105970442337</v>
      </c>
      <c r="E42" s="18">
        <f t="shared" si="2"/>
        <v>7.2047494464019701</v>
      </c>
      <c r="F42" s="18">
        <f t="shared" si="2"/>
        <v>7.9333898834769352</v>
      </c>
    </row>
    <row r="43" spans="1:6" x14ac:dyDescent="0.2">
      <c r="A43" t="str">
        <f>$A$16</f>
        <v>Media</v>
      </c>
      <c r="B43" s="18">
        <f t="shared" si="2"/>
        <v>0.52336990592410804</v>
      </c>
      <c r="C43" s="18">
        <f t="shared" si="2"/>
        <v>0.61789794757793604</v>
      </c>
      <c r="D43" s="18">
        <f t="shared" si="2"/>
        <v>0.60468631897203429</v>
      </c>
      <c r="E43" s="18">
        <f t="shared" si="2"/>
        <v>0.58767356256123771</v>
      </c>
      <c r="F43" s="18">
        <f t="shared" si="2"/>
        <v>0.58606512466059713</v>
      </c>
    </row>
    <row r="44" spans="1:6" x14ac:dyDescent="0.2">
      <c r="A44" t="str">
        <f>$A$17</f>
        <v>Information technology</v>
      </c>
      <c r="B44" s="18">
        <f t="shared" si="2"/>
        <v>1.7432730733024215</v>
      </c>
      <c r="C44" s="18">
        <f t="shared" si="2"/>
        <v>1.3416739905909127</v>
      </c>
      <c r="D44" s="18">
        <f t="shared" si="2"/>
        <v>1.1770085566454926</v>
      </c>
      <c r="E44" s="18">
        <f t="shared" si="2"/>
        <v>1.2683557361869835</v>
      </c>
      <c r="F44" s="18">
        <f t="shared" si="2"/>
        <v>1.3630884495655231</v>
      </c>
    </row>
    <row r="45" spans="1:6" x14ac:dyDescent="0.2">
      <c r="A45" t="str">
        <f>$A$18</f>
        <v>Finance and insurance</v>
      </c>
      <c r="B45" s="18">
        <f t="shared" si="2"/>
        <v>1.9111271750072969</v>
      </c>
      <c r="C45" s="18">
        <f t="shared" si="2"/>
        <v>1.7505040583156686</v>
      </c>
      <c r="D45" s="18">
        <f t="shared" si="2"/>
        <v>1.6645577813691483</v>
      </c>
      <c r="E45" s="18">
        <f t="shared" si="2"/>
        <v>1.7031554569539975</v>
      </c>
      <c r="F45" s="18">
        <f t="shared" si="2"/>
        <v>1.6642382573897379</v>
      </c>
    </row>
    <row r="46" spans="1:6" x14ac:dyDescent="0.2">
      <c r="A46" t="str">
        <f>$A$19</f>
        <v>Real estate</v>
      </c>
      <c r="B46" s="18">
        <f t="shared" si="2"/>
        <v>1.4841406462178726</v>
      </c>
      <c r="C46" s="18">
        <f t="shared" si="2"/>
        <v>1.5569456650984876</v>
      </c>
      <c r="D46" s="18">
        <f t="shared" si="2"/>
        <v>1.4160851572059128</v>
      </c>
      <c r="E46" s="18">
        <f t="shared" si="2"/>
        <v>1.4007221113990489</v>
      </c>
      <c r="F46" s="18">
        <f t="shared" si="2"/>
        <v>1.5917918413565511</v>
      </c>
    </row>
    <row r="47" spans="1:6" x14ac:dyDescent="0.2">
      <c r="A47" s="10" t="str">
        <f>$A$20</f>
        <v>Professional services</v>
      </c>
      <c r="B47" s="18">
        <f t="shared" si="2"/>
        <v>5.1793813085677094</v>
      </c>
      <c r="C47" s="18">
        <f t="shared" si="2"/>
        <v>4.5699219355839347</v>
      </c>
      <c r="D47" s="18">
        <f t="shared" si="2"/>
        <v>4.8220393129627572</v>
      </c>
      <c r="E47" s="18">
        <f t="shared" si="2"/>
        <v>4.95307104490721</v>
      </c>
      <c r="F47" s="18">
        <f t="shared" si="2"/>
        <v>5.1899638376713231</v>
      </c>
    </row>
    <row r="48" spans="1:6" x14ac:dyDescent="0.2">
      <c r="A48" s="10" t="str">
        <f>$A$21</f>
        <v>Support services</v>
      </c>
      <c r="B48" s="18">
        <f t="shared" si="2"/>
        <v>7.1813784048142733</v>
      </c>
      <c r="C48" s="18">
        <f t="shared" si="2"/>
        <v>7.4466215168277659</v>
      </c>
      <c r="D48" s="18">
        <f t="shared" si="2"/>
        <v>7.3476904573984427</v>
      </c>
      <c r="E48" s="18">
        <f t="shared" si="2"/>
        <v>7.4649249820300749</v>
      </c>
      <c r="F48" s="18">
        <f t="shared" si="2"/>
        <v>7.6478657732285011</v>
      </c>
    </row>
    <row r="49" spans="1:9" x14ac:dyDescent="0.2">
      <c r="A49" s="10" t="str">
        <f>$A$22</f>
        <v>Public admin. and defence</v>
      </c>
      <c r="B49" s="18">
        <f t="shared" si="2"/>
        <v>6.242865690172386</v>
      </c>
      <c r="C49" s="18">
        <f t="shared" si="2"/>
        <v>6.4105878095435038</v>
      </c>
      <c r="D49" s="18">
        <f t="shared" si="2"/>
        <v>6.5995581780901507</v>
      </c>
      <c r="E49" s="18">
        <f t="shared" si="2"/>
        <v>6.3169211456838044</v>
      </c>
      <c r="F49" s="18">
        <f t="shared" si="2"/>
        <v>6.2192305662996352</v>
      </c>
    </row>
    <row r="50" spans="1:9" x14ac:dyDescent="0.2">
      <c r="A50" s="10" t="str">
        <f>$A$23</f>
        <v>Education</v>
      </c>
      <c r="B50" s="18">
        <f t="shared" si="2"/>
        <v>9.0314491608316061</v>
      </c>
      <c r="C50" s="18">
        <f t="shared" si="2"/>
        <v>9.1687949128883872</v>
      </c>
      <c r="D50" s="18">
        <f t="shared" si="2"/>
        <v>8.9786313543219602</v>
      </c>
      <c r="E50" s="18">
        <f t="shared" si="2"/>
        <v>9.453113509863261</v>
      </c>
      <c r="F50" s="18">
        <f t="shared" si="2"/>
        <v>9.5665796768524665</v>
      </c>
    </row>
    <row r="51" spans="1:9" x14ac:dyDescent="0.2">
      <c r="A51" s="10" t="str">
        <f>$A$24</f>
        <v>Health and social work</v>
      </c>
      <c r="B51" s="18">
        <f t="shared" si="2"/>
        <v>14.075648698926516</v>
      </c>
      <c r="C51" s="18">
        <f t="shared" si="2"/>
        <v>12.94607868479553</v>
      </c>
      <c r="D51" s="18">
        <f t="shared" si="2"/>
        <v>13.746591331437417</v>
      </c>
      <c r="E51" s="18">
        <f t="shared" si="2"/>
        <v>14.322497519425125</v>
      </c>
      <c r="F51" s="18">
        <f t="shared" si="2"/>
        <v>14.707840041560294</v>
      </c>
    </row>
    <row r="52" spans="1:9" x14ac:dyDescent="0.2">
      <c r="A52" s="10" t="str">
        <f>$A$25</f>
        <v>Arts and entertainment</v>
      </c>
      <c r="B52" s="18">
        <f t="shared" si="2"/>
        <v>2.4796257384457379</v>
      </c>
      <c r="C52" s="18">
        <f t="shared" si="2"/>
        <v>2.788812490306571</v>
      </c>
      <c r="D52" s="18">
        <f t="shared" si="2"/>
        <v>2.6340186166547608</v>
      </c>
      <c r="E52" s="18">
        <f t="shared" si="2"/>
        <v>2.67280647787369</v>
      </c>
      <c r="F52" s="18">
        <f t="shared" si="2"/>
        <v>2.8457033390289346</v>
      </c>
    </row>
    <row r="53" spans="1:9" x14ac:dyDescent="0.2">
      <c r="A53" s="10" t="str">
        <f>$A$26</f>
        <v>Other services</v>
      </c>
      <c r="B53" s="18">
        <f t="shared" si="2"/>
        <v>2.9415308212394726</v>
      </c>
      <c r="C53" s="18">
        <f t="shared" si="2"/>
        <v>2.6072481000878924</v>
      </c>
      <c r="D53" s="18">
        <f t="shared" si="2"/>
        <v>2.7929158158045331</v>
      </c>
      <c r="E53" s="18">
        <f t="shared" si="2"/>
        <v>2.2697001145518132</v>
      </c>
      <c r="F53" s="18">
        <f t="shared" si="2"/>
        <v>2.0621862177288772</v>
      </c>
    </row>
    <row r="54" spans="1:9" x14ac:dyDescent="0.2">
      <c r="B54" s="18"/>
      <c r="C54" s="18"/>
      <c r="D54" s="18"/>
      <c r="E54" s="18"/>
      <c r="F54" s="18"/>
    </row>
    <row r="55" spans="1:9" x14ac:dyDescent="0.2">
      <c r="A55" s="24" t="str">
        <f>$A$28</f>
        <v>All industries</v>
      </c>
      <c r="B55" s="26">
        <f>B28/B$28*100</f>
        <v>100</v>
      </c>
      <c r="C55" s="26">
        <f>C28/C$28*100</f>
        <v>100</v>
      </c>
      <c r="D55" s="26">
        <f>D28/D$28*100</f>
        <v>100</v>
      </c>
      <c r="E55" s="26">
        <f>E28/E$28*100</f>
        <v>100</v>
      </c>
      <c r="F55" s="26">
        <f>F28/F$28*100</f>
        <v>100</v>
      </c>
    </row>
    <row r="56" spans="1:9" x14ac:dyDescent="0.2">
      <c r="B56" s="18"/>
      <c r="C56" s="18"/>
      <c r="D56" s="18"/>
      <c r="E56" s="18"/>
      <c r="F56" s="18"/>
    </row>
    <row r="57" spans="1:9" x14ac:dyDescent="0.2">
      <c r="B57" s="18"/>
      <c r="C57" s="18"/>
      <c r="D57" s="18"/>
      <c r="E57" s="18"/>
      <c r="F57" s="18"/>
    </row>
    <row r="58" spans="1:9" x14ac:dyDescent="0.2">
      <c r="B58" s="18"/>
      <c r="C58" s="18"/>
      <c r="D58" s="18"/>
      <c r="E58" s="18"/>
      <c r="F58" s="18"/>
    </row>
    <row r="59" spans="1:9" ht="15.75" x14ac:dyDescent="0.25">
      <c r="A59" s="19" t="str">
        <f>CONCATENATE(A1," (Continued)")</f>
        <v>Industry Table 2  Employment by Industry Group (SIC 2007), 2015-2035, North East (Continued)</v>
      </c>
      <c r="B59" s="18"/>
      <c r="C59" s="18"/>
      <c r="D59" s="18"/>
      <c r="E59" s="18"/>
      <c r="F59" s="18"/>
    </row>
    <row r="61" spans="1:9" x14ac:dyDescent="0.2">
      <c r="A61" s="22"/>
      <c r="B61" s="25" t="str">
        <f>CONCATENATE(B$3,"-",C$3)</f>
        <v>2015-2019</v>
      </c>
      <c r="C61" s="25" t="str">
        <f>CONCATENATE(C$3,"-",D$3)</f>
        <v>2019-2020</v>
      </c>
      <c r="D61" s="25" t="str">
        <f>CONCATENATE(D$3,"-",E$3)</f>
        <v>2020-2025</v>
      </c>
      <c r="E61" s="25" t="str">
        <f>CONCATENATE(E$3,"-",F$3)</f>
        <v>2025-2035</v>
      </c>
      <c r="F61" s="25" t="str">
        <f>CONCATENATE(D$3,"-",F$3)</f>
        <v>2020-2035</v>
      </c>
      <c r="G61" s="20"/>
      <c r="H61" s="20"/>
      <c r="I61" s="20"/>
    </row>
    <row r="62" spans="1:9" x14ac:dyDescent="0.2">
      <c r="A62" s="28" t="s">
        <v>15</v>
      </c>
    </row>
    <row r="63" spans="1:9" x14ac:dyDescent="0.2">
      <c r="A63" t="str">
        <f>$A$5</f>
        <v>Agriculture</v>
      </c>
      <c r="B63" s="18">
        <f>IF(AND(C$3-B$3 &lt;&gt; 0,B5&lt;&gt;0,C5&lt;&gt;0),(EXP(LN(C5/B5)/(C$3-B$3))-1)*100,0)</f>
        <v>-6.2946904131468306</v>
      </c>
      <c r="C63" s="18">
        <f>IF(AND(D$3-C$3 &lt;&gt; 0,C5&lt;&gt;0,D5&lt;&gt;0),(EXP(LN(D5/C5)/(D$3-C$3))-1)*100,0)</f>
        <v>-3.5985808413584119</v>
      </c>
      <c r="D63" s="18">
        <f t="shared" ref="B63:E78" si="3">IF(AND(E$3-D$3 &lt;&gt; 0,D5&lt;&gt;0,E5&lt;&gt;0),(EXP(LN(E5/D5)/(E$3-D$3))-1)*100,0)</f>
        <v>0.70502525566782381</v>
      </c>
      <c r="E63" s="18">
        <f t="shared" si="3"/>
        <v>0.27574104630276874</v>
      </c>
      <c r="F63" s="18">
        <f>IF(AND(F$3-D$3 &lt;&gt; 0,D5&lt;&gt;0,F5&lt;&gt;0),(EXP(LN(F5/D5)/(F$3-D$3))-1)*100,0)</f>
        <v>0.41863206905279338</v>
      </c>
      <c r="G63" s="18"/>
      <c r="H63" s="18"/>
      <c r="I63" s="18"/>
    </row>
    <row r="64" spans="1:9" x14ac:dyDescent="0.2">
      <c r="A64" t="str">
        <f>$A$6</f>
        <v>Mining and quarrying</v>
      </c>
      <c r="B64" s="18">
        <f t="shared" si="3"/>
        <v>10.202361170058239</v>
      </c>
      <c r="C64" s="18">
        <f t="shared" ref="C64:C78" si="4">IF(AND(D$3-C$3 &lt;&gt; 0,C6&lt;&gt;0,D6&lt;&gt;0),(EXP(LN(D6/C6)/(D$3-C$3))-1)*100,0)</f>
        <v>22.251308900523693</v>
      </c>
      <c r="D64" s="18">
        <f t="shared" si="3"/>
        <v>-2.2863379022242558</v>
      </c>
      <c r="E64" s="18">
        <f t="shared" si="3"/>
        <v>-1.2454138461217457</v>
      </c>
      <c r="F64" s="18">
        <f t="shared" ref="F64:F84" si="5">IF(AND(F$3-D$3 &lt;&gt; 0,D6&lt;&gt;0,F6&lt;&gt;0),(EXP(LN(F6/D6)/(F$3-D$3))-1)*100,0)</f>
        <v>-1.5936148180109688</v>
      </c>
    </row>
    <row r="65" spans="1:6" x14ac:dyDescent="0.2">
      <c r="A65" t="str">
        <f>$A$7</f>
        <v>Food drink and tobacco</v>
      </c>
      <c r="B65" s="18">
        <f t="shared" si="3"/>
        <v>3.3650338138649039</v>
      </c>
      <c r="C65" s="18">
        <f t="shared" si="4"/>
        <v>-4.0971168437026755</v>
      </c>
      <c r="D65" s="18">
        <f t="shared" si="3"/>
        <v>0.14424870660454392</v>
      </c>
      <c r="E65" s="18">
        <f t="shared" si="3"/>
        <v>-0.28873170756824607</v>
      </c>
      <c r="F65" s="18">
        <f t="shared" si="5"/>
        <v>-0.14461330577412168</v>
      </c>
    </row>
    <row r="66" spans="1:6" x14ac:dyDescent="0.2">
      <c r="A66" t="str">
        <f>$A$8</f>
        <v>Engineering</v>
      </c>
      <c r="B66" s="18">
        <f t="shared" si="3"/>
        <v>-0.98433094644054808</v>
      </c>
      <c r="C66" s="18">
        <f t="shared" si="4"/>
        <v>-7.6606407732234594</v>
      </c>
      <c r="D66" s="18">
        <f t="shared" si="3"/>
        <v>0.44570868154052423</v>
      </c>
      <c r="E66" s="18">
        <f t="shared" si="3"/>
        <v>-1.0950711444763117</v>
      </c>
      <c r="F66" s="18">
        <f t="shared" si="5"/>
        <v>-0.58412201020501264</v>
      </c>
    </row>
    <row r="67" spans="1:6" x14ac:dyDescent="0.2">
      <c r="A67" t="str">
        <f>$A$9</f>
        <v>Rest of manufacturing</v>
      </c>
      <c r="B67" s="18">
        <f t="shared" si="3"/>
        <v>-2.5542211553175376</v>
      </c>
      <c r="C67" s="18">
        <f t="shared" si="4"/>
        <v>-7.3007936143860359</v>
      </c>
      <c r="D67" s="18">
        <f t="shared" si="3"/>
        <v>-0.74490112890416293</v>
      </c>
      <c r="E67" s="18">
        <f t="shared" si="3"/>
        <v>-0.98129049934920776</v>
      </c>
      <c r="F67" s="18">
        <f t="shared" si="5"/>
        <v>-0.90255666362821785</v>
      </c>
    </row>
    <row r="68" spans="1:6" x14ac:dyDescent="0.2">
      <c r="A68" t="str">
        <f>$A$10</f>
        <v>Electricity and gas</v>
      </c>
      <c r="B68" s="18">
        <f t="shared" si="3"/>
        <v>19.627431947371377</v>
      </c>
      <c r="C68" s="18">
        <f t="shared" si="4"/>
        <v>4.1480421956014313</v>
      </c>
      <c r="D68" s="18">
        <f t="shared" si="3"/>
        <v>-0.29009018823883403</v>
      </c>
      <c r="E68" s="18">
        <f t="shared" si="3"/>
        <v>0.21562773665184665</v>
      </c>
      <c r="F68" s="18">
        <f t="shared" si="5"/>
        <v>4.6770741458757037E-2</v>
      </c>
    </row>
    <row r="69" spans="1:6" x14ac:dyDescent="0.2">
      <c r="A69" t="str">
        <f>$A$11</f>
        <v>Water and sewerage</v>
      </c>
      <c r="B69" s="18">
        <f t="shared" si="3"/>
        <v>2.4187414948916519</v>
      </c>
      <c r="C69" s="18">
        <f t="shared" si="4"/>
        <v>13.307741522712902</v>
      </c>
      <c r="D69" s="18">
        <f t="shared" si="3"/>
        <v>0.20245357558645871</v>
      </c>
      <c r="E69" s="18">
        <f t="shared" si="3"/>
        <v>6.1317395188908996E-2</v>
      </c>
      <c r="F69" s="18">
        <f t="shared" si="5"/>
        <v>0.10834068684364428</v>
      </c>
    </row>
    <row r="70" spans="1:6" x14ac:dyDescent="0.2">
      <c r="A70" t="str">
        <f>$A$12</f>
        <v>Construction</v>
      </c>
      <c r="B70" s="18">
        <f t="shared" si="3"/>
        <v>2.8090716901228774</v>
      </c>
      <c r="C70" s="18">
        <f t="shared" si="4"/>
        <v>-4.6796189052867305</v>
      </c>
      <c r="D70" s="18">
        <f t="shared" si="3"/>
        <v>-0.64722649174798752</v>
      </c>
      <c r="E70" s="18">
        <f t="shared" si="3"/>
        <v>-7.685873018051792E-2</v>
      </c>
      <c r="F70" s="18">
        <f t="shared" si="5"/>
        <v>-0.26734421291025878</v>
      </c>
    </row>
    <row r="71" spans="1:6" x14ac:dyDescent="0.2">
      <c r="A71" t="str">
        <f>$A$13</f>
        <v>Wholesale and retail trade</v>
      </c>
      <c r="B71" s="18">
        <f t="shared" si="3"/>
        <v>-0.92507074056292771</v>
      </c>
      <c r="C71" s="18">
        <f t="shared" si="4"/>
        <v>0.22532860421426992</v>
      </c>
      <c r="D71" s="18">
        <f t="shared" si="3"/>
        <v>-0.17659441135730036</v>
      </c>
      <c r="E71" s="18">
        <f t="shared" si="3"/>
        <v>4.1087160472796924E-2</v>
      </c>
      <c r="F71" s="18">
        <f t="shared" si="5"/>
        <v>-3.1526055855657376E-2</v>
      </c>
    </row>
    <row r="72" spans="1:6" x14ac:dyDescent="0.2">
      <c r="A72" t="str">
        <f>$A$14</f>
        <v>Transport and storage</v>
      </c>
      <c r="B72" s="18">
        <f t="shared" ref="B72:B78" si="6">IF(AND(C$3-B$3 &lt;&gt; 0,B14&lt;&gt;0,C14&lt;&gt;0),(EXP(LN(C14/B14)/(C$3-B$3))-1)*100,0)</f>
        <v>4.5134541178282861</v>
      </c>
      <c r="C72" s="18">
        <f t="shared" si="4"/>
        <v>3.1636760335555403</v>
      </c>
      <c r="D72" s="18">
        <f t="shared" si="3"/>
        <v>0.59027724797375836</v>
      </c>
      <c r="E72" s="18">
        <f t="shared" si="3"/>
        <v>1.3446522010851503E-2</v>
      </c>
      <c r="F72" s="18">
        <f t="shared" si="5"/>
        <v>0.20535495618057009</v>
      </c>
    </row>
    <row r="73" spans="1:6" x14ac:dyDescent="0.2">
      <c r="A73" t="str">
        <f>$A$15</f>
        <v>Accommodation and food</v>
      </c>
      <c r="B73" s="18">
        <f t="shared" si="6"/>
        <v>1.3217324099138228</v>
      </c>
      <c r="C73" s="18">
        <f>IF(AND(D$3-C$3 &lt;&gt; 0,C15&lt;&gt;0,D15&lt;&gt;0),(EXP(LN(D15/C15)/(D$3-C$3))-1)*100,0)</f>
        <v>-2.7904311703193629</v>
      </c>
      <c r="D73" s="18">
        <f t="shared" si="3"/>
        <v>0.49607057322906822</v>
      </c>
      <c r="E73" s="18">
        <f t="shared" si="3"/>
        <v>1.1758366612512061</v>
      </c>
      <c r="F73" s="18">
        <f t="shared" si="5"/>
        <v>0.94873860508719599</v>
      </c>
    </row>
    <row r="74" spans="1:6" x14ac:dyDescent="0.2">
      <c r="A74" t="str">
        <f>$A$16</f>
        <v>Media</v>
      </c>
      <c r="B74" s="18">
        <f t="shared" si="6"/>
        <v>3.9101559789707308</v>
      </c>
      <c r="C74" s="18">
        <f>IF(AND(D$3-C$3 &lt;&gt; 0,C16&lt;&gt;0,D16&lt;&gt;0),(EXP(LN(D16/C16)/(D$3-C$3))-1)*100,0)</f>
        <v>-3.0789825970548357</v>
      </c>
      <c r="D74" s="18">
        <f t="shared" si="3"/>
        <v>-0.41082018946854149</v>
      </c>
      <c r="E74" s="18">
        <f t="shared" si="3"/>
        <v>0.17832947025335777</v>
      </c>
      <c r="F74" s="18">
        <f t="shared" si="5"/>
        <v>-1.8439989577501148E-2</v>
      </c>
    </row>
    <row r="75" spans="1:6" x14ac:dyDescent="0.2">
      <c r="A75" t="str">
        <f>$A$17</f>
        <v>Information technology</v>
      </c>
      <c r="B75" s="18">
        <f t="shared" si="6"/>
        <v>-6.6312832508620856</v>
      </c>
      <c r="C75" s="18">
        <f t="shared" si="4"/>
        <v>-13.116522811344232</v>
      </c>
      <c r="D75" s="18">
        <f t="shared" si="3"/>
        <v>1.6677576298734786</v>
      </c>
      <c r="E75" s="18">
        <f t="shared" si="3"/>
        <v>0.9301942012363007</v>
      </c>
      <c r="F75" s="18">
        <f t="shared" si="5"/>
        <v>1.1754522234323828</v>
      </c>
    </row>
    <row r="76" spans="1:6" x14ac:dyDescent="0.2">
      <c r="A76" t="str">
        <f>$A$18</f>
        <v>Finance and insurance</v>
      </c>
      <c r="B76" s="18">
        <f t="shared" si="6"/>
        <v>-2.4787231703198298</v>
      </c>
      <c r="C76" s="18">
        <f t="shared" si="4"/>
        <v>-5.8239810986413065</v>
      </c>
      <c r="D76" s="18">
        <f t="shared" si="3"/>
        <v>0.61947256642993498</v>
      </c>
      <c r="E76" s="18">
        <f t="shared" si="3"/>
        <v>-2.5570634369975753E-2</v>
      </c>
      <c r="F76" s="18">
        <f t="shared" si="5"/>
        <v>0.18898298620708687</v>
      </c>
    </row>
    <row r="77" spans="1:6" x14ac:dyDescent="0.2">
      <c r="A77" t="str">
        <f>$A$19</f>
        <v>Real estate</v>
      </c>
      <c r="B77" s="18">
        <f t="shared" si="6"/>
        <v>0.88592832836509317</v>
      </c>
      <c r="C77" s="18">
        <f t="shared" si="4"/>
        <v>-9.9216363394875824</v>
      </c>
      <c r="D77" s="18">
        <f t="shared" si="3"/>
        <v>-5.9049347361639359E-2</v>
      </c>
      <c r="E77" s="18">
        <f t="shared" si="3"/>
        <v>1.4953725084648761</v>
      </c>
      <c r="F77" s="18">
        <f t="shared" si="5"/>
        <v>0.9745640091332497</v>
      </c>
    </row>
    <row r="78" spans="1:6" x14ac:dyDescent="0.2">
      <c r="A78" t="str">
        <f>$A$20</f>
        <v>Professional services</v>
      </c>
      <c r="B78" s="18">
        <f t="shared" si="6"/>
        <v>-3.3862989297543389</v>
      </c>
      <c r="C78" s="18">
        <f t="shared" si="4"/>
        <v>4.5024661749400785</v>
      </c>
      <c r="D78" s="18">
        <f t="shared" si="3"/>
        <v>0.69773814004050472</v>
      </c>
      <c r="E78" s="18">
        <f t="shared" si="3"/>
        <v>0.67503523870218185</v>
      </c>
      <c r="F78" s="18">
        <f t="shared" si="5"/>
        <v>0.68260230370200681</v>
      </c>
    </row>
    <row r="79" spans="1:6" x14ac:dyDescent="0.2">
      <c r="A79" s="10" t="str">
        <f>$A$21</f>
        <v>Support services</v>
      </c>
      <c r="B79" s="18">
        <f t="shared" ref="B79:B84" si="7">IF(AND(C$3-B$3 &lt;&gt; 0,B21&lt;&gt;0,C21&lt;&gt;0),(EXP(LN(C21/B21)/(C$3-B$3))-1)*100,0)</f>
        <v>0.59325531625120664</v>
      </c>
      <c r="C79" s="18">
        <f t="shared" ref="C79:C84" si="8">IF(AND(D$3-C$3 &lt;&gt; 0,C21&lt;&gt;0,D21&lt;&gt;0),(EXP(LN(D21/C21)/(D$3-C$3))-1)*100,0)</f>
        <v>-2.2771452374334866</v>
      </c>
      <c r="D79" s="18">
        <f t="shared" ref="D79:D84" si="9">IF(AND(E$3-D$3 &lt;&gt; 0,D21&lt;&gt;0,E21&lt;&gt;0),(EXP(LN(E21/D21)/(E$3-D$3))-1)*100,0)</f>
        <v>0.47681791790636918</v>
      </c>
      <c r="E79" s="18">
        <f t="shared" ref="E79:E84" si="10">IF(AND(F$3-E$3 &lt;&gt; 0,E21&lt;&gt;0,F21&lt;&gt;0),(EXP(LN(F21/E21)/(F$3-E$3))-1)*100,0)</f>
        <v>0.44869381937937547</v>
      </c>
      <c r="F79" s="18">
        <f t="shared" si="5"/>
        <v>0.45806764410025735</v>
      </c>
    </row>
    <row r="80" spans="1:6" x14ac:dyDescent="0.2">
      <c r="A80" s="10" t="str">
        <f>$A$22</f>
        <v>Public admin. and defence</v>
      </c>
      <c r="B80" s="18">
        <f t="shared" si="7"/>
        <v>0.34817088923981832</v>
      </c>
      <c r="C80" s="18">
        <f t="shared" si="8"/>
        <v>1.9580645161291654</v>
      </c>
      <c r="D80" s="18">
        <f t="shared" si="9"/>
        <v>-0.71375814646629232</v>
      </c>
      <c r="E80" s="18">
        <f t="shared" si="10"/>
        <v>4.9732788263390226E-2</v>
      </c>
      <c r="F80" s="18">
        <f t="shared" si="5"/>
        <v>-0.20541431369721641</v>
      </c>
    </row>
    <row r="81" spans="1:6" x14ac:dyDescent="0.2">
      <c r="A81" s="10" t="str">
        <f>$A$23</f>
        <v>Education</v>
      </c>
      <c r="B81" s="18">
        <f t="shared" si="7"/>
        <v>6.2119898712498234E-2</v>
      </c>
      <c r="C81" s="18">
        <f t="shared" si="8"/>
        <v>-3.015472055573154</v>
      </c>
      <c r="D81" s="18">
        <f t="shared" si="9"/>
        <v>1.1961289798420927</v>
      </c>
      <c r="E81" s="18">
        <f t="shared" si="10"/>
        <v>0.32542192574096518</v>
      </c>
      <c r="F81" s="18">
        <f t="shared" si="5"/>
        <v>0.61482200035680723</v>
      </c>
    </row>
    <row r="82" spans="1:6" x14ac:dyDescent="0.2">
      <c r="A82" s="10" t="str">
        <f>$A$24</f>
        <v>Health and social work</v>
      </c>
      <c r="B82" s="18">
        <f t="shared" si="7"/>
        <v>-2.3778313708689103</v>
      </c>
      <c r="C82" s="18">
        <f t="shared" si="8"/>
        <v>5.1626094179285431</v>
      </c>
      <c r="D82" s="18">
        <f t="shared" si="9"/>
        <v>0.98472804467388819</v>
      </c>
      <c r="E82" s="18">
        <f t="shared" si="10"/>
        <v>0.47218036731566659</v>
      </c>
      <c r="F82" s="18">
        <f t="shared" si="5"/>
        <v>0.64273989089609351</v>
      </c>
    </row>
    <row r="83" spans="1:6" x14ac:dyDescent="0.2">
      <c r="A83" s="10" t="str">
        <f>$A$25</f>
        <v>Arts and entertainment</v>
      </c>
      <c r="B83" s="18">
        <f>IF(AND(C$3-B$3 &lt;&gt; 0,B25&lt;&gt;0,C25&lt;&gt;0),(EXP(LN(C25/B25)/(C$3-B$3))-1)*100,0)</f>
        <v>2.6571705667900014</v>
      </c>
      <c r="C83" s="18">
        <f t="shared" si="8"/>
        <v>-6.4585496069999966</v>
      </c>
      <c r="D83" s="18">
        <f t="shared" si="9"/>
        <v>0.45248584706798489</v>
      </c>
      <c r="E83" s="18">
        <f t="shared" si="10"/>
        <v>0.83586396037771404</v>
      </c>
      <c r="F83" s="18">
        <f t="shared" si="5"/>
        <v>0.70790895696333234</v>
      </c>
    </row>
    <row r="84" spans="1:6" x14ac:dyDescent="0.2">
      <c r="A84" s="10" t="str">
        <f>$A$26</f>
        <v>Other services</v>
      </c>
      <c r="B84" s="18">
        <f t="shared" si="7"/>
        <v>-3.2762258320439996</v>
      </c>
      <c r="C84" s="18">
        <f t="shared" si="8"/>
        <v>6.091370558375564</v>
      </c>
      <c r="D84" s="18">
        <f t="shared" si="9"/>
        <v>-3.9111312882868177</v>
      </c>
      <c r="E84" s="18">
        <f t="shared" si="10"/>
        <v>-0.75040279581737312</v>
      </c>
      <c r="F84" s="18">
        <f t="shared" si="5"/>
        <v>-1.8153652892971439</v>
      </c>
    </row>
    <row r="85" spans="1:6" x14ac:dyDescent="0.2">
      <c r="B85" s="18"/>
      <c r="C85" s="18"/>
      <c r="D85" s="18"/>
      <c r="E85" s="18"/>
      <c r="F85" s="18"/>
    </row>
    <row r="86" spans="1:6" x14ac:dyDescent="0.2">
      <c r="A86" t="str">
        <f>$A$28</f>
        <v>All industries</v>
      </c>
      <c r="B86" s="18">
        <f>IF(AND(C$3-B$3 &lt;&gt; 0,B28&lt;&gt;0,C28&lt;&gt;0),(EXP(LN(C28/B28)/(C$3-B$3))-1)*100,0)</f>
        <v>-0.31472867268405036</v>
      </c>
      <c r="C86" s="18">
        <f>IF(AND(D$3-C$3 &lt;&gt; 0,C28&lt;&gt;0,D28&lt;&gt;0),(EXP(LN(D28/C28)/(D$3-C$3))-1)*100,0)</f>
        <v>-0.96138137827637138</v>
      </c>
      <c r="D86" s="18">
        <f>IF(AND(E$3-D$3 &lt;&gt; 0,D28&lt;&gt;0,E28&lt;&gt;0),(EXP(LN(E28/D28)/(E$3-D$3))-1)*100,0)</f>
        <v>0.15922454414900589</v>
      </c>
      <c r="E86" s="18">
        <f>IF(AND(F$3-E$3 &lt;&gt; 0,E28&lt;&gt;0,F28&lt;&gt;0),(EXP(LN(F28/E28)/(F$3-E$3))-1)*100,0)</f>
        <v>0.20578921188203481</v>
      </c>
      <c r="F86" s="18">
        <f>IF(AND(F$3-D$3 &lt;&gt; 0,D28&lt;&gt;0,F28&lt;&gt;0),(EXP(LN(F28/D28)/(F$3-D$3))-1)*100,0)</f>
        <v>0.1902652511108327</v>
      </c>
    </row>
    <row r="89" spans="1:6" x14ac:dyDescent="0.2">
      <c r="A89" s="1" t="s">
        <v>16</v>
      </c>
      <c r="B89" s="20" t="str">
        <f>CONCATENATE(B$3,"-",C$3)</f>
        <v>2015-2019</v>
      </c>
      <c r="C89" s="20" t="str">
        <f>CONCATENATE(C$3,"-",D$3)</f>
        <v>2019-2020</v>
      </c>
      <c r="D89" s="20" t="str">
        <f>CONCATENATE(D$3,"-",E$3)</f>
        <v>2020-2025</v>
      </c>
      <c r="E89" s="20" t="str">
        <f>CONCATENATE(E$3,"-",F$3)</f>
        <v>2025-2035</v>
      </c>
      <c r="F89" s="20" t="str">
        <f>CONCATENATE(D$3,"-",F$3)</f>
        <v>2020-2035</v>
      </c>
    </row>
    <row r="90" spans="1:6" x14ac:dyDescent="0.2">
      <c r="A90" t="str">
        <f>$A$5</f>
        <v>Agriculture</v>
      </c>
      <c r="B90" s="27">
        <f t="shared" ref="B90:E105" si="11">C5-B5</f>
        <v>-0.58599999999999652</v>
      </c>
      <c r="C90" s="27">
        <f>D5-C5</f>
        <v>-7.1000000000001506E-2</v>
      </c>
      <c r="D90" s="27">
        <f t="shared" si="11"/>
        <v>6.8000000000005612E-2</v>
      </c>
      <c r="E90" s="27">
        <f t="shared" si="11"/>
        <v>5.4999999999999272E-2</v>
      </c>
      <c r="F90" s="27">
        <f>F5-D5</f>
        <v>0.12300000000000488</v>
      </c>
    </row>
    <row r="91" spans="1:6" x14ac:dyDescent="0.2">
      <c r="A91" t="str">
        <f>$A$6</f>
        <v>Mining and quarrying</v>
      </c>
      <c r="B91" s="27">
        <f t="shared" si="11"/>
        <v>0.12299999999999855</v>
      </c>
      <c r="C91" s="27">
        <f t="shared" ref="C91:C105" si="12">D6-C6</f>
        <v>8.5000000000000298E-2</v>
      </c>
      <c r="D91" s="27">
        <f t="shared" si="11"/>
        <v>-5.0999999999998824E-2</v>
      </c>
      <c r="E91" s="27">
        <f t="shared" si="11"/>
        <v>-4.9000000000000932E-2</v>
      </c>
      <c r="F91" s="27">
        <f t="shared" ref="F91:F111" si="13">F6-D6</f>
        <v>-9.9999999999999756E-2</v>
      </c>
    </row>
    <row r="92" spans="1:6" x14ac:dyDescent="0.2">
      <c r="A92" t="str">
        <f>$A$7</f>
        <v>Food drink and tobacco</v>
      </c>
      <c r="B92" s="27">
        <f t="shared" si="11"/>
        <v>0.5720000000000045</v>
      </c>
      <c r="C92" s="27">
        <f t="shared" si="12"/>
        <v>-0.1890000000000045</v>
      </c>
      <c r="D92" s="27">
        <f t="shared" si="11"/>
        <v>3.2000000000016016E-2</v>
      </c>
      <c r="E92" s="27">
        <f t="shared" si="11"/>
        <v>-0.12700000000001221</v>
      </c>
      <c r="F92" s="27">
        <f t="shared" si="13"/>
        <v>-9.4999999999996199E-2</v>
      </c>
    </row>
    <row r="93" spans="1:6" x14ac:dyDescent="0.2">
      <c r="A93" t="str">
        <f>$A$8</f>
        <v>Engineering</v>
      </c>
      <c r="B93" s="27">
        <f t="shared" si="11"/>
        <v>-0.45100000000003071</v>
      </c>
      <c r="C93" s="27">
        <f t="shared" si="12"/>
        <v>-0.85599999999998744</v>
      </c>
      <c r="D93" s="27">
        <f t="shared" si="11"/>
        <v>0.2320000000000082</v>
      </c>
      <c r="E93" s="27">
        <f t="shared" si="11"/>
        <v>-1.1000000000000156</v>
      </c>
      <c r="F93" s="27">
        <f t="shared" si="13"/>
        <v>-0.86800000000000743</v>
      </c>
    </row>
    <row r="94" spans="1:6" x14ac:dyDescent="0.2">
      <c r="A94" t="str">
        <f>$A$9</f>
        <v>Rest of manufacturing</v>
      </c>
      <c r="B94" s="27">
        <f t="shared" si="11"/>
        <v>-4.7539999999999338</v>
      </c>
      <c r="C94" s="27">
        <f t="shared" si="12"/>
        <v>-3.1830000000000211</v>
      </c>
      <c r="D94" s="27">
        <f t="shared" si="11"/>
        <v>-1.4830000000000041</v>
      </c>
      <c r="E94" s="27">
        <f t="shared" si="11"/>
        <v>-3.6559999999999349</v>
      </c>
      <c r="F94" s="27">
        <f t="shared" si="13"/>
        <v>-5.138999999999939</v>
      </c>
    </row>
    <row r="95" spans="1:6" x14ac:dyDescent="0.2">
      <c r="A95" t="str">
        <f>$A$10</f>
        <v>Electricity and gas</v>
      </c>
      <c r="B95" s="27">
        <f t="shared" si="11"/>
        <v>2.8620000000000001</v>
      </c>
      <c r="C95" s="27">
        <f t="shared" si="12"/>
        <v>0.23199999999998866</v>
      </c>
      <c r="D95" s="27">
        <f t="shared" si="11"/>
        <v>-8.4000000000002295E-2</v>
      </c>
      <c r="E95" s="27">
        <f t="shared" si="11"/>
        <v>0.12500000000001332</v>
      </c>
      <c r="F95" s="27">
        <f t="shared" si="13"/>
        <v>4.1000000000011028E-2</v>
      </c>
    </row>
    <row r="96" spans="1:6" x14ac:dyDescent="0.2">
      <c r="A96" t="str">
        <f>$A$11</f>
        <v>Water and sewerage</v>
      </c>
      <c r="B96" s="27">
        <f t="shared" si="11"/>
        <v>0.28500000000000636</v>
      </c>
      <c r="C96" s="27">
        <f t="shared" si="12"/>
        <v>0.4160000000000057</v>
      </c>
      <c r="D96" s="27">
        <f t="shared" si="11"/>
        <v>3.5999999999993815E-2</v>
      </c>
      <c r="E96" s="27">
        <f t="shared" si="11"/>
        <v>2.2000000000001574E-2</v>
      </c>
      <c r="F96" s="27">
        <f t="shared" si="13"/>
        <v>5.7999999999995389E-2</v>
      </c>
    </row>
    <row r="97" spans="1:6" x14ac:dyDescent="0.2">
      <c r="A97" t="str">
        <f>$A$12</f>
        <v>Construction</v>
      </c>
      <c r="B97" s="27">
        <f t="shared" si="11"/>
        <v>3.3690000000000424</v>
      </c>
      <c r="C97" s="27">
        <f t="shared" si="12"/>
        <v>-1.502999999999993</v>
      </c>
      <c r="D97" s="27">
        <f t="shared" si="11"/>
        <v>-0.97800000000004061</v>
      </c>
      <c r="E97" s="27">
        <f t="shared" si="11"/>
        <v>-0.22699999999999676</v>
      </c>
      <c r="F97" s="27">
        <f t="shared" si="13"/>
        <v>-1.2050000000000374</v>
      </c>
    </row>
    <row r="98" spans="1:6" x14ac:dyDescent="0.2">
      <c r="A98" t="str">
        <f>$A$13</f>
        <v>Wholesale and retail trade</v>
      </c>
      <c r="B98" s="27">
        <f t="shared" si="11"/>
        <v>-2.7229999999998142</v>
      </c>
      <c r="C98" s="27">
        <f t="shared" si="12"/>
        <v>0.16199999999984982</v>
      </c>
      <c r="D98" s="27">
        <f t="shared" si="11"/>
        <v>-0.63400000000000034</v>
      </c>
      <c r="E98" s="27">
        <f t="shared" si="11"/>
        <v>0.29400000000021009</v>
      </c>
      <c r="F98" s="27">
        <f t="shared" si="13"/>
        <v>-0.33999999999979025</v>
      </c>
    </row>
    <row r="99" spans="1:6" x14ac:dyDescent="0.2">
      <c r="A99" t="str">
        <f>$A$14</f>
        <v>Transport and storage</v>
      </c>
      <c r="B99" s="27">
        <f t="shared" si="11"/>
        <v>4.3029999999999866</v>
      </c>
      <c r="C99" s="27">
        <f t="shared" si="12"/>
        <v>0.84100000000006858</v>
      </c>
      <c r="D99" s="27">
        <f t="shared" si="11"/>
        <v>0.81900000000005591</v>
      </c>
      <c r="E99" s="27">
        <f t="shared" si="11"/>
        <v>3.7999999999932754E-2</v>
      </c>
      <c r="F99" s="27">
        <f t="shared" si="13"/>
        <v>0.85699999999998866</v>
      </c>
    </row>
    <row r="100" spans="1:6" x14ac:dyDescent="0.2">
      <c r="A100" t="str">
        <f>$A$15</f>
        <v>Accommodation and food</v>
      </c>
      <c r="B100" s="27">
        <f t="shared" si="11"/>
        <v>1.7860000000000866</v>
      </c>
      <c r="C100" s="27">
        <f t="shared" si="12"/>
        <v>-0.97399999999997533</v>
      </c>
      <c r="D100" s="27">
        <f t="shared" si="11"/>
        <v>0.84999999999989484</v>
      </c>
      <c r="E100" s="27">
        <f t="shared" si="11"/>
        <v>4.3130000000000166</v>
      </c>
      <c r="F100" s="27">
        <f t="shared" si="13"/>
        <v>5.1629999999999114</v>
      </c>
    </row>
    <row r="101" spans="1:6" x14ac:dyDescent="0.2">
      <c r="A101" t="str">
        <f>$A$16</f>
        <v>Media</v>
      </c>
      <c r="B101" s="27">
        <f t="shared" si="11"/>
        <v>0.42499999999999671</v>
      </c>
      <c r="C101" s="27">
        <f t="shared" si="12"/>
        <v>-9.1999999999998749E-2</v>
      </c>
      <c r="D101" s="27">
        <f t="shared" si="11"/>
        <v>-5.9000000000005492E-2</v>
      </c>
      <c r="E101" s="27">
        <f t="shared" si="11"/>
        <v>5.099999999999838E-2</v>
      </c>
      <c r="F101" s="27">
        <f t="shared" si="13"/>
        <v>-8.0000000000071125E-3</v>
      </c>
    </row>
    <row r="102" spans="1:6" x14ac:dyDescent="0.2">
      <c r="A102" t="str">
        <f>$A$17</f>
        <v>Information technology</v>
      </c>
      <c r="B102" s="27">
        <f t="shared" si="11"/>
        <v>-2.0490000000000101</v>
      </c>
      <c r="C102" s="27">
        <f t="shared" si="12"/>
        <v>-0.85100000000001419</v>
      </c>
      <c r="D102" s="27">
        <f t="shared" si="11"/>
        <v>0.48600000000003174</v>
      </c>
      <c r="E102" s="27">
        <f t="shared" si="11"/>
        <v>0.59399999999997188</v>
      </c>
      <c r="F102" s="27">
        <f t="shared" si="13"/>
        <v>1.0800000000000036</v>
      </c>
    </row>
    <row r="103" spans="1:6" x14ac:dyDescent="0.2">
      <c r="A103" t="str">
        <f>$A$18</f>
        <v>Finance and insurance</v>
      </c>
      <c r="B103" s="27">
        <f t="shared" si="11"/>
        <v>-0.89399999999998414</v>
      </c>
      <c r="C103" s="27">
        <f t="shared" si="12"/>
        <v>-0.49299999999998612</v>
      </c>
      <c r="D103" s="27">
        <f t="shared" si="11"/>
        <v>0.24999999999998224</v>
      </c>
      <c r="E103" s="27">
        <f t="shared" si="11"/>
        <v>-2.0999999999986585E-2</v>
      </c>
      <c r="F103" s="27">
        <f t="shared" si="13"/>
        <v>0.22899999999999565</v>
      </c>
    </row>
    <row r="104" spans="1:6" x14ac:dyDescent="0.2">
      <c r="A104" t="str">
        <f>$A$19</f>
        <v>Real estate</v>
      </c>
      <c r="B104" s="27">
        <f t="shared" si="11"/>
        <v>0.261000000000009</v>
      </c>
      <c r="C104" s="27">
        <f t="shared" si="12"/>
        <v>-0.7470000000000212</v>
      </c>
      <c r="D104" s="27">
        <f t="shared" si="11"/>
        <v>-1.9999999999969376E-2</v>
      </c>
      <c r="E104" s="27">
        <f t="shared" si="11"/>
        <v>1.081999999999967</v>
      </c>
      <c r="F104" s="27">
        <f t="shared" si="13"/>
        <v>1.0619999999999976</v>
      </c>
    </row>
    <row r="105" spans="1:6" x14ac:dyDescent="0.2">
      <c r="A105" t="str">
        <f>$A$20</f>
        <v>Professional services</v>
      </c>
      <c r="B105" s="27">
        <f t="shared" si="11"/>
        <v>-3.2649999999999935</v>
      </c>
      <c r="C105" s="27">
        <f t="shared" si="12"/>
        <v>0.9950000000000081</v>
      </c>
      <c r="D105" s="27">
        <f t="shared" si="11"/>
        <v>0.81699999999997885</v>
      </c>
      <c r="E105" s="27">
        <f t="shared" si="11"/>
        <v>1.664000000000005</v>
      </c>
      <c r="F105" s="27">
        <f t="shared" si="13"/>
        <v>2.4809999999999839</v>
      </c>
    </row>
    <row r="106" spans="1:6" x14ac:dyDescent="0.2">
      <c r="A106" s="10" t="str">
        <f>$A$21</f>
        <v>Support services</v>
      </c>
      <c r="B106" s="27">
        <f t="shared" ref="B106:B111" si="14">C21-B21</f>
        <v>0.84199999999985664</v>
      </c>
      <c r="C106" s="27">
        <f t="shared" ref="C106:C111" si="15">D21-C21</f>
        <v>-0.81999999999979423</v>
      </c>
      <c r="D106" s="27">
        <f t="shared" ref="D106:D111" si="16">E21-D21</f>
        <v>0.84699999999992315</v>
      </c>
      <c r="E106" s="27">
        <f t="shared" ref="E106:E111" si="17">F21-E21</f>
        <v>1.6499999999999631</v>
      </c>
      <c r="F106" s="27">
        <f t="shared" si="13"/>
        <v>2.4969999999998862</v>
      </c>
    </row>
    <row r="107" spans="1:6" x14ac:dyDescent="0.2">
      <c r="A107" s="10" t="str">
        <f>$A$22</f>
        <v>Public admin. and defence</v>
      </c>
      <c r="B107" s="27">
        <f t="shared" si="14"/>
        <v>0.42799999999991911</v>
      </c>
      <c r="C107" s="27">
        <f t="shared" si="15"/>
        <v>0.6070000000000384</v>
      </c>
      <c r="D107" s="27">
        <f t="shared" si="16"/>
        <v>-1.1120000000000232</v>
      </c>
      <c r="E107" s="27">
        <f t="shared" si="17"/>
        <v>0.15200000000000813</v>
      </c>
      <c r="F107" s="27">
        <f t="shared" si="13"/>
        <v>-0.96000000000001506</v>
      </c>
    </row>
    <row r="108" spans="1:6" x14ac:dyDescent="0.2">
      <c r="A108" s="10" t="str">
        <f>$A$23</f>
        <v>Education</v>
      </c>
      <c r="B108" s="27">
        <f t="shared" si="14"/>
        <v>0.10999999999997101</v>
      </c>
      <c r="C108" s="27">
        <f t="shared" si="15"/>
        <v>-1.3370000000000246</v>
      </c>
      <c r="D108" s="27">
        <f t="shared" si="16"/>
        <v>2.633999999999979</v>
      </c>
      <c r="E108" s="27">
        <f t="shared" si="17"/>
        <v>1.5070000000000903</v>
      </c>
      <c r="F108" s="27">
        <f t="shared" si="13"/>
        <v>4.1410000000000693</v>
      </c>
    </row>
    <row r="109" spans="1:6" x14ac:dyDescent="0.2">
      <c r="A109" s="10" t="str">
        <f>$A$24</f>
        <v>Health and social work</v>
      </c>
      <c r="B109" s="27">
        <f t="shared" si="14"/>
        <v>-6.3260000000000005</v>
      </c>
      <c r="C109" s="27">
        <f t="shared" si="15"/>
        <v>3.231999999999978</v>
      </c>
      <c r="D109" s="27">
        <f t="shared" si="16"/>
        <v>3.3059999999999974</v>
      </c>
      <c r="E109" s="27">
        <f t="shared" si="17"/>
        <v>3.3350000000000364</v>
      </c>
      <c r="F109" s="27">
        <f t="shared" si="13"/>
        <v>6.6410000000000338</v>
      </c>
    </row>
    <row r="110" spans="1:6" x14ac:dyDescent="0.2">
      <c r="A110" s="10" t="str">
        <f>$A$25</f>
        <v>Arts and entertainment</v>
      </c>
      <c r="B110" s="27">
        <f t="shared" si="14"/>
        <v>1.3429999999999982</v>
      </c>
      <c r="C110" s="27">
        <f t="shared" si="15"/>
        <v>-0.87100000000001998</v>
      </c>
      <c r="D110" s="27">
        <f t="shared" si="16"/>
        <v>0.28800000000003401</v>
      </c>
      <c r="E110" s="27">
        <f t="shared" si="17"/>
        <v>1.1199999999999921</v>
      </c>
      <c r="F110" s="27">
        <f t="shared" si="13"/>
        <v>1.4080000000000261</v>
      </c>
    </row>
    <row r="111" spans="1:6" x14ac:dyDescent="0.2">
      <c r="A111" s="10" t="str">
        <f>$A$26</f>
        <v>Other services</v>
      </c>
      <c r="B111" s="27">
        <f t="shared" si="14"/>
        <v>-1.7970000000000024</v>
      </c>
      <c r="C111" s="27">
        <f t="shared" si="15"/>
        <v>0.76799999999999358</v>
      </c>
      <c r="D111" s="27">
        <f t="shared" si="16"/>
        <v>-2.4189999999999987</v>
      </c>
      <c r="E111" s="27">
        <f t="shared" si="17"/>
        <v>-0.79500000000001059</v>
      </c>
      <c r="F111" s="27">
        <f t="shared" si="13"/>
        <v>-3.2140000000000093</v>
      </c>
    </row>
    <row r="112" spans="1:6" x14ac:dyDescent="0.2">
      <c r="B112" s="27"/>
      <c r="C112" s="27"/>
      <c r="D112" s="27"/>
      <c r="E112" s="27"/>
      <c r="F112" s="27"/>
    </row>
    <row r="113" spans="1:6" x14ac:dyDescent="0.2">
      <c r="A113" s="24" t="str">
        <f>$A$28</f>
        <v>All industries</v>
      </c>
      <c r="B113" s="29">
        <f>C28-B28</f>
        <v>-6.1359999999997967</v>
      </c>
      <c r="C113" s="29">
        <f>D28-C28</f>
        <v>-4.6489999999999441</v>
      </c>
      <c r="D113" s="29">
        <f>E28-D28</f>
        <v>3.8249999999998181</v>
      </c>
      <c r="E113" s="29">
        <f>F28-E28</f>
        <v>10.027000000000271</v>
      </c>
      <c r="F113" s="29">
        <f>F28-D28</f>
        <v>13.852000000000089</v>
      </c>
    </row>
  </sheetData>
  <phoneticPr fontId="4" type="noConversion"/>
  <pageMargins left="0.74803149606299213" right="0.74803149606299213" top="0.78740157480314965" bottom="0.78740157480314965" header="0.51181102362204722" footer="0.51181102362204722"/>
  <pageSetup paperSize="9" scale="93" orientation="portrait" r:id="rId1"/>
  <headerFooter alignWithMargins="0"/>
  <rowBreaks count="1" manualBreakCount="1">
    <brk id="58" max="6" man="1"/>
  </rowBreaks>
  <ignoredErrors>
    <ignoredError sqref="C62 C87:C88 C112" formula="1"/>
  </ignoredErrors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9"/>
  <dimension ref="A1:L122"/>
  <sheetViews>
    <sheetView showGridLines="0" zoomScale="85" zoomScaleNormal="85" workbookViewId="0"/>
  </sheetViews>
  <sheetFormatPr defaultRowHeight="12.75" x14ac:dyDescent="0.2"/>
  <cols>
    <col min="1" max="1" width="26.7109375" customWidth="1"/>
    <col min="2" max="6" width="11.7109375" customWidth="1"/>
    <col min="7" max="7" width="5.7109375" customWidth="1"/>
    <col min="8" max="12" width="11.7109375" customWidth="1"/>
  </cols>
  <sheetData>
    <row r="1" spans="1:12" ht="15.75" x14ac:dyDescent="0.25">
      <c r="A1" s="19" t="str">
        <f>CONCATENATE("Industry Table 4  Employment by Industry Group in Sector (SIC 2007), ",B$5,"-",F$5,", ",Info!B5)</f>
        <v>Industry Table 4  Employment by Industry Group in Sector (SIC 2007), 2015-2035, North East</v>
      </c>
    </row>
    <row r="2" spans="1:12" ht="12.75" customHeight="1" x14ac:dyDescent="0.2">
      <c r="A2" s="182" t="s">
        <v>515</v>
      </c>
    </row>
    <row r="3" spans="1:12" ht="12.75" customHeight="1" x14ac:dyDescent="0.25">
      <c r="A3" s="19"/>
      <c r="L3" s="38" t="s">
        <v>20</v>
      </c>
    </row>
    <row r="4" spans="1:12" x14ac:dyDescent="0.2">
      <c r="A4" s="36"/>
      <c r="B4" s="28" t="s">
        <v>18</v>
      </c>
      <c r="C4" s="36"/>
      <c r="D4" s="36"/>
      <c r="E4" s="36"/>
      <c r="F4" s="36"/>
      <c r="G4" s="36"/>
      <c r="H4" s="28" t="s">
        <v>19</v>
      </c>
      <c r="I4" s="36"/>
      <c r="J4" s="36"/>
      <c r="K4" s="36"/>
      <c r="L4" s="36"/>
    </row>
    <row r="5" spans="1:12" x14ac:dyDescent="0.2">
      <c r="A5" s="24"/>
      <c r="B5" s="42">
        <f>'Ind T1'!B5</f>
        <v>2015</v>
      </c>
      <c r="C5" s="42">
        <f>'Ind T1'!C5</f>
        <v>2019</v>
      </c>
      <c r="D5" s="42">
        <f>'Ind T1'!D5</f>
        <v>2020</v>
      </c>
      <c r="E5" s="42">
        <f>'Ind T1'!E5</f>
        <v>2025</v>
      </c>
      <c r="F5" s="42">
        <f>'Ind T1'!F5</f>
        <v>2035</v>
      </c>
      <c r="H5" s="37" t="str">
        <f>CONCATENATE(B$5,"-",C$5)</f>
        <v>2015-2019</v>
      </c>
      <c r="I5" s="37" t="str">
        <f>CONCATENATE(C$5,"-",D$5)</f>
        <v>2019-2020</v>
      </c>
      <c r="J5" s="37" t="str">
        <f>CONCATENATE(D$5,"-",E$5)</f>
        <v>2020-2025</v>
      </c>
      <c r="K5" s="37" t="str">
        <f>CONCATENATE(E$5,"-",F$5)</f>
        <v>2025-2035</v>
      </c>
      <c r="L5" s="37" t="str">
        <f>CONCATENATE(D$5,"-",F$5)</f>
        <v>2020-2035</v>
      </c>
    </row>
    <row r="7" spans="1:12" s="30" customFormat="1" x14ac:dyDescent="0.2">
      <c r="A7" s="30" t="str">
        <f>'Ind T1'!A7</f>
        <v>Primary sector and utilities</v>
      </c>
      <c r="B7" s="31">
        <f>'Ind T1'!B7</f>
        <v>8.3899999999999952</v>
      </c>
      <c r="C7" s="31">
        <f>'Ind T1'!C7</f>
        <v>11.074000000000003</v>
      </c>
      <c r="D7" s="31">
        <f>'Ind T1'!D7</f>
        <v>11.735999999999995</v>
      </c>
      <c r="E7" s="31">
        <f>'Ind T1'!E7</f>
        <v>11.704999999999995</v>
      </c>
      <c r="F7" s="31">
        <f>'Ind T1'!F7</f>
        <v>11.858000000000009</v>
      </c>
      <c r="H7" s="31">
        <f>C7-B7</f>
        <v>2.6840000000000082</v>
      </c>
      <c r="I7" s="31">
        <f>D7-C7</f>
        <v>0.66199999999999193</v>
      </c>
      <c r="J7" s="31">
        <f>E7-D7</f>
        <v>-3.1000000000000583E-2</v>
      </c>
      <c r="K7" s="31">
        <f>F7-E7</f>
        <v>0.15300000000001468</v>
      </c>
      <c r="L7" s="31">
        <f>F7-D7</f>
        <v>0.1220000000000141</v>
      </c>
    </row>
    <row r="8" spans="1:12" x14ac:dyDescent="0.2">
      <c r="A8" t="str">
        <f>'Ind T2'!A5</f>
        <v>Agriculture</v>
      </c>
      <c r="B8" s="32">
        <f>'Ind T2'!B5</f>
        <v>2.5589999999999962</v>
      </c>
      <c r="C8" s="32">
        <f>'Ind T2'!C5</f>
        <v>1.9729999999999996</v>
      </c>
      <c r="D8" s="32">
        <f>'Ind T2'!D5</f>
        <v>1.9019999999999981</v>
      </c>
      <c r="E8" s="32">
        <f>'Ind T2'!E5</f>
        <v>1.9700000000000037</v>
      </c>
      <c r="F8" s="32">
        <f>'Ind T2'!F5</f>
        <v>2.025000000000003</v>
      </c>
      <c r="H8" s="11">
        <f t="shared" ref="H8:H40" si="0">C8-B8</f>
        <v>-0.58599999999999652</v>
      </c>
      <c r="I8" s="31">
        <f t="shared" ref="I8:I38" si="1">D8-C8</f>
        <v>-7.1000000000001506E-2</v>
      </c>
      <c r="J8" s="11">
        <f t="shared" ref="J8:J38" si="2">E8-D8</f>
        <v>6.8000000000005612E-2</v>
      </c>
      <c r="K8" s="11">
        <f t="shared" ref="K8:K38" si="3">F8-E8</f>
        <v>5.4999999999999272E-2</v>
      </c>
      <c r="L8" s="31">
        <f t="shared" ref="L8:L40" si="4">F8-D8</f>
        <v>0.12300000000000488</v>
      </c>
    </row>
    <row r="9" spans="1:12" x14ac:dyDescent="0.2">
      <c r="A9" t="str">
        <f>'Ind T2'!A6</f>
        <v>Mining and quarrying</v>
      </c>
      <c r="B9" s="32">
        <f>'Ind T2'!B6</f>
        <v>0.25900000000000067</v>
      </c>
      <c r="C9" s="32">
        <f>'Ind T2'!C6</f>
        <v>0.38199999999999923</v>
      </c>
      <c r="D9" s="32">
        <f>'Ind T2'!D6</f>
        <v>0.46699999999999953</v>
      </c>
      <c r="E9" s="32">
        <f>'Ind T2'!E6</f>
        <v>0.4160000000000007</v>
      </c>
      <c r="F9" s="32">
        <f>'Ind T2'!F6</f>
        <v>0.36699999999999977</v>
      </c>
      <c r="H9" s="11">
        <f t="shared" si="0"/>
        <v>0.12299999999999855</v>
      </c>
      <c r="I9" s="31">
        <f t="shared" si="1"/>
        <v>8.5000000000000298E-2</v>
      </c>
      <c r="J9" s="11">
        <f t="shared" si="2"/>
        <v>-5.0999999999998824E-2</v>
      </c>
      <c r="K9" s="11">
        <f t="shared" si="3"/>
        <v>-4.9000000000000932E-2</v>
      </c>
      <c r="L9" s="31">
        <f t="shared" si="4"/>
        <v>-9.9999999999999756E-2</v>
      </c>
    </row>
    <row r="10" spans="1:12" x14ac:dyDescent="0.2">
      <c r="A10" t="str">
        <f>'Ind T2'!A10</f>
        <v>Electricity and gas</v>
      </c>
      <c r="B10" s="32">
        <f>'Ind T2'!B10</f>
        <v>2.7310000000000025</v>
      </c>
      <c r="C10" s="32">
        <f>'Ind T2'!C10</f>
        <v>5.5930000000000026</v>
      </c>
      <c r="D10" s="32">
        <f>'Ind T2'!D10</f>
        <v>5.8249999999999913</v>
      </c>
      <c r="E10" s="32">
        <f>'Ind T2'!E10</f>
        <v>5.740999999999989</v>
      </c>
      <c r="F10" s="32">
        <f>'Ind T2'!F10</f>
        <v>5.8660000000000023</v>
      </c>
      <c r="H10" s="11">
        <f t="shared" si="0"/>
        <v>2.8620000000000001</v>
      </c>
      <c r="I10" s="31">
        <f t="shared" si="1"/>
        <v>0.23199999999998866</v>
      </c>
      <c r="J10" s="11">
        <f t="shared" si="2"/>
        <v>-8.4000000000002295E-2</v>
      </c>
      <c r="K10" s="11">
        <f t="shared" si="3"/>
        <v>0.12500000000001332</v>
      </c>
      <c r="L10" s="31">
        <f t="shared" si="4"/>
        <v>4.1000000000011028E-2</v>
      </c>
    </row>
    <row r="11" spans="1:12" x14ac:dyDescent="0.2">
      <c r="A11" t="str">
        <f>'Ind T2'!A11</f>
        <v>Water and sewerage</v>
      </c>
      <c r="B11" s="32">
        <f>'Ind T2'!B11</f>
        <v>2.8409999999999953</v>
      </c>
      <c r="C11" s="32">
        <f>'Ind T2'!C11</f>
        <v>3.1260000000000017</v>
      </c>
      <c r="D11" s="32">
        <f>'Ind T2'!D11</f>
        <v>3.5420000000000074</v>
      </c>
      <c r="E11" s="32">
        <f>'Ind T2'!E11</f>
        <v>3.5780000000000012</v>
      </c>
      <c r="F11" s="32">
        <f>'Ind T2'!F11</f>
        <v>3.6000000000000028</v>
      </c>
      <c r="H11" s="11">
        <f t="shared" ref="H11" si="5">C11-B11</f>
        <v>0.28500000000000636</v>
      </c>
      <c r="I11" s="31">
        <f t="shared" ref="I11" si="6">D11-C11</f>
        <v>0.4160000000000057</v>
      </c>
      <c r="J11" s="11">
        <f t="shared" ref="J11" si="7">E11-D11</f>
        <v>3.5999999999993815E-2</v>
      </c>
      <c r="K11" s="11">
        <f t="shared" ref="K11" si="8">F11-E11</f>
        <v>2.2000000000001574E-2</v>
      </c>
      <c r="L11" s="31">
        <f t="shared" si="4"/>
        <v>5.7999999999995389E-2</v>
      </c>
    </row>
    <row r="12" spans="1:12" x14ac:dyDescent="0.2">
      <c r="B12" s="32"/>
      <c r="C12" s="32"/>
      <c r="D12" s="32"/>
      <c r="E12" s="32"/>
      <c r="F12" s="32"/>
      <c r="H12" s="11"/>
      <c r="I12" s="31"/>
      <c r="J12" s="11"/>
      <c r="K12" s="11"/>
      <c r="L12" s="31"/>
    </row>
    <row r="13" spans="1:12" s="30" customFormat="1" x14ac:dyDescent="0.2">
      <c r="A13" s="30" t="str">
        <f>'Ind T1'!A8</f>
        <v>Manufacturing</v>
      </c>
      <c r="B13" s="31">
        <f>'Ind T1'!B8</f>
        <v>64.017999999999873</v>
      </c>
      <c r="C13" s="31">
        <f>'Ind T1'!C8</f>
        <v>59.384999999999913</v>
      </c>
      <c r="D13" s="31">
        <f>'Ind T1'!D8</f>
        <v>55.156999999999897</v>
      </c>
      <c r="E13" s="31">
        <f>'Ind T1'!E8</f>
        <v>53.937999999999917</v>
      </c>
      <c r="F13" s="31">
        <f>'Ind T1'!F8</f>
        <v>49.054999999999957</v>
      </c>
      <c r="H13" s="31">
        <f t="shared" si="0"/>
        <v>-4.63299999999996</v>
      </c>
      <c r="I13" s="31">
        <f t="shared" si="1"/>
        <v>-4.2280000000000157</v>
      </c>
      <c r="J13" s="31">
        <f t="shared" si="2"/>
        <v>-1.2189999999999799</v>
      </c>
      <c r="K13" s="31">
        <f t="shared" si="3"/>
        <v>-4.88299999999996</v>
      </c>
      <c r="L13" s="31">
        <f t="shared" si="4"/>
        <v>-6.1019999999999399</v>
      </c>
    </row>
    <row r="14" spans="1:12" x14ac:dyDescent="0.2">
      <c r="A14" t="str">
        <f>'Ind T2'!A7</f>
        <v>Food drink and tobacco</v>
      </c>
      <c r="B14" s="32">
        <f>'Ind T2'!B7</f>
        <v>4.0409999999999942</v>
      </c>
      <c r="C14" s="32">
        <f>'Ind T2'!C7</f>
        <v>4.6129999999999987</v>
      </c>
      <c r="D14" s="32">
        <f>'Ind T2'!D7</f>
        <v>4.4239999999999942</v>
      </c>
      <c r="E14" s="32">
        <f>'Ind T2'!E7</f>
        <v>4.4560000000000102</v>
      </c>
      <c r="F14" s="32">
        <f>'Ind T2'!F7</f>
        <v>4.328999999999998</v>
      </c>
      <c r="H14" s="11">
        <f t="shared" si="0"/>
        <v>0.5720000000000045</v>
      </c>
      <c r="I14" s="31">
        <f t="shared" si="1"/>
        <v>-0.1890000000000045</v>
      </c>
      <c r="J14" s="11">
        <f t="shared" si="2"/>
        <v>3.2000000000016016E-2</v>
      </c>
      <c r="K14" s="11">
        <f t="shared" si="3"/>
        <v>-0.12700000000001221</v>
      </c>
      <c r="L14" s="31">
        <f t="shared" si="4"/>
        <v>-9.4999999999996199E-2</v>
      </c>
    </row>
    <row r="15" spans="1:12" x14ac:dyDescent="0.2">
      <c r="A15" t="str">
        <f>'Ind T2'!A8</f>
        <v>Engineering</v>
      </c>
      <c r="B15" s="32">
        <f>'Ind T2'!B8</f>
        <v>11.625000000000009</v>
      </c>
      <c r="C15" s="32">
        <f>'Ind T2'!C8</f>
        <v>11.173999999999978</v>
      </c>
      <c r="D15" s="32">
        <f>'Ind T2'!D8</f>
        <v>10.317999999999991</v>
      </c>
      <c r="E15" s="32">
        <f>'Ind T2'!E8</f>
        <v>10.549999999999999</v>
      </c>
      <c r="F15" s="32">
        <f>'Ind T2'!F8</f>
        <v>9.4499999999999833</v>
      </c>
      <c r="H15" s="11">
        <f t="shared" si="0"/>
        <v>-0.45100000000003071</v>
      </c>
      <c r="I15" s="31">
        <f t="shared" si="1"/>
        <v>-0.85599999999998744</v>
      </c>
      <c r="J15" s="11">
        <f t="shared" si="2"/>
        <v>0.2320000000000082</v>
      </c>
      <c r="K15" s="11">
        <f t="shared" si="3"/>
        <v>-1.1000000000000156</v>
      </c>
      <c r="L15" s="31">
        <f t="shared" si="4"/>
        <v>-0.86800000000000743</v>
      </c>
    </row>
    <row r="16" spans="1:12" x14ac:dyDescent="0.2">
      <c r="A16" t="str">
        <f>'Ind T2'!A9</f>
        <v>Rest of manufacturing</v>
      </c>
      <c r="B16" s="32">
        <f>'Ind T2'!B9</f>
        <v>48.351999999999869</v>
      </c>
      <c r="C16" s="32">
        <f>'Ind T2'!C9</f>
        <v>43.597999999999935</v>
      </c>
      <c r="D16" s="32">
        <f>'Ind T2'!D9</f>
        <v>40.414999999999914</v>
      </c>
      <c r="E16" s="32">
        <f>'Ind T2'!E9</f>
        <v>38.93199999999991</v>
      </c>
      <c r="F16" s="32">
        <f>'Ind T2'!F9</f>
        <v>35.275999999999975</v>
      </c>
      <c r="H16" s="11">
        <f t="shared" si="0"/>
        <v>-4.7539999999999338</v>
      </c>
      <c r="I16" s="31">
        <f t="shared" si="1"/>
        <v>-3.1830000000000211</v>
      </c>
      <c r="J16" s="11">
        <f t="shared" si="2"/>
        <v>-1.4830000000000041</v>
      </c>
      <c r="K16" s="11">
        <f t="shared" si="3"/>
        <v>-3.6559999999999349</v>
      </c>
      <c r="L16" s="31">
        <f t="shared" si="4"/>
        <v>-5.138999999999939</v>
      </c>
    </row>
    <row r="17" spans="1:12" x14ac:dyDescent="0.2">
      <c r="B17" s="32"/>
      <c r="C17" s="32"/>
      <c r="D17" s="32"/>
      <c r="E17" s="32"/>
      <c r="F17" s="32"/>
      <c r="H17" s="11"/>
      <c r="I17" s="31">
        <f t="shared" si="1"/>
        <v>0</v>
      </c>
      <c r="J17" s="11"/>
      <c r="K17" s="11"/>
      <c r="L17" s="31"/>
    </row>
    <row r="18" spans="1:12" s="30" customFormat="1" x14ac:dyDescent="0.2">
      <c r="A18" s="30" t="str">
        <f>'Ind T1'!A9</f>
        <v>Construction</v>
      </c>
      <c r="B18" s="31">
        <f>'Ind T1'!B9</f>
        <v>28.748999999999974</v>
      </c>
      <c r="C18" s="31">
        <f>'Ind T1'!C9</f>
        <v>32.118000000000016</v>
      </c>
      <c r="D18" s="31">
        <f>'Ind T1'!D9</f>
        <v>30.615000000000023</v>
      </c>
      <c r="E18" s="31">
        <f>'Ind T1'!E9</f>
        <v>29.636999999999983</v>
      </c>
      <c r="F18" s="31">
        <f>'Ind T1'!F9</f>
        <v>29.409999999999986</v>
      </c>
      <c r="H18" s="31">
        <f t="shared" si="0"/>
        <v>3.3690000000000424</v>
      </c>
      <c r="I18" s="31">
        <f t="shared" si="1"/>
        <v>-1.502999999999993</v>
      </c>
      <c r="J18" s="31">
        <f t="shared" si="2"/>
        <v>-0.97800000000004061</v>
      </c>
      <c r="K18" s="31">
        <f t="shared" si="3"/>
        <v>-0.22699999999999676</v>
      </c>
      <c r="L18" s="31">
        <f t="shared" si="4"/>
        <v>-1.2050000000000374</v>
      </c>
    </row>
    <row r="19" spans="1:12" x14ac:dyDescent="0.2">
      <c r="A19" s="30"/>
      <c r="B19" s="32"/>
      <c r="C19" s="32"/>
      <c r="D19" s="32"/>
      <c r="E19" s="32"/>
      <c r="F19" s="32"/>
      <c r="H19" s="11"/>
      <c r="I19" s="31"/>
      <c r="J19" s="11"/>
      <c r="K19" s="11"/>
      <c r="L19" s="31"/>
    </row>
    <row r="20" spans="1:12" s="30" customFormat="1" x14ac:dyDescent="0.2">
      <c r="A20" s="30" t="str">
        <f>'Ind T1'!A10</f>
        <v>Trade, accomod. and transport</v>
      </c>
      <c r="B20" s="31">
        <f>'Ind T1'!B10</f>
        <v>130.01699999999977</v>
      </c>
      <c r="C20" s="31">
        <f>'Ind T1'!C10</f>
        <v>133.38300000000004</v>
      </c>
      <c r="D20" s="31">
        <f>'Ind T1'!D10</f>
        <v>133.41199999999998</v>
      </c>
      <c r="E20" s="31">
        <f>'Ind T1'!E10</f>
        <v>134.44699999999995</v>
      </c>
      <c r="F20" s="31">
        <f>'Ind T1'!F10</f>
        <v>139.0920000000001</v>
      </c>
      <c r="H20" s="31">
        <f t="shared" si="0"/>
        <v>3.3660000000002697</v>
      </c>
      <c r="I20" s="31">
        <f t="shared" si="1"/>
        <v>2.8999999999939519E-2</v>
      </c>
      <c r="J20" s="31">
        <f t="shared" si="2"/>
        <v>1.0349999999999682</v>
      </c>
      <c r="K20" s="31">
        <f t="shared" si="3"/>
        <v>4.6450000000001523</v>
      </c>
      <c r="L20" s="31">
        <f t="shared" si="4"/>
        <v>5.6800000000001205</v>
      </c>
    </row>
    <row r="21" spans="1:12" x14ac:dyDescent="0.2">
      <c r="A21" s="10" t="str">
        <f>'Ind T2'!A13</f>
        <v>Wholesale and retail trade</v>
      </c>
      <c r="B21" s="32">
        <f>'Ind T2'!B13</f>
        <v>74.617999999999881</v>
      </c>
      <c r="C21" s="32">
        <f>'Ind T2'!C13</f>
        <v>71.895000000000067</v>
      </c>
      <c r="D21" s="32">
        <f>'Ind T2'!D13</f>
        <v>72.056999999999917</v>
      </c>
      <c r="E21" s="32">
        <f>'Ind T2'!E13</f>
        <v>71.422999999999917</v>
      </c>
      <c r="F21" s="32">
        <f>'Ind T2'!F13</f>
        <v>71.717000000000127</v>
      </c>
      <c r="H21" s="11">
        <f t="shared" si="0"/>
        <v>-2.7229999999998142</v>
      </c>
      <c r="I21" s="31">
        <f t="shared" si="1"/>
        <v>0.16199999999984982</v>
      </c>
      <c r="J21" s="11">
        <f t="shared" si="2"/>
        <v>-0.63400000000000034</v>
      </c>
      <c r="K21" s="11">
        <f t="shared" si="3"/>
        <v>0.29400000000021009</v>
      </c>
      <c r="L21" s="31">
        <f t="shared" si="4"/>
        <v>-0.33999999999979025</v>
      </c>
    </row>
    <row r="22" spans="1:12" x14ac:dyDescent="0.2">
      <c r="A22" s="10" t="str">
        <f>'Ind T2'!A14</f>
        <v>Transport and storage</v>
      </c>
      <c r="B22" s="32">
        <f>'Ind T2'!B14</f>
        <v>22.279999999999951</v>
      </c>
      <c r="C22" s="32">
        <f>'Ind T2'!C14</f>
        <v>26.582999999999938</v>
      </c>
      <c r="D22" s="32">
        <f>'Ind T2'!D14</f>
        <v>27.424000000000007</v>
      </c>
      <c r="E22" s="32">
        <f>'Ind T2'!E14</f>
        <v>28.243000000000062</v>
      </c>
      <c r="F22" s="32">
        <f>'Ind T2'!F14</f>
        <v>28.280999999999995</v>
      </c>
      <c r="H22" s="11">
        <f t="shared" si="0"/>
        <v>4.3029999999999866</v>
      </c>
      <c r="I22" s="31">
        <f t="shared" si="1"/>
        <v>0.84100000000006858</v>
      </c>
      <c r="J22" s="11">
        <f t="shared" si="2"/>
        <v>0.81900000000005591</v>
      </c>
      <c r="K22" s="11">
        <f t="shared" si="3"/>
        <v>3.7999999999932754E-2</v>
      </c>
      <c r="L22" s="31">
        <f t="shared" si="4"/>
        <v>0.85699999999998866</v>
      </c>
    </row>
    <row r="23" spans="1:12" x14ac:dyDescent="0.2">
      <c r="A23" s="10" t="str">
        <f>'Ind T2'!A15</f>
        <v>Accommodation and food</v>
      </c>
      <c r="B23" s="32">
        <f>'Ind T2'!B15</f>
        <v>33.11899999999995</v>
      </c>
      <c r="C23" s="32">
        <f>'Ind T2'!C15</f>
        <v>34.905000000000037</v>
      </c>
      <c r="D23" s="32">
        <f>'Ind T2'!D15</f>
        <v>33.931000000000061</v>
      </c>
      <c r="E23" s="32">
        <f>'Ind T2'!E15</f>
        <v>34.780999999999956</v>
      </c>
      <c r="F23" s="32">
        <f>'Ind T2'!F15</f>
        <v>39.093999999999973</v>
      </c>
      <c r="H23" s="11">
        <f t="shared" si="0"/>
        <v>1.7860000000000866</v>
      </c>
      <c r="I23" s="31">
        <f t="shared" si="1"/>
        <v>-0.97399999999997533</v>
      </c>
      <c r="J23" s="11">
        <f t="shared" si="2"/>
        <v>0.84999999999989484</v>
      </c>
      <c r="K23" s="11">
        <f t="shared" si="3"/>
        <v>4.3130000000000166</v>
      </c>
      <c r="L23" s="31">
        <f t="shared" si="4"/>
        <v>5.1629999999999114</v>
      </c>
    </row>
    <row r="24" spans="1:12" x14ac:dyDescent="0.2">
      <c r="B24" s="32"/>
      <c r="C24" s="32"/>
      <c r="D24" s="32"/>
      <c r="E24" s="32"/>
      <c r="F24" s="32"/>
      <c r="H24" s="11"/>
      <c r="I24" s="31"/>
      <c r="J24" s="11"/>
      <c r="K24" s="11"/>
      <c r="L24" s="31"/>
    </row>
    <row r="25" spans="1:12" s="30" customFormat="1" x14ac:dyDescent="0.2">
      <c r="A25" s="30" t="str">
        <f>'Ind T1'!A11</f>
        <v>Business and other services</v>
      </c>
      <c r="B25" s="31">
        <f>'Ind T1'!B11</f>
        <v>114.80700000000002</v>
      </c>
      <c r="C25" s="31">
        <f>'Ind T1'!C11</f>
        <v>109.67299999999987</v>
      </c>
      <c r="D25" s="31">
        <f>'Ind T1'!D11</f>
        <v>107.56200000000005</v>
      </c>
      <c r="E25" s="31">
        <f>'Ind T1'!E11</f>
        <v>107.75200000000002</v>
      </c>
      <c r="F25" s="31">
        <f>'Ind T1'!F11</f>
        <v>113.09699999999992</v>
      </c>
      <c r="H25" s="31">
        <f t="shared" si="0"/>
        <v>-5.1340000000001424</v>
      </c>
      <c r="I25" s="31">
        <f t="shared" si="1"/>
        <v>-2.1109999999998195</v>
      </c>
      <c r="J25" s="31">
        <f t="shared" si="2"/>
        <v>0.1899999999999693</v>
      </c>
      <c r="K25" s="31">
        <f t="shared" si="3"/>
        <v>5.3449999999998994</v>
      </c>
      <c r="L25" s="31">
        <f t="shared" si="4"/>
        <v>5.5349999999998687</v>
      </c>
    </row>
    <row r="26" spans="1:12" x14ac:dyDescent="0.2">
      <c r="A26" s="10" t="str">
        <f>'Ind T2'!A16</f>
        <v>Media</v>
      </c>
      <c r="B26" s="11">
        <f>'Ind T2'!B16</f>
        <v>2.5630000000000068</v>
      </c>
      <c r="C26" s="11">
        <f>'Ind T2'!C16</f>
        <v>2.9880000000000035</v>
      </c>
      <c r="D26" s="11">
        <f>'Ind T2'!D16</f>
        <v>2.8960000000000048</v>
      </c>
      <c r="E26" s="11">
        <f>'Ind T2'!E16</f>
        <v>2.8369999999999993</v>
      </c>
      <c r="F26" s="11">
        <f>'Ind T2'!F16</f>
        <v>2.8879999999999977</v>
      </c>
      <c r="H26" s="11">
        <f t="shared" si="0"/>
        <v>0.42499999999999671</v>
      </c>
      <c r="I26" s="31">
        <f t="shared" si="1"/>
        <v>-9.1999999999998749E-2</v>
      </c>
      <c r="J26" s="11">
        <f t="shared" si="2"/>
        <v>-5.9000000000005492E-2</v>
      </c>
      <c r="K26" s="11">
        <f t="shared" si="3"/>
        <v>5.099999999999838E-2</v>
      </c>
      <c r="L26" s="31">
        <f t="shared" si="4"/>
        <v>-8.0000000000071125E-3</v>
      </c>
    </row>
    <row r="27" spans="1:12" x14ac:dyDescent="0.2">
      <c r="A27" s="10" t="str">
        <f>'Ind T2'!A17</f>
        <v>Information technology</v>
      </c>
      <c r="B27" s="11">
        <f>'Ind T2'!B17</f>
        <v>8.537000000000015</v>
      </c>
      <c r="C27" s="11">
        <f>'Ind T2'!C17</f>
        <v>6.4880000000000049</v>
      </c>
      <c r="D27" s="11">
        <f>'Ind T2'!D17</f>
        <v>5.6369999999999907</v>
      </c>
      <c r="E27" s="11">
        <f>'Ind T2'!E17</f>
        <v>6.1230000000000224</v>
      </c>
      <c r="F27" s="11">
        <f>'Ind T2'!F17</f>
        <v>6.7169999999999943</v>
      </c>
      <c r="H27" s="11">
        <f t="shared" si="0"/>
        <v>-2.0490000000000101</v>
      </c>
      <c r="I27" s="31">
        <f t="shared" si="1"/>
        <v>-0.85100000000001419</v>
      </c>
      <c r="J27" s="11">
        <f t="shared" si="2"/>
        <v>0.48600000000003174</v>
      </c>
      <c r="K27" s="11">
        <f t="shared" si="3"/>
        <v>0.59399999999997188</v>
      </c>
      <c r="L27" s="31">
        <f t="shared" si="4"/>
        <v>1.0800000000000036</v>
      </c>
    </row>
    <row r="28" spans="1:12" x14ac:dyDescent="0.2">
      <c r="A28" s="10" t="str">
        <f>'Ind T2'!A18</f>
        <v>Finance and insurance</v>
      </c>
      <c r="B28" s="11">
        <f>'Ind T2'!B18</f>
        <v>9.3589999999999769</v>
      </c>
      <c r="C28" s="11">
        <f>'Ind T2'!C18</f>
        <v>8.4649999999999928</v>
      </c>
      <c r="D28" s="11">
        <f>'Ind T2'!D18</f>
        <v>7.9720000000000066</v>
      </c>
      <c r="E28" s="11">
        <f>'Ind T2'!E18</f>
        <v>8.2219999999999889</v>
      </c>
      <c r="F28" s="11">
        <f>'Ind T2'!F18</f>
        <v>8.2010000000000023</v>
      </c>
      <c r="H28" s="11">
        <f t="shared" si="0"/>
        <v>-0.89399999999998414</v>
      </c>
      <c r="I28" s="31">
        <f t="shared" si="1"/>
        <v>-0.49299999999998612</v>
      </c>
      <c r="J28" s="11">
        <f t="shared" si="2"/>
        <v>0.24999999999998224</v>
      </c>
      <c r="K28" s="11">
        <f t="shared" si="3"/>
        <v>-2.0999999999986585E-2</v>
      </c>
      <c r="L28" s="31">
        <f t="shared" si="4"/>
        <v>0.22899999999999565</v>
      </c>
    </row>
    <row r="29" spans="1:12" x14ac:dyDescent="0.2">
      <c r="A29" s="10" t="str">
        <f>'Ind T2'!A19</f>
        <v>Real estate</v>
      </c>
      <c r="B29" s="11">
        <f>'Ind T2'!B19</f>
        <v>7.2680000000000007</v>
      </c>
      <c r="C29" s="11">
        <f>'Ind T2'!C19</f>
        <v>7.5290000000000097</v>
      </c>
      <c r="D29" s="11">
        <f>'Ind T2'!D19</f>
        <v>6.7819999999999885</v>
      </c>
      <c r="E29" s="11">
        <f>'Ind T2'!E19</f>
        <v>6.7620000000000191</v>
      </c>
      <c r="F29" s="11">
        <f>'Ind T2'!F19</f>
        <v>7.8439999999999861</v>
      </c>
      <c r="H29" s="11">
        <f t="shared" ref="H29:H31" si="9">C29-B29</f>
        <v>0.261000000000009</v>
      </c>
      <c r="I29" s="31">
        <f t="shared" ref="I29:I31" si="10">D29-C29</f>
        <v>-0.7470000000000212</v>
      </c>
      <c r="J29" s="11">
        <f t="shared" ref="J29:J31" si="11">E29-D29</f>
        <v>-1.9999999999969376E-2</v>
      </c>
      <c r="K29" s="11">
        <f t="shared" ref="K29:K31" si="12">F29-E29</f>
        <v>1.081999999999967</v>
      </c>
      <c r="L29" s="31">
        <f t="shared" si="4"/>
        <v>1.0619999999999976</v>
      </c>
    </row>
    <row r="30" spans="1:12" x14ac:dyDescent="0.2">
      <c r="A30" s="10" t="str">
        <f>'Ind T2'!A20</f>
        <v>Professional services</v>
      </c>
      <c r="B30" s="11">
        <f>'Ind T2'!B20</f>
        <v>25.363999999999997</v>
      </c>
      <c r="C30" s="11">
        <f>'Ind T2'!C20</f>
        <v>22.099000000000004</v>
      </c>
      <c r="D30" s="11">
        <f>'Ind T2'!D20</f>
        <v>23.094000000000012</v>
      </c>
      <c r="E30" s="11">
        <f>'Ind T2'!E20</f>
        <v>23.910999999999991</v>
      </c>
      <c r="F30" s="11">
        <f>'Ind T2'!F20</f>
        <v>25.574999999999996</v>
      </c>
      <c r="H30" s="11">
        <f t="shared" si="9"/>
        <v>-3.2649999999999935</v>
      </c>
      <c r="I30" s="31">
        <f t="shared" si="10"/>
        <v>0.9950000000000081</v>
      </c>
      <c r="J30" s="11">
        <f t="shared" si="11"/>
        <v>0.81699999999997885</v>
      </c>
      <c r="K30" s="11">
        <f t="shared" si="12"/>
        <v>1.664000000000005</v>
      </c>
      <c r="L30" s="31">
        <f t="shared" si="4"/>
        <v>2.4809999999999839</v>
      </c>
    </row>
    <row r="31" spans="1:12" x14ac:dyDescent="0.2">
      <c r="A31" s="10" t="str">
        <f>'Ind T2'!A21</f>
        <v>Support services</v>
      </c>
      <c r="B31" s="11">
        <f>'Ind T2'!B21</f>
        <v>35.167999999999999</v>
      </c>
      <c r="C31" s="11">
        <f>'Ind T2'!C21</f>
        <v>36.009999999999856</v>
      </c>
      <c r="D31" s="11">
        <f>'Ind T2'!D21</f>
        <v>35.190000000000062</v>
      </c>
      <c r="E31" s="11">
        <f>'Ind T2'!E21</f>
        <v>36.036999999999985</v>
      </c>
      <c r="F31" s="11">
        <f>'Ind T2'!F21</f>
        <v>37.686999999999948</v>
      </c>
      <c r="H31" s="11">
        <f t="shared" si="9"/>
        <v>0.84199999999985664</v>
      </c>
      <c r="I31" s="31">
        <f t="shared" si="10"/>
        <v>-0.81999999999979423</v>
      </c>
      <c r="J31" s="11">
        <f t="shared" si="11"/>
        <v>0.84699999999992315</v>
      </c>
      <c r="K31" s="11">
        <f t="shared" si="12"/>
        <v>1.6499999999999631</v>
      </c>
      <c r="L31" s="31">
        <f t="shared" si="4"/>
        <v>2.4969999999998862</v>
      </c>
    </row>
    <row r="32" spans="1:12" x14ac:dyDescent="0.2">
      <c r="A32" s="10" t="str">
        <f>'Ind T2'!A25</f>
        <v>Arts and entertainment</v>
      </c>
      <c r="B32" s="11">
        <f>'Ind T2'!B25</f>
        <v>12.142999999999999</v>
      </c>
      <c r="C32" s="11">
        <f>'Ind T2'!C25</f>
        <v>13.485999999999997</v>
      </c>
      <c r="D32" s="11">
        <f>'Ind T2'!D25</f>
        <v>12.614999999999977</v>
      </c>
      <c r="E32" s="11">
        <f>'Ind T2'!E25</f>
        <v>12.903000000000011</v>
      </c>
      <c r="F32" s="11">
        <f>'Ind T2'!F25</f>
        <v>14.023000000000003</v>
      </c>
      <c r="H32" s="11">
        <f t="shared" ref="H32" si="13">C32-B32</f>
        <v>1.3429999999999982</v>
      </c>
      <c r="I32" s="31">
        <f t="shared" ref="I32:I33" si="14">D32-C32</f>
        <v>-0.87100000000001998</v>
      </c>
      <c r="J32" s="11">
        <f t="shared" ref="J32:J33" si="15">E32-D32</f>
        <v>0.28800000000003401</v>
      </c>
      <c r="K32" s="11">
        <f t="shared" ref="K32:K33" si="16">F32-E32</f>
        <v>1.1199999999999921</v>
      </c>
      <c r="L32" s="31">
        <f t="shared" si="4"/>
        <v>1.4080000000000261</v>
      </c>
    </row>
    <row r="33" spans="1:12" x14ac:dyDescent="0.2">
      <c r="A33" s="10" t="str">
        <f>'Ind T2'!A26</f>
        <v>Other services</v>
      </c>
      <c r="B33" s="11">
        <f>'Ind T2'!B26</f>
        <v>14.405000000000024</v>
      </c>
      <c r="C33" s="11">
        <f>'Ind T2'!C26</f>
        <v>12.608000000000022</v>
      </c>
      <c r="D33" s="11">
        <f>'Ind T2'!D26</f>
        <v>13.376000000000015</v>
      </c>
      <c r="E33" s="11">
        <f>'Ind T2'!E26</f>
        <v>10.957000000000017</v>
      </c>
      <c r="F33" s="11">
        <f>'Ind T2'!F26</f>
        <v>10.162000000000006</v>
      </c>
      <c r="H33" s="11">
        <f>C33-B33</f>
        <v>-1.7970000000000024</v>
      </c>
      <c r="I33" s="31">
        <f t="shared" si="14"/>
        <v>0.76799999999999358</v>
      </c>
      <c r="J33" s="11">
        <f t="shared" si="15"/>
        <v>-2.4189999999999987</v>
      </c>
      <c r="K33" s="11">
        <f t="shared" si="16"/>
        <v>-0.79500000000001059</v>
      </c>
      <c r="L33" s="31">
        <f t="shared" si="4"/>
        <v>-3.2140000000000093</v>
      </c>
    </row>
    <row r="34" spans="1:12" x14ac:dyDescent="0.2">
      <c r="B34" s="32"/>
      <c r="C34" s="32"/>
      <c r="D34" s="32"/>
      <c r="E34" s="32"/>
      <c r="F34" s="32"/>
      <c r="H34" s="11"/>
      <c r="I34" s="31"/>
      <c r="J34" s="11"/>
      <c r="K34" s="11"/>
      <c r="L34" s="31"/>
    </row>
    <row r="35" spans="1:12" s="30" customFormat="1" x14ac:dyDescent="0.2">
      <c r="A35" s="30" t="str">
        <f>'Ind T1'!A12</f>
        <v>Non-marketed services</v>
      </c>
      <c r="B35" s="31">
        <f>'Ind T1'!B12</f>
        <v>143.73000000000008</v>
      </c>
      <c r="C35" s="31">
        <f>'Ind T1'!C12</f>
        <v>137.94199999999998</v>
      </c>
      <c r="D35" s="31">
        <f>'Ind T1'!D12</f>
        <v>140.44399999999996</v>
      </c>
      <c r="E35" s="31">
        <f>'Ind T1'!E12</f>
        <v>145.27199999999993</v>
      </c>
      <c r="F35" s="31">
        <f>'Ind T1'!F12</f>
        <v>150.26600000000008</v>
      </c>
      <c r="H35" s="31">
        <f t="shared" si="0"/>
        <v>-5.7880000000000962</v>
      </c>
      <c r="I35" s="31">
        <f t="shared" si="1"/>
        <v>2.5019999999999811</v>
      </c>
      <c r="J35" s="31">
        <f t="shared" si="2"/>
        <v>4.8279999999999745</v>
      </c>
      <c r="K35" s="31">
        <f t="shared" si="3"/>
        <v>4.9940000000001419</v>
      </c>
      <c r="L35" s="31">
        <f t="shared" si="4"/>
        <v>9.8220000000001164</v>
      </c>
    </row>
    <row r="36" spans="1:12" x14ac:dyDescent="0.2">
      <c r="A36" s="10" t="str">
        <f>'Ind T2'!A22</f>
        <v>Public admin. and defence</v>
      </c>
      <c r="B36" s="32">
        <f>'Ind T2'!B22</f>
        <v>30.572000000000074</v>
      </c>
      <c r="C36" s="32">
        <f>'Ind T2'!C22</f>
        <v>30.999999999999993</v>
      </c>
      <c r="D36" s="32">
        <f>'Ind T2'!D22</f>
        <v>31.607000000000031</v>
      </c>
      <c r="E36" s="32">
        <f>'Ind T2'!E22</f>
        <v>30.495000000000008</v>
      </c>
      <c r="F36" s="32">
        <f>'Ind T2'!F22</f>
        <v>30.647000000000016</v>
      </c>
      <c r="H36" s="11">
        <f t="shared" si="0"/>
        <v>0.42799999999991911</v>
      </c>
      <c r="I36" s="31">
        <f t="shared" si="1"/>
        <v>0.6070000000000384</v>
      </c>
      <c r="J36" s="11">
        <f t="shared" si="2"/>
        <v>-1.1120000000000232</v>
      </c>
      <c r="K36" s="11">
        <f t="shared" si="3"/>
        <v>0.15200000000000813</v>
      </c>
      <c r="L36" s="31">
        <f t="shared" si="4"/>
        <v>-0.96000000000001506</v>
      </c>
    </row>
    <row r="37" spans="1:12" x14ac:dyDescent="0.2">
      <c r="A37" s="10" t="str">
        <f>'Ind T2'!A23</f>
        <v>Education</v>
      </c>
      <c r="B37" s="32">
        <f>'Ind T2'!B23</f>
        <v>44.228000000000037</v>
      </c>
      <c r="C37" s="32">
        <f>'Ind T2'!C23</f>
        <v>44.338000000000008</v>
      </c>
      <c r="D37" s="32">
        <f>'Ind T2'!D23</f>
        <v>43.000999999999983</v>
      </c>
      <c r="E37" s="32">
        <f>'Ind T2'!E23</f>
        <v>45.634999999999962</v>
      </c>
      <c r="F37" s="32">
        <f>'Ind T2'!F23</f>
        <v>47.142000000000053</v>
      </c>
      <c r="H37" s="11">
        <f t="shared" si="0"/>
        <v>0.10999999999997101</v>
      </c>
      <c r="I37" s="31">
        <f t="shared" si="1"/>
        <v>-1.3370000000000246</v>
      </c>
      <c r="J37" s="11">
        <f t="shared" si="2"/>
        <v>2.633999999999979</v>
      </c>
      <c r="K37" s="11">
        <f t="shared" si="3"/>
        <v>1.5070000000000903</v>
      </c>
      <c r="L37" s="31">
        <f t="shared" si="4"/>
        <v>4.1410000000000693</v>
      </c>
    </row>
    <row r="38" spans="1:12" x14ac:dyDescent="0.2">
      <c r="A38" s="10" t="str">
        <f>'Ind T2'!A24</f>
        <v>Health and social work</v>
      </c>
      <c r="B38" s="32">
        <f>'Ind T2'!B24</f>
        <v>68.929999999999978</v>
      </c>
      <c r="C38" s="32">
        <f>'Ind T2'!C24</f>
        <v>62.603999999999978</v>
      </c>
      <c r="D38" s="32">
        <f>'Ind T2'!D24</f>
        <v>65.835999999999956</v>
      </c>
      <c r="E38" s="32">
        <f>'Ind T2'!E24</f>
        <v>69.141999999999953</v>
      </c>
      <c r="F38" s="32">
        <f>'Ind T2'!F24</f>
        <v>72.47699999999999</v>
      </c>
      <c r="H38" s="11">
        <f t="shared" si="0"/>
        <v>-6.3260000000000005</v>
      </c>
      <c r="I38" s="31">
        <f t="shared" si="1"/>
        <v>3.231999999999978</v>
      </c>
      <c r="J38" s="11">
        <f t="shared" si="2"/>
        <v>3.3059999999999974</v>
      </c>
      <c r="K38" s="11">
        <f t="shared" si="3"/>
        <v>3.3350000000000364</v>
      </c>
      <c r="L38" s="31">
        <f t="shared" si="4"/>
        <v>6.6410000000000338</v>
      </c>
    </row>
    <row r="39" spans="1:12" x14ac:dyDescent="0.2">
      <c r="B39" s="32"/>
      <c r="C39" s="32"/>
      <c r="D39" s="32"/>
      <c r="E39" s="32"/>
      <c r="F39" s="32"/>
      <c r="H39" s="11"/>
      <c r="I39" s="11"/>
      <c r="J39" s="11"/>
      <c r="K39" s="11"/>
      <c r="L39" s="31"/>
    </row>
    <row r="40" spans="1:12" x14ac:dyDescent="0.2">
      <c r="A40" s="39" t="str">
        <f>'Ind T1'!A14</f>
        <v>All industries</v>
      </c>
      <c r="B40" s="33">
        <f>'Ind T1'!B14</f>
        <v>489.71099999999973</v>
      </c>
      <c r="C40" s="33">
        <f>'Ind T1'!C14</f>
        <v>483.57499999999982</v>
      </c>
      <c r="D40" s="33">
        <f>'Ind T1'!D14</f>
        <v>478.92599999999993</v>
      </c>
      <c r="E40" s="33">
        <f>'Ind T1'!E14</f>
        <v>482.75099999999981</v>
      </c>
      <c r="F40" s="33">
        <f>'Ind T1'!F14</f>
        <v>492.77800000000002</v>
      </c>
      <c r="G40" s="24"/>
      <c r="H40" s="34">
        <f t="shared" si="0"/>
        <v>-6.1359999999999104</v>
      </c>
      <c r="I40" s="34">
        <f>D40-C40</f>
        <v>-4.6489999999998872</v>
      </c>
      <c r="J40" s="34">
        <f>E40-D40</f>
        <v>3.8249999999998749</v>
      </c>
      <c r="K40" s="34">
        <f>F40-E40</f>
        <v>10.027000000000214</v>
      </c>
      <c r="L40" s="205">
        <f t="shared" si="4"/>
        <v>13.852000000000089</v>
      </c>
    </row>
    <row r="44" spans="1:12" ht="15.75" x14ac:dyDescent="0.25">
      <c r="A44" s="19" t="str">
        <f>CONCATENATE(A1," (Continued)")</f>
        <v>Industry Table 4  Employment by Industry Group in Sector (SIC 2007), 2015-2035, North East (Continued)</v>
      </c>
    </row>
    <row r="46" spans="1:12" x14ac:dyDescent="0.2">
      <c r="L46" s="16" t="s">
        <v>21</v>
      </c>
    </row>
    <row r="47" spans="1:12" x14ac:dyDescent="0.2">
      <c r="A47" s="36"/>
      <c r="B47" s="28" t="s">
        <v>15</v>
      </c>
      <c r="C47" s="28"/>
      <c r="D47" s="28"/>
      <c r="E47" s="28"/>
      <c r="F47" s="28"/>
      <c r="G47" s="28"/>
      <c r="H47" s="28" t="s">
        <v>14</v>
      </c>
      <c r="I47" s="28"/>
      <c r="J47" s="28"/>
      <c r="K47" s="28"/>
      <c r="L47" s="28"/>
    </row>
    <row r="48" spans="1:12" x14ac:dyDescent="0.2">
      <c r="A48" s="24"/>
      <c r="B48" s="37" t="str">
        <f>H5</f>
        <v>2015-2019</v>
      </c>
      <c r="C48" s="37" t="str">
        <f>I5</f>
        <v>2019-2020</v>
      </c>
      <c r="D48" s="37" t="str">
        <f>J5</f>
        <v>2020-2025</v>
      </c>
      <c r="E48" s="37" t="str">
        <f>K5</f>
        <v>2025-2035</v>
      </c>
      <c r="F48" s="37" t="str">
        <f>L5</f>
        <v>2020-2035</v>
      </c>
      <c r="G48" s="41"/>
      <c r="H48" s="42">
        <f>B5</f>
        <v>2015</v>
      </c>
      <c r="I48" s="42">
        <f>C5</f>
        <v>2019</v>
      </c>
      <c r="J48" s="42">
        <f>D5</f>
        <v>2020</v>
      </c>
      <c r="K48" s="42">
        <f>E5</f>
        <v>2025</v>
      </c>
      <c r="L48" s="42">
        <f>F5</f>
        <v>2035</v>
      </c>
    </row>
    <row r="50" spans="1:12" s="30" customFormat="1" x14ac:dyDescent="0.2">
      <c r="A50" s="30" t="str">
        <f>A7</f>
        <v>Primary sector and utilities</v>
      </c>
      <c r="B50" s="44">
        <f>IF(AND(C$5-B$5 &lt;&gt; 0,B7&lt;&gt;0,C7&lt;&gt;0),(EXP(LN(C7/B7)/(C$5-B$5))-1)*100,0)</f>
        <v>7.1854016224552231</v>
      </c>
      <c r="C50" s="44">
        <f t="shared" ref="B50:E54" si="17">IF(AND(D$5-C$5 &lt;&gt; 0,C7&lt;&gt;0,D7&lt;&gt;0),(EXP(LN(D7/C7)/(D$5-C$5))-1)*100,0)</f>
        <v>5.9779664078019934</v>
      </c>
      <c r="D50" s="44">
        <f t="shared" si="17"/>
        <v>-5.2884809008779676E-2</v>
      </c>
      <c r="E50" s="44">
        <f t="shared" si="17"/>
        <v>0.12995080640445522</v>
      </c>
      <c r="F50" s="44">
        <f>IF(AND(F$5-D$5 &lt;&gt; 0,D7&lt;&gt;0,F7&lt;&gt;0),(EXP(LN(F7/D7)/(F$5-D$5))-1)*100,0)</f>
        <v>6.8968468615326906E-2</v>
      </c>
      <c r="H50" s="44">
        <f>(B7/B$40)*100</f>
        <v>1.7132553689829306</v>
      </c>
      <c r="I50" s="44">
        <f>(C7/C$40)*100</f>
        <v>2.2900274000930585</v>
      </c>
      <c r="J50" s="44">
        <f>(D7/D$40)*100</f>
        <v>2.4504829556131837</v>
      </c>
      <c r="K50" s="44">
        <f>(E7/E$40)*100</f>
        <v>2.4246454176169494</v>
      </c>
      <c r="L50" s="44">
        <f>(F7/F$40)*100</f>
        <v>2.4063574266708354</v>
      </c>
    </row>
    <row r="51" spans="1:12" x14ac:dyDescent="0.2">
      <c r="A51" t="str">
        <f>A8</f>
        <v>Agriculture</v>
      </c>
      <c r="B51" s="40">
        <f t="shared" si="17"/>
        <v>-6.2946904131468306</v>
      </c>
      <c r="C51" s="44">
        <f t="shared" si="17"/>
        <v>-3.5985808413584119</v>
      </c>
      <c r="D51" s="40">
        <f t="shared" si="17"/>
        <v>0.70502525566782381</v>
      </c>
      <c r="E51" s="40">
        <f t="shared" si="17"/>
        <v>0.27574104630276874</v>
      </c>
      <c r="F51" s="44">
        <f t="shared" ref="F51:F83" si="18">IF(AND(F$5-D$5 &lt;&gt; 0,D8&lt;&gt;0,F8&lt;&gt;0),(EXP(LN(F8/D8)/(F$5-D$5))-1)*100,0)</f>
        <v>0.41863206905279338</v>
      </c>
      <c r="H51" s="40">
        <f t="shared" ref="H51:L54" si="19">(B8/B$7)*100</f>
        <v>30.500595947556587</v>
      </c>
      <c r="I51" s="40">
        <f t="shared" si="19"/>
        <v>17.816507133826974</v>
      </c>
      <c r="J51" s="40">
        <f t="shared" si="19"/>
        <v>16.206543967280155</v>
      </c>
      <c r="K51" s="40">
        <f t="shared" si="19"/>
        <v>16.830414352840705</v>
      </c>
      <c r="L51" s="40">
        <f t="shared" si="19"/>
        <v>17.077078765390468</v>
      </c>
    </row>
    <row r="52" spans="1:12" x14ac:dyDescent="0.2">
      <c r="A52" t="str">
        <f>A9</f>
        <v>Mining and quarrying</v>
      </c>
      <c r="B52" s="40">
        <f>IF(AND(C$5-B$5 &lt;&gt; 0,B9&lt;&gt;0,C9&lt;&gt;0),(EXP(LN(C9/B9)/(C$5-B$5))-1)*100,0)</f>
        <v>10.202361170058239</v>
      </c>
      <c r="C52" s="44">
        <f t="shared" si="17"/>
        <v>22.251308900523693</v>
      </c>
      <c r="D52" s="40">
        <f t="shared" si="17"/>
        <v>-2.2863379022242558</v>
      </c>
      <c r="E52" s="40">
        <f t="shared" si="17"/>
        <v>-1.2454138461217457</v>
      </c>
      <c r="F52" s="44">
        <f t="shared" si="18"/>
        <v>-1.5936148180109688</v>
      </c>
      <c r="H52" s="40">
        <f t="shared" si="19"/>
        <v>3.0870083432658024</v>
      </c>
      <c r="I52" s="40">
        <f t="shared" si="19"/>
        <v>3.4495214014809386</v>
      </c>
      <c r="J52" s="40">
        <f t="shared" si="19"/>
        <v>3.979209270620311</v>
      </c>
      <c r="K52" s="40">
        <f t="shared" si="19"/>
        <v>3.5540367364374279</v>
      </c>
      <c r="L52" s="40">
        <f t="shared" si="19"/>
        <v>3.094956991060883</v>
      </c>
    </row>
    <row r="53" spans="1:12" x14ac:dyDescent="0.2">
      <c r="A53" t="str">
        <f>A10</f>
        <v>Electricity and gas</v>
      </c>
      <c r="B53" s="40">
        <f t="shared" si="17"/>
        <v>19.627431947371377</v>
      </c>
      <c r="C53" s="44">
        <f t="shared" si="17"/>
        <v>4.1480421956014313</v>
      </c>
      <c r="D53" s="40">
        <f t="shared" si="17"/>
        <v>-0.29009018823883403</v>
      </c>
      <c r="E53" s="40">
        <f t="shared" si="17"/>
        <v>0.21562773665184665</v>
      </c>
      <c r="F53" s="44">
        <f t="shared" si="18"/>
        <v>4.6770741458757037E-2</v>
      </c>
      <c r="H53" s="40">
        <f t="shared" si="19"/>
        <v>32.55065554231232</v>
      </c>
      <c r="I53" s="40">
        <f t="shared" si="19"/>
        <v>50.50568900126423</v>
      </c>
      <c r="J53" s="40">
        <f t="shared" si="19"/>
        <v>49.633605998636618</v>
      </c>
      <c r="K53" s="40">
        <f t="shared" si="19"/>
        <v>49.047415634344226</v>
      </c>
      <c r="L53" s="40">
        <f t="shared" si="19"/>
        <v>49.468713105076723</v>
      </c>
    </row>
    <row r="54" spans="1:12" x14ac:dyDescent="0.2">
      <c r="A54" t="str">
        <f>A11</f>
        <v>Water and sewerage</v>
      </c>
      <c r="B54" s="40">
        <f t="shared" si="17"/>
        <v>2.4187414948916519</v>
      </c>
      <c r="C54" s="44">
        <f t="shared" si="17"/>
        <v>13.307741522712902</v>
      </c>
      <c r="D54" s="40">
        <f t="shared" si="17"/>
        <v>0.20245357558645871</v>
      </c>
      <c r="E54" s="40">
        <f t="shared" si="17"/>
        <v>6.1317395188908996E-2</v>
      </c>
      <c r="F54" s="44">
        <f t="shared" si="18"/>
        <v>0.10834068684364428</v>
      </c>
      <c r="H54" s="40">
        <f t="shared" si="19"/>
        <v>33.861740166865282</v>
      </c>
      <c r="I54" s="40">
        <f t="shared" si="19"/>
        <v>28.228282463427856</v>
      </c>
      <c r="J54" s="40">
        <f t="shared" si="19"/>
        <v>30.180640763462925</v>
      </c>
      <c r="K54" s="40">
        <f t="shared" si="19"/>
        <v>30.56813327637764</v>
      </c>
      <c r="L54" s="40">
        <f t="shared" si="19"/>
        <v>30.359251138471915</v>
      </c>
    </row>
    <row r="55" spans="1:12" x14ac:dyDescent="0.2">
      <c r="B55" s="40"/>
      <c r="C55" s="44"/>
      <c r="D55" s="40"/>
      <c r="E55" s="40"/>
      <c r="F55" s="44"/>
      <c r="H55" s="40"/>
      <c r="I55" s="40"/>
      <c r="J55" s="40"/>
      <c r="K55" s="40"/>
      <c r="L55" s="40"/>
    </row>
    <row r="56" spans="1:12" s="30" customFormat="1" x14ac:dyDescent="0.2">
      <c r="A56" s="30" t="str">
        <f>A13</f>
        <v>Manufacturing</v>
      </c>
      <c r="B56" s="44">
        <f t="shared" ref="B56:E59" si="20">IF(AND(C$5-B$5 &lt;&gt; 0,B13&lt;&gt;0,C13&lt;&gt;0),(EXP(LN(C13/B13)/(C$5-B$5))-1)*100,0)</f>
        <v>-1.8605398491068903</v>
      </c>
      <c r="C56" s="44">
        <f t="shared" si="20"/>
        <v>-7.1196430074935151</v>
      </c>
      <c r="D56" s="44">
        <f t="shared" si="20"/>
        <v>-0.44597109076023322</v>
      </c>
      <c r="E56" s="44">
        <f t="shared" si="20"/>
        <v>-0.94444306720156135</v>
      </c>
      <c r="F56" s="44">
        <f t="shared" si="18"/>
        <v>-0.77856367999591392</v>
      </c>
      <c r="H56" s="44">
        <f>(B13/B$40)*100</f>
        <v>13.072608130101205</v>
      </c>
      <c r="I56" s="44">
        <f>(C13/C$40)*100</f>
        <v>12.280411518378727</v>
      </c>
      <c r="J56" s="44">
        <f>(D13/D$40)*100</f>
        <v>11.516810530228032</v>
      </c>
      <c r="K56" s="44">
        <f>(E13/E$40)*100</f>
        <v>11.173047803111738</v>
      </c>
      <c r="L56" s="44">
        <f>(F13/F$40)*100</f>
        <v>9.95478694259889</v>
      </c>
    </row>
    <row r="57" spans="1:12" x14ac:dyDescent="0.2">
      <c r="A57" t="str">
        <f>A14</f>
        <v>Food drink and tobacco</v>
      </c>
      <c r="B57" s="40">
        <f t="shared" si="20"/>
        <v>3.3650338138649039</v>
      </c>
      <c r="C57" s="44">
        <f t="shared" si="20"/>
        <v>-4.0971168437026755</v>
      </c>
      <c r="D57" s="40">
        <f t="shared" si="20"/>
        <v>0.14424870660454392</v>
      </c>
      <c r="E57" s="40">
        <f t="shared" si="20"/>
        <v>-0.28873170756824607</v>
      </c>
      <c r="F57" s="44">
        <f t="shared" si="18"/>
        <v>-0.14461330577412168</v>
      </c>
      <c r="H57" s="40">
        <f t="shared" ref="H57:L59" si="21">(B14/B$13)*100</f>
        <v>6.312287169233656</v>
      </c>
      <c r="I57" s="40">
        <f t="shared" si="21"/>
        <v>7.7679548707586186</v>
      </c>
      <c r="J57" s="40">
        <f t="shared" si="21"/>
        <v>8.0207407944594564</v>
      </c>
      <c r="K57" s="40">
        <f t="shared" si="21"/>
        <v>8.2613370907338375</v>
      </c>
      <c r="L57" s="40">
        <f t="shared" si="21"/>
        <v>8.824788502701054</v>
      </c>
    </row>
    <row r="58" spans="1:12" x14ac:dyDescent="0.2">
      <c r="A58" t="str">
        <f>A15</f>
        <v>Engineering</v>
      </c>
      <c r="B58" s="40">
        <f t="shared" si="20"/>
        <v>-0.98433094644054808</v>
      </c>
      <c r="C58" s="44">
        <f t="shared" si="20"/>
        <v>-7.6606407732234594</v>
      </c>
      <c r="D58" s="40">
        <f t="shared" si="20"/>
        <v>0.44570868154052423</v>
      </c>
      <c r="E58" s="40">
        <f t="shared" si="20"/>
        <v>-1.0950711444763117</v>
      </c>
      <c r="F58" s="44">
        <f t="shared" si="18"/>
        <v>-0.58412201020501264</v>
      </c>
      <c r="H58" s="40">
        <f t="shared" si="21"/>
        <v>18.158955293823663</v>
      </c>
      <c r="I58" s="40">
        <f t="shared" si="21"/>
        <v>18.816199376947033</v>
      </c>
      <c r="J58" s="40">
        <f t="shared" si="21"/>
        <v>18.70660115669817</v>
      </c>
      <c r="K58" s="40">
        <f t="shared" si="21"/>
        <v>19.559494234120685</v>
      </c>
      <c r="L58" s="40">
        <f t="shared" si="21"/>
        <v>19.264091326062566</v>
      </c>
    </row>
    <row r="59" spans="1:12" x14ac:dyDescent="0.2">
      <c r="A59" t="str">
        <f>A16</f>
        <v>Rest of manufacturing</v>
      </c>
      <c r="B59" s="40">
        <f t="shared" si="20"/>
        <v>-2.5542211553175376</v>
      </c>
      <c r="C59" s="44">
        <f t="shared" si="20"/>
        <v>-7.3007936143860359</v>
      </c>
      <c r="D59" s="40">
        <f t="shared" si="20"/>
        <v>-0.74490112890416293</v>
      </c>
      <c r="E59" s="40">
        <f t="shared" si="20"/>
        <v>-0.98129049934920776</v>
      </c>
      <c r="F59" s="44">
        <f t="shared" si="18"/>
        <v>-0.90255666362821785</v>
      </c>
      <c r="H59" s="40">
        <f t="shared" si="21"/>
        <v>75.528757536942678</v>
      </c>
      <c r="I59" s="40">
        <f t="shared" si="21"/>
        <v>73.415845752294345</v>
      </c>
      <c r="J59" s="40">
        <f t="shared" si="21"/>
        <v>73.272658048842374</v>
      </c>
      <c r="K59" s="40">
        <f t="shared" si="21"/>
        <v>72.179168675145476</v>
      </c>
      <c r="L59" s="40">
        <f t="shared" si="21"/>
        <v>71.911120171236377</v>
      </c>
    </row>
    <row r="60" spans="1:12" x14ac:dyDescent="0.2">
      <c r="B60" s="40"/>
      <c r="C60" s="44"/>
      <c r="D60" s="40"/>
      <c r="E60" s="40"/>
      <c r="F60" s="44"/>
      <c r="H60" s="40"/>
      <c r="I60" s="40"/>
      <c r="J60" s="40"/>
      <c r="K60" s="40"/>
      <c r="L60" s="40"/>
    </row>
    <row r="61" spans="1:12" s="30" customFormat="1" x14ac:dyDescent="0.2">
      <c r="A61" s="30" t="str">
        <f>A18</f>
        <v>Construction</v>
      </c>
      <c r="B61" s="44">
        <f>IF(AND(C$5-B$5 &lt;&gt; 0,B18&lt;&gt;0,C18&lt;&gt;0),(EXP(LN(C18/B18)/(C$5-B$5))-1)*100,0)</f>
        <v>2.8090716901228774</v>
      </c>
      <c r="C61" s="44">
        <f>IF(AND(D$5-C$5 &lt;&gt; 0,C18&lt;&gt;0,D18&lt;&gt;0),(EXP(LN(D18/C18)/(D$5-C$5))-1)*100,0)</f>
        <v>-4.6796189052867305</v>
      </c>
      <c r="D61" s="44">
        <f>IF(AND(E$5-D$5 &lt;&gt; 0,D18&lt;&gt;0,E18&lt;&gt;0),(EXP(LN(E18/D18)/(E$5-D$5))-1)*100,0)</f>
        <v>-0.64722649174798752</v>
      </c>
      <c r="E61" s="44">
        <f>IF(AND(F$5-E$5 &lt;&gt; 0,E18&lt;&gt;0,F18&lt;&gt;0),(EXP(LN(F18/E18)/(F$5-E$5))-1)*100,0)</f>
        <v>-7.685873018051792E-2</v>
      </c>
      <c r="F61" s="44">
        <f t="shared" si="18"/>
        <v>-0.26734421291025878</v>
      </c>
      <c r="H61" s="44">
        <f>(B18/B$40)*100</f>
        <v>5.8706053161966931</v>
      </c>
      <c r="I61" s="44">
        <f>(C18/C$40)*100</f>
        <v>6.6417825569973692</v>
      </c>
      <c r="J61" s="44">
        <f>(D18/D$40)*100</f>
        <v>6.3924280577792869</v>
      </c>
      <c r="K61" s="44">
        <f>(E18/E$40)*100</f>
        <v>6.1391897686384898</v>
      </c>
      <c r="L61" s="44">
        <f>(F18/F$40)*100</f>
        <v>5.9682047494003356</v>
      </c>
    </row>
    <row r="62" spans="1:12" x14ac:dyDescent="0.2">
      <c r="B62" s="40"/>
      <c r="C62" s="44"/>
      <c r="D62" s="40"/>
      <c r="E62" s="40"/>
      <c r="F62" s="44"/>
      <c r="H62" s="40"/>
      <c r="I62" s="40"/>
      <c r="J62" s="40"/>
      <c r="K62" s="40"/>
      <c r="L62" s="40"/>
    </row>
    <row r="63" spans="1:12" s="30" customFormat="1" x14ac:dyDescent="0.2">
      <c r="A63" s="30" t="str">
        <f>A20</f>
        <v>Trade, accomod. and transport</v>
      </c>
      <c r="B63" s="44">
        <f t="shared" ref="B63:E66" si="22">IF(AND(C$5-B$5 &lt;&gt; 0,B20&lt;&gt;0,C20&lt;&gt;0),(EXP(LN(C20/B20)/(C$5-B$5))-1)*100,0)</f>
        <v>0.64103282546386087</v>
      </c>
      <c r="C63" s="44">
        <f t="shared" si="22"/>
        <v>2.1741901141769659E-2</v>
      </c>
      <c r="D63" s="44">
        <f t="shared" si="22"/>
        <v>0.15467920266303281</v>
      </c>
      <c r="E63" s="44">
        <f t="shared" si="22"/>
        <v>0.34023263530944536</v>
      </c>
      <c r="F63" s="44">
        <f t="shared" si="18"/>
        <v>0.27834332595311206</v>
      </c>
      <c r="H63" s="44">
        <f>(B20/B$40)*100</f>
        <v>26.549740561269779</v>
      </c>
      <c r="I63" s="44">
        <f>(C20/C$40)*100</f>
        <v>27.582691412914251</v>
      </c>
      <c r="J63" s="44">
        <f>(D20/D$40)*100</f>
        <v>27.856495575516888</v>
      </c>
      <c r="K63" s="44">
        <f>(E20/E$40)*100</f>
        <v>27.850175349196583</v>
      </c>
      <c r="L63" s="44">
        <f>(F20/F$40)*100</f>
        <v>28.226097755987499</v>
      </c>
    </row>
    <row r="64" spans="1:12" x14ac:dyDescent="0.2">
      <c r="A64" t="str">
        <f>A21</f>
        <v>Wholesale and retail trade</v>
      </c>
      <c r="B64" s="40">
        <f t="shared" si="22"/>
        <v>-0.92507074056292771</v>
      </c>
      <c r="C64" s="44">
        <f t="shared" si="22"/>
        <v>0.22532860421426992</v>
      </c>
      <c r="D64" s="40">
        <f t="shared" si="22"/>
        <v>-0.17659441135730036</v>
      </c>
      <c r="E64" s="40">
        <f t="shared" si="22"/>
        <v>4.1087160472796924E-2</v>
      </c>
      <c r="F64" s="44">
        <f t="shared" si="18"/>
        <v>-3.1526055855657376E-2</v>
      </c>
      <c r="H64" s="40">
        <f t="shared" ref="H64:L66" si="23">(B21/B$20)*100</f>
        <v>57.39095656721814</v>
      </c>
      <c r="I64" s="40">
        <f t="shared" si="23"/>
        <v>53.901171813499502</v>
      </c>
      <c r="J64" s="40">
        <f t="shared" si="23"/>
        <v>54.010883578688521</v>
      </c>
      <c r="K64" s="40">
        <f t="shared" si="23"/>
        <v>53.123535668330234</v>
      </c>
      <c r="L64" s="40">
        <f t="shared" si="23"/>
        <v>51.560837431340467</v>
      </c>
    </row>
    <row r="65" spans="1:12" x14ac:dyDescent="0.2">
      <c r="A65" t="str">
        <f>A22</f>
        <v>Transport and storage</v>
      </c>
      <c r="B65" s="40">
        <f>IF(AND(C$5-B$5 &lt;&gt; 0,B22&lt;&gt;0,C22&lt;&gt;0),(EXP(LN(C22/B22)/(C$5-B$5))-1)*100,0)</f>
        <v>4.5134541178282861</v>
      </c>
      <c r="C65" s="44">
        <f t="shared" si="22"/>
        <v>3.1636760335555403</v>
      </c>
      <c r="D65" s="40">
        <f t="shared" si="22"/>
        <v>0.59027724797375836</v>
      </c>
      <c r="E65" s="40">
        <f t="shared" si="22"/>
        <v>1.3446522010851503E-2</v>
      </c>
      <c r="F65" s="44">
        <f t="shared" si="18"/>
        <v>0.20535495618057009</v>
      </c>
      <c r="H65" s="40">
        <f t="shared" si="23"/>
        <v>17.136220648069092</v>
      </c>
      <c r="I65" s="40">
        <f t="shared" si="23"/>
        <v>19.929826139762884</v>
      </c>
      <c r="J65" s="40">
        <f t="shared" si="23"/>
        <v>20.555872035499064</v>
      </c>
      <c r="K65" s="40">
        <f t="shared" si="23"/>
        <v>21.006790780010022</v>
      </c>
      <c r="L65" s="40">
        <f t="shared" si="23"/>
        <v>20.33258562677938</v>
      </c>
    </row>
    <row r="66" spans="1:12" x14ac:dyDescent="0.2">
      <c r="A66" t="str">
        <f>A23</f>
        <v>Accommodation and food</v>
      </c>
      <c r="B66" s="40">
        <f t="shared" si="22"/>
        <v>1.3217324099138228</v>
      </c>
      <c r="C66" s="44">
        <f t="shared" si="22"/>
        <v>-2.7904311703193629</v>
      </c>
      <c r="D66" s="40">
        <f t="shared" si="22"/>
        <v>0.49607057322906822</v>
      </c>
      <c r="E66" s="40">
        <f t="shared" si="22"/>
        <v>1.1758366612512061</v>
      </c>
      <c r="F66" s="44">
        <f t="shared" si="18"/>
        <v>0.94873860508719599</v>
      </c>
      <c r="H66" s="40">
        <f t="shared" si="23"/>
        <v>25.472822784712772</v>
      </c>
      <c r="I66" s="40">
        <f t="shared" si="23"/>
        <v>26.16900204673761</v>
      </c>
      <c r="J66" s="40">
        <f t="shared" si="23"/>
        <v>25.433244385812419</v>
      </c>
      <c r="K66" s="40">
        <f t="shared" si="23"/>
        <v>25.869673551659737</v>
      </c>
      <c r="L66" s="40">
        <f t="shared" si="23"/>
        <v>28.106576941880157</v>
      </c>
    </row>
    <row r="67" spans="1:12" x14ac:dyDescent="0.2">
      <c r="B67" s="40"/>
      <c r="C67" s="44"/>
      <c r="D67" s="40"/>
      <c r="E67" s="40"/>
      <c r="F67" s="44"/>
      <c r="H67" s="40"/>
      <c r="I67" s="40"/>
      <c r="J67" s="40"/>
      <c r="K67" s="40"/>
      <c r="L67" s="40"/>
    </row>
    <row r="68" spans="1:12" s="30" customFormat="1" x14ac:dyDescent="0.2">
      <c r="A68" s="30" t="str">
        <f>A25</f>
        <v>Business and other services</v>
      </c>
      <c r="B68" s="44">
        <f t="shared" ref="B68:E71" si="24">IF(AND(C$5-B$5 &lt;&gt; 0,B25&lt;&gt;0,C25&lt;&gt;0),(EXP(LN(C25/B25)/(C$5-B$5))-1)*100,0)</f>
        <v>-1.137215420830151</v>
      </c>
      <c r="C68" s="44">
        <f t="shared" si="24"/>
        <v>-1.9248128527530217</v>
      </c>
      <c r="D68" s="44">
        <f t="shared" si="24"/>
        <v>3.5303526143648511E-2</v>
      </c>
      <c r="E68" s="44">
        <f t="shared" si="24"/>
        <v>0.48530950304226383</v>
      </c>
      <c r="F68" s="44">
        <f t="shared" si="18"/>
        <v>0.33508303269660367</v>
      </c>
      <c r="H68" s="44">
        <f>(B25/B$40)*100</f>
        <v>23.443827073518889</v>
      </c>
      <c r="I68" s="44">
        <f>(C25/C$40)*100</f>
        <v>22.679625704389167</v>
      </c>
      <c r="J68" s="44">
        <f>(D25/D$40)*100</f>
        <v>22.459002017013081</v>
      </c>
      <c r="K68" s="44">
        <f>(E25/E$40)*100</f>
        <v>22.320409486464047</v>
      </c>
      <c r="L68" s="44">
        <f>(F25/F$40)*100</f>
        <v>22.950902840630043</v>
      </c>
    </row>
    <row r="69" spans="1:12" x14ac:dyDescent="0.2">
      <c r="A69" t="str">
        <f>A26</f>
        <v>Media</v>
      </c>
      <c r="B69" s="40">
        <f t="shared" si="24"/>
        <v>3.9101559789707308</v>
      </c>
      <c r="C69" s="44">
        <f t="shared" si="24"/>
        <v>-3.0789825970548357</v>
      </c>
      <c r="D69" s="40">
        <f t="shared" si="24"/>
        <v>-0.41082018946854149</v>
      </c>
      <c r="E69" s="40">
        <f t="shared" si="24"/>
        <v>0.17832947025335777</v>
      </c>
      <c r="F69" s="44">
        <f t="shared" si="18"/>
        <v>-1.8439989577501148E-2</v>
      </c>
      <c r="H69" s="40">
        <f t="shared" ref="H69:L71" si="25">(B26/B$25)*100</f>
        <v>2.232442272683727</v>
      </c>
      <c r="I69" s="40">
        <f t="shared" si="25"/>
        <v>2.7244627209978818</v>
      </c>
      <c r="J69" s="40">
        <f t="shared" si="25"/>
        <v>2.6924006619438123</v>
      </c>
      <c r="K69" s="40">
        <f t="shared" si="25"/>
        <v>2.6328977652386949</v>
      </c>
      <c r="L69" s="40">
        <f t="shared" si="25"/>
        <v>2.5535602182197579</v>
      </c>
    </row>
    <row r="70" spans="1:12" x14ac:dyDescent="0.2">
      <c r="A70" t="str">
        <f>A27</f>
        <v>Information technology</v>
      </c>
      <c r="B70" s="40">
        <f t="shared" si="24"/>
        <v>-6.6312832508620856</v>
      </c>
      <c r="C70" s="44">
        <f t="shared" si="24"/>
        <v>-13.116522811344232</v>
      </c>
      <c r="D70" s="40">
        <f t="shared" si="24"/>
        <v>1.6677576298734786</v>
      </c>
      <c r="E70" s="40">
        <f t="shared" si="24"/>
        <v>0.9301942012363007</v>
      </c>
      <c r="F70" s="44">
        <f t="shared" si="18"/>
        <v>1.1754522234323828</v>
      </c>
      <c r="H70" s="40">
        <f t="shared" si="25"/>
        <v>7.4359577377686152</v>
      </c>
      <c r="I70" s="40">
        <f t="shared" si="25"/>
        <v>5.9157677824077135</v>
      </c>
      <c r="J70" s="40">
        <f t="shared" si="25"/>
        <v>5.2406983879064981</v>
      </c>
      <c r="K70" s="40">
        <f t="shared" si="25"/>
        <v>5.682493132378073</v>
      </c>
      <c r="L70" s="40">
        <f t="shared" si="25"/>
        <v>5.9391495795644431</v>
      </c>
    </row>
    <row r="71" spans="1:12" x14ac:dyDescent="0.2">
      <c r="A71" t="str">
        <f>A28</f>
        <v>Finance and insurance</v>
      </c>
      <c r="B71" s="40">
        <f t="shared" si="24"/>
        <v>-2.4787231703198298</v>
      </c>
      <c r="C71" s="44">
        <f t="shared" si="24"/>
        <v>-5.8239810986413065</v>
      </c>
      <c r="D71" s="40">
        <f t="shared" si="24"/>
        <v>0.61947256642993498</v>
      </c>
      <c r="E71" s="40">
        <f t="shared" si="24"/>
        <v>-2.5570634369975753E-2</v>
      </c>
      <c r="F71" s="44">
        <f t="shared" si="18"/>
        <v>0.18898298620708687</v>
      </c>
      <c r="H71" s="40">
        <f t="shared" si="25"/>
        <v>8.1519419547588345</v>
      </c>
      <c r="I71" s="40">
        <f t="shared" si="25"/>
        <v>7.7183992413811993</v>
      </c>
      <c r="J71" s="40">
        <f t="shared" si="25"/>
        <v>7.4115393912348253</v>
      </c>
      <c r="K71" s="40">
        <f t="shared" si="25"/>
        <v>7.6304848169871429</v>
      </c>
      <c r="L71" s="40">
        <f t="shared" si="25"/>
        <v>7.2512975587327766</v>
      </c>
    </row>
    <row r="72" spans="1:12" x14ac:dyDescent="0.2">
      <c r="A72" t="str">
        <f t="shared" ref="A72:A76" si="26">A29</f>
        <v>Real estate</v>
      </c>
      <c r="B72" s="40">
        <f t="shared" ref="B72:E72" si="27">IF(AND(C$5-B$5 &lt;&gt; 0,B29&lt;&gt;0,C29&lt;&gt;0),(EXP(LN(C29/B29)/(C$5-B$5))-1)*100,0)</f>
        <v>0.88592832836509317</v>
      </c>
      <c r="C72" s="44">
        <f t="shared" si="27"/>
        <v>-9.9216363394875824</v>
      </c>
      <c r="D72" s="40">
        <f t="shared" si="27"/>
        <v>-5.9049347361639359E-2</v>
      </c>
      <c r="E72" s="40">
        <f t="shared" si="27"/>
        <v>1.4953725084648761</v>
      </c>
      <c r="F72" s="44">
        <f t="shared" si="18"/>
        <v>0.9745640091332497</v>
      </c>
      <c r="H72" s="40">
        <f t="shared" ref="H72:L72" si="28">(B29/B$25)*100</f>
        <v>6.3306244392763498</v>
      </c>
      <c r="I72" s="40">
        <f t="shared" si="28"/>
        <v>6.8649530878156142</v>
      </c>
      <c r="J72" s="40">
        <f t="shared" si="28"/>
        <v>6.3052007214443622</v>
      </c>
      <c r="K72" s="40">
        <f t="shared" si="28"/>
        <v>6.275521568045157</v>
      </c>
      <c r="L72" s="40">
        <f t="shared" si="28"/>
        <v>6.9356393184611367</v>
      </c>
    </row>
    <row r="73" spans="1:12" x14ac:dyDescent="0.2">
      <c r="A73" t="str">
        <f t="shared" si="26"/>
        <v>Professional services</v>
      </c>
      <c r="B73" s="40">
        <f t="shared" ref="B73:E73" si="29">IF(AND(C$5-B$5 &lt;&gt; 0,B30&lt;&gt;0,C30&lt;&gt;0),(EXP(LN(C30/B30)/(C$5-B$5))-1)*100,0)</f>
        <v>-3.3862989297543389</v>
      </c>
      <c r="C73" s="44">
        <f t="shared" si="29"/>
        <v>4.5024661749400785</v>
      </c>
      <c r="D73" s="40">
        <f t="shared" si="29"/>
        <v>0.69773814004050472</v>
      </c>
      <c r="E73" s="40">
        <f t="shared" si="29"/>
        <v>0.67503523870218185</v>
      </c>
      <c r="F73" s="44">
        <f t="shared" si="18"/>
        <v>0.68260230370200681</v>
      </c>
      <c r="H73" s="40">
        <f t="shared" ref="H73:L73" si="30">(B30/B$25)*100</f>
        <v>22.092729537397542</v>
      </c>
      <c r="I73" s="40">
        <f t="shared" si="30"/>
        <v>20.149900157741676</v>
      </c>
      <c r="J73" s="40">
        <f t="shared" si="30"/>
        <v>21.47040776482401</v>
      </c>
      <c r="K73" s="40">
        <f t="shared" si="30"/>
        <v>22.190771400994862</v>
      </c>
      <c r="L73" s="40">
        <f t="shared" si="30"/>
        <v>22.613331918618542</v>
      </c>
    </row>
    <row r="74" spans="1:12" x14ac:dyDescent="0.2">
      <c r="A74" t="str">
        <f t="shared" si="26"/>
        <v>Support services</v>
      </c>
      <c r="B74" s="40">
        <f t="shared" ref="B74:E74" si="31">IF(AND(C$5-B$5 &lt;&gt; 0,B31&lt;&gt;0,C31&lt;&gt;0),(EXP(LN(C31/B31)/(C$5-B$5))-1)*100,0)</f>
        <v>0.59325531625120664</v>
      </c>
      <c r="C74" s="44">
        <f t="shared" si="31"/>
        <v>-2.2771452374334866</v>
      </c>
      <c r="D74" s="40">
        <f t="shared" si="31"/>
        <v>0.47681791790636918</v>
      </c>
      <c r="E74" s="40">
        <f t="shared" si="31"/>
        <v>0.44869381937937547</v>
      </c>
      <c r="F74" s="44">
        <f t="shared" si="18"/>
        <v>0.45806764410025735</v>
      </c>
      <c r="H74" s="40">
        <f>(B31/B$25)*100</f>
        <v>30.632278519602458</v>
      </c>
      <c r="I74" s="40">
        <f t="shared" ref="I74:L74" si="32">(C31/C$25)*100</f>
        <v>32.833970074676444</v>
      </c>
      <c r="J74" s="40">
        <f t="shared" si="32"/>
        <v>32.716014949517529</v>
      </c>
      <c r="K74" s="40">
        <f t="shared" si="32"/>
        <v>33.444390823372167</v>
      </c>
      <c r="L74" s="40">
        <f t="shared" si="32"/>
        <v>33.322722972315773</v>
      </c>
    </row>
    <row r="75" spans="1:12" x14ac:dyDescent="0.2">
      <c r="A75" t="str">
        <f t="shared" si="26"/>
        <v>Arts and entertainment</v>
      </c>
      <c r="B75" s="40">
        <f t="shared" ref="B75:E75" si="33">IF(AND(C$5-B$5 &lt;&gt; 0,B32&lt;&gt;0,C32&lt;&gt;0),(EXP(LN(C32/B32)/(C$5-B$5))-1)*100,0)</f>
        <v>2.6571705667900014</v>
      </c>
      <c r="C75" s="44">
        <f t="shared" si="33"/>
        <v>-6.4585496069999966</v>
      </c>
      <c r="D75" s="40">
        <f t="shared" si="33"/>
        <v>0.45248584706798489</v>
      </c>
      <c r="E75" s="40">
        <f t="shared" si="33"/>
        <v>0.83586396037771404</v>
      </c>
      <c r="F75" s="44">
        <f t="shared" si="18"/>
        <v>0.70790895696333234</v>
      </c>
      <c r="H75" s="40">
        <f t="shared" ref="H75:L75" si="34">(B32/B$25)*100</f>
        <v>10.576881200623653</v>
      </c>
      <c r="I75" s="40">
        <f t="shared" si="34"/>
        <v>12.296554302335135</v>
      </c>
      <c r="J75" s="40">
        <f t="shared" si="34"/>
        <v>11.728119596139873</v>
      </c>
      <c r="K75" s="40">
        <f t="shared" si="34"/>
        <v>11.974719726780021</v>
      </c>
      <c r="L75" s="40">
        <f t="shared" si="34"/>
        <v>12.399091045739508</v>
      </c>
    </row>
    <row r="76" spans="1:12" x14ac:dyDescent="0.2">
      <c r="A76" t="str">
        <f t="shared" si="26"/>
        <v>Other services</v>
      </c>
      <c r="B76" s="40">
        <f t="shared" ref="B76:E76" si="35">IF(AND(C$5-B$5 &lt;&gt; 0,B33&lt;&gt;0,C33&lt;&gt;0),(EXP(LN(C33/B33)/(C$5-B$5))-1)*100,0)</f>
        <v>-3.2762258320439996</v>
      </c>
      <c r="C76" s="44">
        <f t="shared" si="35"/>
        <v>6.091370558375564</v>
      </c>
      <c r="D76" s="40">
        <f t="shared" si="35"/>
        <v>-3.9111312882868177</v>
      </c>
      <c r="E76" s="40">
        <f t="shared" si="35"/>
        <v>-0.75040279581737312</v>
      </c>
      <c r="F76" s="44">
        <f t="shared" si="18"/>
        <v>-1.8153652892971439</v>
      </c>
      <c r="H76" s="40">
        <f t="shared" ref="H76:L76" si="36">(B33/B$25)*100</f>
        <v>12.547144337888824</v>
      </c>
      <c r="I76" s="40">
        <f t="shared" si="36"/>
        <v>11.495992632644349</v>
      </c>
      <c r="J76" s="40">
        <f t="shared" si="36"/>
        <v>12.435618526989094</v>
      </c>
      <c r="K76" s="40">
        <f t="shared" si="36"/>
        <v>10.168720766203888</v>
      </c>
      <c r="L76" s="40">
        <f t="shared" si="36"/>
        <v>8.9852073883480674</v>
      </c>
    </row>
    <row r="77" spans="1:12" x14ac:dyDescent="0.2">
      <c r="B77" s="40"/>
      <c r="C77" s="44"/>
      <c r="D77" s="40"/>
      <c r="E77" s="40"/>
      <c r="F77" s="44">
        <f t="shared" si="18"/>
        <v>0</v>
      </c>
      <c r="H77" s="40"/>
      <c r="I77" s="40"/>
      <c r="J77" s="40"/>
      <c r="K77" s="40"/>
      <c r="L77" s="40"/>
    </row>
    <row r="78" spans="1:12" s="30" customFormat="1" x14ac:dyDescent="0.2">
      <c r="A78" s="30" t="str">
        <f>A35</f>
        <v>Non-marketed services</v>
      </c>
      <c r="B78" s="44">
        <f t="shared" ref="B78:E79" si="37">IF(AND(C$5-B$5 &lt;&gt; 0,B35&lt;&gt;0,C35&lt;&gt;0),(EXP(LN(C35/B35)/(C$5-B$5))-1)*100,0)</f>
        <v>-1.0223192412602278</v>
      </c>
      <c r="C78" s="44">
        <f t="shared" ref="C78:C83" si="38">IF(AND(D$5-C$5 &lt;&gt; 0,C35&lt;&gt;0,D35&lt;&gt;0),(EXP(LN(D35/C35)/(D$5-C$5))-1)*100,0)</f>
        <v>1.8138058024386838</v>
      </c>
      <c r="D78" s="44">
        <f t="shared" si="37"/>
        <v>0.67827019259085741</v>
      </c>
      <c r="E78" s="44">
        <f t="shared" si="37"/>
        <v>0.33856393409021912</v>
      </c>
      <c r="F78" s="44">
        <f t="shared" si="18"/>
        <v>0.45167180345637714</v>
      </c>
      <c r="H78" s="44">
        <f>(B35/B$40)*100</f>
        <v>29.349963549930504</v>
      </c>
      <c r="I78" s="44">
        <f>(C35/C$40)*100</f>
        <v>28.525461407227425</v>
      </c>
      <c r="J78" s="44">
        <f>(D35/D$40)*100</f>
        <v>29.324780863849526</v>
      </c>
      <c r="K78" s="44">
        <f>(E35/E$40)*100</f>
        <v>30.092532174972192</v>
      </c>
      <c r="L78" s="44">
        <f>(F35/F$40)*100</f>
        <v>30.493650284712398</v>
      </c>
    </row>
    <row r="79" spans="1:12" x14ac:dyDescent="0.2">
      <c r="A79" t="str">
        <f>A36</f>
        <v>Public admin. and defence</v>
      </c>
      <c r="B79" s="40">
        <f t="shared" si="37"/>
        <v>0.34817088923981832</v>
      </c>
      <c r="C79" s="44">
        <f t="shared" si="38"/>
        <v>1.9580645161291654</v>
      </c>
      <c r="D79" s="40">
        <f t="shared" si="37"/>
        <v>-0.71375814646629232</v>
      </c>
      <c r="E79" s="40">
        <f t="shared" si="37"/>
        <v>4.9732788263390226E-2</v>
      </c>
      <c r="F79" s="44">
        <f t="shared" si="18"/>
        <v>-0.20541431369721641</v>
      </c>
      <c r="H79" s="40">
        <f>(B36/B$35)*100</f>
        <v>21.270437626104542</v>
      </c>
      <c r="I79" s="40">
        <f t="shared" ref="I79:L81" si="39">(C36/C$35)*100</f>
        <v>22.473213379536325</v>
      </c>
      <c r="J79" s="40">
        <f t="shared" si="39"/>
        <v>22.505055395744954</v>
      </c>
      <c r="K79" s="40">
        <f t="shared" si="39"/>
        <v>20.991657029572128</v>
      </c>
      <c r="L79" s="40">
        <f t="shared" si="39"/>
        <v>20.395165905793728</v>
      </c>
    </row>
    <row r="80" spans="1:12" x14ac:dyDescent="0.2">
      <c r="A80" t="str">
        <f>A37</f>
        <v>Education</v>
      </c>
      <c r="B80" s="40">
        <f t="shared" ref="B80:E81" si="40">IF(AND(C$5-B$5 &lt;&gt; 0,B37&lt;&gt;0,C37&lt;&gt;0),(EXP(LN(C37/B37)/(C$5-B$5))-1)*100,0)</f>
        <v>6.2119898712498234E-2</v>
      </c>
      <c r="C80" s="44">
        <f t="shared" si="38"/>
        <v>-3.015472055573154</v>
      </c>
      <c r="D80" s="40">
        <f t="shared" si="40"/>
        <v>1.1961289798420927</v>
      </c>
      <c r="E80" s="40">
        <f t="shared" si="40"/>
        <v>0.32542192574096518</v>
      </c>
      <c r="F80" s="44">
        <f t="shared" si="18"/>
        <v>0.61482200035680723</v>
      </c>
      <c r="H80" s="40">
        <f>(B37/B$35)*100</f>
        <v>30.771585611911235</v>
      </c>
      <c r="I80" s="40">
        <f t="shared" si="39"/>
        <v>32.14249467167361</v>
      </c>
      <c r="J80" s="40">
        <f t="shared" si="39"/>
        <v>30.617897524992166</v>
      </c>
      <c r="K80" s="40">
        <f t="shared" si="39"/>
        <v>31.413486425463944</v>
      </c>
      <c r="L80" s="40">
        <f t="shared" si="39"/>
        <v>31.372366337029021</v>
      </c>
    </row>
    <row r="81" spans="1:12" x14ac:dyDescent="0.2">
      <c r="A81" t="str">
        <f>A38</f>
        <v>Health and social work</v>
      </c>
      <c r="B81" s="40">
        <f>IF(AND(C$5-B$5 &lt;&gt; 0,B38&lt;&gt;0,C38&lt;&gt;0),(EXP(LN(C38/B38)/(C$5-B$5))-1)*100,0)</f>
        <v>-2.3778313708689103</v>
      </c>
      <c r="C81" s="44">
        <f t="shared" si="38"/>
        <v>5.1626094179285431</v>
      </c>
      <c r="D81" s="40">
        <f t="shared" si="40"/>
        <v>0.98472804467388819</v>
      </c>
      <c r="E81" s="40">
        <f t="shared" si="40"/>
        <v>0.47218036731566659</v>
      </c>
      <c r="F81" s="44">
        <f t="shared" si="18"/>
        <v>0.64273989089609351</v>
      </c>
      <c r="H81" s="40">
        <f>(B38/B$35)*100</f>
        <v>47.957976761984234</v>
      </c>
      <c r="I81" s="40">
        <f t="shared" si="39"/>
        <v>45.384291948790064</v>
      </c>
      <c r="J81" s="40">
        <f t="shared" si="39"/>
        <v>46.877047079262887</v>
      </c>
      <c r="K81" s="40">
        <f t="shared" si="39"/>
        <v>47.594856544963918</v>
      </c>
      <c r="L81" s="40">
        <f t="shared" si="39"/>
        <v>48.23246775717724</v>
      </c>
    </row>
    <row r="82" spans="1:12" x14ac:dyDescent="0.2">
      <c r="B82" s="40"/>
      <c r="C82" s="44"/>
      <c r="D82" s="40"/>
      <c r="E82" s="40"/>
      <c r="F82" s="44"/>
      <c r="H82" s="40"/>
      <c r="I82" s="40"/>
      <c r="J82" s="40"/>
      <c r="K82" s="40"/>
      <c r="L82" s="40"/>
    </row>
    <row r="83" spans="1:12" x14ac:dyDescent="0.2">
      <c r="A83" s="24" t="str">
        <f>A40</f>
        <v>All industries</v>
      </c>
      <c r="B83" s="43">
        <f>IF(AND(C$5-B$5 &lt;&gt; 0,B40&lt;&gt;0,C40&lt;&gt;0),(EXP(LN(C40/B40)/(C$5-B$5))-1)*100,0)</f>
        <v>-0.31472867268405036</v>
      </c>
      <c r="C83" s="206">
        <f t="shared" si="38"/>
        <v>-0.96138137827636028</v>
      </c>
      <c r="D83" s="43">
        <f>IF(AND(E$5-D$5 &lt;&gt; 0,D40&lt;&gt;0,E40&lt;&gt;0),(EXP(LN(E40/D40)/(E$5-D$5))-1)*100,0)</f>
        <v>0.15922454414900589</v>
      </c>
      <c r="E83" s="43">
        <f>IF(AND(F$5-E$5 &lt;&gt; 0,E40&lt;&gt;0,F40&lt;&gt;0),(EXP(LN(F40/E40)/(F$5-E$5))-1)*100,0)</f>
        <v>0.20578921188203481</v>
      </c>
      <c r="F83" s="206">
        <f t="shared" si="18"/>
        <v>0.1902652511108327</v>
      </c>
      <c r="G83" s="24"/>
      <c r="H83" s="43">
        <f>(B40/B$40)*100</f>
        <v>100</v>
      </c>
      <c r="I83" s="43">
        <f>(C40/C$40)*100</f>
        <v>100</v>
      </c>
      <c r="J83" s="43">
        <f>(D40/D$40)*100</f>
        <v>100</v>
      </c>
      <c r="K83" s="43">
        <f>(E40/E$40)*100</f>
        <v>100</v>
      </c>
      <c r="L83" s="43">
        <f>(F40/F$40)*100</f>
        <v>100</v>
      </c>
    </row>
    <row r="86" spans="1:12" x14ac:dyDescent="0.2">
      <c r="A86" s="36"/>
      <c r="B86" s="28" t="s">
        <v>15</v>
      </c>
      <c r="C86" s="28"/>
    </row>
    <row r="87" spans="1:12" x14ac:dyDescent="0.2">
      <c r="A87" s="24"/>
      <c r="B87" s="37" t="str">
        <f>B5&amp;"-"&amp;D5</f>
        <v>2015-2020</v>
      </c>
      <c r="C87" s="37" t="str">
        <f>F48</f>
        <v>2020-2035</v>
      </c>
    </row>
    <row r="89" spans="1:12" x14ac:dyDescent="0.2">
      <c r="A89" s="30" t="str">
        <f>A7</f>
        <v>Primary sector and utilities</v>
      </c>
      <c r="B89" s="44">
        <f>IF(AND(D$5-B$5 &lt;&gt; 0,B7&lt;&gt;0,D7&lt;&gt;0),(EXP(LN(D7/B7)/(D$5-B$5))-1)*100,0)</f>
        <v>6.9428190332837092</v>
      </c>
      <c r="C89" s="44">
        <f>IF(AND(F$5-D$5 &lt;&gt; 0,D7&lt;&gt;0,F7&lt;&gt;0),(EXP(LN(F7/D7)/(F$5-D$5))-1)*100,0)</f>
        <v>6.8968468615326906E-2</v>
      </c>
    </row>
    <row r="90" spans="1:12" x14ac:dyDescent="0.2">
      <c r="A90" s="30" t="str">
        <f t="shared" ref="A90:A122" si="41">A8</f>
        <v>Agriculture</v>
      </c>
      <c r="B90" s="44">
        <f t="shared" ref="B90:B122" si="42">IF(AND(D$5-B$5 &lt;&gt; 0,B8&lt;&gt;0,D8&lt;&gt;0),(EXP(LN(D8/B8)/(D$5-B$5))-1)*100,0)</f>
        <v>-5.761569320990767</v>
      </c>
      <c r="C90" s="44">
        <f t="shared" ref="C90:C122" si="43">IF(AND(F$5-D$5 &lt;&gt; 0,D8&lt;&gt;0,F8&lt;&gt;0),(EXP(LN(F8/D8)/(F$5-D$5))-1)*100,0)</f>
        <v>0.41863206905279338</v>
      </c>
    </row>
    <row r="91" spans="1:12" x14ac:dyDescent="0.2">
      <c r="A91" s="30" t="str">
        <f t="shared" si="41"/>
        <v>Mining and quarrying</v>
      </c>
      <c r="B91" s="44">
        <f t="shared" si="42"/>
        <v>12.513186170685199</v>
      </c>
      <c r="C91" s="44">
        <f t="shared" si="43"/>
        <v>-1.5936148180109688</v>
      </c>
    </row>
    <row r="92" spans="1:12" x14ac:dyDescent="0.2">
      <c r="A92" s="30" t="str">
        <f t="shared" si="41"/>
        <v>Electricity and gas</v>
      </c>
      <c r="B92" s="44">
        <f t="shared" si="42"/>
        <v>16.357624389764737</v>
      </c>
      <c r="C92" s="44">
        <f t="shared" si="43"/>
        <v>4.6770741458757037E-2</v>
      </c>
    </row>
    <row r="93" spans="1:12" x14ac:dyDescent="0.2">
      <c r="A93" s="30" t="str">
        <f t="shared" si="41"/>
        <v>Water and sewerage</v>
      </c>
      <c r="B93" s="44">
        <f t="shared" si="42"/>
        <v>4.5094265216973239</v>
      </c>
      <c r="C93" s="44">
        <f t="shared" si="43"/>
        <v>0.10834068684364428</v>
      </c>
    </row>
    <row r="94" spans="1:12" x14ac:dyDescent="0.2">
      <c r="A94" s="30"/>
      <c r="B94" s="44"/>
      <c r="C94" s="44"/>
    </row>
    <row r="95" spans="1:12" x14ac:dyDescent="0.2">
      <c r="A95" s="30" t="str">
        <f t="shared" si="41"/>
        <v>Manufacturing</v>
      </c>
      <c r="B95" s="44">
        <f t="shared" si="42"/>
        <v>-2.9356597593099942</v>
      </c>
      <c r="C95" s="44">
        <f t="shared" si="43"/>
        <v>-0.77856367999591392</v>
      </c>
    </row>
    <row r="96" spans="1:12" x14ac:dyDescent="0.2">
      <c r="A96" s="30" t="str">
        <f t="shared" si="41"/>
        <v>Food drink and tobacco</v>
      </c>
      <c r="B96" s="44">
        <f t="shared" si="42"/>
        <v>1.8275403697670001</v>
      </c>
      <c r="C96" s="44">
        <f t="shared" si="43"/>
        <v>-0.14461330577412168</v>
      </c>
    </row>
    <row r="97" spans="1:3" x14ac:dyDescent="0.2">
      <c r="A97" s="30" t="str">
        <f t="shared" si="41"/>
        <v>Engineering</v>
      </c>
      <c r="B97" s="44">
        <f t="shared" si="42"/>
        <v>-2.3571353240735005</v>
      </c>
      <c r="C97" s="44">
        <f t="shared" si="43"/>
        <v>-0.58412201020501264</v>
      </c>
    </row>
    <row r="98" spans="1:3" x14ac:dyDescent="0.2">
      <c r="A98" s="30" t="str">
        <f t="shared" si="41"/>
        <v>Rest of manufacturing</v>
      </c>
      <c r="B98" s="44">
        <f t="shared" si="42"/>
        <v>-3.5225917625843151</v>
      </c>
      <c r="C98" s="44">
        <f t="shared" si="43"/>
        <v>-0.90255666362821785</v>
      </c>
    </row>
    <row r="99" spans="1:3" x14ac:dyDescent="0.2">
      <c r="A99" s="30"/>
      <c r="B99" s="44"/>
      <c r="C99" s="44"/>
    </row>
    <row r="100" spans="1:3" x14ac:dyDescent="0.2">
      <c r="A100" s="30" t="str">
        <f t="shared" si="41"/>
        <v>Construction</v>
      </c>
      <c r="B100" s="44">
        <f t="shared" si="42"/>
        <v>1.2656848581371394</v>
      </c>
      <c r="C100" s="44">
        <f t="shared" si="43"/>
        <v>-0.26734421291025878</v>
      </c>
    </row>
    <row r="101" spans="1:3" x14ac:dyDescent="0.2">
      <c r="A101" s="30"/>
      <c r="B101" s="44"/>
      <c r="C101" s="44"/>
    </row>
    <row r="102" spans="1:3" x14ac:dyDescent="0.2">
      <c r="A102" s="30" t="str">
        <f t="shared" si="41"/>
        <v>Trade, accomod. and transport</v>
      </c>
      <c r="B102" s="44">
        <f t="shared" si="42"/>
        <v>0.51686864742230831</v>
      </c>
      <c r="C102" s="44">
        <f t="shared" si="43"/>
        <v>0.27834332595311206</v>
      </c>
    </row>
    <row r="103" spans="1:3" x14ac:dyDescent="0.2">
      <c r="A103" s="30" t="str">
        <f t="shared" si="41"/>
        <v>Wholesale and retail trade</v>
      </c>
      <c r="B103" s="44">
        <f t="shared" si="42"/>
        <v>-0.69605210709524634</v>
      </c>
      <c r="C103" s="44">
        <f t="shared" si="43"/>
        <v>-3.1526055855657376E-2</v>
      </c>
    </row>
    <row r="104" spans="1:3" x14ac:dyDescent="0.2">
      <c r="A104" s="30" t="str">
        <f t="shared" si="41"/>
        <v>Transport and storage</v>
      </c>
      <c r="B104" s="44">
        <f t="shared" si="42"/>
        <v>4.2420930187336614</v>
      </c>
      <c r="C104" s="44">
        <f t="shared" si="43"/>
        <v>0.20535495618057009</v>
      </c>
    </row>
    <row r="105" spans="1:3" x14ac:dyDescent="0.2">
      <c r="A105" s="30" t="str">
        <f t="shared" si="41"/>
        <v>Accommodation and food</v>
      </c>
      <c r="B105" s="44">
        <f t="shared" si="42"/>
        <v>0.4856135990428001</v>
      </c>
      <c r="C105" s="44">
        <f t="shared" si="43"/>
        <v>0.94873860508719599</v>
      </c>
    </row>
    <row r="106" spans="1:3" x14ac:dyDescent="0.2">
      <c r="A106" s="30"/>
      <c r="B106" s="44"/>
      <c r="C106" s="44"/>
    </row>
    <row r="107" spans="1:3" x14ac:dyDescent="0.2">
      <c r="A107" s="30" t="str">
        <f t="shared" si="41"/>
        <v>Business and other services</v>
      </c>
      <c r="B107" s="44">
        <f t="shared" si="42"/>
        <v>-1.2952392760916642</v>
      </c>
      <c r="C107" s="44">
        <f t="shared" si="43"/>
        <v>0.33508303269660367</v>
      </c>
    </row>
    <row r="108" spans="1:3" x14ac:dyDescent="0.2">
      <c r="A108" s="30" t="str">
        <f t="shared" si="41"/>
        <v>Media</v>
      </c>
      <c r="B108" s="44">
        <f t="shared" si="42"/>
        <v>2.473127289150967</v>
      </c>
      <c r="C108" s="44">
        <f t="shared" si="43"/>
        <v>-1.8439989577501148E-2</v>
      </c>
    </row>
    <row r="109" spans="1:3" x14ac:dyDescent="0.2">
      <c r="A109" s="30" t="str">
        <f t="shared" si="41"/>
        <v>Information technology</v>
      </c>
      <c r="B109" s="44">
        <f t="shared" si="42"/>
        <v>-7.9659464170241057</v>
      </c>
      <c r="C109" s="44">
        <f t="shared" si="43"/>
        <v>1.1754522234323828</v>
      </c>
    </row>
    <row r="110" spans="1:3" x14ac:dyDescent="0.2">
      <c r="A110" s="30" t="str">
        <f t="shared" si="41"/>
        <v>Finance and insurance</v>
      </c>
      <c r="B110" s="44">
        <f t="shared" si="42"/>
        <v>-3.1571485087396822</v>
      </c>
      <c r="C110" s="44">
        <f t="shared" si="43"/>
        <v>0.18898298620708687</v>
      </c>
    </row>
    <row r="111" spans="1:3" x14ac:dyDescent="0.2">
      <c r="A111" s="30" t="str">
        <f t="shared" si="41"/>
        <v>Real estate</v>
      </c>
      <c r="B111" s="44">
        <f t="shared" si="42"/>
        <v>-1.3746463837722933</v>
      </c>
      <c r="C111" s="44">
        <f t="shared" si="43"/>
        <v>0.9745640091332497</v>
      </c>
    </row>
    <row r="112" spans="1:3" x14ac:dyDescent="0.2">
      <c r="A112" s="30" t="str">
        <f t="shared" si="41"/>
        <v>Professional services</v>
      </c>
      <c r="B112" s="44">
        <f t="shared" si="42"/>
        <v>-1.8576882983515675</v>
      </c>
      <c r="C112" s="44">
        <f t="shared" si="43"/>
        <v>0.68260230370200681</v>
      </c>
    </row>
    <row r="113" spans="1:3" x14ac:dyDescent="0.2">
      <c r="A113" s="30" t="str">
        <f t="shared" si="41"/>
        <v>Support services</v>
      </c>
      <c r="B113" s="44">
        <f t="shared" si="42"/>
        <v>1.250824446137333E-2</v>
      </c>
      <c r="C113" s="44">
        <f t="shared" si="43"/>
        <v>0.45806764410025735</v>
      </c>
    </row>
    <row r="114" spans="1:3" x14ac:dyDescent="0.2">
      <c r="A114" s="30" t="str">
        <f t="shared" si="41"/>
        <v>Arts and entertainment</v>
      </c>
      <c r="B114" s="44">
        <f t="shared" si="42"/>
        <v>0.76558996799549472</v>
      </c>
      <c r="C114" s="44">
        <f t="shared" si="43"/>
        <v>0.70790895696333234</v>
      </c>
    </row>
    <row r="115" spans="1:3" x14ac:dyDescent="0.2">
      <c r="A115" s="30" t="str">
        <f t="shared" si="41"/>
        <v>Other services</v>
      </c>
      <c r="B115" s="44">
        <f t="shared" si="42"/>
        <v>-1.4713347556971401</v>
      </c>
      <c r="C115" s="44">
        <f t="shared" si="43"/>
        <v>-1.8153652892971439</v>
      </c>
    </row>
    <row r="116" spans="1:3" x14ac:dyDescent="0.2">
      <c r="A116" s="30"/>
      <c r="B116" s="44"/>
      <c r="C116" s="44"/>
    </row>
    <row r="117" spans="1:3" x14ac:dyDescent="0.2">
      <c r="A117" s="30" t="str">
        <f t="shared" si="41"/>
        <v>Non-marketed services</v>
      </c>
      <c r="B117" s="44">
        <f t="shared" si="42"/>
        <v>-0.46148600098521175</v>
      </c>
      <c r="C117" s="44">
        <f t="shared" si="43"/>
        <v>0.45167180345637714</v>
      </c>
    </row>
    <row r="118" spans="1:3" x14ac:dyDescent="0.2">
      <c r="A118" s="30" t="str">
        <f t="shared" si="41"/>
        <v>Public admin. and defence</v>
      </c>
      <c r="B118" s="44">
        <f t="shared" si="42"/>
        <v>0.66810307094815613</v>
      </c>
      <c r="C118" s="44">
        <f t="shared" si="43"/>
        <v>-0.20541431369721641</v>
      </c>
    </row>
    <row r="119" spans="1:3" x14ac:dyDescent="0.2">
      <c r="A119" s="30" t="str">
        <f t="shared" si="41"/>
        <v>Education</v>
      </c>
      <c r="B119" s="44">
        <f t="shared" si="42"/>
        <v>-0.56111387121730028</v>
      </c>
      <c r="C119" s="44">
        <f t="shared" si="43"/>
        <v>0.61482200035680723</v>
      </c>
    </row>
    <row r="120" spans="1:3" x14ac:dyDescent="0.2">
      <c r="A120" s="30" t="str">
        <f t="shared" si="41"/>
        <v>Health and social work</v>
      </c>
      <c r="B120" s="44">
        <f t="shared" si="42"/>
        <v>-0.91428864386136066</v>
      </c>
      <c r="C120" s="44">
        <f t="shared" si="43"/>
        <v>0.64273989089609351</v>
      </c>
    </row>
    <row r="121" spans="1:3" x14ac:dyDescent="0.2">
      <c r="A121" s="30"/>
      <c r="B121" s="44"/>
      <c r="C121" s="44"/>
    </row>
    <row r="122" spans="1:3" x14ac:dyDescent="0.2">
      <c r="A122" s="347" t="str">
        <f t="shared" si="41"/>
        <v>All industries</v>
      </c>
      <c r="B122" s="206">
        <f t="shared" si="42"/>
        <v>-0.44439610986766187</v>
      </c>
      <c r="C122" s="206">
        <f t="shared" si="43"/>
        <v>0.1902652511108327</v>
      </c>
    </row>
  </sheetData>
  <phoneticPr fontId="4" type="noConversion"/>
  <pageMargins left="0.75" right="0.75" top="1" bottom="1" header="0.5" footer="0.5"/>
  <pageSetup paperSize="9" scale="83" orientation="landscape" r:id="rId1"/>
  <headerFooter alignWithMargins="0"/>
  <rowBreaks count="2" manualBreakCount="2">
    <brk id="43" max="11" man="1"/>
    <brk id="84" max="11" man="1"/>
  </rowBreaks>
  <ignoredErrors>
    <ignoredError sqref="I6 I39" formula="1"/>
  </ignoredErrors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60"/>
  <dimension ref="A1:Q577"/>
  <sheetViews>
    <sheetView showGridLines="0" zoomScale="85" zoomScaleNormal="85" workbookViewId="0"/>
  </sheetViews>
  <sheetFormatPr defaultColWidth="9.140625" defaultRowHeight="12.75" x14ac:dyDescent="0.2"/>
  <cols>
    <col min="1" max="1" width="22.140625" style="282" customWidth="1"/>
    <col min="2" max="2" width="9.140625" style="283"/>
    <col min="3" max="3" width="9.28515625" style="282" customWidth="1"/>
    <col min="4" max="4" width="9.140625" style="283"/>
    <col min="5" max="5" width="9.28515625" style="282" customWidth="1"/>
    <col min="6" max="6" width="9.140625" style="283"/>
    <col min="7" max="7" width="9.28515625" style="282" customWidth="1"/>
    <col min="8" max="8" width="9.140625" style="283"/>
    <col min="9" max="9" width="9.28515625" style="282" customWidth="1"/>
    <col min="10" max="10" width="5.5703125" style="282" customWidth="1"/>
    <col min="11" max="14" width="9.28515625" style="283" customWidth="1"/>
    <col min="15" max="16384" width="9.140625" style="282"/>
  </cols>
  <sheetData>
    <row r="1" spans="1:17" ht="15.75" x14ac:dyDescent="0.25">
      <c r="A1" s="19" t="str">
        <f>CONCATENATE("Industry Table 5  Employment status by Industry (SIC 2007) and Gender, ",A$8,"-",A$18,", ",Info!B5)</f>
        <v>Industry Table 5  Employment status by Industry (SIC 2007) and Gender, 2020-2035, North East</v>
      </c>
    </row>
    <row r="2" spans="1:17" x14ac:dyDescent="0.2">
      <c r="A2" s="1" t="s">
        <v>514</v>
      </c>
    </row>
    <row r="5" spans="1:17" x14ac:dyDescent="0.2">
      <c r="A5" s="288"/>
      <c r="B5" s="289" t="s">
        <v>372</v>
      </c>
      <c r="C5" s="288"/>
      <c r="D5" s="289"/>
      <c r="E5" s="288"/>
      <c r="F5" s="289" t="str">
        <f>name!B3</f>
        <v>All industries</v>
      </c>
      <c r="G5" s="288"/>
      <c r="H5" s="291"/>
      <c r="I5" s="288"/>
      <c r="J5" s="290"/>
      <c r="K5" s="291"/>
      <c r="L5" s="291"/>
      <c r="M5" s="291"/>
      <c r="N5" s="291"/>
    </row>
    <row r="6" spans="1:17" x14ac:dyDescent="0.2">
      <c r="N6" s="287" t="s">
        <v>370</v>
      </c>
    </row>
    <row r="7" spans="1:17" x14ac:dyDescent="0.2">
      <c r="A7" s="296" t="s">
        <v>371</v>
      </c>
      <c r="B7" s="373" t="s">
        <v>369</v>
      </c>
      <c r="C7" s="373"/>
      <c r="D7" s="373" t="s">
        <v>368</v>
      </c>
      <c r="E7" s="373"/>
      <c r="F7" s="373" t="s">
        <v>367</v>
      </c>
      <c r="G7" s="373"/>
      <c r="H7" s="373" t="s">
        <v>33</v>
      </c>
      <c r="I7" s="373"/>
      <c r="J7" s="296"/>
      <c r="K7" s="297" t="s">
        <v>345</v>
      </c>
      <c r="L7" s="297" t="s">
        <v>347</v>
      </c>
      <c r="M7" s="297" t="s">
        <v>343</v>
      </c>
      <c r="N7" s="297" t="s">
        <v>33</v>
      </c>
    </row>
    <row r="8" spans="1:17" x14ac:dyDescent="0.2">
      <c r="A8" s="286">
        <f>'Ind T6'!L5</f>
        <v>2020</v>
      </c>
      <c r="B8" s="287" t="s">
        <v>66</v>
      </c>
      <c r="C8" s="20" t="s">
        <v>366</v>
      </c>
      <c r="D8" s="287" t="s">
        <v>66</v>
      </c>
      <c r="E8" s="20" t="s">
        <v>366</v>
      </c>
      <c r="F8" s="287" t="s">
        <v>66</v>
      </c>
      <c r="G8" s="20" t="s">
        <v>366</v>
      </c>
      <c r="H8" s="287" t="s">
        <v>66</v>
      </c>
      <c r="I8" s="20" t="s">
        <v>366</v>
      </c>
      <c r="J8" s="182"/>
      <c r="K8" s="286" t="str">
        <f>CONCATENATE(A8," - ",A13)</f>
        <v>2020 - 2025</v>
      </c>
      <c r="L8" s="285"/>
      <c r="M8" s="285"/>
    </row>
    <row r="9" spans="1:17" x14ac:dyDescent="0.2">
      <c r="A9" s="282" t="s">
        <v>364</v>
      </c>
      <c r="B9" s="249">
        <f>SUM(B30,B51,B72,B93,B114,B135,B156,B177,B198,B219,B240,B261,B282,B303,B324,B345,B366,B387,B408,B429,B450,B471)</f>
        <v>180.92781271978501</v>
      </c>
      <c r="C9" s="299" t="str">
        <f>CONCATENATE("(",ROUND((B9/$H11)*100,1),")")</f>
        <v>(37.8)</v>
      </c>
      <c r="D9" s="249">
        <f>SUM(D30,D51,D72,D93,D114,D135,D156,D177,D198,D219,D240,D261,D282,D303,D324,D345,D366,D387,D408,D429,D450,D471)</f>
        <v>37.12564242817821</v>
      </c>
      <c r="E9" s="299" t="str">
        <f>CONCATENATE("(",ROUND((D9/$H11)*100,1),")")</f>
        <v>(7.8)</v>
      </c>
      <c r="F9" s="249">
        <f>SUM(F30,F51,F72,F93,F114,F135,F156,F177,F198,F219,F240,F261,F282,F303,F324,F345,F366,F387,F408,F429,F450,F471)</f>
        <v>27.977248967081938</v>
      </c>
      <c r="G9" s="299" t="str">
        <f>CONCATENATE("(",ROUND((F9/$H11)*100,1),")")</f>
        <v>(5.8)</v>
      </c>
      <c r="H9" s="249">
        <f>SUM(H30,H51,H72,H93,H114,H135,H156,H177,H198,H219,H240,H261,H282,H303,H324,H345,H366,H387,H408,H429,H450,H471)</f>
        <v>246.03070411504515</v>
      </c>
      <c r="I9" s="299" t="str">
        <f>CONCATENATE("(",ROUND((H9/$H11)*100,1),")")</f>
        <v>(51.4)</v>
      </c>
      <c r="K9" s="249">
        <f>B14-B9</f>
        <v>-0.57416720176368585</v>
      </c>
      <c r="L9" s="249">
        <f>D14-D9</f>
        <v>0.61304678720452443</v>
      </c>
      <c r="M9" s="249">
        <f>F14-F9</f>
        <v>0.28280014929651287</v>
      </c>
      <c r="N9" s="249">
        <f>SUM(K9:M9)</f>
        <v>0.32167973473735145</v>
      </c>
      <c r="O9" s="298"/>
      <c r="P9" s="298"/>
      <c r="Q9" s="298"/>
    </row>
    <row r="10" spans="1:17" x14ac:dyDescent="0.2">
      <c r="A10" s="282" t="s">
        <v>365</v>
      </c>
      <c r="B10" s="249">
        <f t="shared" ref="B10:B21" si="0">SUM(B31,B52,B73,B94,B115,B136,B157,B178,B199,B220,B241,B262,B283,B304,B325,B346,B367,B388,B409,B430,B451,B472)</f>
        <v>112.60817995128832</v>
      </c>
      <c r="C10" s="299" t="str">
        <f>CONCATENATE("(",ROUND((B10/$H11)*100,1),")")</f>
        <v>(23.5)</v>
      </c>
      <c r="D10" s="249">
        <f t="shared" ref="D10" si="1">SUM(D31,D52,D73,D94,D115,D136,D157,D178,D199,D220,D241,D262,D283,D304,D325,D346,D367,D388,D409,D430,D451,D472)</f>
        <v>100.54422176326085</v>
      </c>
      <c r="E10" s="299" t="str">
        <f>CONCATENATE("(",ROUND((D10/$H11)*100,1),")")</f>
        <v>(21)</v>
      </c>
      <c r="F10" s="249">
        <f t="shared" ref="F10" si="2">SUM(F31,F52,F73,F94,F115,F136,F157,F178,F199,F220,F241,F262,F283,F304,F325,F346,F367,F388,F409,F430,F451,F472)</f>
        <v>19.742894170405823</v>
      </c>
      <c r="G10" s="299" t="str">
        <f>CONCATENATE("(",ROUND((F10/$H11)*100,1),")")</f>
        <v>(4.1)</v>
      </c>
      <c r="H10" s="249">
        <f t="shared" ref="H10" si="3">SUM(H31,H52,H73,H94,H115,H136,H157,H178,H199,H220,H241,H262,H283,H304,H325,H346,H367,H388,H409,H430,H451,H472)</f>
        <v>232.89529588495498</v>
      </c>
      <c r="I10" s="299" t="str">
        <f>CONCATENATE("(",ROUND((H10/$H11)*100,1),")")</f>
        <v>(48.6)</v>
      </c>
      <c r="K10" s="249">
        <f t="shared" ref="K10:K11" si="4">B15-B10</f>
        <v>4.0632960340763589</v>
      </c>
      <c r="L10" s="249">
        <f t="shared" ref="L10:L11" si="5">D15-D10</f>
        <v>-0.10789073671215021</v>
      </c>
      <c r="M10" s="249">
        <f t="shared" ref="M10:M11" si="6">F15-F10</f>
        <v>-0.45208503210183082</v>
      </c>
      <c r="N10" s="249">
        <f t="shared" ref="N10:N11" si="7">SUM(K10:M10)</f>
        <v>3.5033202652623778</v>
      </c>
      <c r="O10" s="298"/>
      <c r="P10" s="298"/>
      <c r="Q10" s="298"/>
    </row>
    <row r="11" spans="1:17" x14ac:dyDescent="0.2">
      <c r="A11" s="282" t="s">
        <v>363</v>
      </c>
      <c r="B11" s="249">
        <f t="shared" si="0"/>
        <v>293.53599267107325</v>
      </c>
      <c r="C11" s="299" t="str">
        <f>CONCATENATE("(",ROUND((B11/$H11)*100,1),")")</f>
        <v>(61.3)</v>
      </c>
      <c r="D11" s="249">
        <f t="shared" ref="D11" si="8">SUM(D32,D53,D74,D95,D116,D137,D158,D179,D200,D221,D242,D263,D284,D305,D326,D347,D368,D389,D410,D431,D452,D473)</f>
        <v>137.66986419143905</v>
      </c>
      <c r="E11" s="299" t="str">
        <f>CONCATENATE("(",ROUND((D11/$H11)*100,1),")")</f>
        <v>(28.7)</v>
      </c>
      <c r="F11" s="249">
        <f t="shared" ref="F11" si="9">SUM(F32,F53,F74,F95,F116,F137,F158,F179,F200,F221,F242,F263,F284,F305,F326,F347,F368,F389,F410,F431,F452,F473)</f>
        <v>47.72014313748776</v>
      </c>
      <c r="G11" s="299" t="str">
        <f>CONCATENATE("(",ROUND((F11/$H11)*100,1),")")</f>
        <v>(10)</v>
      </c>
      <c r="H11" s="249">
        <f t="shared" ref="H11" si="10">SUM(H32,H53,H74,H95,H116,H137,H158,H179,H200,H221,H242,H263,H284,H305,H326,H347,H368,H389,H410,H431,H452,H473)</f>
        <v>478.92600000000022</v>
      </c>
      <c r="I11" s="299" t="str">
        <f>CONCATENATE("(",ROUND((H11/$H11)*100,1),")")</f>
        <v>(100)</v>
      </c>
      <c r="K11" s="249">
        <f t="shared" si="4"/>
        <v>3.4891288323127014</v>
      </c>
      <c r="L11" s="249">
        <f t="shared" si="5"/>
        <v>0.50515605049236001</v>
      </c>
      <c r="M11" s="249">
        <f t="shared" si="6"/>
        <v>-0.1692848828053144</v>
      </c>
      <c r="N11" s="249">
        <f t="shared" si="7"/>
        <v>3.824999999999747</v>
      </c>
      <c r="O11" s="298"/>
      <c r="P11" s="298"/>
      <c r="Q11" s="298"/>
    </row>
    <row r="12" spans="1:17" x14ac:dyDescent="0.2">
      <c r="B12" s="249"/>
      <c r="C12" s="284"/>
      <c r="D12" s="249"/>
      <c r="E12" s="284"/>
      <c r="F12" s="249"/>
      <c r="G12" s="284"/>
      <c r="H12" s="249"/>
      <c r="I12" s="284"/>
    </row>
    <row r="13" spans="1:17" x14ac:dyDescent="0.2">
      <c r="A13" s="286">
        <f>'Ind T6'!Q5</f>
        <v>2025</v>
      </c>
      <c r="B13" s="249"/>
      <c r="C13" s="284"/>
      <c r="D13" s="249"/>
      <c r="E13" s="284"/>
      <c r="F13" s="249"/>
      <c r="G13" s="284"/>
      <c r="H13" s="249"/>
      <c r="I13" s="284"/>
      <c r="K13" s="286" t="str">
        <f>CONCATENATE(A13," - ",A18)</f>
        <v>2025 - 2035</v>
      </c>
    </row>
    <row r="14" spans="1:17" x14ac:dyDescent="0.2">
      <c r="A14" s="282" t="s">
        <v>364</v>
      </c>
      <c r="B14" s="249">
        <f>SUM(B35,B56,B77,B98,B119,B140,B161,B182,B203,B224,B245,B266,B287,B308,B329,B350,B371,B392,B413,B434,B455,B476)</f>
        <v>180.35364551802132</v>
      </c>
      <c r="C14" s="299" t="str">
        <f>CONCATENATE("(",ROUND((B14/$H16)*100,1),")")</f>
        <v>(37.4)</v>
      </c>
      <c r="D14" s="249">
        <f t="shared" ref="D14" si="11">SUM(D35,D56,D77,D98,D119,D140,D161,D182,D203,D224,D245,D266,D287,D308,D329,D350,D371,D392,D413,D434,D455,D476)</f>
        <v>37.738689215382735</v>
      </c>
      <c r="E14" s="299" t="str">
        <f>CONCATENATE("(",ROUND((D14/$H16)*100,1),")")</f>
        <v>(7.8)</v>
      </c>
      <c r="F14" s="249">
        <f t="shared" ref="F14" si="12">SUM(F35,F56,F77,F98,F119,F140,F161,F182,F203,F224,F245,F266,F287,F308,F329,F350,F371,F392,F413,F434,F455,F476)</f>
        <v>28.26004911637845</v>
      </c>
      <c r="G14" s="299" t="str">
        <f>CONCATENATE("(",ROUND((F14/$H16)*100,1),")")</f>
        <v>(5.9)</v>
      </c>
      <c r="H14" s="249">
        <f t="shared" ref="H14" si="13">SUM(H35,H56,H77,H98,H119,H140,H161,H182,H203,H224,H245,H266,H287,H308,H329,H350,H371,H392,H413,H434,H455,H476)</f>
        <v>246.35238384978246</v>
      </c>
      <c r="I14" s="299" t="str">
        <f>CONCATENATE("(",ROUND((H14/$H16)*100,1),")")</f>
        <v>(51)</v>
      </c>
      <c r="K14" s="249">
        <f>B19-B14</f>
        <v>-1.0552136144435451</v>
      </c>
      <c r="L14" s="249">
        <f>D19-D14</f>
        <v>2.0713650301613526</v>
      </c>
      <c r="M14" s="249">
        <f>F19-F14</f>
        <v>1.2043700380429634</v>
      </c>
      <c r="N14" s="249">
        <f>SUM(K14:M14)</f>
        <v>2.2205214537607709</v>
      </c>
    </row>
    <row r="15" spans="1:17" x14ac:dyDescent="0.2">
      <c r="A15" s="282" t="s">
        <v>365</v>
      </c>
      <c r="B15" s="249">
        <f t="shared" si="0"/>
        <v>116.67147598536468</v>
      </c>
      <c r="C15" s="299" t="str">
        <f>CONCATENATE("(",ROUND((B15/$H16)*100,1),")")</f>
        <v>(24.2)</v>
      </c>
      <c r="D15" s="249">
        <f t="shared" ref="D15" si="14">SUM(D36,D57,D78,D99,D120,D141,D162,D183,D204,D225,D246,D267,D288,D309,D330,D351,D372,D393,D414,D435,D456,D477)</f>
        <v>100.4363310265487</v>
      </c>
      <c r="E15" s="299" t="str">
        <f>CONCATENATE("(",ROUND((D15/$H16)*100,1),")")</f>
        <v>(20.8)</v>
      </c>
      <c r="F15" s="249">
        <f t="shared" ref="F15" si="15">SUM(F36,F57,F78,F99,F120,F141,F162,F183,F204,F225,F246,F267,F288,F309,F330,F351,F372,F393,F414,F435,F456,F477)</f>
        <v>19.290809138303992</v>
      </c>
      <c r="G15" s="299" t="str">
        <f>CONCATENATE("(",ROUND((F15/$H16)*100,1),")")</f>
        <v>(4)</v>
      </c>
      <c r="H15" s="249">
        <f t="shared" ref="H15" si="16">SUM(H36,H57,H78,H99,H120,H141,H162,H183,H204,H225,H246,H267,H288,H309,H330,H351,H372,H393,H414,H435,H456,H477)</f>
        <v>236.39861615021732</v>
      </c>
      <c r="I15" s="299" t="str">
        <f>CONCATENATE("(",ROUND((H15/$H16)*100,1),")")</f>
        <v>(49)</v>
      </c>
      <c r="K15" s="249">
        <f t="shared" ref="K15:K16" si="17">B20-B15</f>
        <v>7.25356871722569</v>
      </c>
      <c r="L15" s="249">
        <f t="shared" ref="L15:L16" si="18">D20-D15</f>
        <v>-0.16145431203825922</v>
      </c>
      <c r="M15" s="249">
        <f t="shared" ref="M15:M16" si="19">F20-F15</f>
        <v>0.7143641410519237</v>
      </c>
      <c r="N15" s="249">
        <f t="shared" ref="N15:N16" si="20">SUM(K15:M15)</f>
        <v>7.8064785462393544</v>
      </c>
    </row>
    <row r="16" spans="1:17" x14ac:dyDescent="0.2">
      <c r="A16" s="282" t="s">
        <v>363</v>
      </c>
      <c r="B16" s="249">
        <f t="shared" si="0"/>
        <v>297.02512150338595</v>
      </c>
      <c r="C16" s="299" t="str">
        <f>CONCATENATE("(",ROUND((B16/$H16)*100,1),")")</f>
        <v>(61.5)</v>
      </c>
      <c r="D16" s="249">
        <f t="shared" ref="D16" si="21">SUM(D37,D58,D79,D100,D121,D142,D163,D184,D205,D226,D247,D268,D289,D310,D331,D352,D373,D394,D415,D436,D457,D478)</f>
        <v>138.17502024193141</v>
      </c>
      <c r="E16" s="299" t="str">
        <f>CONCATENATE("(",ROUND((D16/$H16)*100,1),")")</f>
        <v>(28.6)</v>
      </c>
      <c r="F16" s="249">
        <f t="shared" ref="F16" si="22">SUM(F37,F58,F79,F100,F121,F142,F163,F184,F205,F226,F247,F268,F289,F310,F331,F352,F373,F394,F415,F436,F457,F478)</f>
        <v>47.550858254682446</v>
      </c>
      <c r="G16" s="299" t="str">
        <f>CONCATENATE("(",ROUND((F16/$H16)*100,1),")")</f>
        <v>(9.8)</v>
      </c>
      <c r="H16" s="249">
        <f t="shared" ref="H16" si="23">SUM(H37,H58,H79,H100,H121,H142,H163,H184,H205,H226,H247,H268,H289,H310,H331,H352,H373,H394,H415,H436,H457,H478)</f>
        <v>482.75099999999975</v>
      </c>
      <c r="I16" s="299" t="str">
        <f>CONCATENATE("(",ROUND((H16/$H16)*100,1),")")</f>
        <v>(100)</v>
      </c>
      <c r="K16" s="249">
        <f t="shared" si="17"/>
        <v>6.1983551027822159</v>
      </c>
      <c r="L16" s="249">
        <f t="shared" si="18"/>
        <v>1.9099107181231147</v>
      </c>
      <c r="M16" s="249">
        <f t="shared" si="19"/>
        <v>1.9187341790948906</v>
      </c>
      <c r="N16" s="249">
        <f t="shared" si="20"/>
        <v>10.027000000000221</v>
      </c>
    </row>
    <row r="17" spans="1:14" x14ac:dyDescent="0.2">
      <c r="B17" s="249"/>
      <c r="C17" s="284"/>
      <c r="D17" s="249"/>
      <c r="E17" s="284"/>
      <c r="F17" s="249"/>
      <c r="G17" s="284"/>
      <c r="H17" s="249"/>
      <c r="I17" s="284"/>
    </row>
    <row r="18" spans="1:14" x14ac:dyDescent="0.2">
      <c r="A18" s="286">
        <f>'Ind T6'!V5</f>
        <v>2035</v>
      </c>
      <c r="B18" s="249"/>
      <c r="C18" s="284"/>
      <c r="D18" s="249"/>
      <c r="E18" s="284"/>
      <c r="F18" s="249"/>
      <c r="G18" s="284"/>
      <c r="H18" s="249"/>
      <c r="I18" s="284"/>
      <c r="K18" s="286" t="str">
        <f>CONCATENATE(A8," - ",A18)</f>
        <v>2020 - 2035</v>
      </c>
    </row>
    <row r="19" spans="1:14" x14ac:dyDescent="0.2">
      <c r="A19" s="282" t="s">
        <v>364</v>
      </c>
      <c r="B19" s="249">
        <f t="shared" si="0"/>
        <v>179.29843190357778</v>
      </c>
      <c r="C19" s="299" t="str">
        <f>CONCATENATE("(",ROUND((B19/$H21)*100,1),")")</f>
        <v>(36.4)</v>
      </c>
      <c r="D19" s="249">
        <f t="shared" ref="D19" si="24">SUM(D40,D61,D82,D103,D124,D145,D166,D187,D208,D229,D250,D271,D292,D313,D334,D355,D376,D397,D418,D439,D460,D481)</f>
        <v>39.810054245544087</v>
      </c>
      <c r="E19" s="299" t="str">
        <f>CONCATENATE("(",ROUND((D19/$H21)*100,1),")")</f>
        <v>(8.1)</v>
      </c>
      <c r="F19" s="249">
        <f t="shared" ref="F19" si="25">SUM(F40,F61,F82,F103,F124,F145,F166,F187,F208,F229,F250,F271,F292,F313,F334,F355,F376,F397,F418,F439,F460,F481)</f>
        <v>29.464419154421414</v>
      </c>
      <c r="G19" s="299" t="str">
        <f>CONCATENATE("(",ROUND((F19/$H21)*100,1),")")</f>
        <v>(6)</v>
      </c>
      <c r="H19" s="249">
        <f t="shared" ref="H19" si="26">SUM(H40,H61,H82,H103,H124,H145,H166,H187,H208,H229,H250,H271,H292,H313,H334,H355,H376,H397,H418,H439,H460,H481)</f>
        <v>248.57290530354325</v>
      </c>
      <c r="I19" s="299" t="str">
        <f>CONCATENATE("(",ROUND((H19/$H21)*100,1),")")</f>
        <v>(50.4)</v>
      </c>
      <c r="K19" s="249">
        <f>B19-B9</f>
        <v>-1.629380816207231</v>
      </c>
      <c r="L19" s="249">
        <f>D19-D9</f>
        <v>2.6844118173658771</v>
      </c>
      <c r="M19" s="249">
        <f>F19-F9</f>
        <v>1.4871701873394763</v>
      </c>
      <c r="N19" s="249">
        <f>SUM(K19:M19)</f>
        <v>2.5422011884981224</v>
      </c>
    </row>
    <row r="20" spans="1:14" x14ac:dyDescent="0.2">
      <c r="A20" s="282" t="s">
        <v>365</v>
      </c>
      <c r="B20" s="249">
        <f t="shared" si="0"/>
        <v>123.92504470259037</v>
      </c>
      <c r="C20" s="299" t="str">
        <f>CONCATENATE("(",ROUND((B20/$H21)*100,1),")")</f>
        <v>(25.1)</v>
      </c>
      <c r="D20" s="249">
        <f t="shared" ref="D20" si="27">SUM(D41,D62,D83,D104,D125,D146,D167,D188,D209,D230,D251,D272,D293,D314,D335,D356,D377,D398,D419,D440,D461,D482)</f>
        <v>100.27487671451044</v>
      </c>
      <c r="E20" s="299" t="str">
        <f>CONCATENATE("(",ROUND((D20/$H21)*100,1),")")</f>
        <v>(20.3)</v>
      </c>
      <c r="F20" s="249">
        <f t="shared" ref="F20" si="28">SUM(F41,F62,F83,F104,F125,F146,F167,F188,F209,F230,F251,F272,F293,F314,F335,F356,F377,F398,F419,F440,F461,F482)</f>
        <v>20.005173279355915</v>
      </c>
      <c r="G20" s="299" t="str">
        <f>CONCATENATE("(",ROUND((F20/$H21)*100,1),")")</f>
        <v>(4.1)</v>
      </c>
      <c r="H20" s="249">
        <f t="shared" ref="H20" si="29">SUM(H41,H62,H83,H104,H125,H146,H167,H188,H209,H230,H251,H272,H293,H314,H335,H356,H377,H398,H419,H440,H461,H482)</f>
        <v>244.20509469645674</v>
      </c>
      <c r="I20" s="299" t="str">
        <f>CONCATENATE("(",ROUND((H20/$H21)*100,1),")")</f>
        <v>(49.6)</v>
      </c>
      <c r="K20" s="249">
        <f t="shared" ref="K20:K21" si="30">B20-B10</f>
        <v>11.316864751302049</v>
      </c>
      <c r="L20" s="249">
        <f t="shared" ref="L20:L21" si="31">D20-D10</f>
        <v>-0.26934504875040943</v>
      </c>
      <c r="M20" s="249">
        <f t="shared" ref="M20:M21" si="32">F20-F10</f>
        <v>0.26227910895009288</v>
      </c>
      <c r="N20" s="249">
        <f t="shared" ref="N20:N21" si="33">SUM(K20:M20)</f>
        <v>11.309798811501732</v>
      </c>
    </row>
    <row r="21" spans="1:14" x14ac:dyDescent="0.2">
      <c r="A21" s="282" t="s">
        <v>363</v>
      </c>
      <c r="B21" s="249">
        <f t="shared" si="0"/>
        <v>303.22347660616816</v>
      </c>
      <c r="C21" s="299" t="str">
        <f>CONCATENATE("(",ROUND((B21/$H21)*100,1),")")</f>
        <v>(61.5)</v>
      </c>
      <c r="D21" s="249">
        <f t="shared" ref="D21" si="34">SUM(D42,D63,D84,D105,D126,D147,D168,D189,D210,D231,D252,D273,D294,D315,D336,D357,D378,D399,D420,D441,D462,D483)</f>
        <v>140.08493096005452</v>
      </c>
      <c r="E21" s="299" t="str">
        <f>CONCATENATE("(",ROUND((D21/$H21)*100,1),")")</f>
        <v>(28.4)</v>
      </c>
      <c r="F21" s="249">
        <f>SUM(F42,F63,F84,F105,F126,F147,F168,F189,F210,F231,F252,F273,F294,F315,F336,F357,F378,F399,F420,F441,F462,F483)</f>
        <v>49.469592433777336</v>
      </c>
      <c r="G21" s="299" t="str">
        <f>CONCATENATE("(",ROUND((F21/$H21)*100,1),")")</f>
        <v>(10)</v>
      </c>
      <c r="H21" s="249">
        <f t="shared" ref="H21" si="35">SUM(H42,H63,H84,H105,H126,H147,H168,H189,H210,H231,H252,H273,H294,H315,H336,H357,H378,H399,H420,H441,H462,H483)</f>
        <v>492.77800000000008</v>
      </c>
      <c r="I21" s="299" t="str">
        <f>CONCATENATE("(",ROUND((H21/$H21)*100,1),")")</f>
        <v>(100)</v>
      </c>
      <c r="K21" s="249">
        <f t="shared" si="30"/>
        <v>9.6874839350949173</v>
      </c>
      <c r="L21" s="249">
        <f t="shared" si="31"/>
        <v>2.4150667686154748</v>
      </c>
      <c r="M21" s="249">
        <f t="shared" si="32"/>
        <v>1.7494492962895762</v>
      </c>
      <c r="N21" s="249">
        <f t="shared" si="33"/>
        <v>13.851999999999968</v>
      </c>
    </row>
    <row r="22" spans="1:14" x14ac:dyDescent="0.2">
      <c r="A22" s="293"/>
      <c r="B22" s="294"/>
      <c r="C22" s="293"/>
      <c r="D22" s="294"/>
      <c r="E22" s="293"/>
      <c r="F22" s="294"/>
      <c r="G22" s="293"/>
      <c r="H22" s="294"/>
      <c r="I22" s="293"/>
      <c r="J22" s="293"/>
      <c r="K22" s="294"/>
      <c r="L22" s="294"/>
      <c r="M22" s="294"/>
      <c r="N22" s="294"/>
    </row>
    <row r="26" spans="1:14" x14ac:dyDescent="0.2">
      <c r="A26" s="288"/>
      <c r="B26" s="289" t="s">
        <v>372</v>
      </c>
      <c r="C26" s="288"/>
      <c r="D26" s="289"/>
      <c r="E26" s="288"/>
      <c r="F26" s="289" t="str">
        <f>name!B4</f>
        <v>Agriculture</v>
      </c>
      <c r="G26" s="288"/>
      <c r="H26" s="291"/>
      <c r="I26" s="288"/>
      <c r="J26" s="290"/>
      <c r="K26" s="291"/>
      <c r="L26" s="291"/>
      <c r="M26" s="291"/>
      <c r="N26" s="291"/>
    </row>
    <row r="27" spans="1:14" x14ac:dyDescent="0.2">
      <c r="N27" s="287" t="s">
        <v>370</v>
      </c>
    </row>
    <row r="28" spans="1:14" x14ac:dyDescent="0.2">
      <c r="A28" s="296" t="s">
        <v>371</v>
      </c>
      <c r="B28" s="373" t="s">
        <v>369</v>
      </c>
      <c r="C28" s="373"/>
      <c r="D28" s="373" t="s">
        <v>368</v>
      </c>
      <c r="E28" s="373"/>
      <c r="F28" s="373" t="s">
        <v>367</v>
      </c>
      <c r="G28" s="373"/>
      <c r="H28" s="373" t="s">
        <v>33</v>
      </c>
      <c r="I28" s="373"/>
      <c r="J28" s="296"/>
      <c r="K28" s="297" t="s">
        <v>345</v>
      </c>
      <c r="L28" s="297" t="s">
        <v>347</v>
      </c>
      <c r="M28" s="297" t="s">
        <v>343</v>
      </c>
      <c r="N28" s="297" t="s">
        <v>33</v>
      </c>
    </row>
    <row r="29" spans="1:14" x14ac:dyDescent="0.2">
      <c r="A29" s="292">
        <f>$A$8</f>
        <v>2020</v>
      </c>
      <c r="B29" s="287" t="s">
        <v>66</v>
      </c>
      <c r="C29" s="20" t="s">
        <v>366</v>
      </c>
      <c r="D29" s="287" t="s">
        <v>66</v>
      </c>
      <c r="E29" s="20" t="s">
        <v>366</v>
      </c>
      <c r="F29" s="287" t="s">
        <v>66</v>
      </c>
      <c r="G29" s="20" t="s">
        <v>366</v>
      </c>
      <c r="H29" s="287" t="s">
        <v>66</v>
      </c>
      <c r="I29" s="20" t="s">
        <v>366</v>
      </c>
      <c r="J29" s="182"/>
      <c r="K29" s="286" t="str">
        <f>CONCATENATE(A29," - ",A34)</f>
        <v>2020 - 2025</v>
      </c>
      <c r="L29" s="285"/>
      <c r="M29" s="285"/>
    </row>
    <row r="30" spans="1:14" x14ac:dyDescent="0.2">
      <c r="A30" s="282" t="s">
        <v>364</v>
      </c>
      <c r="B30" s="302">
        <f>'Ind T6'!L9</f>
        <v>0.49128893781892324</v>
      </c>
      <c r="C30" s="299" t="str">
        <f>CONCATENATE("(",ROUND((B30/$H32)*100,1),")")</f>
        <v>(25.8)</v>
      </c>
      <c r="D30" s="302">
        <f>'Ind T6'!M9</f>
        <v>1.0816730875269036E-2</v>
      </c>
      <c r="E30" s="299" t="str">
        <f>CONCATENATE("(",ROUND((D30/$H32)*100,1),")")</f>
        <v>(0.6)</v>
      </c>
      <c r="F30" s="302">
        <f>'Ind T6'!N9</f>
        <v>0.8056719867900658</v>
      </c>
      <c r="G30" s="299" t="str">
        <f>CONCATENATE("(",ROUND((F30/$H32)*100,1),")")</f>
        <v>(42.4)</v>
      </c>
      <c r="H30" s="302">
        <f>SUM(B30,D30,F30)</f>
        <v>1.3077776554842582</v>
      </c>
      <c r="I30" s="299" t="str">
        <f>CONCATENATE("(",ROUND((H30/$H32)*100,1),")")</f>
        <v>(68.8)</v>
      </c>
      <c r="K30" s="302">
        <f>B35-B30</f>
        <v>3.4556507065207298E-2</v>
      </c>
      <c r="L30" s="302">
        <f>D35-D30</f>
        <v>7.0577887322978775E-4</v>
      </c>
      <c r="M30" s="302">
        <f>F35-F30</f>
        <v>4.0461982237249838E-3</v>
      </c>
      <c r="N30" s="302">
        <f>SUM(K30:M30)</f>
        <v>3.9308484162162066E-2</v>
      </c>
    </row>
    <row r="31" spans="1:14" x14ac:dyDescent="0.2">
      <c r="A31" s="282" t="s">
        <v>365</v>
      </c>
      <c r="B31" s="302">
        <f>'Ind T6'!L8</f>
        <v>3.6637314254425207E-2</v>
      </c>
      <c r="C31" s="299" t="str">
        <f>CONCATENATE("(",ROUND((B31/$H32)*100,1),")")</f>
        <v>(1.9)</v>
      </c>
      <c r="D31" s="302">
        <f>'Ind T6'!M8</f>
        <v>1.9539900936025617E-2</v>
      </c>
      <c r="E31" s="299" t="str">
        <f>CONCATENATE("(",ROUND((D31/$H32)*100,1),")")</f>
        <v>(1)</v>
      </c>
      <c r="F31" s="302">
        <f>'Ind T6'!N8</f>
        <v>0.53804512932528825</v>
      </c>
      <c r="G31" s="299" t="str">
        <f>CONCATENATE("(",ROUND((F31/$H32)*100,1),")")</f>
        <v>(28.3)</v>
      </c>
      <c r="H31" s="302">
        <f t="shared" ref="H31" si="36">SUM(B31,D31,F31)</f>
        <v>0.59422234451573908</v>
      </c>
      <c r="I31" s="299" t="str">
        <f>CONCATENATE("(",ROUND((H31/$H32)*100,1),")")</f>
        <v>(31.2)</v>
      </c>
      <c r="K31" s="302">
        <f t="shared" ref="K31:K32" si="37">B36-B31</f>
        <v>1.0727176512767E-3</v>
      </c>
      <c r="L31" s="302">
        <f t="shared" ref="L31:L32" si="38">D36-D31</f>
        <v>1.3448940976650003E-5</v>
      </c>
      <c r="M31" s="302">
        <f t="shared" ref="M31:M32" si="39">F36-F31</f>
        <v>2.760534924558844E-2</v>
      </c>
      <c r="N31" s="302">
        <f t="shared" ref="N31:N32" si="40">SUM(K31:M31)</f>
        <v>2.869151583784179E-2</v>
      </c>
    </row>
    <row r="32" spans="1:14" x14ac:dyDescent="0.2">
      <c r="A32" s="282" t="s">
        <v>363</v>
      </c>
      <c r="B32" s="302">
        <f>SUM(B30:B31)</f>
        <v>0.52792625207334842</v>
      </c>
      <c r="C32" s="299" t="str">
        <f>CONCATENATE("(",ROUND((B32/$H32)*100,1),")")</f>
        <v>(27.8)</v>
      </c>
      <c r="D32" s="302">
        <f>SUM(D30:D31)</f>
        <v>3.0356631811294651E-2</v>
      </c>
      <c r="E32" s="299" t="str">
        <f>CONCATENATE("(",ROUND((D32/$H32)*100,1),")")</f>
        <v>(1.6)</v>
      </c>
      <c r="F32" s="302">
        <f>SUM(F30:F31)</f>
        <v>1.343717116115354</v>
      </c>
      <c r="G32" s="299" t="str">
        <f>CONCATENATE("(",ROUND((F32/$H32)*100,1),")")</f>
        <v>(70.6)</v>
      </c>
      <c r="H32" s="302">
        <f>SUM(H30:H31)</f>
        <v>1.9019999999999972</v>
      </c>
      <c r="I32" s="299" t="str">
        <f>CONCATENATE("(",ROUND((H32/$H32)*100,1),")")</f>
        <v>(100)</v>
      </c>
      <c r="K32" s="302">
        <f t="shared" si="37"/>
        <v>3.5629224716483998E-2</v>
      </c>
      <c r="L32" s="302">
        <f t="shared" si="38"/>
        <v>7.1922781420644122E-4</v>
      </c>
      <c r="M32" s="302">
        <f t="shared" si="39"/>
        <v>3.1651547469313535E-2</v>
      </c>
      <c r="N32" s="302">
        <f t="shared" si="40"/>
        <v>6.8000000000003974E-2</v>
      </c>
    </row>
    <row r="33" spans="1:14" x14ac:dyDescent="0.2">
      <c r="B33" s="302"/>
      <c r="C33" s="284"/>
      <c r="D33" s="302"/>
      <c r="E33" s="284"/>
      <c r="F33" s="302"/>
      <c r="G33" s="284"/>
      <c r="H33" s="302"/>
      <c r="I33" s="284"/>
    </row>
    <row r="34" spans="1:14" x14ac:dyDescent="0.2">
      <c r="A34" s="292">
        <f>$A$13</f>
        <v>2025</v>
      </c>
      <c r="B34" s="302"/>
      <c r="C34" s="284"/>
      <c r="D34" s="302"/>
      <c r="E34" s="284"/>
      <c r="F34" s="302"/>
      <c r="G34" s="284"/>
      <c r="H34" s="302"/>
      <c r="I34" s="284"/>
      <c r="K34" s="286" t="str">
        <f>CONCATENATE(A34," - ",A39)</f>
        <v>2025 - 2035</v>
      </c>
    </row>
    <row r="35" spans="1:14" x14ac:dyDescent="0.2">
      <c r="A35" s="282" t="s">
        <v>364</v>
      </c>
      <c r="B35" s="302">
        <f>'Ind T6'!Q9</f>
        <v>0.52584544488413054</v>
      </c>
      <c r="C35" s="299" t="str">
        <f>CONCATENATE("(",ROUND((B35/$H37)*100,1),")")</f>
        <v>(26.7)</v>
      </c>
      <c r="D35" s="302">
        <f>'Ind T6'!R9</f>
        <v>1.1522509748498824E-2</v>
      </c>
      <c r="E35" s="299" t="str">
        <f>CONCATENATE("(",ROUND((D35/$H37)*100,1),")")</f>
        <v>(0.6)</v>
      </c>
      <c r="F35" s="302">
        <f>'Ind T6'!S9</f>
        <v>0.80971818501379078</v>
      </c>
      <c r="G35" s="299" t="str">
        <f>CONCATENATE("(",ROUND((F35/$H37)*100,1),")")</f>
        <v>(41.1)</v>
      </c>
      <c r="H35" s="302">
        <f>SUM(B35,D35,F35)</f>
        <v>1.3470861396464202</v>
      </c>
      <c r="I35" s="299" t="str">
        <f>CONCATENATE("(",ROUND((H35/$H37)*100,1),")")</f>
        <v>(68.4)</v>
      </c>
      <c r="K35" s="302">
        <f>B40-B35</f>
        <v>6.0357141327800456E-2</v>
      </c>
      <c r="L35" s="302">
        <f>D40-D35</f>
        <v>3.4817990683765933E-4</v>
      </c>
      <c r="M35" s="302">
        <f>F40-F35</f>
        <v>-3.9170771236379354E-2</v>
      </c>
      <c r="N35" s="302">
        <f>SUM(K35:M35)</f>
        <v>2.153454999825876E-2</v>
      </c>
    </row>
    <row r="36" spans="1:14" x14ac:dyDescent="0.2">
      <c r="A36" s="282" t="s">
        <v>365</v>
      </c>
      <c r="B36" s="302">
        <f>'Ind T6'!Q8</f>
        <v>3.7710031905701907E-2</v>
      </c>
      <c r="C36" s="299" t="str">
        <f>CONCATENATE("(",ROUND((B36/$H37)*100,1),")")</f>
        <v>(1.9)</v>
      </c>
      <c r="D36" s="302">
        <f>'Ind T6'!R8</f>
        <v>1.9553349877002267E-2</v>
      </c>
      <c r="E36" s="299" t="str">
        <f>CONCATENATE("(",ROUND((D36/$H37)*100,1),")")</f>
        <v>(1)</v>
      </c>
      <c r="F36" s="302">
        <f>'Ind T6'!S8</f>
        <v>0.56565047857087669</v>
      </c>
      <c r="G36" s="299" t="str">
        <f>CONCATENATE("(",ROUND((F36/$H37)*100,1),")")</f>
        <v>(28.7)</v>
      </c>
      <c r="H36" s="302">
        <f t="shared" ref="H36" si="41">SUM(B36,D36,F36)</f>
        <v>0.62291386035358087</v>
      </c>
      <c r="I36" s="299" t="str">
        <f>CONCATENATE("(",ROUND((H36/$H37)*100,1),")")</f>
        <v>(31.6)</v>
      </c>
      <c r="K36" s="302">
        <f t="shared" ref="K36:K37" si="42">B41-B36</f>
        <v>1.0442784400604144E-3</v>
      </c>
      <c r="L36" s="302">
        <f t="shared" ref="L36:L37" si="43">D41-D36</f>
        <v>-6.9990160089012168E-4</v>
      </c>
      <c r="M36" s="302">
        <f t="shared" ref="M36:M37" si="44">F41-F36</f>
        <v>3.3121073162573289E-2</v>
      </c>
      <c r="N36" s="302">
        <f t="shared" ref="N36:N37" si="45">SUM(K36:M36)</f>
        <v>3.3465450001743585E-2</v>
      </c>
    </row>
    <row r="37" spans="1:14" x14ac:dyDescent="0.2">
      <c r="A37" s="282" t="s">
        <v>363</v>
      </c>
      <c r="B37" s="302">
        <f>SUM(B35:B36)</f>
        <v>0.56355547678983242</v>
      </c>
      <c r="C37" s="299" t="str">
        <f>CONCATENATE("(",ROUND((B37/$H37)*100,1),")")</f>
        <v>(28.6)</v>
      </c>
      <c r="D37" s="302">
        <f>SUM(D35:D36)</f>
        <v>3.1075859625501093E-2</v>
      </c>
      <c r="E37" s="299" t="str">
        <f>CONCATENATE("(",ROUND((D37/$H37)*100,1),")")</f>
        <v>(1.6)</v>
      </c>
      <c r="F37" s="302">
        <f>SUM(F35:F36)</f>
        <v>1.3753686635846676</v>
      </c>
      <c r="G37" s="299" t="str">
        <f>CONCATENATE("(",ROUND((F37/$H37)*100,1),")")</f>
        <v>(69.8)</v>
      </c>
      <c r="H37" s="302">
        <f>SUM(H35:H36)</f>
        <v>1.9700000000000011</v>
      </c>
      <c r="I37" s="299" t="str">
        <f>CONCATENATE("(",ROUND((H37/$H37)*100,1),")")</f>
        <v>(100)</v>
      </c>
      <c r="K37" s="302">
        <f t="shared" si="42"/>
        <v>6.1401419767860843E-2</v>
      </c>
      <c r="L37" s="302">
        <f t="shared" si="43"/>
        <v>-3.5172169405246409E-4</v>
      </c>
      <c r="M37" s="302">
        <f t="shared" si="44"/>
        <v>-6.0496980738062867E-3</v>
      </c>
      <c r="N37" s="302">
        <f t="shared" si="45"/>
        <v>5.5000000000002089E-2</v>
      </c>
    </row>
    <row r="38" spans="1:14" x14ac:dyDescent="0.2">
      <c r="B38" s="302"/>
      <c r="C38" s="284"/>
      <c r="D38" s="302"/>
      <c r="E38" s="284"/>
      <c r="F38" s="302"/>
      <c r="G38" s="284"/>
      <c r="H38" s="302"/>
      <c r="I38" s="284"/>
    </row>
    <row r="39" spans="1:14" x14ac:dyDescent="0.2">
      <c r="A39" s="292">
        <f>$A$18</f>
        <v>2035</v>
      </c>
      <c r="B39" s="302"/>
      <c r="C39" s="284"/>
      <c r="D39" s="302"/>
      <c r="E39" s="284"/>
      <c r="F39" s="302"/>
      <c r="G39" s="284"/>
      <c r="H39" s="302"/>
      <c r="I39" s="284"/>
      <c r="K39" s="286" t="str">
        <f>CONCATENATE(A29," - ",A39)</f>
        <v>2020 - 2035</v>
      </c>
    </row>
    <row r="40" spans="1:14" x14ac:dyDescent="0.2">
      <c r="A40" s="282" t="s">
        <v>364</v>
      </c>
      <c r="B40" s="302">
        <f>'Ind T6'!V9</f>
        <v>0.586202586211931</v>
      </c>
      <c r="C40" s="299" t="str">
        <f>CONCATENATE("(",ROUND((B40/$H42)*100,1),")")</f>
        <v>(28.9)</v>
      </c>
      <c r="D40" s="302">
        <f>'Ind T6'!W9</f>
        <v>1.1870689655336483E-2</v>
      </c>
      <c r="E40" s="299" t="str">
        <f>CONCATENATE("(",ROUND((D40/$H42)*100,1),")")</f>
        <v>(0.6)</v>
      </c>
      <c r="F40" s="302">
        <f>'Ind T6'!X9</f>
        <v>0.77054741377741143</v>
      </c>
      <c r="G40" s="299" t="str">
        <f>CONCATENATE("(",ROUND((F40/$H42)*100,1),")")</f>
        <v>(38.1)</v>
      </c>
      <c r="H40" s="302">
        <f>SUM(B40,D40,F40)</f>
        <v>1.3686206896446789</v>
      </c>
      <c r="I40" s="299" t="str">
        <f>CONCATENATE("(",ROUND((H40/$H42)*100,1),")")</f>
        <v>(67.6)</v>
      </c>
      <c r="K40" s="302">
        <f>B40-B30</f>
        <v>9.4913648393007755E-2</v>
      </c>
      <c r="L40" s="302">
        <f>D40-D30</f>
        <v>1.0539587800674471E-3</v>
      </c>
      <c r="M40" s="302">
        <f>F40-F30</f>
        <v>-3.512457301265437E-2</v>
      </c>
      <c r="N40" s="302">
        <f>SUM(K40:M40)</f>
        <v>6.0843034160420834E-2</v>
      </c>
    </row>
    <row r="41" spans="1:14" x14ac:dyDescent="0.2">
      <c r="A41" s="282" t="s">
        <v>365</v>
      </c>
      <c r="B41" s="302">
        <f>'Ind T6'!V8</f>
        <v>3.8754310345762322E-2</v>
      </c>
      <c r="C41" s="299" t="str">
        <f>CONCATENATE("(",ROUND((B41/$H42)*100,1),")")</f>
        <v>(1.9)</v>
      </c>
      <c r="D41" s="302">
        <f>'Ind T6'!W8</f>
        <v>1.8853448276112145E-2</v>
      </c>
      <c r="E41" s="299" t="str">
        <f>CONCATENATE("(",ROUND((D41/$H42)*100,1),")")</f>
        <v>(0.9)</v>
      </c>
      <c r="F41" s="302">
        <f>'Ind T6'!X8</f>
        <v>0.59877155173344998</v>
      </c>
      <c r="G41" s="299" t="str">
        <f>CONCATENATE("(",ROUND((F41/$H42)*100,1),")")</f>
        <v>(29.6)</v>
      </c>
      <c r="H41" s="302">
        <f t="shared" ref="H41" si="46">SUM(B41,D41,F41)</f>
        <v>0.65637931035532449</v>
      </c>
      <c r="I41" s="299" t="str">
        <f>CONCATENATE("(",ROUND((H41/$H42)*100,1),")")</f>
        <v>(32.4)</v>
      </c>
      <c r="K41" s="302">
        <f t="shared" ref="K41:K42" si="47">B41-B31</f>
        <v>2.1169960913371144E-3</v>
      </c>
      <c r="L41" s="302">
        <f t="shared" ref="L41:L42" si="48">D41-D31</f>
        <v>-6.8645265991347168E-4</v>
      </c>
      <c r="M41" s="302">
        <f t="shared" ref="M41:M42" si="49">F41-F31</f>
        <v>6.0726422408161729E-2</v>
      </c>
      <c r="N41" s="302">
        <f t="shared" ref="N41:N42" si="50">SUM(K41:M41)</f>
        <v>6.2156965839585368E-2</v>
      </c>
    </row>
    <row r="42" spans="1:14" x14ac:dyDescent="0.2">
      <c r="A42" s="282" t="s">
        <v>363</v>
      </c>
      <c r="B42" s="302">
        <f>SUM(B40:B41)</f>
        <v>0.62495689655769326</v>
      </c>
      <c r="C42" s="299" t="str">
        <f>CONCATENATE("(",ROUND((B42/$H42)*100,1),")")</f>
        <v>(30.9)</v>
      </c>
      <c r="D42" s="302">
        <f>SUM(D40:D41)</f>
        <v>3.0724137931448629E-2</v>
      </c>
      <c r="E42" s="299" t="str">
        <f>CONCATENATE("(",ROUND((D42/$H42)*100,1),")")</f>
        <v>(1.5)</v>
      </c>
      <c r="F42" s="302">
        <f>SUM(F40:F41)</f>
        <v>1.3693189655108613</v>
      </c>
      <c r="G42" s="299" t="str">
        <f>CONCATENATE("(",ROUND((F42/$H42)*100,1),")")</f>
        <v>(67.6)</v>
      </c>
      <c r="H42" s="302">
        <f>SUM(H40:H41)</f>
        <v>2.0250000000000035</v>
      </c>
      <c r="I42" s="299" t="str">
        <f>CONCATENATE("(",ROUND((H42/$H42)*100,1),")")</f>
        <v>(100)</v>
      </c>
      <c r="K42" s="302">
        <f t="shared" si="47"/>
        <v>9.7030644484344841E-2</v>
      </c>
      <c r="L42" s="302">
        <f t="shared" si="48"/>
        <v>3.6750612015397713E-4</v>
      </c>
      <c r="M42" s="302">
        <f t="shared" si="49"/>
        <v>2.5601849395507248E-2</v>
      </c>
      <c r="N42" s="302">
        <f t="shared" si="50"/>
        <v>0.12300000000000606</v>
      </c>
    </row>
    <row r="43" spans="1:14" x14ac:dyDescent="0.2">
      <c r="A43" s="293"/>
      <c r="B43" s="294"/>
      <c r="C43" s="293"/>
      <c r="D43" s="294"/>
      <c r="E43" s="293"/>
      <c r="F43" s="294"/>
      <c r="G43" s="293"/>
      <c r="H43" s="294"/>
      <c r="I43" s="293"/>
      <c r="J43" s="293"/>
      <c r="K43" s="294"/>
      <c r="L43" s="294"/>
      <c r="M43" s="294"/>
      <c r="N43" s="294"/>
    </row>
    <row r="46" spans="1:14" x14ac:dyDescent="0.2">
      <c r="C46" s="182"/>
      <c r="E46" s="182"/>
      <c r="G46" s="182"/>
      <c r="I46" s="182"/>
    </row>
    <row r="47" spans="1:14" x14ac:dyDescent="0.2">
      <c r="A47" s="288"/>
      <c r="B47" s="289" t="s">
        <v>372</v>
      </c>
      <c r="C47" s="288"/>
      <c r="D47" s="289"/>
      <c r="E47" s="288"/>
      <c r="F47" s="289" t="str">
        <f>name!B5</f>
        <v>Mining and quarrying</v>
      </c>
      <c r="G47" s="288"/>
      <c r="H47" s="291"/>
      <c r="I47" s="288"/>
      <c r="J47" s="290"/>
      <c r="K47" s="291"/>
      <c r="L47" s="291"/>
      <c r="M47" s="291"/>
      <c r="N47" s="291"/>
    </row>
    <row r="48" spans="1:14" x14ac:dyDescent="0.2">
      <c r="N48" s="287" t="s">
        <v>370</v>
      </c>
    </row>
    <row r="49" spans="1:14" x14ac:dyDescent="0.2">
      <c r="A49" s="182" t="s">
        <v>371</v>
      </c>
      <c r="B49" s="372" t="s">
        <v>369</v>
      </c>
      <c r="C49" s="372"/>
      <c r="D49" s="372" t="s">
        <v>368</v>
      </c>
      <c r="E49" s="372"/>
      <c r="F49" s="372" t="s">
        <v>367</v>
      </c>
      <c r="G49" s="372"/>
      <c r="H49" s="372" t="s">
        <v>33</v>
      </c>
      <c r="I49" s="372"/>
      <c r="J49" s="182"/>
      <c r="K49" s="297" t="s">
        <v>345</v>
      </c>
      <c r="L49" s="297" t="s">
        <v>347</v>
      </c>
      <c r="M49" s="297" t="s">
        <v>343</v>
      </c>
      <c r="N49" s="297" t="s">
        <v>33</v>
      </c>
    </row>
    <row r="50" spans="1:14" x14ac:dyDescent="0.2">
      <c r="A50" s="292">
        <f>$A$8</f>
        <v>2020</v>
      </c>
      <c r="B50" s="287" t="s">
        <v>66</v>
      </c>
      <c r="C50" s="20" t="s">
        <v>366</v>
      </c>
      <c r="D50" s="287" t="s">
        <v>66</v>
      </c>
      <c r="E50" s="20" t="s">
        <v>366</v>
      </c>
      <c r="F50" s="287" t="s">
        <v>66</v>
      </c>
      <c r="G50" s="20" t="s">
        <v>366</v>
      </c>
      <c r="H50" s="287" t="s">
        <v>66</v>
      </c>
      <c r="I50" s="20" t="s">
        <v>366</v>
      </c>
      <c r="J50" s="182"/>
      <c r="K50" s="286" t="str">
        <f>CONCATENATE(A50," - ",A55)</f>
        <v>2020 - 2025</v>
      </c>
      <c r="L50" s="285"/>
      <c r="M50" s="285"/>
    </row>
    <row r="51" spans="1:14" x14ac:dyDescent="0.2">
      <c r="A51" s="282" t="s">
        <v>364</v>
      </c>
      <c r="B51" s="302">
        <f>'Ind T6'!L18</f>
        <v>0.37674599668712982</v>
      </c>
      <c r="C51" s="299" t="str">
        <f>CONCATENATE("(",ROUND((B51/$H53)*100,1),")")</f>
        <v>(80.7)</v>
      </c>
      <c r="D51" s="302">
        <f>'Ind T6'!M18</f>
        <v>2.0371617890677023E-2</v>
      </c>
      <c r="E51" s="299" t="str">
        <f>CONCATENATE("(",ROUND((D51/$H53)*100,1),")")</f>
        <v>(4.4)</v>
      </c>
      <c r="F51" s="302">
        <f>'Ind T6'!N18</f>
        <v>0</v>
      </c>
      <c r="G51" s="299" t="str">
        <f>CONCATENATE("(",ROUND((F51/$H53)*100,1),")")</f>
        <v>(0)</v>
      </c>
      <c r="H51" s="302">
        <f>SUM(B51,D51,F51)</f>
        <v>0.39711761457780687</v>
      </c>
      <c r="I51" s="299" t="str">
        <f>CONCATENATE("(",ROUND((H51/$H53)*100,1),")")</f>
        <v>(85)</v>
      </c>
      <c r="K51" s="302">
        <f>B56-B51</f>
        <v>-4.1865996687394491E-2</v>
      </c>
      <c r="L51" s="302">
        <f>D56-D51</f>
        <v>-1.3916178905881323E-3</v>
      </c>
      <c r="M51" s="302">
        <f>F56-F51</f>
        <v>0</v>
      </c>
      <c r="N51" s="302">
        <f>SUM(K51:M51)</f>
        <v>-4.325761457798262E-2</v>
      </c>
    </row>
    <row r="52" spans="1:14" x14ac:dyDescent="0.2">
      <c r="A52" s="282" t="s">
        <v>365</v>
      </c>
      <c r="B52" s="302">
        <f>'Ind T6'!L17</f>
        <v>5.1315847597682124E-2</v>
      </c>
      <c r="C52" s="299" t="str">
        <f>CONCATENATE("(",ROUND((B52/$H53)*100,1),")")</f>
        <v>(11)</v>
      </c>
      <c r="D52" s="302">
        <f>'Ind T6'!M17</f>
        <v>1.8566537824510621E-2</v>
      </c>
      <c r="E52" s="299" t="str">
        <f>CONCATENATE("(",ROUND((D52/$H53)*100,1),")")</f>
        <v>(4)</v>
      </c>
      <c r="F52" s="302">
        <f>'Ind T6'!N17</f>
        <v>0</v>
      </c>
      <c r="G52" s="299" t="str">
        <f>CONCATENATE("(",ROUND((F52/$H53)*100,1),")")</f>
        <v>(0)</v>
      </c>
      <c r="H52" s="302">
        <f t="shared" ref="H52" si="51">SUM(B52,D52,F52)</f>
        <v>6.9882385422192744E-2</v>
      </c>
      <c r="I52" s="299" t="str">
        <f>CONCATENATE("(",ROUND((H52/$H53)*100,1),")")</f>
        <v>(15)</v>
      </c>
      <c r="K52" s="302">
        <f t="shared" ref="K52:K53" si="52">B57-B52</f>
        <v>-5.8158475980172389E-3</v>
      </c>
      <c r="L52" s="302">
        <f t="shared" ref="L52:L53" si="53">D57-D52</f>
        <v>-1.9265378239991943E-3</v>
      </c>
      <c r="M52" s="302">
        <f t="shared" ref="M52:M53" si="54">F57-F52</f>
        <v>0</v>
      </c>
      <c r="N52" s="302">
        <f t="shared" ref="N52:N53" si="55">SUM(K52:M52)</f>
        <v>-7.7423854220164331E-3</v>
      </c>
    </row>
    <row r="53" spans="1:14" x14ac:dyDescent="0.2">
      <c r="A53" s="282" t="s">
        <v>363</v>
      </c>
      <c r="B53" s="302">
        <f>SUM(B51:B52)</f>
        <v>0.42806184428481198</v>
      </c>
      <c r="C53" s="299" t="str">
        <f>CONCATENATE("(",ROUND((B53/$H53)*100,1),")")</f>
        <v>(91.7)</v>
      </c>
      <c r="D53" s="302">
        <f>SUM(D51:D52)</f>
        <v>3.8938155715187647E-2</v>
      </c>
      <c r="E53" s="299" t="str">
        <f>CONCATENATE("(",ROUND((D53/$H53)*100,1),")")</f>
        <v>(8.3)</v>
      </c>
      <c r="F53" s="302">
        <f>SUM(F51:F52)</f>
        <v>0</v>
      </c>
      <c r="G53" s="299" t="str">
        <f>CONCATENATE("(",ROUND((F53/$H53)*100,1),")")</f>
        <v>(0)</v>
      </c>
      <c r="H53" s="302">
        <f>SUM(H51:H52)</f>
        <v>0.46699999999999964</v>
      </c>
      <c r="I53" s="299" t="str">
        <f>CONCATENATE("(",ROUND((H53/$H53)*100,1),")")</f>
        <v>(100)</v>
      </c>
      <c r="K53" s="302">
        <f t="shared" si="52"/>
        <v>-4.7681844285411779E-2</v>
      </c>
      <c r="L53" s="302">
        <f t="shared" si="53"/>
        <v>-3.31815571458733E-3</v>
      </c>
      <c r="M53" s="302">
        <f t="shared" si="54"/>
        <v>0</v>
      </c>
      <c r="N53" s="302">
        <f t="shared" si="55"/>
        <v>-5.0999999999999109E-2</v>
      </c>
    </row>
    <row r="54" spans="1:14" x14ac:dyDescent="0.2">
      <c r="B54" s="302"/>
      <c r="C54" s="284"/>
      <c r="D54" s="302"/>
      <c r="E54" s="284"/>
      <c r="F54" s="302"/>
      <c r="G54" s="284"/>
      <c r="H54" s="302"/>
      <c r="I54" s="284"/>
    </row>
    <row r="55" spans="1:14" x14ac:dyDescent="0.2">
      <c r="A55" s="292">
        <f>$A$13</f>
        <v>2025</v>
      </c>
      <c r="B55" s="302"/>
      <c r="C55" s="284"/>
      <c r="D55" s="302"/>
      <c r="E55" s="284"/>
      <c r="F55" s="302"/>
      <c r="G55" s="284"/>
      <c r="H55" s="302"/>
      <c r="I55" s="284"/>
      <c r="K55" s="286" t="str">
        <f>CONCATENATE(A55," - ",A60)</f>
        <v>2025 - 2035</v>
      </c>
    </row>
    <row r="56" spans="1:14" x14ac:dyDescent="0.2">
      <c r="A56" s="282" t="s">
        <v>364</v>
      </c>
      <c r="B56" s="302">
        <f>'Ind T6'!Q18</f>
        <v>0.33487999999973533</v>
      </c>
      <c r="C56" s="299" t="str">
        <f>CONCATENATE("(",ROUND((B56/$H58)*100,1),")")</f>
        <v>(80.5)</v>
      </c>
      <c r="D56" s="302">
        <f>'Ind T6'!R18</f>
        <v>1.8980000000088891E-2</v>
      </c>
      <c r="E56" s="299" t="str">
        <f>CONCATENATE("(",ROUND((D56/$H58)*100,1),")")</f>
        <v>(4.6)</v>
      </c>
      <c r="F56" s="302">
        <f>'Ind T6'!S18</f>
        <v>0</v>
      </c>
      <c r="G56" s="299" t="str">
        <f>CONCATENATE("(",ROUND((F56/$H58)*100,1),")")</f>
        <v>(0)</v>
      </c>
      <c r="H56" s="302">
        <f>SUM(B56,D56,F56)</f>
        <v>0.3538599999998242</v>
      </c>
      <c r="I56" s="299" t="str">
        <f>CONCATENATE("(",ROUND((H56/$H58)*100,1),")")</f>
        <v>(85.1)</v>
      </c>
      <c r="K56" s="302">
        <f>B61-B56</f>
        <v>-3.9547381974782747E-2</v>
      </c>
      <c r="L56" s="302">
        <f>D61-D56</f>
        <v>-1.1287839771336253E-3</v>
      </c>
      <c r="M56" s="302">
        <f>F61-F56</f>
        <v>0</v>
      </c>
      <c r="N56" s="302">
        <f>SUM(K56:M56)</f>
        <v>-4.0676165951916372E-2</v>
      </c>
    </row>
    <row r="57" spans="1:14" x14ac:dyDescent="0.2">
      <c r="A57" s="282" t="s">
        <v>365</v>
      </c>
      <c r="B57" s="302">
        <f>'Ind T6'!Q17</f>
        <v>4.5499999999664885E-2</v>
      </c>
      <c r="C57" s="299" t="str">
        <f>CONCATENATE("(",ROUND((B57/$H58)*100,1),")")</f>
        <v>(10.9)</v>
      </c>
      <c r="D57" s="302">
        <f>'Ind T6'!R17</f>
        <v>1.6640000000511426E-2</v>
      </c>
      <c r="E57" s="299" t="str">
        <f>CONCATENATE("(",ROUND((D57/$H58)*100,1),")")</f>
        <v>(4)</v>
      </c>
      <c r="F57" s="302">
        <f>'Ind T6'!S17</f>
        <v>0</v>
      </c>
      <c r="G57" s="299" t="str">
        <f>CONCATENATE("(",ROUND((F57/$H58)*100,1),")")</f>
        <v>(0)</v>
      </c>
      <c r="H57" s="302">
        <f t="shared" ref="H57" si="56">SUM(B57,D57,F57)</f>
        <v>6.2140000000176311E-2</v>
      </c>
      <c r="I57" s="299" t="str">
        <f>CONCATENATE("(",ROUND((H57/$H58)*100,1),")")</f>
        <v>(14.9)</v>
      </c>
      <c r="K57" s="302">
        <f t="shared" ref="K57:K58" si="57">B62-B57</f>
        <v>-6.9098712438196014E-3</v>
      </c>
      <c r="L57" s="302">
        <f t="shared" ref="L57:L58" si="58">D62-D57</f>
        <v>-1.4139628042641843E-3</v>
      </c>
      <c r="M57" s="302">
        <f t="shared" ref="M57:M58" si="59">F62-F57</f>
        <v>0</v>
      </c>
      <c r="N57" s="302">
        <f t="shared" ref="N57:N58" si="60">SUM(K57:M57)</f>
        <v>-8.3238340480837857E-3</v>
      </c>
    </row>
    <row r="58" spans="1:14" x14ac:dyDescent="0.2">
      <c r="A58" s="282" t="s">
        <v>363</v>
      </c>
      <c r="B58" s="302">
        <f>SUM(B56:B57)</f>
        <v>0.3803799999994002</v>
      </c>
      <c r="C58" s="299" t="str">
        <f>CONCATENATE("(",ROUND((B58/$H58)*100,1),")")</f>
        <v>(91.4)</v>
      </c>
      <c r="D58" s="302">
        <f>SUM(D56:D57)</f>
        <v>3.5620000000600317E-2</v>
      </c>
      <c r="E58" s="299" t="str">
        <f>CONCATENATE("(",ROUND((D58/$H58)*100,1),")")</f>
        <v>(8.6)</v>
      </c>
      <c r="F58" s="302">
        <f>SUM(F56:F57)</f>
        <v>0</v>
      </c>
      <c r="G58" s="299" t="str">
        <f>CONCATENATE("(",ROUND((F58/$H58)*100,1),")")</f>
        <v>(0)</v>
      </c>
      <c r="H58" s="302">
        <f>SUM(H56:H57)</f>
        <v>0.41600000000000054</v>
      </c>
      <c r="I58" s="299" t="str">
        <f>CONCATENATE("(",ROUND((H58/$H58)*100,1),")")</f>
        <v>(100)</v>
      </c>
      <c r="K58" s="302">
        <f t="shared" si="57"/>
        <v>-4.6457253218602335E-2</v>
      </c>
      <c r="L58" s="302">
        <f t="shared" si="58"/>
        <v>-2.542746781397813E-3</v>
      </c>
      <c r="M58" s="302">
        <f t="shared" si="59"/>
        <v>0</v>
      </c>
      <c r="N58" s="302">
        <f t="shared" si="60"/>
        <v>-4.9000000000000148E-2</v>
      </c>
    </row>
    <row r="59" spans="1:14" x14ac:dyDescent="0.2">
      <c r="B59" s="302"/>
      <c r="C59" s="284"/>
      <c r="D59" s="302"/>
      <c r="E59" s="284"/>
      <c r="F59" s="302"/>
      <c r="G59" s="284"/>
      <c r="H59" s="302"/>
      <c r="I59" s="284"/>
    </row>
    <row r="60" spans="1:14" x14ac:dyDescent="0.2">
      <c r="A60" s="292">
        <f>$A$18</f>
        <v>2035</v>
      </c>
      <c r="B60" s="302"/>
      <c r="C60" s="284"/>
      <c r="D60" s="302"/>
      <c r="E60" s="284"/>
      <c r="F60" s="302"/>
      <c r="G60" s="284"/>
      <c r="H60" s="302"/>
      <c r="I60" s="284"/>
      <c r="K60" s="286" t="str">
        <f>CONCATENATE(A50," - ",A60)</f>
        <v>2020 - 2035</v>
      </c>
    </row>
    <row r="61" spans="1:14" x14ac:dyDescent="0.2">
      <c r="A61" s="282" t="s">
        <v>364</v>
      </c>
      <c r="B61" s="302">
        <f>'Ind T6'!V18</f>
        <v>0.29533261802495259</v>
      </c>
      <c r="C61" s="299" t="str">
        <f>CONCATENATE("(",ROUND((B61/$H63)*100,1),")")</f>
        <v>(80.5)</v>
      </c>
      <c r="D61" s="302">
        <f>'Ind T6'!W18</f>
        <v>1.7851216022955266E-2</v>
      </c>
      <c r="E61" s="299" t="str">
        <f>CONCATENATE("(",ROUND((D61/$H63)*100,1),")")</f>
        <v>(4.9)</v>
      </c>
      <c r="F61" s="302">
        <f>'Ind T6'!X18</f>
        <v>0</v>
      </c>
      <c r="G61" s="299" t="str">
        <f>CONCATENATE("(",ROUND((F61/$H63)*100,1),")")</f>
        <v>(0)</v>
      </c>
      <c r="H61" s="302">
        <f>SUM(B61,D61,F61)</f>
        <v>0.31318383404790784</v>
      </c>
      <c r="I61" s="299" t="str">
        <f>CONCATENATE("(",ROUND((H61/$H63)*100,1),")")</f>
        <v>(85.3)</v>
      </c>
      <c r="K61" s="302">
        <f>B61-B51</f>
        <v>-8.1413378662177238E-2</v>
      </c>
      <c r="L61" s="302">
        <f>D61-D51</f>
        <v>-2.5204018677217575E-3</v>
      </c>
      <c r="M61" s="302">
        <f>F61-F51</f>
        <v>0</v>
      </c>
      <c r="N61" s="302">
        <f>SUM(K61:M61)</f>
        <v>-8.3933780529898999E-2</v>
      </c>
    </row>
    <row r="62" spans="1:14" x14ac:dyDescent="0.2">
      <c r="A62" s="282" t="s">
        <v>365</v>
      </c>
      <c r="B62" s="302">
        <f>'Ind T6'!V17</f>
        <v>3.8590128755845284E-2</v>
      </c>
      <c r="C62" s="299" t="str">
        <f>CONCATENATE("(",ROUND((B62/$H63)*100,1),")")</f>
        <v>(10.5)</v>
      </c>
      <c r="D62" s="302">
        <f>'Ind T6'!W17</f>
        <v>1.5226037196247242E-2</v>
      </c>
      <c r="E62" s="299" t="str">
        <f>CONCATENATE("(",ROUND((D62/$H63)*100,1),")")</f>
        <v>(4.1)</v>
      </c>
      <c r="F62" s="302">
        <f>'Ind T6'!X17</f>
        <v>0</v>
      </c>
      <c r="G62" s="299" t="str">
        <f>CONCATENATE("(",ROUND((F62/$H63)*100,1),")")</f>
        <v>(0)</v>
      </c>
      <c r="H62" s="302">
        <f t="shared" ref="H62" si="61">SUM(B62,D62,F62)</f>
        <v>5.3816165952092529E-2</v>
      </c>
      <c r="I62" s="299" t="str">
        <f>CONCATENATE("(",ROUND((H62/$H63)*100,1),")")</f>
        <v>(14.7)</v>
      </c>
      <c r="K62" s="302">
        <f t="shared" ref="K62:K63" si="62">B62-B52</f>
        <v>-1.272571884183684E-2</v>
      </c>
      <c r="L62" s="302">
        <f t="shared" ref="L62:L63" si="63">D62-D52</f>
        <v>-3.3405006282633785E-3</v>
      </c>
      <c r="M62" s="302">
        <f t="shared" ref="M62:M63" si="64">F62-F52</f>
        <v>0</v>
      </c>
      <c r="N62" s="302">
        <f t="shared" ref="N62:N63" si="65">SUM(K62:M62)</f>
        <v>-1.6066219470100219E-2</v>
      </c>
    </row>
    <row r="63" spans="1:14" x14ac:dyDescent="0.2">
      <c r="A63" s="282" t="s">
        <v>363</v>
      </c>
      <c r="B63" s="302">
        <f>SUM(B61:B62)</f>
        <v>0.33392274678079786</v>
      </c>
      <c r="C63" s="299" t="str">
        <f>CONCATENATE("(",ROUND((B63/$H63)*100,1),")")</f>
        <v>(91)</v>
      </c>
      <c r="D63" s="302">
        <f>SUM(D61:D62)</f>
        <v>3.3077253219202504E-2</v>
      </c>
      <c r="E63" s="299" t="str">
        <f>CONCATENATE("(",ROUND((D63/$H63)*100,1),")")</f>
        <v>(9)</v>
      </c>
      <c r="F63" s="302">
        <f>SUM(F61:F62)</f>
        <v>0</v>
      </c>
      <c r="G63" s="299" t="str">
        <f>CONCATENATE("(",ROUND((F63/$H63)*100,1),")")</f>
        <v>(0)</v>
      </c>
      <c r="H63" s="302">
        <f>SUM(H61:H62)</f>
        <v>0.36700000000000038</v>
      </c>
      <c r="I63" s="299" t="str">
        <f>CONCATENATE("(",ROUND((H63/$H63)*100,1),")")</f>
        <v>(100)</v>
      </c>
      <c r="K63" s="302">
        <f t="shared" si="62"/>
        <v>-9.4139097504014113E-2</v>
      </c>
      <c r="L63" s="302">
        <f t="shared" si="63"/>
        <v>-5.860902495985143E-3</v>
      </c>
      <c r="M63" s="302">
        <f t="shared" si="64"/>
        <v>0</v>
      </c>
      <c r="N63" s="302">
        <f t="shared" si="65"/>
        <v>-9.9999999999999256E-2</v>
      </c>
    </row>
    <row r="64" spans="1:14" x14ac:dyDescent="0.2">
      <c r="A64" s="293"/>
      <c r="B64" s="294"/>
      <c r="C64" s="293"/>
      <c r="D64" s="294"/>
      <c r="E64" s="293"/>
      <c r="F64" s="294"/>
      <c r="G64" s="293"/>
      <c r="H64" s="294"/>
      <c r="I64" s="293"/>
      <c r="J64" s="293"/>
      <c r="K64" s="294"/>
      <c r="L64" s="294"/>
      <c r="M64" s="294"/>
      <c r="N64" s="294"/>
    </row>
    <row r="68" spans="1:14" x14ac:dyDescent="0.2">
      <c r="A68" s="288"/>
      <c r="B68" s="289" t="s">
        <v>372</v>
      </c>
      <c r="C68" s="288"/>
      <c r="D68" s="289"/>
      <c r="E68" s="288"/>
      <c r="F68" s="289" t="str">
        <f>name!B6</f>
        <v>Food drink and tobacco</v>
      </c>
      <c r="G68" s="288"/>
      <c r="H68" s="291"/>
      <c r="I68" s="288"/>
      <c r="J68" s="290"/>
      <c r="K68" s="291"/>
      <c r="L68" s="291"/>
      <c r="M68" s="291"/>
      <c r="N68" s="291"/>
    </row>
    <row r="69" spans="1:14" x14ac:dyDescent="0.2">
      <c r="N69" s="287" t="s">
        <v>370</v>
      </c>
    </row>
    <row r="70" spans="1:14" x14ac:dyDescent="0.2">
      <c r="A70" s="182" t="s">
        <v>371</v>
      </c>
      <c r="B70" s="372" t="s">
        <v>369</v>
      </c>
      <c r="C70" s="372"/>
      <c r="D70" s="372" t="s">
        <v>368</v>
      </c>
      <c r="E70" s="372"/>
      <c r="F70" s="372" t="s">
        <v>367</v>
      </c>
      <c r="G70" s="372"/>
      <c r="H70" s="372" t="s">
        <v>33</v>
      </c>
      <c r="I70" s="372"/>
      <c r="J70" s="182"/>
      <c r="K70" s="297" t="s">
        <v>345</v>
      </c>
      <c r="L70" s="297" t="s">
        <v>347</v>
      </c>
      <c r="M70" s="297" t="s">
        <v>343</v>
      </c>
      <c r="N70" s="297" t="s">
        <v>33</v>
      </c>
    </row>
    <row r="71" spans="1:14" x14ac:dyDescent="0.2">
      <c r="A71" s="292">
        <f>$A$8</f>
        <v>2020</v>
      </c>
      <c r="B71" s="287" t="s">
        <v>66</v>
      </c>
      <c r="C71" s="20" t="s">
        <v>366</v>
      </c>
      <c r="D71" s="287" t="s">
        <v>66</v>
      </c>
      <c r="E71" s="20" t="s">
        <v>366</v>
      </c>
      <c r="F71" s="287" t="s">
        <v>66</v>
      </c>
      <c r="G71" s="20" t="s">
        <v>366</v>
      </c>
      <c r="H71" s="287" t="s">
        <v>66</v>
      </c>
      <c r="I71" s="20" t="s">
        <v>366</v>
      </c>
      <c r="J71" s="182"/>
      <c r="K71" s="286" t="str">
        <f>CONCATENATE(A71," - ",A76)</f>
        <v>2020 - 2025</v>
      </c>
      <c r="L71" s="285"/>
      <c r="M71" s="285"/>
    </row>
    <row r="72" spans="1:14" x14ac:dyDescent="0.2">
      <c r="A72" s="282" t="s">
        <v>364</v>
      </c>
      <c r="B72" s="302">
        <f>'Ind T6'!L27</f>
        <v>2.4903068905757082</v>
      </c>
      <c r="C72" s="299" t="str">
        <f>CONCATENATE("(",ROUND((B72/$H74)*100,1),")")</f>
        <v>(56.3)</v>
      </c>
      <c r="D72" s="302">
        <f>'Ind T6'!M27</f>
        <v>0.13833005211309363</v>
      </c>
      <c r="E72" s="299" t="str">
        <f>CONCATENATE("(",ROUND((D72/$H74)*100,1),")")</f>
        <v>(3.1)</v>
      </c>
      <c r="F72" s="302">
        <f>'Ind T6'!N27</f>
        <v>0</v>
      </c>
      <c r="G72" s="299" t="str">
        <f>CONCATENATE("(",ROUND((F72/$H74)*100,1),")")</f>
        <v>(0)</v>
      </c>
      <c r="H72" s="302">
        <f>SUM(B72,D72,F72)</f>
        <v>2.6286369426888019</v>
      </c>
      <c r="I72" s="299" t="str">
        <f>CONCATENATE("(",ROUND((H72/$H74)*100,1),")")</f>
        <v>(59.4)</v>
      </c>
      <c r="K72" s="302">
        <f>B77-B72</f>
        <v>-2.1654385113765162E-2</v>
      </c>
      <c r="L72" s="302">
        <f>D77-D72</f>
        <v>1.776162192390629E-4</v>
      </c>
      <c r="M72" s="302">
        <f>F77-F72</f>
        <v>0</v>
      </c>
      <c r="N72" s="302">
        <f>SUM(K72:M72)</f>
        <v>-2.1476768894526099E-2</v>
      </c>
    </row>
    <row r="73" spans="1:14" x14ac:dyDescent="0.2">
      <c r="A73" s="282" t="s">
        <v>365</v>
      </c>
      <c r="B73" s="302">
        <f>'Ind T6'!L26</f>
        <v>1.3126716849812945</v>
      </c>
      <c r="C73" s="299" t="str">
        <f>CONCATENATE("(",ROUND((B73/$H74)*100,1),")")</f>
        <v>(29.7)</v>
      </c>
      <c r="D73" s="302">
        <f>'Ind T6'!M26</f>
        <v>0.44390040533594977</v>
      </c>
      <c r="E73" s="299" t="str">
        <f>CONCATENATE("(",ROUND((D73/$H74)*100,1),")")</f>
        <v>(10)</v>
      </c>
      <c r="F73" s="302">
        <f>'Ind T6'!N26</f>
        <v>3.8790966993952007E-2</v>
      </c>
      <c r="G73" s="299" t="str">
        <f>CONCATENATE("(",ROUND((F73/$H74)*100,1),")")</f>
        <v>(0.9)</v>
      </c>
      <c r="H73" s="302">
        <f t="shared" ref="H73" si="66">SUM(B73,D73,F73)</f>
        <v>1.7953630573111961</v>
      </c>
      <c r="I73" s="299" t="str">
        <f>CONCATENATE("(",ROUND((H73/$H74)*100,1),")")</f>
        <v>(40.6)</v>
      </c>
      <c r="K73" s="302">
        <f t="shared" ref="K73:K74" si="67">B78-B73</f>
        <v>5.1939485412556774E-2</v>
      </c>
      <c r="L73" s="302">
        <f t="shared" ref="L73:L74" si="68">D78-D73</f>
        <v>1.2813565604141708E-4</v>
      </c>
      <c r="M73" s="302">
        <f t="shared" ref="M73:M74" si="69">F78-F73</f>
        <v>1.4091478259380188E-3</v>
      </c>
      <c r="N73" s="302">
        <f t="shared" ref="N73:N74" si="70">SUM(K73:M73)</f>
        <v>5.347676889453621E-2</v>
      </c>
    </row>
    <row r="74" spans="1:14" x14ac:dyDescent="0.2">
      <c r="A74" s="282" t="s">
        <v>363</v>
      </c>
      <c r="B74" s="302">
        <f>SUM(B72:B73)</f>
        <v>3.8029785755570025</v>
      </c>
      <c r="C74" s="299" t="str">
        <f>CONCATENATE("(",ROUND((B74/$H74)*100,1),")")</f>
        <v>(86)</v>
      </c>
      <c r="D74" s="302">
        <f>SUM(D72:D73)</f>
        <v>0.58223045744904334</v>
      </c>
      <c r="E74" s="299" t="str">
        <f>CONCATENATE("(",ROUND((D74/$H74)*100,1),")")</f>
        <v>(13.2)</v>
      </c>
      <c r="F74" s="302">
        <f>SUM(F72:F73)</f>
        <v>3.8790966993952007E-2</v>
      </c>
      <c r="G74" s="299" t="str">
        <f>CONCATENATE("(",ROUND((F74/$H74)*100,1),")")</f>
        <v>(0.9)</v>
      </c>
      <c r="H74" s="302">
        <f>SUM(H72:H73)</f>
        <v>4.4239999999999977</v>
      </c>
      <c r="I74" s="299" t="str">
        <f>CONCATENATE("(",ROUND((H74/$H74)*100,1),")")</f>
        <v>(100)</v>
      </c>
      <c r="K74" s="302">
        <f t="shared" si="67"/>
        <v>3.0285100298791612E-2</v>
      </c>
      <c r="L74" s="302">
        <f t="shared" si="68"/>
        <v>3.0575187528047998E-4</v>
      </c>
      <c r="M74" s="302">
        <f t="shared" si="69"/>
        <v>1.4091478259380188E-3</v>
      </c>
      <c r="N74" s="302">
        <f t="shared" si="70"/>
        <v>3.2000000000010111E-2</v>
      </c>
    </row>
    <row r="75" spans="1:14" x14ac:dyDescent="0.2">
      <c r="B75" s="302"/>
      <c r="C75" s="284"/>
      <c r="D75" s="302"/>
      <c r="E75" s="284"/>
      <c r="F75" s="302"/>
      <c r="G75" s="284"/>
      <c r="H75" s="302"/>
      <c r="I75" s="284"/>
    </row>
    <row r="76" spans="1:14" x14ac:dyDescent="0.2">
      <c r="A76" s="292">
        <f>$A$13</f>
        <v>2025</v>
      </c>
      <c r="B76" s="302"/>
      <c r="C76" s="284"/>
      <c r="D76" s="302"/>
      <c r="E76" s="284"/>
      <c r="F76" s="302"/>
      <c r="G76" s="284"/>
      <c r="H76" s="302"/>
      <c r="I76" s="284"/>
      <c r="K76" s="286" t="str">
        <f>CONCATENATE(A76," - ",A81)</f>
        <v>2025 - 2035</v>
      </c>
    </row>
    <row r="77" spans="1:14" x14ac:dyDescent="0.2">
      <c r="A77" s="282" t="s">
        <v>364</v>
      </c>
      <c r="B77" s="302">
        <f>'Ind T6'!Q27</f>
        <v>2.468652505461943</v>
      </c>
      <c r="C77" s="299" t="str">
        <f>CONCATENATE("(",ROUND((B77/$H79)*100,1),")")</f>
        <v>(55.4)</v>
      </c>
      <c r="D77" s="302">
        <f>'Ind T6'!R27</f>
        <v>0.13850766833233269</v>
      </c>
      <c r="E77" s="299" t="str">
        <f>CONCATENATE("(",ROUND((D77/$H79)*100,1),")")</f>
        <v>(3.1)</v>
      </c>
      <c r="F77" s="302">
        <f>'Ind T6'!S27</f>
        <v>0</v>
      </c>
      <c r="G77" s="299" t="str">
        <f>CONCATENATE("(",ROUND((F77/$H79)*100,1),")")</f>
        <v>(0)</v>
      </c>
      <c r="H77" s="302">
        <f>SUM(B77,D77,F77)</f>
        <v>2.6071601737942758</v>
      </c>
      <c r="I77" s="299" t="str">
        <f>CONCATENATE("(",ROUND((H77/$H79)*100,1),")")</f>
        <v>(58.5)</v>
      </c>
      <c r="K77" s="302">
        <f>B82-B77</f>
        <v>-0.14268815639586796</v>
      </c>
      <c r="L77" s="302">
        <f>D82-D77</f>
        <v>-5.0207206239389623E-3</v>
      </c>
      <c r="M77" s="302">
        <f>F82-F77</f>
        <v>0</v>
      </c>
      <c r="N77" s="302">
        <f>SUM(K77:M77)</f>
        <v>-0.14770887701980692</v>
      </c>
    </row>
    <row r="78" spans="1:14" x14ac:dyDescent="0.2">
      <c r="A78" s="282" t="s">
        <v>365</v>
      </c>
      <c r="B78" s="302">
        <f>'Ind T6'!Q26</f>
        <v>1.3646111703938513</v>
      </c>
      <c r="C78" s="299" t="str">
        <f>CONCATENATE("(",ROUND((B78/$H79)*100,1),")")</f>
        <v>(30.6)</v>
      </c>
      <c r="D78" s="302">
        <f>'Ind T6'!R26</f>
        <v>0.44402854099199118</v>
      </c>
      <c r="E78" s="299" t="str">
        <f>CONCATENATE("(",ROUND((D78/$H79)*100,1),")")</f>
        <v>(10)</v>
      </c>
      <c r="F78" s="302">
        <f>'Ind T6'!S26</f>
        <v>4.0200114819890026E-2</v>
      </c>
      <c r="G78" s="299" t="str">
        <f>CONCATENATE("(",ROUND((F78/$H79)*100,1),")")</f>
        <v>(0.9)</v>
      </c>
      <c r="H78" s="302">
        <f t="shared" ref="H78" si="71">SUM(B78,D78,F78)</f>
        <v>1.8488398262057326</v>
      </c>
      <c r="I78" s="299" t="str">
        <f>CONCATENATE("(",ROUND((H78/$H79)*100,1),")")</f>
        <v>(41.5)</v>
      </c>
      <c r="K78" s="302">
        <f t="shared" ref="K78:K79" si="72">B83-B78</f>
        <v>3.937894535068942E-2</v>
      </c>
      <c r="L78" s="302">
        <f t="shared" ref="L78:L79" si="73">D83-D78</f>
        <v>-1.9064614320591977E-2</v>
      </c>
      <c r="M78" s="302">
        <f t="shared" ref="M78:M79" si="74">F83-F78</f>
        <v>3.9454598970544569E-4</v>
      </c>
      <c r="N78" s="302">
        <f t="shared" ref="N78:N79" si="75">SUM(K78:M78)</f>
        <v>2.0708877019802889E-2</v>
      </c>
    </row>
    <row r="79" spans="1:14" x14ac:dyDescent="0.2">
      <c r="A79" s="282" t="s">
        <v>363</v>
      </c>
      <c r="B79" s="302">
        <f>SUM(B77:B78)</f>
        <v>3.8332636758557941</v>
      </c>
      <c r="C79" s="299" t="str">
        <f>CONCATENATE("(",ROUND((B79/$H79)*100,1),")")</f>
        <v>(86)</v>
      </c>
      <c r="D79" s="302">
        <f>SUM(D77:D78)</f>
        <v>0.58253620932432382</v>
      </c>
      <c r="E79" s="299" t="str">
        <f>CONCATENATE("(",ROUND((D79/$H79)*100,1),")")</f>
        <v>(13.1)</v>
      </c>
      <c r="F79" s="302">
        <f>SUM(F77:F78)</f>
        <v>4.0200114819890026E-2</v>
      </c>
      <c r="G79" s="299" t="str">
        <f>CONCATENATE("(",ROUND((F79/$H79)*100,1),")")</f>
        <v>(0.9)</v>
      </c>
      <c r="H79" s="302">
        <f>SUM(H77:H78)</f>
        <v>4.4560000000000084</v>
      </c>
      <c r="I79" s="299" t="str">
        <f>CONCATENATE("(",ROUND((H79/$H79)*100,1),")")</f>
        <v>(100)</v>
      </c>
      <c r="K79" s="302">
        <f t="shared" si="72"/>
        <v>-0.1033092110451781</v>
      </c>
      <c r="L79" s="302">
        <f t="shared" si="73"/>
        <v>-2.4085334944530912E-2</v>
      </c>
      <c r="M79" s="302">
        <f t="shared" si="74"/>
        <v>3.9454598970544569E-4</v>
      </c>
      <c r="N79" s="302">
        <f t="shared" si="75"/>
        <v>-0.12700000000000355</v>
      </c>
    </row>
    <row r="80" spans="1:14" x14ac:dyDescent="0.2">
      <c r="B80" s="302"/>
      <c r="C80" s="284"/>
      <c r="D80" s="302"/>
      <c r="E80" s="284"/>
      <c r="F80" s="302"/>
      <c r="G80" s="284"/>
      <c r="H80" s="302"/>
      <c r="I80" s="284"/>
    </row>
    <row r="81" spans="1:14" x14ac:dyDescent="0.2">
      <c r="A81" s="292">
        <f>$A$18</f>
        <v>2035</v>
      </c>
      <c r="B81" s="302"/>
      <c r="C81" s="284"/>
      <c r="D81" s="302"/>
      <c r="E81" s="284"/>
      <c r="F81" s="302"/>
      <c r="G81" s="284"/>
      <c r="H81" s="302"/>
      <c r="I81" s="284"/>
      <c r="K81" s="286" t="str">
        <f>CONCATENATE(A71," - ",A81)</f>
        <v>2020 - 2035</v>
      </c>
    </row>
    <row r="82" spans="1:14" x14ac:dyDescent="0.2">
      <c r="A82" s="282" t="s">
        <v>364</v>
      </c>
      <c r="B82" s="302">
        <f>'Ind T6'!V27</f>
        <v>2.3259643490660751</v>
      </c>
      <c r="C82" s="299" t="str">
        <f>CONCATENATE("(",ROUND((B82/$H84)*100,1),")")</f>
        <v>(53.7)</v>
      </c>
      <c r="D82" s="302">
        <f>'Ind T6'!W27</f>
        <v>0.13348694770839373</v>
      </c>
      <c r="E82" s="299" t="str">
        <f>CONCATENATE("(",ROUND((D82/$H84)*100,1),")")</f>
        <v>(3.1)</v>
      </c>
      <c r="F82" s="302">
        <f>'Ind T6'!X27</f>
        <v>0</v>
      </c>
      <c r="G82" s="299" t="str">
        <f>CONCATENATE("(",ROUND((F82/$H84)*100,1),")")</f>
        <v>(0)</v>
      </c>
      <c r="H82" s="302">
        <f>SUM(B82,D82,F82)</f>
        <v>2.4594512967744686</v>
      </c>
      <c r="I82" s="299" t="str">
        <f>CONCATENATE("(",ROUND((H82/$H84)*100,1),")")</f>
        <v>(56.8)</v>
      </c>
      <c r="K82" s="302">
        <f>B82-B72</f>
        <v>-0.16434254150963312</v>
      </c>
      <c r="L82" s="302">
        <f>D82-D72</f>
        <v>-4.8431044046998994E-3</v>
      </c>
      <c r="M82" s="302">
        <f>F82-F72</f>
        <v>0</v>
      </c>
      <c r="N82" s="302">
        <f>SUM(K82:M82)</f>
        <v>-0.16918564591433302</v>
      </c>
    </row>
    <row r="83" spans="1:14" x14ac:dyDescent="0.2">
      <c r="A83" s="282" t="s">
        <v>365</v>
      </c>
      <c r="B83" s="302">
        <f>'Ind T6'!V26</f>
        <v>1.4039901157445407</v>
      </c>
      <c r="C83" s="299" t="str">
        <f>CONCATENATE("(",ROUND((B83/$H84)*100,1),")")</f>
        <v>(32.4)</v>
      </c>
      <c r="D83" s="302">
        <f>'Ind T6'!W26</f>
        <v>0.42496392667139921</v>
      </c>
      <c r="E83" s="299" t="str">
        <f>CONCATENATE("(",ROUND((D83/$H84)*100,1),")")</f>
        <v>(9.8)</v>
      </c>
      <c r="F83" s="302">
        <f>'Ind T6'!X26</f>
        <v>4.0594660809595472E-2</v>
      </c>
      <c r="G83" s="299" t="str">
        <f>CONCATENATE("(",ROUND((F83/$H84)*100,1),")")</f>
        <v>(0.9)</v>
      </c>
      <c r="H83" s="302">
        <f t="shared" ref="H83" si="76">SUM(B83,D83,F83)</f>
        <v>1.8695487032255353</v>
      </c>
      <c r="I83" s="299" t="str">
        <f>CONCATENATE("(",ROUND((H83/$H84)*100,1),")")</f>
        <v>(43.2)</v>
      </c>
      <c r="K83" s="302">
        <f t="shared" ref="K83:K84" si="77">B83-B73</f>
        <v>9.1318430763246194E-2</v>
      </c>
      <c r="L83" s="302">
        <f t="shared" ref="L83:L84" si="78">D83-D73</f>
        <v>-1.893647866455056E-2</v>
      </c>
      <c r="M83" s="302">
        <f t="shared" ref="M83:M84" si="79">F83-F73</f>
        <v>1.8036938156434645E-3</v>
      </c>
      <c r="N83" s="302">
        <f t="shared" ref="N83:N84" si="80">SUM(K83:M83)</f>
        <v>7.4185645914339099E-2</v>
      </c>
    </row>
    <row r="84" spans="1:14" x14ac:dyDescent="0.2">
      <c r="A84" s="282" t="s">
        <v>363</v>
      </c>
      <c r="B84" s="302">
        <f>SUM(B82:B83)</f>
        <v>3.729954464810616</v>
      </c>
      <c r="C84" s="299" t="str">
        <f>CONCATENATE("(",ROUND((B84/$H84)*100,1),")")</f>
        <v>(86.2)</v>
      </c>
      <c r="D84" s="302">
        <f>SUM(D82:D83)</f>
        <v>0.55845087437979291</v>
      </c>
      <c r="E84" s="299" t="str">
        <f>CONCATENATE("(",ROUND((D84/$H84)*100,1),")")</f>
        <v>(12.9)</v>
      </c>
      <c r="F84" s="302">
        <f>SUM(F82:F83)</f>
        <v>4.0594660809595472E-2</v>
      </c>
      <c r="G84" s="299" t="str">
        <f>CONCATENATE("(",ROUND((F84/$H84)*100,1),")")</f>
        <v>(0.9)</v>
      </c>
      <c r="H84" s="302">
        <f>SUM(H82:H83)</f>
        <v>4.3290000000000042</v>
      </c>
      <c r="I84" s="299" t="str">
        <f>CONCATENATE("(",ROUND((H84/$H84)*100,1),")")</f>
        <v>(100)</v>
      </c>
      <c r="K84" s="302">
        <f t="shared" si="77"/>
        <v>-7.3024110746386484E-2</v>
      </c>
      <c r="L84" s="302">
        <f t="shared" si="78"/>
        <v>-2.3779583069250432E-2</v>
      </c>
      <c r="M84" s="302">
        <f t="shared" si="79"/>
        <v>1.8036938156434645E-3</v>
      </c>
      <c r="N84" s="302">
        <f t="shared" si="80"/>
        <v>-9.4999999999993451E-2</v>
      </c>
    </row>
    <row r="85" spans="1:14" x14ac:dyDescent="0.2">
      <c r="A85" s="293"/>
      <c r="B85" s="294"/>
      <c r="C85" s="293"/>
      <c r="D85" s="294"/>
      <c r="E85" s="293"/>
      <c r="F85" s="294"/>
      <c r="G85" s="293"/>
      <c r="H85" s="294"/>
      <c r="I85" s="293"/>
      <c r="J85" s="293"/>
      <c r="K85" s="294"/>
      <c r="L85" s="294"/>
      <c r="M85" s="294"/>
      <c r="N85" s="294"/>
    </row>
    <row r="89" spans="1:14" x14ac:dyDescent="0.2">
      <c r="A89" s="288"/>
      <c r="B89" s="289" t="s">
        <v>372</v>
      </c>
      <c r="C89" s="288"/>
      <c r="D89" s="289"/>
      <c r="E89" s="288"/>
      <c r="F89" s="289" t="str">
        <f>name!B7</f>
        <v>Engineering</v>
      </c>
      <c r="G89" s="288"/>
      <c r="H89" s="291"/>
      <c r="I89" s="288"/>
      <c r="J89" s="290"/>
      <c r="K89" s="291"/>
      <c r="L89" s="291"/>
      <c r="M89" s="291"/>
      <c r="N89" s="291"/>
    </row>
    <row r="90" spans="1:14" x14ac:dyDescent="0.2">
      <c r="N90" s="287" t="s">
        <v>370</v>
      </c>
    </row>
    <row r="91" spans="1:14" x14ac:dyDescent="0.2">
      <c r="A91" s="182" t="s">
        <v>371</v>
      </c>
      <c r="B91" s="372" t="s">
        <v>369</v>
      </c>
      <c r="C91" s="372"/>
      <c r="D91" s="372" t="s">
        <v>368</v>
      </c>
      <c r="E91" s="372"/>
      <c r="F91" s="372" t="s">
        <v>367</v>
      </c>
      <c r="G91" s="372"/>
      <c r="H91" s="372" t="s">
        <v>33</v>
      </c>
      <c r="I91" s="372"/>
      <c r="J91" s="182"/>
      <c r="K91" s="297" t="s">
        <v>345</v>
      </c>
      <c r="L91" s="297" t="s">
        <v>347</v>
      </c>
      <c r="M91" s="297" t="s">
        <v>343</v>
      </c>
      <c r="N91" s="297" t="s">
        <v>33</v>
      </c>
    </row>
    <row r="92" spans="1:14" x14ac:dyDescent="0.2">
      <c r="A92" s="292">
        <f>$A$8</f>
        <v>2020</v>
      </c>
      <c r="B92" s="287" t="s">
        <v>66</v>
      </c>
      <c r="C92" s="20" t="s">
        <v>366</v>
      </c>
      <c r="D92" s="287" t="s">
        <v>66</v>
      </c>
      <c r="E92" s="20" t="s">
        <v>366</v>
      </c>
      <c r="F92" s="287" t="s">
        <v>66</v>
      </c>
      <c r="G92" s="20" t="s">
        <v>366</v>
      </c>
      <c r="H92" s="287" t="s">
        <v>66</v>
      </c>
      <c r="I92" s="20" t="s">
        <v>366</v>
      </c>
      <c r="J92" s="182"/>
      <c r="K92" s="286" t="str">
        <f>CONCATENATE(A92," - ",A97)</f>
        <v>2020 - 2025</v>
      </c>
      <c r="L92" s="285"/>
      <c r="M92" s="285"/>
    </row>
    <row r="93" spans="1:14" x14ac:dyDescent="0.2">
      <c r="A93" s="282" t="s">
        <v>364</v>
      </c>
      <c r="B93" s="302">
        <f>'Ind T6'!L36</f>
        <v>7.6599396882668671</v>
      </c>
      <c r="C93" s="299" t="str">
        <f>CONCATENATE("(",ROUND((B93/$H95)*100,1),")")</f>
        <v>(74.2)</v>
      </c>
      <c r="D93" s="302">
        <f>'Ind T6'!M36</f>
        <v>0.13608872901756422</v>
      </c>
      <c r="E93" s="299" t="str">
        <f>CONCATENATE("(",ROUND((D93/$H95)*100,1),")")</f>
        <v>(1.3)</v>
      </c>
      <c r="F93" s="302">
        <f>'Ind T6'!N36</f>
        <v>1.8557553956828102E-3</v>
      </c>
      <c r="G93" s="299" t="str">
        <f>CONCATENATE("(",ROUND((F93/$H95)*100,1),")")</f>
        <v>(0)</v>
      </c>
      <c r="H93" s="302">
        <f>SUM(B93,D93,F93)</f>
        <v>7.7978841726801145</v>
      </c>
      <c r="I93" s="299" t="str">
        <f>CONCATENATE("(",ROUND((H93/$H95)*100,1),")")</f>
        <v>(75.6)</v>
      </c>
      <c r="K93" s="302">
        <f>B98-B93</f>
        <v>9.1718460118493716E-2</v>
      </c>
      <c r="L93" s="302">
        <f>D98-D93</f>
        <v>1.8319448470175859E-2</v>
      </c>
      <c r="M93" s="302">
        <f>F98-F93</f>
        <v>-1.7562806578293134E-5</v>
      </c>
      <c r="N93" s="302">
        <f>SUM(K93:M93)</f>
        <v>0.11002034578209129</v>
      </c>
    </row>
    <row r="94" spans="1:14" x14ac:dyDescent="0.2">
      <c r="A94" s="282" t="s">
        <v>365</v>
      </c>
      <c r="B94" s="302">
        <f>'Ind T6'!L35</f>
        <v>2.1780382493826802</v>
      </c>
      <c r="C94" s="299" t="str">
        <f>CONCATENATE("(",ROUND((B94/$H95)*100,1),")")</f>
        <v>(21.1)</v>
      </c>
      <c r="D94" s="302">
        <f>'Ind T6'!M35</f>
        <v>0.23196942446120233</v>
      </c>
      <c r="E94" s="299" t="str">
        <f>CONCATENATE("(",ROUND((D94/$H95)*100,1),")")</f>
        <v>(2.2)</v>
      </c>
      <c r="F94" s="302">
        <f>'Ind T6'!N35</f>
        <v>0.11010815347599393</v>
      </c>
      <c r="G94" s="299" t="str">
        <f>CONCATENATE("(",ROUND((F94/$H95)*100,1),")")</f>
        <v>(1.1)</v>
      </c>
      <c r="H94" s="302">
        <f t="shared" ref="H94" si="81">SUM(B94,D94,F94)</f>
        <v>2.5201158273198767</v>
      </c>
      <c r="I94" s="299" t="str">
        <f>CONCATENATE("(",ROUND((H94/$H95)*100,1),")")</f>
        <v>(24.4)</v>
      </c>
      <c r="K94" s="302">
        <f t="shared" ref="K94:K95" si="82">B99-B94</f>
        <v>9.7031445177818476E-2</v>
      </c>
      <c r="L94" s="302">
        <f t="shared" ref="L94:L95" si="83">D99-D94</f>
        <v>2.1701152851688499E-2</v>
      </c>
      <c r="M94" s="302">
        <f t="shared" ref="M94:M95" si="84">F99-F94</f>
        <v>3.2470561884197779E-3</v>
      </c>
      <c r="N94" s="302">
        <f t="shared" ref="N94:N95" si="85">SUM(K94:M94)</f>
        <v>0.12197965421792675</v>
      </c>
    </row>
    <row r="95" spans="1:14" x14ac:dyDescent="0.2">
      <c r="A95" s="282" t="s">
        <v>363</v>
      </c>
      <c r="B95" s="302">
        <f>SUM(B93:B94)</f>
        <v>9.8379779376495478</v>
      </c>
      <c r="C95" s="299" t="str">
        <f>CONCATENATE("(",ROUND((B95/$H95)*100,1),")")</f>
        <v>(95.3)</v>
      </c>
      <c r="D95" s="302">
        <f>SUM(D93:D94)</f>
        <v>0.36805815347876658</v>
      </c>
      <c r="E95" s="299" t="str">
        <f>CONCATENATE("(",ROUND((D95/$H95)*100,1),")")</f>
        <v>(3.6)</v>
      </c>
      <c r="F95" s="302">
        <f>SUM(F93:F94)</f>
        <v>0.11196390887167673</v>
      </c>
      <c r="G95" s="299" t="str">
        <f>CONCATENATE("(",ROUND((F95/$H95)*100,1),")")</f>
        <v>(1.1)</v>
      </c>
      <c r="H95" s="302">
        <f>SUM(H93:H94)</f>
        <v>10.317999999999991</v>
      </c>
      <c r="I95" s="299" t="str">
        <f>CONCATENATE("(",ROUND((H95/$H95)*100,1),")")</f>
        <v>(100)</v>
      </c>
      <c r="K95" s="302">
        <f t="shared" si="82"/>
        <v>0.18874990529631219</v>
      </c>
      <c r="L95" s="302">
        <f t="shared" si="83"/>
        <v>4.0020601321864357E-2</v>
      </c>
      <c r="M95" s="302">
        <f t="shared" si="84"/>
        <v>3.2294933818414889E-3</v>
      </c>
      <c r="N95" s="302">
        <f t="shared" si="85"/>
        <v>0.23200000000001803</v>
      </c>
    </row>
    <row r="96" spans="1:14" x14ac:dyDescent="0.2">
      <c r="B96" s="302"/>
      <c r="C96" s="284"/>
      <c r="D96" s="302"/>
      <c r="E96" s="284"/>
      <c r="F96" s="302"/>
      <c r="G96" s="284"/>
      <c r="H96" s="302"/>
      <c r="I96" s="284"/>
    </row>
    <row r="97" spans="1:14" x14ac:dyDescent="0.2">
      <c r="A97" s="292">
        <f>$A$13</f>
        <v>2025</v>
      </c>
      <c r="B97" s="302"/>
      <c r="C97" s="284"/>
      <c r="D97" s="302"/>
      <c r="E97" s="284"/>
      <c r="F97" s="302"/>
      <c r="G97" s="284"/>
      <c r="H97" s="302"/>
      <c r="I97" s="284"/>
      <c r="K97" s="286" t="str">
        <f>CONCATENATE(A97," - ",A102)</f>
        <v>2025 - 2035</v>
      </c>
    </row>
    <row r="98" spans="1:14" x14ac:dyDescent="0.2">
      <c r="A98" s="282" t="s">
        <v>364</v>
      </c>
      <c r="B98" s="302">
        <f>'Ind T6'!Q36</f>
        <v>7.7516581483853608</v>
      </c>
      <c r="C98" s="299" t="str">
        <f>CONCATENATE("(",ROUND((B98/$H100)*100,1),")")</f>
        <v>(73.5)</v>
      </c>
      <c r="D98" s="302">
        <f>'Ind T6'!R36</f>
        <v>0.15440817748774008</v>
      </c>
      <c r="E98" s="299" t="str">
        <f>CONCATENATE("(",ROUND((D98/$H100)*100,1),")")</f>
        <v>(1.5)</v>
      </c>
      <c r="F98" s="302">
        <f>'Ind T6'!S36</f>
        <v>1.8381925891045171E-3</v>
      </c>
      <c r="G98" s="299" t="str">
        <f>CONCATENATE("(",ROUND((F98/$H100)*100,1),")")</f>
        <v>(0)</v>
      </c>
      <c r="H98" s="302">
        <f>SUM(B98,D98,F98)</f>
        <v>7.9079045184622059</v>
      </c>
      <c r="I98" s="299" t="str">
        <f>CONCATENATE("(",ROUND((H98/$H100)*100,1),")")</f>
        <v>(75)</v>
      </c>
      <c r="K98" s="302">
        <f>B103-B98</f>
        <v>-0.8570822301802723</v>
      </c>
      <c r="L98" s="302">
        <f>D103-D98</f>
        <v>5.4176460646829516E-3</v>
      </c>
      <c r="M98" s="302">
        <f>F103-F98</f>
        <v>-4.9097549368236348E-5</v>
      </c>
      <c r="N98" s="302">
        <f>SUM(K98:M98)</f>
        <v>-0.85171368166495753</v>
      </c>
    </row>
    <row r="99" spans="1:14" x14ac:dyDescent="0.2">
      <c r="A99" s="282" t="s">
        <v>365</v>
      </c>
      <c r="B99" s="302">
        <f>'Ind T6'!Q35</f>
        <v>2.2750696945604987</v>
      </c>
      <c r="C99" s="299" t="str">
        <f>CONCATENATE("(",ROUND((B99/$H100)*100,1),")")</f>
        <v>(21.6)</v>
      </c>
      <c r="D99" s="302">
        <f>'Ind T6'!R35</f>
        <v>0.25367057731289083</v>
      </c>
      <c r="E99" s="299" t="str">
        <f>CONCATENATE("(",ROUND((D99/$H100)*100,1),")")</f>
        <v>(2.4)</v>
      </c>
      <c r="F99" s="302">
        <f>'Ind T6'!S35</f>
        <v>0.1133552096644137</v>
      </c>
      <c r="G99" s="299" t="str">
        <f>CONCATENATE("(",ROUND((F99/$H100)*100,1),")")</f>
        <v>(1.1)</v>
      </c>
      <c r="H99" s="302">
        <f t="shared" ref="H99" si="86">SUM(B99,D99,F99)</f>
        <v>2.6420954815378033</v>
      </c>
      <c r="I99" s="299" t="str">
        <f>CONCATENATE("(",ROUND((H99/$H100)*100,1),")")</f>
        <v>(25)</v>
      </c>
      <c r="K99" s="302">
        <f t="shared" ref="K99:K100" si="87">B104-B99</f>
        <v>-0.22834496907126889</v>
      </c>
      <c r="L99" s="302">
        <f t="shared" ref="L99:L100" si="88">D104-D99</f>
        <v>-1.2739111958516236E-2</v>
      </c>
      <c r="M99" s="302">
        <f t="shared" ref="M99:M100" si="89">F104-F99</f>
        <v>-7.2022373052887112E-3</v>
      </c>
      <c r="N99" s="302">
        <f t="shared" ref="N99:N100" si="90">SUM(K99:M99)</f>
        <v>-0.24828631833507384</v>
      </c>
    </row>
    <row r="100" spans="1:14" x14ac:dyDescent="0.2">
      <c r="A100" s="282" t="s">
        <v>363</v>
      </c>
      <c r="B100" s="302">
        <f>SUM(B98:B99)</f>
        <v>10.02672784294586</v>
      </c>
      <c r="C100" s="299" t="str">
        <f>CONCATENATE("(",ROUND((B100/$H100)*100,1),")")</f>
        <v>(95)</v>
      </c>
      <c r="D100" s="302">
        <f>SUM(D98:D99)</f>
        <v>0.40807875480063094</v>
      </c>
      <c r="E100" s="299" t="str">
        <f>CONCATENATE("(",ROUND((D100/$H100)*100,1),")")</f>
        <v>(3.9)</v>
      </c>
      <c r="F100" s="302">
        <f>SUM(F98:F99)</f>
        <v>0.11519340225351822</v>
      </c>
      <c r="G100" s="299" t="str">
        <f>CONCATENATE("(",ROUND((F100/$H100)*100,1),")")</f>
        <v>(1.1)</v>
      </c>
      <c r="H100" s="302">
        <f>SUM(H98:H99)</f>
        <v>10.55000000000001</v>
      </c>
      <c r="I100" s="299" t="str">
        <f>CONCATENATE("(",ROUND((H100/$H100)*100,1),")")</f>
        <v>(100)</v>
      </c>
      <c r="K100" s="302">
        <f t="shared" si="87"/>
        <v>-1.0854271992515407</v>
      </c>
      <c r="L100" s="302">
        <f t="shared" si="88"/>
        <v>-7.3214658938333121E-3</v>
      </c>
      <c r="M100" s="302">
        <f t="shared" si="89"/>
        <v>-7.2513348546569545E-3</v>
      </c>
      <c r="N100" s="302">
        <f t="shared" si="90"/>
        <v>-1.1000000000000312</v>
      </c>
    </row>
    <row r="101" spans="1:14" x14ac:dyDescent="0.2">
      <c r="B101" s="302"/>
      <c r="C101" s="284"/>
      <c r="D101" s="302"/>
      <c r="E101" s="284"/>
      <c r="F101" s="302"/>
      <c r="G101" s="284"/>
      <c r="H101" s="302"/>
      <c r="I101" s="284"/>
    </row>
    <row r="102" spans="1:14" x14ac:dyDescent="0.2">
      <c r="A102" s="292">
        <f>$A$18</f>
        <v>2035</v>
      </c>
      <c r="B102" s="302"/>
      <c r="C102" s="284"/>
      <c r="D102" s="302"/>
      <c r="E102" s="284"/>
      <c r="F102" s="302"/>
      <c r="G102" s="284"/>
      <c r="H102" s="302"/>
      <c r="I102" s="284"/>
      <c r="K102" s="286" t="str">
        <f>CONCATENATE(A92," - ",A102)</f>
        <v>2020 - 2035</v>
      </c>
    </row>
    <row r="103" spans="1:14" x14ac:dyDescent="0.2">
      <c r="A103" s="282" t="s">
        <v>364</v>
      </c>
      <c r="B103" s="302">
        <f>'Ind T6'!V36</f>
        <v>6.8945759182050885</v>
      </c>
      <c r="C103" s="299" t="str">
        <f>CONCATENATE("(",ROUND((B103/$H105)*100,1),")")</f>
        <v>(73)</v>
      </c>
      <c r="D103" s="302">
        <f>'Ind T6'!W36</f>
        <v>0.15982582355242303</v>
      </c>
      <c r="E103" s="299" t="str">
        <f>CONCATENATE("(",ROUND((D103/$H105)*100,1),")")</f>
        <v>(1.7)</v>
      </c>
      <c r="F103" s="302">
        <f>'Ind T6'!X36</f>
        <v>1.7890950397362808E-3</v>
      </c>
      <c r="G103" s="299" t="str">
        <f>CONCATENATE("(",ROUND((F103/$H105)*100,1),")")</f>
        <v>(0)</v>
      </c>
      <c r="H103" s="302">
        <f>SUM(B103,D103,F103)</f>
        <v>7.0561908367972483</v>
      </c>
      <c r="I103" s="299" t="str">
        <f>CONCATENATE("(",ROUND((H103/$H105)*100,1),")")</f>
        <v>(74.7)</v>
      </c>
      <c r="K103" s="302">
        <f>B103-B93</f>
        <v>-0.76536377006177858</v>
      </c>
      <c r="L103" s="302">
        <f>D103-D93</f>
        <v>2.373709453485881E-2</v>
      </c>
      <c r="M103" s="302">
        <f>F103-F93</f>
        <v>-6.6660355946529483E-5</v>
      </c>
      <c r="N103" s="302">
        <f>SUM(K103:M103)</f>
        <v>-0.74169333588286623</v>
      </c>
    </row>
    <row r="104" spans="1:14" x14ac:dyDescent="0.2">
      <c r="A104" s="282" t="s">
        <v>365</v>
      </c>
      <c r="B104" s="302">
        <f>'Ind T6'!V35</f>
        <v>2.0467247254892298</v>
      </c>
      <c r="C104" s="299" t="str">
        <f>CONCATENATE("(",ROUND((B104/$H105)*100,1),")")</f>
        <v>(21.7)</v>
      </c>
      <c r="D104" s="302">
        <f>'Ind T6'!W35</f>
        <v>0.2409314653543746</v>
      </c>
      <c r="E104" s="299" t="str">
        <f>CONCATENATE("(",ROUND((D104/$H105)*100,1),")")</f>
        <v>(2.5)</v>
      </c>
      <c r="F104" s="302">
        <f>'Ind T6'!X35</f>
        <v>0.10615297235912499</v>
      </c>
      <c r="G104" s="299" t="str">
        <f>CONCATENATE("(",ROUND((F104/$H105)*100,1),")")</f>
        <v>(1.1)</v>
      </c>
      <c r="H104" s="302">
        <f t="shared" ref="H104" si="91">SUM(B104,D104,F104)</f>
        <v>2.3938091632027292</v>
      </c>
      <c r="I104" s="299" t="str">
        <f>CONCATENATE("(",ROUND((H104/$H105)*100,1),")")</f>
        <v>(25.3)</v>
      </c>
      <c r="K104" s="302">
        <f t="shared" ref="K104:K105" si="92">B104-B94</f>
        <v>-0.13131352389345041</v>
      </c>
      <c r="L104" s="302">
        <f t="shared" ref="L104:L105" si="93">D104-D94</f>
        <v>8.9620408931722628E-3</v>
      </c>
      <c r="M104" s="302">
        <f t="shared" ref="M104:M105" si="94">F104-F94</f>
        <v>-3.9551811168689333E-3</v>
      </c>
      <c r="N104" s="302">
        <f t="shared" ref="N104:N105" si="95">SUM(K104:M104)</f>
        <v>-0.12630666411714708</v>
      </c>
    </row>
    <row r="105" spans="1:14" x14ac:dyDescent="0.2">
      <c r="A105" s="282" t="s">
        <v>363</v>
      </c>
      <c r="B105" s="302">
        <f>SUM(B103:B104)</f>
        <v>8.9413006436943192</v>
      </c>
      <c r="C105" s="299" t="str">
        <f>CONCATENATE("(",ROUND((B105/$H105)*100,1),")")</f>
        <v>(94.6)</v>
      </c>
      <c r="D105" s="302">
        <f>SUM(D103:D104)</f>
        <v>0.40075728890679763</v>
      </c>
      <c r="E105" s="299" t="str">
        <f>CONCATENATE("(",ROUND((D105/$H105)*100,1),")")</f>
        <v>(4.2)</v>
      </c>
      <c r="F105" s="302">
        <f>SUM(F103:F104)</f>
        <v>0.10794206739886127</v>
      </c>
      <c r="G105" s="299" t="str">
        <f>CONCATENATE("(",ROUND((F105/$H105)*100,1),")")</f>
        <v>(1.1)</v>
      </c>
      <c r="H105" s="302">
        <f>SUM(H103:H104)</f>
        <v>9.449999999999978</v>
      </c>
      <c r="I105" s="299" t="str">
        <f>CONCATENATE("(",ROUND((H105/$H105)*100,1),")")</f>
        <v>(100)</v>
      </c>
      <c r="K105" s="302">
        <f t="shared" si="92"/>
        <v>-0.89667729395522855</v>
      </c>
      <c r="L105" s="302">
        <f t="shared" si="93"/>
        <v>3.2699135428031045E-2</v>
      </c>
      <c r="M105" s="302">
        <f t="shared" si="94"/>
        <v>-4.0218414728154656E-3</v>
      </c>
      <c r="N105" s="302">
        <f t="shared" si="95"/>
        <v>-0.86800000000001298</v>
      </c>
    </row>
    <row r="106" spans="1:14" x14ac:dyDescent="0.2">
      <c r="A106" s="293"/>
      <c r="B106" s="294"/>
      <c r="C106" s="293"/>
      <c r="D106" s="294"/>
      <c r="E106" s="293"/>
      <c r="F106" s="294"/>
      <c r="G106" s="293"/>
      <c r="H106" s="294"/>
      <c r="I106" s="293"/>
      <c r="J106" s="293"/>
      <c r="K106" s="294"/>
      <c r="L106" s="294"/>
      <c r="M106" s="294"/>
      <c r="N106" s="294"/>
    </row>
    <row r="107" spans="1:14" x14ac:dyDescent="0.2">
      <c r="A107" s="295"/>
    </row>
    <row r="109" spans="1:14" x14ac:dyDescent="0.2">
      <c r="C109" s="182"/>
      <c r="E109" s="182"/>
      <c r="G109" s="182"/>
      <c r="I109" s="182"/>
    </row>
    <row r="110" spans="1:14" x14ac:dyDescent="0.2">
      <c r="A110" s="288"/>
      <c r="B110" s="289" t="s">
        <v>372</v>
      </c>
      <c r="C110" s="288"/>
      <c r="D110" s="289"/>
      <c r="E110" s="288"/>
      <c r="F110" s="289" t="str">
        <f>name!B8</f>
        <v>Rest of manufacturing</v>
      </c>
      <c r="G110" s="288"/>
      <c r="H110" s="291"/>
      <c r="I110" s="288"/>
      <c r="J110" s="290"/>
      <c r="K110" s="291"/>
      <c r="L110" s="291"/>
      <c r="M110" s="291"/>
      <c r="N110" s="291"/>
    </row>
    <row r="111" spans="1:14" x14ac:dyDescent="0.2">
      <c r="N111" s="287" t="s">
        <v>370</v>
      </c>
    </row>
    <row r="112" spans="1:14" x14ac:dyDescent="0.2">
      <c r="A112" s="182" t="s">
        <v>371</v>
      </c>
      <c r="B112" s="372" t="s">
        <v>369</v>
      </c>
      <c r="C112" s="372"/>
      <c r="D112" s="372" t="s">
        <v>368</v>
      </c>
      <c r="E112" s="372"/>
      <c r="F112" s="372" t="s">
        <v>367</v>
      </c>
      <c r="G112" s="372"/>
      <c r="H112" s="372" t="s">
        <v>33</v>
      </c>
      <c r="I112" s="372"/>
      <c r="J112" s="182"/>
      <c r="K112" s="297" t="s">
        <v>345</v>
      </c>
      <c r="L112" s="297" t="s">
        <v>347</v>
      </c>
      <c r="M112" s="297" t="s">
        <v>343</v>
      </c>
      <c r="N112" s="297" t="s">
        <v>33</v>
      </c>
    </row>
    <row r="113" spans="1:14" x14ac:dyDescent="0.2">
      <c r="A113" s="292">
        <f>$A$8</f>
        <v>2020</v>
      </c>
      <c r="B113" s="287" t="s">
        <v>66</v>
      </c>
      <c r="C113" s="20" t="s">
        <v>366</v>
      </c>
      <c r="D113" s="287" t="s">
        <v>66</v>
      </c>
      <c r="E113" s="20" t="s">
        <v>366</v>
      </c>
      <c r="F113" s="287" t="s">
        <v>66</v>
      </c>
      <c r="G113" s="20" t="s">
        <v>366</v>
      </c>
      <c r="H113" s="287" t="s">
        <v>66</v>
      </c>
      <c r="I113" s="20" t="s">
        <v>366</v>
      </c>
      <c r="J113" s="182"/>
      <c r="K113" s="286" t="str">
        <f>CONCATENATE(A113," - ",A118)</f>
        <v>2020 - 2025</v>
      </c>
      <c r="L113" s="285"/>
      <c r="M113" s="285"/>
    </row>
    <row r="114" spans="1:14" x14ac:dyDescent="0.2">
      <c r="A114" s="282" t="s">
        <v>364</v>
      </c>
      <c r="B114" s="302">
        <f>'Ind T6'!L45</f>
        <v>32.15313545279254</v>
      </c>
      <c r="C114" s="299" t="str">
        <f>CONCATENATE("(",ROUND((B114/$H116)*100,1),")")</f>
        <v>(79.6)</v>
      </c>
      <c r="D114" s="302">
        <f>'Ind T6'!M45</f>
        <v>0.78920441222347915</v>
      </c>
      <c r="E114" s="299" t="str">
        <f>CONCATENATE("(",ROUND((D114/$H116)*100,1),")")</f>
        <v>(2)</v>
      </c>
      <c r="F114" s="302">
        <f>'Ind T6'!N45</f>
        <v>2.1786181151833661E-3</v>
      </c>
      <c r="G114" s="299" t="str">
        <f>CONCATENATE("(",ROUND((F114/$H116)*100,1),")")</f>
        <v>(0)</v>
      </c>
      <c r="H114" s="302">
        <f>SUM(B114,D114,F114)</f>
        <v>32.944518483131198</v>
      </c>
      <c r="I114" s="299" t="str">
        <f>CONCATENATE("(",ROUND((H114/$H116)*100,1),")")</f>
        <v>(81.5)</v>
      </c>
      <c r="K114" s="302">
        <f>B119-B114</f>
        <v>-1.1943214114895575</v>
      </c>
      <c r="L114" s="302">
        <f>D119-D114</f>
        <v>-3.2200908887709989E-2</v>
      </c>
      <c r="M114" s="302">
        <f>F119-F114</f>
        <v>1.2419521116133377E-5</v>
      </c>
      <c r="N114" s="302">
        <f>SUM(K114:M114)</f>
        <v>-1.2265099008561513</v>
      </c>
    </row>
    <row r="115" spans="1:14" x14ac:dyDescent="0.2">
      <c r="A115" s="282" t="s">
        <v>365</v>
      </c>
      <c r="B115" s="302">
        <f>'Ind T6'!L44</f>
        <v>5.7831417866688755</v>
      </c>
      <c r="C115" s="299" t="str">
        <f>CONCATENATE("(",ROUND((B115/$H116)*100,1),")")</f>
        <v>(14.3)</v>
      </c>
      <c r="D115" s="302">
        <f>'Ind T6'!M44</f>
        <v>1.2608752341602731</v>
      </c>
      <c r="E115" s="299" t="str">
        <f>CONCATENATE("(",ROUND((D115/$H116)*100,1),")")</f>
        <v>(3.1)</v>
      </c>
      <c r="F115" s="302">
        <f>'Ind T6'!N44</f>
        <v>0.42646449603964931</v>
      </c>
      <c r="G115" s="299" t="str">
        <f>CONCATENATE("(",ROUND((F115/$H116)*100,1),")")</f>
        <v>(1.1)</v>
      </c>
      <c r="H115" s="302">
        <f t="shared" ref="H115" si="96">SUM(B115,D115,F115)</f>
        <v>7.4704815168687979</v>
      </c>
      <c r="I115" s="299" t="str">
        <f>CONCATENATE("(",ROUND((H115/$H116)*100,1),")")</f>
        <v>(18.5)</v>
      </c>
      <c r="K115" s="302">
        <f t="shared" ref="K115:K116" si="97">B120-B115</f>
        <v>-0.16806008409332751</v>
      </c>
      <c r="L115" s="302">
        <f t="shared" ref="L115:L116" si="98">D120-D115</f>
        <v>-4.3753827139034751E-2</v>
      </c>
      <c r="M115" s="302">
        <f t="shared" ref="M115:M116" si="99">F120-F115</f>
        <v>-4.4676187911580512E-2</v>
      </c>
      <c r="N115" s="302">
        <f t="shared" ref="N115:N116" si="100">SUM(K115:M115)</f>
        <v>-0.25649009914394277</v>
      </c>
    </row>
    <row r="116" spans="1:14" x14ac:dyDescent="0.2">
      <c r="A116" s="282" t="s">
        <v>363</v>
      </c>
      <c r="B116" s="302">
        <f>SUM(B114:B115)</f>
        <v>37.936277239461418</v>
      </c>
      <c r="C116" s="299" t="str">
        <f>CONCATENATE("(",ROUND((B116/$H116)*100,1),")")</f>
        <v>(93.9)</v>
      </c>
      <c r="D116" s="302">
        <f>SUM(D114:D115)</f>
        <v>2.0500796463837521</v>
      </c>
      <c r="E116" s="299" t="str">
        <f>CONCATENATE("(",ROUND((D116/$H116)*100,1),")")</f>
        <v>(5.1)</v>
      </c>
      <c r="F116" s="302">
        <f>SUM(F114:F115)</f>
        <v>0.42864311415483269</v>
      </c>
      <c r="G116" s="299" t="str">
        <f>CONCATENATE("(",ROUND((F116/$H116)*100,1),")")</f>
        <v>(1.1)</v>
      </c>
      <c r="H116" s="302">
        <f>SUM(H114:H115)</f>
        <v>40.414999999999992</v>
      </c>
      <c r="I116" s="299" t="str">
        <f>CONCATENATE("(",ROUND((H116/$H116)*100,1),")")</f>
        <v>(100)</v>
      </c>
      <c r="K116" s="302">
        <f t="shared" si="97"/>
        <v>-1.3623814955828877</v>
      </c>
      <c r="L116" s="302">
        <f t="shared" si="98"/>
        <v>-7.5954736026744518E-2</v>
      </c>
      <c r="M116" s="302">
        <f t="shared" si="99"/>
        <v>-4.4663768390464376E-2</v>
      </c>
      <c r="N116" s="302">
        <f t="shared" si="100"/>
        <v>-1.4830000000000965</v>
      </c>
    </row>
    <row r="117" spans="1:14" x14ac:dyDescent="0.2">
      <c r="B117" s="302"/>
      <c r="C117" s="284"/>
      <c r="D117" s="302"/>
      <c r="E117" s="284"/>
      <c r="F117" s="302"/>
      <c r="G117" s="284"/>
      <c r="H117" s="302"/>
      <c r="I117" s="284"/>
    </row>
    <row r="118" spans="1:14" x14ac:dyDescent="0.2">
      <c r="A118" s="292">
        <f>$A$13</f>
        <v>2025</v>
      </c>
      <c r="B118" s="302"/>
      <c r="C118" s="284"/>
      <c r="D118" s="302"/>
      <c r="E118" s="284"/>
      <c r="F118" s="302"/>
      <c r="G118" s="284"/>
      <c r="H118" s="302"/>
      <c r="I118" s="284"/>
      <c r="K118" s="286" t="str">
        <f>CONCATENATE(A118," - ",A123)</f>
        <v>2025 - 2035</v>
      </c>
    </row>
    <row r="119" spans="1:14" x14ac:dyDescent="0.2">
      <c r="A119" s="282" t="s">
        <v>364</v>
      </c>
      <c r="B119" s="302">
        <f>'Ind T6'!Q45</f>
        <v>30.958814041302983</v>
      </c>
      <c r="C119" s="299" t="str">
        <f>CONCATENATE("(",ROUND((B119/$H121)*100,1),")")</f>
        <v>(79.5)</v>
      </c>
      <c r="D119" s="302">
        <f>'Ind T6'!R45</f>
        <v>0.75700350333576916</v>
      </c>
      <c r="E119" s="299" t="str">
        <f>CONCATENATE("(",ROUND((D119/$H121)*100,1),")")</f>
        <v>(1.9)</v>
      </c>
      <c r="F119" s="302">
        <f>'Ind T6'!S45</f>
        <v>2.1910376362994995E-3</v>
      </c>
      <c r="G119" s="299" t="str">
        <f>CONCATENATE("(",ROUND((F119/$H121)*100,1),")")</f>
        <v>(0)</v>
      </c>
      <c r="H119" s="302">
        <f>SUM(B119,D119,F119)</f>
        <v>31.718008582275054</v>
      </c>
      <c r="I119" s="299" t="str">
        <f>CONCATENATE("(",ROUND((H119/$H121)*100,1),")")</f>
        <v>(81.5)</v>
      </c>
      <c r="K119" s="302">
        <f>B124-B119</f>
        <v>-3.0527408709897585</v>
      </c>
      <c r="L119" s="302">
        <f>D124-D119</f>
        <v>-6.5641796547783016E-2</v>
      </c>
      <c r="M119" s="302">
        <f>F124-F119</f>
        <v>1.6022880203934997E-5</v>
      </c>
      <c r="N119" s="302">
        <f>SUM(K119:M119)</f>
        <v>-3.1183666446573377</v>
      </c>
    </row>
    <row r="120" spans="1:14" x14ac:dyDescent="0.2">
      <c r="A120" s="282" t="s">
        <v>365</v>
      </c>
      <c r="B120" s="302">
        <f>'Ind T6'!Q44</f>
        <v>5.615081702575548</v>
      </c>
      <c r="C120" s="299" t="str">
        <f>CONCATENATE("(",ROUND((B120/$H121)*100,1),")")</f>
        <v>(14.4)</v>
      </c>
      <c r="D120" s="302">
        <f>'Ind T6'!R44</f>
        <v>1.2171214070212384</v>
      </c>
      <c r="E120" s="299" t="str">
        <f>CONCATENATE("(",ROUND((D120/$H121)*100,1),")")</f>
        <v>(3.1)</v>
      </c>
      <c r="F120" s="302">
        <f>'Ind T6'!S44</f>
        <v>0.3817883081280688</v>
      </c>
      <c r="G120" s="299" t="str">
        <f>CONCATENATE("(",ROUND((F120/$H121)*100,1),")")</f>
        <v>(1)</v>
      </c>
      <c r="H120" s="302">
        <f t="shared" ref="H120" si="101">SUM(B120,D120,F120)</f>
        <v>7.2139914177248556</v>
      </c>
      <c r="I120" s="299" t="str">
        <f>CONCATENATE("(",ROUND((H120/$H121)*100,1),")")</f>
        <v>(18.5)</v>
      </c>
      <c r="K120" s="302">
        <f t="shared" ref="K120:K121" si="102">B125-B120</f>
        <v>-0.39759064159712398</v>
      </c>
      <c r="L120" s="302">
        <f t="shared" ref="L120:L121" si="103">D125-D120</f>
        <v>-9.6486429772499216E-2</v>
      </c>
      <c r="M120" s="302">
        <f t="shared" ref="M120:M121" si="104">F125-F120</f>
        <v>-4.35562839729281E-2</v>
      </c>
      <c r="N120" s="302">
        <f t="shared" ref="N120:N121" si="105">SUM(K120:M120)</f>
        <v>-0.5376333553425513</v>
      </c>
    </row>
    <row r="121" spans="1:14" x14ac:dyDescent="0.2">
      <c r="A121" s="282" t="s">
        <v>363</v>
      </c>
      <c r="B121" s="302">
        <f>SUM(B119:B120)</f>
        <v>36.573895743878531</v>
      </c>
      <c r="C121" s="299" t="str">
        <f>CONCATENATE("(",ROUND((B121/$H121)*100,1),")")</f>
        <v>(93.9)</v>
      </c>
      <c r="D121" s="302">
        <f>SUM(D119:D120)</f>
        <v>1.9741249103570075</v>
      </c>
      <c r="E121" s="299" t="str">
        <f>CONCATENATE("(",ROUND((D121/$H121)*100,1),")")</f>
        <v>(5.1)</v>
      </c>
      <c r="F121" s="302">
        <f>SUM(F119:F120)</f>
        <v>0.38397934576436832</v>
      </c>
      <c r="G121" s="299" t="str">
        <f>CONCATENATE("(",ROUND((F121/$H121)*100,1),")")</f>
        <v>(1)</v>
      </c>
      <c r="H121" s="302">
        <f>SUM(H119:H120)</f>
        <v>38.93199999999991</v>
      </c>
      <c r="I121" s="299" t="str">
        <f>CONCATENATE("(",ROUND((H121/$H121)*100,1),")")</f>
        <v>(100)</v>
      </c>
      <c r="K121" s="302">
        <f t="shared" si="102"/>
        <v>-3.4503315125868852</v>
      </c>
      <c r="L121" s="302">
        <f t="shared" si="103"/>
        <v>-0.16212822632028234</v>
      </c>
      <c r="M121" s="302">
        <f t="shared" si="104"/>
        <v>-4.3540261092724186E-2</v>
      </c>
      <c r="N121" s="302">
        <f t="shared" si="105"/>
        <v>-3.6559999999998918</v>
      </c>
    </row>
    <row r="122" spans="1:14" x14ac:dyDescent="0.2">
      <c r="B122" s="302"/>
      <c r="C122" s="284"/>
      <c r="D122" s="302"/>
      <c r="E122" s="284"/>
      <c r="F122" s="302"/>
      <c r="G122" s="284"/>
      <c r="H122" s="302"/>
      <c r="I122" s="284"/>
    </row>
    <row r="123" spans="1:14" x14ac:dyDescent="0.2">
      <c r="A123" s="292">
        <f>$A$18</f>
        <v>2035</v>
      </c>
      <c r="B123" s="302"/>
      <c r="C123" s="284"/>
      <c r="D123" s="302"/>
      <c r="E123" s="284"/>
      <c r="F123" s="302"/>
      <c r="G123" s="284"/>
      <c r="H123" s="302"/>
      <c r="I123" s="284"/>
      <c r="K123" s="286" t="str">
        <f>CONCATENATE(A113," - ",A123)</f>
        <v>2020 - 2035</v>
      </c>
    </row>
    <row r="124" spans="1:14" x14ac:dyDescent="0.2">
      <c r="A124" s="282" t="s">
        <v>364</v>
      </c>
      <c r="B124" s="302">
        <f>'Ind T6'!V45</f>
        <v>27.906073170313224</v>
      </c>
      <c r="C124" s="299" t="str">
        <f>CONCATENATE("(",ROUND((B124/$H126)*100,1),")")</f>
        <v>(79.1)</v>
      </c>
      <c r="D124" s="302">
        <f>'Ind T6'!W45</f>
        <v>0.69136170678798614</v>
      </c>
      <c r="E124" s="299" t="str">
        <f>CONCATENATE("(",ROUND((D124/$H126)*100,1),")")</f>
        <v>(2)</v>
      </c>
      <c r="F124" s="302">
        <f>'Ind T6'!X45</f>
        <v>2.2070605165034345E-3</v>
      </c>
      <c r="G124" s="299" t="str">
        <f>CONCATENATE("(",ROUND((F124/$H126)*100,1),")")</f>
        <v>(0)</v>
      </c>
      <c r="H124" s="302">
        <f>SUM(B124,D124,F124)</f>
        <v>28.599641937617715</v>
      </c>
      <c r="I124" s="299" t="str">
        <f>CONCATENATE("(",ROUND((H124/$H126)*100,1),")")</f>
        <v>(81.1)</v>
      </c>
      <c r="K124" s="302">
        <f>B124-B114</f>
        <v>-4.2470622824793161</v>
      </c>
      <c r="L124" s="302">
        <f>D124-D114</f>
        <v>-9.7842705435493005E-2</v>
      </c>
      <c r="M124" s="302">
        <f>F124-F114</f>
        <v>2.8442401320068374E-5</v>
      </c>
      <c r="N124" s="302">
        <f>SUM(K124:M124)</f>
        <v>-4.3448765455134888</v>
      </c>
    </row>
    <row r="125" spans="1:14" x14ac:dyDescent="0.2">
      <c r="A125" s="282" t="s">
        <v>365</v>
      </c>
      <c r="B125" s="302">
        <f>'Ind T6'!V44</f>
        <v>5.217491060978424</v>
      </c>
      <c r="C125" s="299" t="str">
        <f>CONCATENATE("(",ROUND((B125/$H126)*100,1),")")</f>
        <v>(14.8)</v>
      </c>
      <c r="D125" s="302">
        <f>'Ind T6'!W44</f>
        <v>1.1206349772487392</v>
      </c>
      <c r="E125" s="299" t="str">
        <f>CONCATENATE("(",ROUND((D125/$H126)*100,1),")")</f>
        <v>(3.2)</v>
      </c>
      <c r="F125" s="302">
        <f>'Ind T6'!X44</f>
        <v>0.3382320241551407</v>
      </c>
      <c r="G125" s="299" t="str">
        <f>CONCATENATE("(",ROUND((F125/$H126)*100,1),")")</f>
        <v>(1)</v>
      </c>
      <c r="H125" s="302">
        <f t="shared" ref="H125" si="106">SUM(B125,D125,F125)</f>
        <v>6.6763580623823033</v>
      </c>
      <c r="I125" s="299" t="str">
        <f>CONCATENATE("(",ROUND((H125/$H126)*100,1),")")</f>
        <v>(18.9)</v>
      </c>
      <c r="K125" s="302">
        <f t="shared" ref="K125:K126" si="107">B125-B115</f>
        <v>-0.56565072569045149</v>
      </c>
      <c r="L125" s="302">
        <f t="shared" ref="L125:L126" si="108">D125-D115</f>
        <v>-0.14024025691153397</v>
      </c>
      <c r="M125" s="302">
        <f t="shared" ref="M125:M126" si="109">F125-F115</f>
        <v>-8.8232471884508612E-2</v>
      </c>
      <c r="N125" s="302">
        <f t="shared" ref="N125:N126" si="110">SUM(K125:M125)</f>
        <v>-0.79412345448649413</v>
      </c>
    </row>
    <row r="126" spans="1:14" x14ac:dyDescent="0.2">
      <c r="A126" s="282" t="s">
        <v>363</v>
      </c>
      <c r="B126" s="302">
        <f>SUM(B124:B125)</f>
        <v>33.123564231291645</v>
      </c>
      <c r="C126" s="299" t="str">
        <f>CONCATENATE("(",ROUND((B126/$H126)*100,1),")")</f>
        <v>(93.9)</v>
      </c>
      <c r="D126" s="302">
        <f>SUM(D124:D125)</f>
        <v>1.8119966840367252</v>
      </c>
      <c r="E126" s="299" t="str">
        <f>CONCATENATE("(",ROUND((D126/$H126)*100,1),")")</f>
        <v>(5.1)</v>
      </c>
      <c r="F126" s="302">
        <f>SUM(F124:F125)</f>
        <v>0.34043908467164413</v>
      </c>
      <c r="G126" s="299" t="str">
        <f>CONCATENATE("(",ROUND((F126/$H126)*100,1),")")</f>
        <v>(1)</v>
      </c>
      <c r="H126" s="302">
        <f>SUM(H124:H125)</f>
        <v>35.276000000000018</v>
      </c>
      <c r="I126" s="299" t="str">
        <f>CONCATENATE("(",ROUND((H126/$H126)*100,1),")")</f>
        <v>(100)</v>
      </c>
      <c r="K126" s="302">
        <f t="shared" si="107"/>
        <v>-4.8127130081697729</v>
      </c>
      <c r="L126" s="302">
        <f t="shared" si="108"/>
        <v>-0.23808296234702686</v>
      </c>
      <c r="M126" s="302">
        <f t="shared" si="109"/>
        <v>-8.8204029483188562E-2</v>
      </c>
      <c r="N126" s="302">
        <f t="shared" si="110"/>
        <v>-5.1389999999999887</v>
      </c>
    </row>
    <row r="127" spans="1:14" x14ac:dyDescent="0.2">
      <c r="A127" s="293"/>
      <c r="B127" s="294"/>
      <c r="C127" s="293"/>
      <c r="D127" s="294"/>
      <c r="E127" s="293"/>
      <c r="F127" s="294"/>
      <c r="G127" s="293"/>
      <c r="H127" s="294"/>
      <c r="I127" s="293"/>
      <c r="J127" s="293"/>
      <c r="K127" s="294"/>
      <c r="L127" s="294"/>
      <c r="M127" s="294"/>
      <c r="N127" s="294"/>
    </row>
    <row r="131" spans="1:14" x14ac:dyDescent="0.2">
      <c r="A131" s="288"/>
      <c r="B131" s="289" t="s">
        <v>372</v>
      </c>
      <c r="C131" s="288"/>
      <c r="D131" s="289"/>
      <c r="E131" s="288"/>
      <c r="F131" s="289" t="str">
        <f>name!B9</f>
        <v>Electricity and gas</v>
      </c>
      <c r="G131" s="288"/>
      <c r="H131" s="291"/>
      <c r="I131" s="288"/>
      <c r="J131" s="290"/>
      <c r="K131" s="291"/>
      <c r="L131" s="291"/>
      <c r="M131" s="291"/>
      <c r="N131" s="291"/>
    </row>
    <row r="132" spans="1:14" x14ac:dyDescent="0.2">
      <c r="N132" s="287" t="s">
        <v>370</v>
      </c>
    </row>
    <row r="133" spans="1:14" x14ac:dyDescent="0.2">
      <c r="A133" s="182" t="s">
        <v>371</v>
      </c>
      <c r="B133" s="372" t="s">
        <v>369</v>
      </c>
      <c r="C133" s="372"/>
      <c r="D133" s="372" t="s">
        <v>368</v>
      </c>
      <c r="E133" s="372"/>
      <c r="F133" s="372" t="s">
        <v>367</v>
      </c>
      <c r="G133" s="372"/>
      <c r="H133" s="372" t="s">
        <v>33</v>
      </c>
      <c r="I133" s="372"/>
      <c r="J133" s="182"/>
      <c r="K133" s="297" t="s">
        <v>345</v>
      </c>
      <c r="L133" s="297" t="s">
        <v>347</v>
      </c>
      <c r="M133" s="297" t="s">
        <v>343</v>
      </c>
      <c r="N133" s="297" t="s">
        <v>33</v>
      </c>
    </row>
    <row r="134" spans="1:14" x14ac:dyDescent="0.2">
      <c r="A134" s="292">
        <f>$A$8</f>
        <v>2020</v>
      </c>
      <c r="B134" s="287" t="s">
        <v>66</v>
      </c>
      <c r="C134" s="20" t="s">
        <v>366</v>
      </c>
      <c r="D134" s="287" t="s">
        <v>66</v>
      </c>
      <c r="E134" s="20" t="s">
        <v>366</v>
      </c>
      <c r="F134" s="287" t="s">
        <v>66</v>
      </c>
      <c r="G134" s="20" t="s">
        <v>366</v>
      </c>
      <c r="H134" s="287" t="s">
        <v>66</v>
      </c>
      <c r="I134" s="20" t="s">
        <v>366</v>
      </c>
      <c r="J134" s="182"/>
      <c r="K134" s="286" t="str">
        <f>CONCATENATE(A134," - ",A139)</f>
        <v>2020 - 2025</v>
      </c>
      <c r="L134" s="285"/>
      <c r="M134" s="285"/>
    </row>
    <row r="135" spans="1:14" x14ac:dyDescent="0.2">
      <c r="A135" s="282" t="s">
        <v>364</v>
      </c>
      <c r="B135" s="302">
        <f>'Ind T6'!L54</f>
        <v>3.6526477772340411</v>
      </c>
      <c r="C135" s="299" t="str">
        <f>CONCATENATE("(",ROUND((B135/$H137)*100,1),")")</f>
        <v>(62.7)</v>
      </c>
      <c r="D135" s="302">
        <f>'Ind T6'!M54</f>
        <v>4.9513922814165091E-2</v>
      </c>
      <c r="E135" s="299" t="str">
        <f>CONCATENATE("(",ROUND((D135/$H137)*100,1),")")</f>
        <v>(0.9)</v>
      </c>
      <c r="F135" s="302">
        <f>'Ind T6'!N54</f>
        <v>0.40749389350212412</v>
      </c>
      <c r="G135" s="299" t="str">
        <f>CONCATENATE("(",ROUND((F135/$H137)*100,1),")")</f>
        <v>(7)</v>
      </c>
      <c r="H135" s="302">
        <f>SUM(B135,D135,F135)</f>
        <v>4.1096555935503307</v>
      </c>
      <c r="I135" s="299" t="str">
        <f>CONCATENATE("(",ROUND((H135/$H137)*100,1),")")</f>
        <v>(70.6)</v>
      </c>
      <c r="K135" s="302">
        <f>B140-B135</f>
        <v>-7.0154283665535111E-2</v>
      </c>
      <c r="L135" s="302">
        <f>D140-D135</f>
        <v>1.0036148027305763E-4</v>
      </c>
      <c r="M135" s="302">
        <f>F140-F135</f>
        <v>-3.7362695779702415E-3</v>
      </c>
      <c r="N135" s="302">
        <f>SUM(K135:M135)</f>
        <v>-7.3790191763232288E-2</v>
      </c>
    </row>
    <row r="136" spans="1:14" x14ac:dyDescent="0.2">
      <c r="A136" s="282" t="s">
        <v>365</v>
      </c>
      <c r="B136" s="302">
        <f>'Ind T6'!L53</f>
        <v>1.3630556912530911</v>
      </c>
      <c r="C136" s="299" t="str">
        <f>CONCATENATE("(",ROUND((B136/$H137)*100,1),")")</f>
        <v>(23.4)</v>
      </c>
      <c r="D136" s="302">
        <f>'Ind T6'!M53</f>
        <v>0.35228871519657662</v>
      </c>
      <c r="E136" s="299" t="str">
        <f>CONCATENATE("(",ROUND((D136/$H137)*100,1),")")</f>
        <v>(6)</v>
      </c>
      <c r="F136" s="302">
        <f>'Ind T6'!N53</f>
        <v>0</v>
      </c>
      <c r="G136" s="299" t="str">
        <f>CONCATENATE("(",ROUND((F136/$H137)*100,1),")")</f>
        <v>(0)</v>
      </c>
      <c r="H136" s="302">
        <f t="shared" ref="H136" si="111">SUM(B136,D136,F136)</f>
        <v>1.7153444064496677</v>
      </c>
      <c r="I136" s="299" t="str">
        <f>CONCATENATE("(",ROUND((H136/$H137)*100,1),")")</f>
        <v>(29.4)</v>
      </c>
      <c r="K136" s="302">
        <f t="shared" ref="K136:K137" si="112">B141-B136</f>
        <v>-5.2210831152683657E-3</v>
      </c>
      <c r="L136" s="302">
        <f t="shared" ref="L136:L137" si="113">D141-D136</f>
        <v>-4.9887251215061656E-3</v>
      </c>
      <c r="M136" s="302">
        <f t="shared" ref="M136:M137" si="114">F141-F136</f>
        <v>0</v>
      </c>
      <c r="N136" s="302">
        <f t="shared" ref="N136:N137" si="115">SUM(K136:M136)</f>
        <v>-1.0209808236774531E-2</v>
      </c>
    </row>
    <row r="137" spans="1:14" x14ac:dyDescent="0.2">
      <c r="A137" s="282" t="s">
        <v>363</v>
      </c>
      <c r="B137" s="302">
        <f>SUM(B135:B136)</f>
        <v>5.015703468487132</v>
      </c>
      <c r="C137" s="299" t="str">
        <f>CONCATENATE("(",ROUND((B137/$H137)*100,1),")")</f>
        <v>(86.1)</v>
      </c>
      <c r="D137" s="302">
        <f>SUM(D135:D136)</f>
        <v>0.40180263801074173</v>
      </c>
      <c r="E137" s="299" t="str">
        <f>CONCATENATE("(",ROUND((D137/$H137)*100,1),")")</f>
        <v>(6.9)</v>
      </c>
      <c r="F137" s="302">
        <f>SUM(F135:F136)</f>
        <v>0.40749389350212412</v>
      </c>
      <c r="G137" s="299" t="str">
        <f>CONCATENATE("(",ROUND((F137/$H137)*100,1),")")</f>
        <v>(7)</v>
      </c>
      <c r="H137" s="302">
        <f>SUM(H135:H136)</f>
        <v>5.8249999999999984</v>
      </c>
      <c r="I137" s="299" t="str">
        <f>CONCATENATE("(",ROUND((H137/$H137)*100,1),")")</f>
        <v>(100)</v>
      </c>
      <c r="K137" s="302">
        <f t="shared" si="112"/>
        <v>-7.5375366780803255E-2</v>
      </c>
      <c r="L137" s="302">
        <f t="shared" si="113"/>
        <v>-4.8883636412331288E-3</v>
      </c>
      <c r="M137" s="302">
        <f t="shared" si="114"/>
        <v>-3.7362695779702415E-3</v>
      </c>
      <c r="N137" s="302">
        <f t="shared" si="115"/>
        <v>-8.4000000000006625E-2</v>
      </c>
    </row>
    <row r="138" spans="1:14" x14ac:dyDescent="0.2">
      <c r="B138" s="302"/>
      <c r="C138" s="284"/>
      <c r="D138" s="302"/>
      <c r="E138" s="284"/>
      <c r="F138" s="302"/>
      <c r="G138" s="284"/>
      <c r="H138" s="302"/>
      <c r="I138" s="284"/>
    </row>
    <row r="139" spans="1:14" x14ac:dyDescent="0.2">
      <c r="A139" s="292">
        <f>$A$13</f>
        <v>2025</v>
      </c>
      <c r="B139" s="302"/>
      <c r="C139" s="284"/>
      <c r="D139" s="302"/>
      <c r="E139" s="284"/>
      <c r="F139" s="302"/>
      <c r="G139" s="284"/>
      <c r="H139" s="302"/>
      <c r="I139" s="284"/>
      <c r="K139" s="286" t="str">
        <f>CONCATENATE(A139," - ",A144)</f>
        <v>2025 - 2035</v>
      </c>
    </row>
    <row r="140" spans="1:14" x14ac:dyDescent="0.2">
      <c r="A140" s="282" t="s">
        <v>364</v>
      </c>
      <c r="B140" s="302">
        <f>'Ind T6'!Q54</f>
        <v>3.582493493568506</v>
      </c>
      <c r="C140" s="299" t="str">
        <f>CONCATENATE("(",ROUND((B140/$H142)*100,1),")")</f>
        <v>(62.4)</v>
      </c>
      <c r="D140" s="302">
        <f>'Ind T6'!R54</f>
        <v>4.9614284294438149E-2</v>
      </c>
      <c r="E140" s="299" t="str">
        <f>CONCATENATE("(",ROUND((D140/$H142)*100,1),")")</f>
        <v>(0.9)</v>
      </c>
      <c r="F140" s="302">
        <f>'Ind T6'!S54</f>
        <v>0.40375762392415387</v>
      </c>
      <c r="G140" s="299" t="str">
        <f>CONCATENATE("(",ROUND((F140/$H142)*100,1),")")</f>
        <v>(7)</v>
      </c>
      <c r="H140" s="302">
        <f>SUM(B140,D140,F140)</f>
        <v>4.0358654017870981</v>
      </c>
      <c r="I140" s="299" t="str">
        <f>CONCATENATE("(",ROUND((H140/$H142)*100,1),")")</f>
        <v>(70.3)</v>
      </c>
      <c r="K140" s="302">
        <f>B145-B140</f>
        <v>3.9934506828358529E-2</v>
      </c>
      <c r="L140" s="302">
        <f>D145-D140</f>
        <v>3.0007103431572008E-3</v>
      </c>
      <c r="M140" s="302">
        <f>F145-F140</f>
        <v>1.4302822609504495E-2</v>
      </c>
      <c r="N140" s="302">
        <f>SUM(K140:M140)</f>
        <v>5.7238039781020225E-2</v>
      </c>
    </row>
    <row r="141" spans="1:14" x14ac:dyDescent="0.2">
      <c r="A141" s="282" t="s">
        <v>365</v>
      </c>
      <c r="B141" s="302">
        <f>'Ind T6'!Q53</f>
        <v>1.3578346081378228</v>
      </c>
      <c r="C141" s="299" t="str">
        <f>CONCATENATE("(",ROUND((B141/$H142)*100,1),")")</f>
        <v>(23.7)</v>
      </c>
      <c r="D141" s="302">
        <f>'Ind T6'!R53</f>
        <v>0.34729999007507045</v>
      </c>
      <c r="E141" s="299" t="str">
        <f>CONCATENATE("(",ROUND((D141/$H142)*100,1),")")</f>
        <v>(6)</v>
      </c>
      <c r="F141" s="302">
        <f>'Ind T6'!S53</f>
        <v>0</v>
      </c>
      <c r="G141" s="299" t="str">
        <f>CONCATENATE("(",ROUND((F141/$H142)*100,1),")")</f>
        <v>(0)</v>
      </c>
      <c r="H141" s="302">
        <f t="shared" ref="H141" si="116">SUM(B141,D141,F141)</f>
        <v>1.7051345982128931</v>
      </c>
      <c r="I141" s="299" t="str">
        <f>CONCATENATE("(",ROUND((H141/$H142)*100,1),")")</f>
        <v>(29.7)</v>
      </c>
      <c r="K141" s="302">
        <f t="shared" ref="K141:K142" si="117">B146-B141</f>
        <v>5.9338834377726801E-2</v>
      </c>
      <c r="L141" s="302">
        <f t="shared" ref="L141:L142" si="118">D146-D141</f>
        <v>8.4231258412670873E-3</v>
      </c>
      <c r="M141" s="302">
        <f t="shared" ref="M141:M142" si="119">F146-F141</f>
        <v>0</v>
      </c>
      <c r="N141" s="302">
        <f t="shared" ref="N141:N142" si="120">SUM(K141:M141)</f>
        <v>6.7761960218993889E-2</v>
      </c>
    </row>
    <row r="142" spans="1:14" x14ac:dyDescent="0.2">
      <c r="A142" s="282" t="s">
        <v>363</v>
      </c>
      <c r="B142" s="302">
        <f>SUM(B140:B141)</f>
        <v>4.9403281017063287</v>
      </c>
      <c r="C142" s="299" t="str">
        <f>CONCATENATE("(",ROUND((B142/$H142)*100,1),")")</f>
        <v>(86.1)</v>
      </c>
      <c r="D142" s="302">
        <f>SUM(D140:D141)</f>
        <v>0.3969142743695086</v>
      </c>
      <c r="E142" s="299" t="str">
        <f>CONCATENATE("(",ROUND((D142/$H142)*100,1),")")</f>
        <v>(6.9)</v>
      </c>
      <c r="F142" s="302">
        <f>SUM(F140:F141)</f>
        <v>0.40375762392415387</v>
      </c>
      <c r="G142" s="299" t="str">
        <f>CONCATENATE("(",ROUND((F142/$H142)*100,1),")")</f>
        <v>(7)</v>
      </c>
      <c r="H142" s="302">
        <f>SUM(H140:H141)</f>
        <v>5.7409999999999908</v>
      </c>
      <c r="I142" s="299" t="str">
        <f>CONCATENATE("(",ROUND((H142/$H142)*100,1),")")</f>
        <v>(100)</v>
      </c>
      <c r="K142" s="302">
        <f t="shared" si="117"/>
        <v>9.9273341206084886E-2</v>
      </c>
      <c r="L142" s="302">
        <f t="shared" si="118"/>
        <v>1.1423836184424274E-2</v>
      </c>
      <c r="M142" s="302">
        <f t="shared" si="119"/>
        <v>1.4302822609504495E-2</v>
      </c>
      <c r="N142" s="302">
        <f t="shared" si="120"/>
        <v>0.12500000000001366</v>
      </c>
    </row>
    <row r="143" spans="1:14" x14ac:dyDescent="0.2">
      <c r="B143" s="302"/>
      <c r="C143" s="284"/>
      <c r="D143" s="302"/>
      <c r="E143" s="284"/>
      <c r="F143" s="302"/>
      <c r="G143" s="284"/>
      <c r="H143" s="302"/>
      <c r="I143" s="284"/>
    </row>
    <row r="144" spans="1:14" x14ac:dyDescent="0.2">
      <c r="A144" s="292">
        <f>$A$18</f>
        <v>2035</v>
      </c>
      <c r="B144" s="302"/>
      <c r="C144" s="284"/>
      <c r="D144" s="302"/>
      <c r="E144" s="284"/>
      <c r="F144" s="302"/>
      <c r="G144" s="284"/>
      <c r="H144" s="302"/>
      <c r="I144" s="284"/>
      <c r="K144" s="286" t="str">
        <f>CONCATENATE(A134," - ",A144)</f>
        <v>2020 - 2035</v>
      </c>
    </row>
    <row r="145" spans="1:14" x14ac:dyDescent="0.2">
      <c r="A145" s="282" t="s">
        <v>364</v>
      </c>
      <c r="B145" s="302">
        <f>'Ind T6'!V54</f>
        <v>3.6224280003968645</v>
      </c>
      <c r="C145" s="299" t="str">
        <f>CONCATENATE("(",ROUND((B145/$H147)*100,1),")")</f>
        <v>(61.8)</v>
      </c>
      <c r="D145" s="302">
        <f>'Ind T6'!W54</f>
        <v>5.261499463759535E-2</v>
      </c>
      <c r="E145" s="299" t="str">
        <f>CONCATENATE("(",ROUND((D145/$H147)*100,1),")")</f>
        <v>(0.9)</v>
      </c>
      <c r="F145" s="302">
        <f>'Ind T6'!X54</f>
        <v>0.41806044653365837</v>
      </c>
      <c r="G145" s="299" t="str">
        <f>CONCATENATE("(",ROUND((F145/$H147)*100,1),")")</f>
        <v>(7.1)</v>
      </c>
      <c r="H145" s="302">
        <f>SUM(B145,D145,F145)</f>
        <v>4.0931034415681182</v>
      </c>
      <c r="I145" s="299" t="str">
        <f>CONCATENATE("(",ROUND((H145/$H147)*100,1),")")</f>
        <v>(69.8)</v>
      </c>
      <c r="K145" s="302">
        <f>B145-B135</f>
        <v>-3.0219776837176582E-2</v>
      </c>
      <c r="L145" s="302">
        <f>D145-D135</f>
        <v>3.1010718234302584E-3</v>
      </c>
      <c r="M145" s="302">
        <f>F145-F135</f>
        <v>1.0566553031534254E-2</v>
      </c>
      <c r="N145" s="302">
        <f>SUM(K145:M145)</f>
        <v>-1.655215198221207E-2</v>
      </c>
    </row>
    <row r="146" spans="1:14" x14ac:dyDescent="0.2">
      <c r="A146" s="282" t="s">
        <v>365</v>
      </c>
      <c r="B146" s="302">
        <f>'Ind T6'!V53</f>
        <v>1.4171734425155496</v>
      </c>
      <c r="C146" s="299" t="str">
        <f>CONCATENATE("(",ROUND((B146/$H147)*100,1),")")</f>
        <v>(24.2)</v>
      </c>
      <c r="D146" s="302">
        <f>'Ind T6'!W53</f>
        <v>0.35572311591633754</v>
      </c>
      <c r="E146" s="299" t="str">
        <f>CONCATENATE("(",ROUND((D146/$H147)*100,1),")")</f>
        <v>(6.1)</v>
      </c>
      <c r="F146" s="302">
        <f>'Ind T6'!X53</f>
        <v>0</v>
      </c>
      <c r="G146" s="299" t="str">
        <f>CONCATENATE("(",ROUND((F146/$H147)*100,1),")")</f>
        <v>(0)</v>
      </c>
      <c r="H146" s="302">
        <f t="shared" ref="H146" si="121">SUM(B146,D146,F146)</f>
        <v>1.7728965584318872</v>
      </c>
      <c r="I146" s="299" t="str">
        <f>CONCATENATE("(",ROUND((H146/$H147)*100,1),")")</f>
        <v>(30.2)</v>
      </c>
      <c r="K146" s="302">
        <f t="shared" ref="K146:K147" si="122">B146-B136</f>
        <v>5.4117751262458436E-2</v>
      </c>
      <c r="L146" s="302">
        <f t="shared" ref="L146:L147" si="123">D146-D136</f>
        <v>3.4344007197609216E-3</v>
      </c>
      <c r="M146" s="302">
        <f t="shared" ref="M146:M147" si="124">F146-F136</f>
        <v>0</v>
      </c>
      <c r="N146" s="302">
        <f t="shared" ref="N146:N147" si="125">SUM(K146:M146)</f>
        <v>5.7552151982219357E-2</v>
      </c>
    </row>
    <row r="147" spans="1:14" x14ac:dyDescent="0.2">
      <c r="A147" s="282" t="s">
        <v>363</v>
      </c>
      <c r="B147" s="302">
        <f>SUM(B145:B146)</f>
        <v>5.0396014429124136</v>
      </c>
      <c r="C147" s="299" t="str">
        <f>CONCATENATE("(",ROUND((B147/$H147)*100,1),")")</f>
        <v>(85.9)</v>
      </c>
      <c r="D147" s="302">
        <f>SUM(D145:D146)</f>
        <v>0.40833811055393288</v>
      </c>
      <c r="E147" s="299" t="str">
        <f>CONCATENATE("(",ROUND((D147/$H147)*100,1),")")</f>
        <v>(7)</v>
      </c>
      <c r="F147" s="302">
        <f>SUM(F145:F146)</f>
        <v>0.41806044653365837</v>
      </c>
      <c r="G147" s="299" t="str">
        <f>CONCATENATE("(",ROUND((F147/$H147)*100,1),")")</f>
        <v>(7.1)</v>
      </c>
      <c r="H147" s="302">
        <f>SUM(H145:H146)</f>
        <v>5.866000000000005</v>
      </c>
      <c r="I147" s="299" t="str">
        <f>CONCATENATE("(",ROUND((H147/$H147)*100,1),")")</f>
        <v>(100)</v>
      </c>
      <c r="K147" s="302">
        <f t="shared" si="122"/>
        <v>2.3897974425281632E-2</v>
      </c>
      <c r="L147" s="302">
        <f t="shared" si="123"/>
        <v>6.5354725431911453E-3</v>
      </c>
      <c r="M147" s="302">
        <f t="shared" si="124"/>
        <v>1.0566553031534254E-2</v>
      </c>
      <c r="N147" s="302">
        <f t="shared" si="125"/>
        <v>4.1000000000007031E-2</v>
      </c>
    </row>
    <row r="148" spans="1:14" x14ac:dyDescent="0.2">
      <c r="A148" s="293"/>
      <c r="B148" s="294"/>
      <c r="C148" s="293"/>
      <c r="D148" s="294"/>
      <c r="E148" s="293"/>
      <c r="F148" s="294"/>
      <c r="G148" s="293"/>
      <c r="H148" s="294"/>
      <c r="I148" s="293"/>
      <c r="J148" s="293"/>
      <c r="K148" s="294"/>
      <c r="L148" s="294"/>
      <c r="M148" s="294"/>
      <c r="N148" s="294"/>
    </row>
    <row r="151" spans="1:14" x14ac:dyDescent="0.2">
      <c r="C151" s="182"/>
      <c r="E151" s="182"/>
      <c r="G151" s="182"/>
      <c r="I151" s="182"/>
    </row>
    <row r="152" spans="1:14" x14ac:dyDescent="0.2">
      <c r="A152" s="288"/>
      <c r="B152" s="289" t="s">
        <v>372</v>
      </c>
      <c r="C152" s="288"/>
      <c r="D152" s="289"/>
      <c r="E152" s="288"/>
      <c r="F152" s="289" t="str">
        <f>name!B10</f>
        <v>Water and sewerage</v>
      </c>
      <c r="G152" s="288"/>
      <c r="H152" s="291"/>
      <c r="I152" s="288"/>
      <c r="J152" s="290"/>
      <c r="K152" s="291"/>
      <c r="L152" s="291"/>
      <c r="M152" s="291"/>
      <c r="N152" s="291"/>
    </row>
    <row r="153" spans="1:14" x14ac:dyDescent="0.2">
      <c r="N153" s="287" t="s">
        <v>370</v>
      </c>
    </row>
    <row r="154" spans="1:14" x14ac:dyDescent="0.2">
      <c r="A154" s="182" t="s">
        <v>371</v>
      </c>
      <c r="B154" s="372" t="s">
        <v>369</v>
      </c>
      <c r="C154" s="372"/>
      <c r="D154" s="372" t="s">
        <v>368</v>
      </c>
      <c r="E154" s="372"/>
      <c r="F154" s="372" t="s">
        <v>367</v>
      </c>
      <c r="G154" s="372"/>
      <c r="H154" s="372" t="s">
        <v>33</v>
      </c>
      <c r="I154" s="372"/>
      <c r="J154" s="182"/>
      <c r="K154" s="297" t="s">
        <v>345</v>
      </c>
      <c r="L154" s="297" t="s">
        <v>347</v>
      </c>
      <c r="M154" s="297" t="s">
        <v>343</v>
      </c>
      <c r="N154" s="297" t="s">
        <v>33</v>
      </c>
    </row>
    <row r="155" spans="1:14" x14ac:dyDescent="0.2">
      <c r="A155" s="292">
        <f>$A$8</f>
        <v>2020</v>
      </c>
      <c r="B155" s="287" t="s">
        <v>66</v>
      </c>
      <c r="C155" s="20" t="s">
        <v>366</v>
      </c>
      <c r="D155" s="287" t="s">
        <v>66</v>
      </c>
      <c r="E155" s="20" t="s">
        <v>366</v>
      </c>
      <c r="F155" s="287" t="s">
        <v>66</v>
      </c>
      <c r="G155" s="20" t="s">
        <v>366</v>
      </c>
      <c r="H155" s="287" t="s">
        <v>66</v>
      </c>
      <c r="I155" s="20" t="s">
        <v>366</v>
      </c>
      <c r="J155" s="182"/>
      <c r="K155" s="286" t="str">
        <f>CONCATENATE(A155," - ",A160)</f>
        <v>2020 - 2025</v>
      </c>
      <c r="L155" s="285"/>
      <c r="M155" s="285"/>
    </row>
    <row r="156" spans="1:14" x14ac:dyDescent="0.2">
      <c r="A156" s="282" t="s">
        <v>364</v>
      </c>
      <c r="B156" s="302">
        <f>'Ind T6'!L63</f>
        <v>2.1511671940967259</v>
      </c>
      <c r="C156" s="299" t="str">
        <f>CONCATENATE("(",ROUND((B156/$H158)*100,1),")")</f>
        <v>(60.7)</v>
      </c>
      <c r="D156" s="302">
        <f>'Ind T6'!M63</f>
        <v>4.8104694092871492E-2</v>
      </c>
      <c r="E156" s="299" t="str">
        <f>CONCATENATE("(",ROUND((D156/$H158)*100,1),")")</f>
        <v>(1.4)</v>
      </c>
      <c r="F156" s="302">
        <f>'Ind T6'!N63</f>
        <v>0.3857716244688193</v>
      </c>
      <c r="G156" s="299" t="str">
        <f>CONCATENATE("(",ROUND((F156/$H158)*100,1),")")</f>
        <v>(10.9)</v>
      </c>
      <c r="H156" s="302">
        <f>SUM(B156,D156,F156)</f>
        <v>2.5850435126584168</v>
      </c>
      <c r="I156" s="299" t="str">
        <f>CONCATENATE("(",ROUND((H156/$H158)*100,1),")")</f>
        <v>(73)</v>
      </c>
      <c r="K156" s="302">
        <f>B161-B156</f>
        <v>8.1774823567055677E-3</v>
      </c>
      <c r="L156" s="302">
        <f>D161-D156</f>
        <v>1.2438493460634747E-3</v>
      </c>
      <c r="M156" s="302">
        <f>F161-F156</f>
        <v>-9.8925319258136857E-3</v>
      </c>
      <c r="N156" s="302">
        <f>SUM(K156:M156)</f>
        <v>-4.7120022304464326E-4</v>
      </c>
    </row>
    <row r="157" spans="1:14" x14ac:dyDescent="0.2">
      <c r="A157" s="282" t="s">
        <v>365</v>
      </c>
      <c r="B157" s="302">
        <f>'Ind T6'!L62</f>
        <v>0.56464636075756958</v>
      </c>
      <c r="C157" s="299" t="str">
        <f>CONCATENATE("(",ROUND((B157/$H158)*100,1),")")</f>
        <v>(15.9)</v>
      </c>
      <c r="D157" s="302">
        <f>'Ind T6'!M62</f>
        <v>0.35494725738579147</v>
      </c>
      <c r="E157" s="299" t="str">
        <f>CONCATENATE("(",ROUND((D157/$H158)*100,1),")")</f>
        <v>(10)</v>
      </c>
      <c r="F157" s="302">
        <f>'Ind T6'!N62</f>
        <v>3.7362869198227025E-2</v>
      </c>
      <c r="G157" s="299" t="str">
        <f>CONCATENATE("(",ROUND((F157/$H158)*100,1),")")</f>
        <v>(1.1)</v>
      </c>
      <c r="H157" s="302">
        <f t="shared" ref="H157" si="126">SUM(B157,D157,F157)</f>
        <v>0.95695648734158811</v>
      </c>
      <c r="I157" s="299" t="str">
        <f>CONCATENATE("(",ROUND((H157/$H158)*100,1),")")</f>
        <v>(27)</v>
      </c>
      <c r="K157" s="302">
        <f t="shared" ref="K157:K158" si="127">B162-B157</f>
        <v>2.8458563202732545E-2</v>
      </c>
      <c r="L157" s="302">
        <f t="shared" ref="L157:L158" si="128">D162-D157</f>
        <v>8.0181976339363525E-3</v>
      </c>
      <c r="M157" s="302">
        <f t="shared" ref="M157:M158" si="129">F162-F157</f>
        <v>-5.5606136285316077E-6</v>
      </c>
      <c r="N157" s="302">
        <f t="shared" ref="N157:N158" si="130">SUM(K157:M157)</f>
        <v>3.6471200223040366E-2</v>
      </c>
    </row>
    <row r="158" spans="1:14" x14ac:dyDescent="0.2">
      <c r="A158" s="282" t="s">
        <v>363</v>
      </c>
      <c r="B158" s="302">
        <f>SUM(B156:B157)</f>
        <v>2.7158135548542957</v>
      </c>
      <c r="C158" s="299" t="str">
        <f>CONCATENATE("(",ROUND((B158/$H158)*100,1),")")</f>
        <v>(76.7)</v>
      </c>
      <c r="D158" s="302">
        <f>SUM(D156:D157)</f>
        <v>0.40305195147866296</v>
      </c>
      <c r="E158" s="299" t="str">
        <f>CONCATENATE("(",ROUND((D158/$H158)*100,1),")")</f>
        <v>(11.4)</v>
      </c>
      <c r="F158" s="302">
        <f>SUM(F156:F157)</f>
        <v>0.42313449366704631</v>
      </c>
      <c r="G158" s="299" t="str">
        <f>CONCATENATE("(",ROUND((F158/$H158)*100,1),")")</f>
        <v>(11.9)</v>
      </c>
      <c r="H158" s="302">
        <f>SUM(H156:H157)</f>
        <v>3.5420000000000051</v>
      </c>
      <c r="I158" s="299" t="str">
        <f>CONCATENATE("(",ROUND((H158/$H158)*100,1),")")</f>
        <v>(100)</v>
      </c>
      <c r="K158" s="302">
        <f t="shared" si="127"/>
        <v>3.6636045559437669E-2</v>
      </c>
      <c r="L158" s="302">
        <f t="shared" si="128"/>
        <v>9.2620469799998273E-3</v>
      </c>
      <c r="M158" s="302">
        <f t="shared" si="129"/>
        <v>-9.8980925394421826E-3</v>
      </c>
      <c r="N158" s="302">
        <f t="shared" si="130"/>
        <v>3.5999999999995314E-2</v>
      </c>
    </row>
    <row r="159" spans="1:14" x14ac:dyDescent="0.2">
      <c r="B159" s="302"/>
      <c r="C159" s="284"/>
      <c r="D159" s="302"/>
      <c r="E159" s="284"/>
      <c r="F159" s="302"/>
      <c r="G159" s="284"/>
      <c r="H159" s="302"/>
      <c r="I159" s="284"/>
    </row>
    <row r="160" spans="1:14" x14ac:dyDescent="0.2">
      <c r="A160" s="292">
        <f>$A$13</f>
        <v>2025</v>
      </c>
      <c r="B160" s="302"/>
      <c r="C160" s="284"/>
      <c r="D160" s="302"/>
      <c r="E160" s="284"/>
      <c r="F160" s="302"/>
      <c r="G160" s="284"/>
      <c r="H160" s="302"/>
      <c r="I160" s="284"/>
      <c r="K160" s="286" t="str">
        <f>CONCATENATE(A160," - ",A165)</f>
        <v>2025 - 2035</v>
      </c>
    </row>
    <row r="161" spans="1:14" x14ac:dyDescent="0.2">
      <c r="A161" s="282" t="s">
        <v>364</v>
      </c>
      <c r="B161" s="302">
        <f>'Ind T6'!Q63</f>
        <v>2.1593446764534314</v>
      </c>
      <c r="C161" s="299" t="str">
        <f>CONCATENATE("(",ROUND((B161/$H163)*100,1),")")</f>
        <v>(60.4)</v>
      </c>
      <c r="D161" s="302">
        <f>'Ind T6'!R63</f>
        <v>4.9348543438934966E-2</v>
      </c>
      <c r="E161" s="299" t="str">
        <f>CONCATENATE("(",ROUND((D161/$H163)*100,1),")")</f>
        <v>(1.4)</v>
      </c>
      <c r="F161" s="302">
        <f>'Ind T6'!S63</f>
        <v>0.37587909254300561</v>
      </c>
      <c r="G161" s="299" t="str">
        <f>CONCATENATE("(",ROUND((F161/$H163)*100,1),")")</f>
        <v>(10.5)</v>
      </c>
      <c r="H161" s="302">
        <f>SUM(B161,D161,F161)</f>
        <v>2.5845723124353719</v>
      </c>
      <c r="I161" s="299" t="str">
        <f>CONCATENATE("(",ROUND((H161/$H163)*100,1),")")</f>
        <v>(72.2)</v>
      </c>
      <c r="K161" s="302">
        <f>B166-B161</f>
        <v>-1.3807953297305442E-2</v>
      </c>
      <c r="L161" s="302">
        <f>D166-D161</f>
        <v>-8.3006715813550846E-5</v>
      </c>
      <c r="M161" s="302">
        <f>F166-F161</f>
        <v>-2.5144629267230656E-2</v>
      </c>
      <c r="N161" s="302">
        <f>SUM(K161:M161)</f>
        <v>-3.9035589280349649E-2</v>
      </c>
    </row>
    <row r="162" spans="1:14" x14ac:dyDescent="0.2">
      <c r="A162" s="282" t="s">
        <v>365</v>
      </c>
      <c r="B162" s="302">
        <f>'Ind T6'!Q62</f>
        <v>0.59310492396030212</v>
      </c>
      <c r="C162" s="299" t="str">
        <f>CONCATENATE("(",ROUND((B162/$H163)*100,1),")")</f>
        <v>(16.6)</v>
      </c>
      <c r="D162" s="302">
        <f>'Ind T6'!R62</f>
        <v>0.36296545501972782</v>
      </c>
      <c r="E162" s="299" t="str">
        <f>CONCATENATE("(",ROUND((D162/$H163)*100,1),")")</f>
        <v>(10.1)</v>
      </c>
      <c r="F162" s="302">
        <f>'Ind T6'!S62</f>
        <v>3.7357308584598493E-2</v>
      </c>
      <c r="G162" s="299" t="str">
        <f>CONCATENATE("(",ROUND((F162/$H163)*100,1),")")</f>
        <v>(1)</v>
      </c>
      <c r="H162" s="302">
        <f t="shared" ref="H162" si="131">SUM(B162,D162,F162)</f>
        <v>0.99342768756462851</v>
      </c>
      <c r="I162" s="299" t="str">
        <f>CONCATENATE("(",ROUND((H162/$H163)*100,1),")")</f>
        <v>(27.8)</v>
      </c>
      <c r="K162" s="302">
        <f t="shared" ref="K162:K163" si="132">B167-B162</f>
        <v>5.005891785287564E-2</v>
      </c>
      <c r="L162" s="302">
        <f t="shared" ref="L162:L163" si="133">D167-D162</f>
        <v>1.127183311858776E-2</v>
      </c>
      <c r="M162" s="302">
        <f t="shared" ref="M162:M163" si="134">F167-F162</f>
        <v>-2.9516169111665214E-4</v>
      </c>
      <c r="N162" s="302">
        <f t="shared" ref="N162:N163" si="135">SUM(K162:M162)</f>
        <v>6.1035589280346747E-2</v>
      </c>
    </row>
    <row r="163" spans="1:14" x14ac:dyDescent="0.2">
      <c r="A163" s="282" t="s">
        <v>363</v>
      </c>
      <c r="B163" s="302">
        <f>SUM(B161:B162)</f>
        <v>2.7524496004137333</v>
      </c>
      <c r="C163" s="299" t="str">
        <f>CONCATENATE("(",ROUND((B163/$H163)*100,1),")")</f>
        <v>(76.9)</v>
      </c>
      <c r="D163" s="302">
        <f>SUM(D161:D162)</f>
        <v>0.41231399845866279</v>
      </c>
      <c r="E163" s="299" t="str">
        <f>CONCATENATE("(",ROUND((D163/$H163)*100,1),")")</f>
        <v>(11.5)</v>
      </c>
      <c r="F163" s="302">
        <f>SUM(F161:F162)</f>
        <v>0.41323640112760412</v>
      </c>
      <c r="G163" s="299" t="str">
        <f>CONCATENATE("(",ROUND((F163/$H163)*100,1),")")</f>
        <v>(11.5)</v>
      </c>
      <c r="H163" s="302">
        <f>SUM(H161:H162)</f>
        <v>3.5780000000000003</v>
      </c>
      <c r="I163" s="299" t="str">
        <f>CONCATENATE("(",ROUND((H163/$H163)*100,1),")")</f>
        <v>(100)</v>
      </c>
      <c r="K163" s="302">
        <f t="shared" si="132"/>
        <v>3.625096455557042E-2</v>
      </c>
      <c r="L163" s="302">
        <f t="shared" si="133"/>
        <v>1.1188826402774188E-2</v>
      </c>
      <c r="M163" s="302">
        <f t="shared" si="134"/>
        <v>-2.5439790958347308E-2</v>
      </c>
      <c r="N163" s="302">
        <f t="shared" si="135"/>
        <v>2.1999999999997299E-2</v>
      </c>
    </row>
    <row r="164" spans="1:14" x14ac:dyDescent="0.2">
      <c r="B164" s="302"/>
      <c r="C164" s="284"/>
      <c r="D164" s="302"/>
      <c r="E164" s="284"/>
      <c r="F164" s="302"/>
      <c r="G164" s="284"/>
      <c r="H164" s="302"/>
      <c r="I164" s="284"/>
    </row>
    <row r="165" spans="1:14" x14ac:dyDescent="0.2">
      <c r="A165" s="292">
        <f>$A$18</f>
        <v>2035</v>
      </c>
      <c r="B165" s="302"/>
      <c r="C165" s="284"/>
      <c r="D165" s="302"/>
      <c r="E165" s="284"/>
      <c r="F165" s="302"/>
      <c r="G165" s="284"/>
      <c r="H165" s="302"/>
      <c r="I165" s="284"/>
      <c r="K165" s="286" t="str">
        <f>CONCATENATE(A155," - ",A165)</f>
        <v>2020 - 2035</v>
      </c>
    </row>
    <row r="166" spans="1:14" x14ac:dyDescent="0.2">
      <c r="A166" s="282" t="s">
        <v>364</v>
      </c>
      <c r="B166" s="302">
        <f>'Ind T6'!V63</f>
        <v>2.145536723156126</v>
      </c>
      <c r="C166" s="299" t="str">
        <f>CONCATENATE("(",ROUND((B166/$H168)*100,1),")")</f>
        <v>(59.6)</v>
      </c>
      <c r="D166" s="302">
        <f>'Ind T6'!W63</f>
        <v>4.9265536723121416E-2</v>
      </c>
      <c r="E166" s="299" t="str">
        <f>CONCATENATE("(",ROUND((D166/$H168)*100,1),")")</f>
        <v>(1.4)</v>
      </c>
      <c r="F166" s="302">
        <f>'Ind T6'!X63</f>
        <v>0.35073446327577495</v>
      </c>
      <c r="G166" s="299" t="str">
        <f>CONCATENATE("(",ROUND((F166/$H168)*100,1),")")</f>
        <v>(9.7)</v>
      </c>
      <c r="H166" s="302">
        <f>SUM(B166,D166,F166)</f>
        <v>2.5455367231550223</v>
      </c>
      <c r="I166" s="299" t="str">
        <f>CONCATENATE("(",ROUND((H166/$H168)*100,1),")")</f>
        <v>(70.7)</v>
      </c>
      <c r="K166" s="302">
        <f>B166-B156</f>
        <v>-5.6304709405998743E-3</v>
      </c>
      <c r="L166" s="302">
        <f>D166-D156</f>
        <v>1.1608426302499239E-3</v>
      </c>
      <c r="M166" s="302">
        <f>F166-F156</f>
        <v>-3.5037161193044342E-2</v>
      </c>
      <c r="N166" s="302">
        <f>SUM(K166:M166)</f>
        <v>-3.9506789503394292E-2</v>
      </c>
    </row>
    <row r="167" spans="1:14" x14ac:dyDescent="0.2">
      <c r="A167" s="282" t="s">
        <v>365</v>
      </c>
      <c r="B167" s="302">
        <f>'Ind T6'!V62</f>
        <v>0.64316384181317776</v>
      </c>
      <c r="C167" s="299" t="str">
        <f>CONCATENATE("(",ROUND((B167/$H168)*100,1),")")</f>
        <v>(17.9)</v>
      </c>
      <c r="D167" s="302">
        <f>'Ind T6'!W62</f>
        <v>0.37423728813831558</v>
      </c>
      <c r="E167" s="299" t="str">
        <f>CONCATENATE("(",ROUND((D167/$H168)*100,1),")")</f>
        <v>(10.4)</v>
      </c>
      <c r="F167" s="302">
        <f>'Ind T6'!X62</f>
        <v>3.7062146893481841E-2</v>
      </c>
      <c r="G167" s="299" t="str">
        <f>CONCATENATE("(",ROUND((F167/$H168)*100,1),")")</f>
        <v>(1)</v>
      </c>
      <c r="H167" s="302">
        <f t="shared" ref="H167" si="136">SUM(B167,D167,F167)</f>
        <v>1.0544632768449751</v>
      </c>
      <c r="I167" s="299" t="str">
        <f>CONCATENATE("(",ROUND((H167/$H168)*100,1),")")</f>
        <v>(29.3)</v>
      </c>
      <c r="K167" s="302">
        <f t="shared" ref="K167:K168" si="137">B167-B157</f>
        <v>7.8517481055608185E-2</v>
      </c>
      <c r="L167" s="302">
        <f t="shared" ref="L167:L168" si="138">D167-D157</f>
        <v>1.9290030752524112E-2</v>
      </c>
      <c r="M167" s="302">
        <f t="shared" ref="M167:M168" si="139">F167-F157</f>
        <v>-3.0072230474518374E-4</v>
      </c>
      <c r="N167" s="302">
        <f t="shared" ref="N167:N168" si="140">SUM(K167:M167)</f>
        <v>9.750678950338712E-2</v>
      </c>
    </row>
    <row r="168" spans="1:14" x14ac:dyDescent="0.2">
      <c r="A168" s="282" t="s">
        <v>363</v>
      </c>
      <c r="B168" s="302">
        <f>SUM(B166:B167)</f>
        <v>2.7887005649693037</v>
      </c>
      <c r="C168" s="299" t="str">
        <f>CONCATENATE("(",ROUND((B168/$H168)*100,1),")")</f>
        <v>(77.5)</v>
      </c>
      <c r="D168" s="302">
        <f>SUM(D166:D167)</f>
        <v>0.42350282486143698</v>
      </c>
      <c r="E168" s="299" t="str">
        <f>CONCATENATE("(",ROUND((D168/$H168)*100,1),")")</f>
        <v>(11.8)</v>
      </c>
      <c r="F168" s="302">
        <f>SUM(F166:F167)</f>
        <v>0.38779661016925682</v>
      </c>
      <c r="G168" s="299" t="str">
        <f>CONCATENATE("(",ROUND((F168/$H168)*100,1),")")</f>
        <v>(10.8)</v>
      </c>
      <c r="H168" s="302">
        <f>SUM(H166:H167)</f>
        <v>3.5999999999999974</v>
      </c>
      <c r="I168" s="299" t="str">
        <f>CONCATENATE("(",ROUND((H168/$H168)*100,1),")")</f>
        <v>(100)</v>
      </c>
      <c r="K168" s="302">
        <f t="shared" si="137"/>
        <v>7.2887010115008088E-2</v>
      </c>
      <c r="L168" s="302">
        <f t="shared" si="138"/>
        <v>2.0450873382774015E-2</v>
      </c>
      <c r="M168" s="302">
        <f t="shared" si="139"/>
        <v>-3.5337883497789491E-2</v>
      </c>
      <c r="N168" s="302">
        <f t="shared" si="140"/>
        <v>5.7999999999992613E-2</v>
      </c>
    </row>
    <row r="169" spans="1:14" x14ac:dyDescent="0.2">
      <c r="A169" s="293"/>
      <c r="B169" s="294"/>
      <c r="C169" s="293"/>
      <c r="D169" s="294"/>
      <c r="E169" s="293"/>
      <c r="F169" s="294"/>
      <c r="G169" s="293"/>
      <c r="H169" s="294"/>
      <c r="I169" s="293"/>
      <c r="J169" s="293"/>
      <c r="K169" s="294"/>
      <c r="L169" s="294"/>
      <c r="M169" s="294"/>
      <c r="N169" s="294"/>
    </row>
    <row r="173" spans="1:14" x14ac:dyDescent="0.2">
      <c r="A173" s="288"/>
      <c r="B173" s="289" t="s">
        <v>372</v>
      </c>
      <c r="C173" s="288"/>
      <c r="D173" s="289"/>
      <c r="E173" s="288"/>
      <c r="F173" s="289" t="str">
        <f>name!B11</f>
        <v>Construction</v>
      </c>
      <c r="G173" s="288"/>
      <c r="H173" s="291"/>
      <c r="I173" s="288"/>
      <c r="J173" s="290"/>
      <c r="K173" s="291"/>
      <c r="L173" s="291"/>
      <c r="M173" s="291"/>
      <c r="N173" s="291"/>
    </row>
    <row r="174" spans="1:14" x14ac:dyDescent="0.2">
      <c r="N174" s="287" t="s">
        <v>370</v>
      </c>
    </row>
    <row r="175" spans="1:14" x14ac:dyDescent="0.2">
      <c r="A175" s="182" t="s">
        <v>371</v>
      </c>
      <c r="B175" s="372" t="s">
        <v>369</v>
      </c>
      <c r="C175" s="372"/>
      <c r="D175" s="372" t="s">
        <v>368</v>
      </c>
      <c r="E175" s="372"/>
      <c r="F175" s="372" t="s">
        <v>367</v>
      </c>
      <c r="G175" s="372"/>
      <c r="H175" s="372" t="s">
        <v>33</v>
      </c>
      <c r="I175" s="372"/>
      <c r="J175" s="182"/>
      <c r="K175" s="297" t="s">
        <v>345</v>
      </c>
      <c r="L175" s="297" t="s">
        <v>347</v>
      </c>
      <c r="M175" s="297" t="s">
        <v>343</v>
      </c>
      <c r="N175" s="297" t="s">
        <v>33</v>
      </c>
    </row>
    <row r="176" spans="1:14" x14ac:dyDescent="0.2">
      <c r="A176" s="292">
        <f>$A$8</f>
        <v>2020</v>
      </c>
      <c r="B176" s="287" t="s">
        <v>66</v>
      </c>
      <c r="C176" s="20" t="s">
        <v>366</v>
      </c>
      <c r="D176" s="287" t="s">
        <v>66</v>
      </c>
      <c r="E176" s="20" t="s">
        <v>366</v>
      </c>
      <c r="F176" s="287" t="s">
        <v>66</v>
      </c>
      <c r="G176" s="20" t="s">
        <v>366</v>
      </c>
      <c r="H176" s="287" t="s">
        <v>66</v>
      </c>
      <c r="I176" s="20" t="s">
        <v>366</v>
      </c>
      <c r="J176" s="182"/>
      <c r="K176" s="286" t="str">
        <f>CONCATENATE(A176," - ",A181)</f>
        <v>2020 - 2025</v>
      </c>
      <c r="L176" s="285"/>
      <c r="M176" s="285"/>
    </row>
    <row r="177" spans="1:14" x14ac:dyDescent="0.2">
      <c r="A177" s="282" t="s">
        <v>364</v>
      </c>
      <c r="B177" s="302">
        <f>'Ind T6'!L72</f>
        <v>16.901902145825961</v>
      </c>
      <c r="C177" s="299" t="str">
        <f>CONCATENATE("(",ROUND((B177/$H179)*100,1),")")</f>
        <v>(55.2)</v>
      </c>
      <c r="D177" s="302">
        <f>'Ind T6'!M72</f>
        <v>0.81136566711915337</v>
      </c>
      <c r="E177" s="299" t="str">
        <f>CONCATENATE("(",ROUND((D177/$H179)*100,1),")")</f>
        <v>(2.7)</v>
      </c>
      <c r="F177" s="302">
        <f>'Ind T6'!N72</f>
        <v>8.8913814265222584</v>
      </c>
      <c r="G177" s="299" t="str">
        <f>CONCATENATE("(",ROUND((F177/$H179)*100,1),")")</f>
        <v>(29)</v>
      </c>
      <c r="H177" s="302">
        <f>SUM(B177,D177,F177)</f>
        <v>26.604649239467374</v>
      </c>
      <c r="I177" s="299" t="str">
        <f>CONCATENATE("(",ROUND((H177/$H179)*100,1),")")</f>
        <v>(86.9)</v>
      </c>
      <c r="K177" s="302">
        <f>B182-B177</f>
        <v>-0.70379835526871304</v>
      </c>
      <c r="L177" s="302">
        <f>D182-D177</f>
        <v>-8.4615181785622218E-3</v>
      </c>
      <c r="M177" s="302">
        <f>F182-F177</f>
        <v>-0.17552899398149258</v>
      </c>
      <c r="N177" s="302">
        <f>SUM(K177:M177)</f>
        <v>-0.88778886742876784</v>
      </c>
    </row>
    <row r="178" spans="1:14" x14ac:dyDescent="0.2">
      <c r="A178" s="282" t="s">
        <v>365</v>
      </c>
      <c r="B178" s="302">
        <f>'Ind T6'!L71</f>
        <v>2.2636792261974059</v>
      </c>
      <c r="C178" s="299" t="str">
        <f>CONCATENATE("(",ROUND((B178/$H179)*100,1),")")</f>
        <v>(7.4)</v>
      </c>
      <c r="D178" s="302">
        <f>'Ind T6'!M71</f>
        <v>1.3283733589901607</v>
      </c>
      <c r="E178" s="299" t="str">
        <f>CONCATENATE("(",ROUND((D178/$H179)*100,1),")")</f>
        <v>(4.3)</v>
      </c>
      <c r="F178" s="302">
        <f>'Ind T6'!N71</f>
        <v>0.41829817534505759</v>
      </c>
      <c r="G178" s="299" t="str">
        <f>CONCATENATE("(",ROUND((F178/$H179)*100,1),")")</f>
        <v>(1.4)</v>
      </c>
      <c r="H178" s="302">
        <f t="shared" ref="H178" si="141">SUM(B178,D178,F178)</f>
        <v>4.0103507605326243</v>
      </c>
      <c r="I178" s="299" t="str">
        <f>CONCATENATE("(",ROUND((H178/$H179)*100,1),")")</f>
        <v>(13.1)</v>
      </c>
      <c r="K178" s="302">
        <f t="shared" ref="K178:K179" si="142">B183-B178</f>
        <v>-5.7022128071807288E-2</v>
      </c>
      <c r="L178" s="302">
        <f t="shared" ref="L178:L179" si="143">D183-D178</f>
        <v>-2.476187649981787E-2</v>
      </c>
      <c r="M178" s="302">
        <f t="shared" ref="M178:M179" si="144">F183-F178</f>
        <v>-8.4271279995948856E-3</v>
      </c>
      <c r="N178" s="302">
        <f t="shared" ref="N178:N179" si="145">SUM(K178:M178)</f>
        <v>-9.0211132571220043E-2</v>
      </c>
    </row>
    <row r="179" spans="1:14" x14ac:dyDescent="0.2">
      <c r="A179" s="282" t="s">
        <v>363</v>
      </c>
      <c r="B179" s="302">
        <f>SUM(B177:B178)</f>
        <v>19.165581372023368</v>
      </c>
      <c r="C179" s="299" t="str">
        <f>CONCATENATE("(",ROUND((B179/$H179)*100,1),")")</f>
        <v>(62.6)</v>
      </c>
      <c r="D179" s="302">
        <f>SUM(D177:D178)</f>
        <v>2.1397390261093143</v>
      </c>
      <c r="E179" s="299" t="str">
        <f>CONCATENATE("(",ROUND((D179/$H179)*100,1),")")</f>
        <v>(7)</v>
      </c>
      <c r="F179" s="302">
        <f>SUM(F177:F178)</f>
        <v>9.309679601867316</v>
      </c>
      <c r="G179" s="299" t="str">
        <f>CONCATENATE("(",ROUND((F179/$H179)*100,1),")")</f>
        <v>(30.4)</v>
      </c>
      <c r="H179" s="302">
        <f>SUM(H177:H178)</f>
        <v>30.614999999999998</v>
      </c>
      <c r="I179" s="299" t="str">
        <f>CONCATENATE("(",ROUND((H179/$H179)*100,1),")")</f>
        <v>(100)</v>
      </c>
      <c r="K179" s="302">
        <f t="shared" si="142"/>
        <v>-0.76082048334052033</v>
      </c>
      <c r="L179" s="302">
        <f t="shared" si="143"/>
        <v>-3.3223394678380203E-2</v>
      </c>
      <c r="M179" s="302">
        <f t="shared" si="144"/>
        <v>-0.1839561219810868</v>
      </c>
      <c r="N179" s="302">
        <f t="shared" si="145"/>
        <v>-0.97799999999998732</v>
      </c>
    </row>
    <row r="180" spans="1:14" x14ac:dyDescent="0.2">
      <c r="B180" s="302"/>
      <c r="C180" s="284"/>
      <c r="D180" s="302"/>
      <c r="E180" s="284"/>
      <c r="F180" s="302"/>
      <c r="G180" s="284"/>
      <c r="H180" s="302"/>
      <c r="I180" s="284"/>
    </row>
    <row r="181" spans="1:14" x14ac:dyDescent="0.2">
      <c r="A181" s="292">
        <f>$A$13</f>
        <v>2025</v>
      </c>
      <c r="B181" s="302"/>
      <c r="C181" s="284"/>
      <c r="D181" s="302"/>
      <c r="E181" s="284"/>
      <c r="F181" s="302"/>
      <c r="G181" s="284"/>
      <c r="H181" s="302"/>
      <c r="I181" s="284"/>
      <c r="K181" s="286" t="str">
        <f>CONCATENATE(A181," - ",A186)</f>
        <v>2025 - 2035</v>
      </c>
    </row>
    <row r="182" spans="1:14" x14ac:dyDescent="0.2">
      <c r="A182" s="282" t="s">
        <v>364</v>
      </c>
      <c r="B182" s="302">
        <f>'Ind T6'!Q72</f>
        <v>16.198103790557248</v>
      </c>
      <c r="C182" s="299" t="str">
        <f>CONCATENATE("(",ROUND((B182/$H184)*100,1),")")</f>
        <v>(54.7)</v>
      </c>
      <c r="D182" s="302">
        <f>'Ind T6'!R72</f>
        <v>0.80290414894059114</v>
      </c>
      <c r="E182" s="299" t="str">
        <f>CONCATENATE("(",ROUND((D182/$H184)*100,1),")")</f>
        <v>(2.7)</v>
      </c>
      <c r="F182" s="302">
        <f>'Ind T6'!S72</f>
        <v>8.7158524325407658</v>
      </c>
      <c r="G182" s="299" t="str">
        <f>CONCATENATE("(",ROUND((F182/$H184)*100,1),")")</f>
        <v>(29.4)</v>
      </c>
      <c r="H182" s="302">
        <f>SUM(B182,D182,F182)</f>
        <v>25.716860372038603</v>
      </c>
      <c r="I182" s="299" t="str">
        <f>CONCATENATE("(",ROUND((H182/$H184)*100,1),")")</f>
        <v>(86.8)</v>
      </c>
      <c r="K182" s="302">
        <f>B187-B182</f>
        <v>-0.52045297263643775</v>
      </c>
      <c r="L182" s="302">
        <f>D187-D182</f>
        <v>2.8137219483830411E-2</v>
      </c>
      <c r="M182" s="302">
        <f>F187-F182</f>
        <v>0.18803559346247134</v>
      </c>
      <c r="N182" s="302">
        <f>SUM(K182:M182)</f>
        <v>-0.304280159690136</v>
      </c>
    </row>
    <row r="183" spans="1:14" x14ac:dyDescent="0.2">
      <c r="A183" s="282" t="s">
        <v>365</v>
      </c>
      <c r="B183" s="302">
        <f>'Ind T6'!Q71</f>
        <v>2.2066570981255986</v>
      </c>
      <c r="C183" s="299" t="str">
        <f>CONCATENATE("(",ROUND((B183/$H184)*100,1),")")</f>
        <v>(7.4)</v>
      </c>
      <c r="D183" s="302">
        <f>'Ind T6'!R71</f>
        <v>1.3036114824903429</v>
      </c>
      <c r="E183" s="299" t="str">
        <f>CONCATENATE("(",ROUND((D183/$H184)*100,1),")")</f>
        <v>(4.4)</v>
      </c>
      <c r="F183" s="302">
        <f>'Ind T6'!S71</f>
        <v>0.4098710473454627</v>
      </c>
      <c r="G183" s="299" t="str">
        <f>CONCATENATE("(",ROUND((F183/$H184)*100,1),")")</f>
        <v>(1.4)</v>
      </c>
      <c r="H183" s="302">
        <f t="shared" ref="H183" si="146">SUM(B183,D183,F183)</f>
        <v>3.920139627961404</v>
      </c>
      <c r="I183" s="299" t="str">
        <f>CONCATENATE("(",ROUND((H183/$H184)*100,1),")")</f>
        <v>(13.2)</v>
      </c>
      <c r="K183" s="302">
        <f t="shared" ref="K183:K184" si="147">B188-B183</f>
        <v>2.8954988464421572E-2</v>
      </c>
      <c r="L183" s="302">
        <f t="shared" ref="L183:L184" si="148">D188-D183</f>
        <v>3.1373371749318091E-2</v>
      </c>
      <c r="M183" s="302">
        <f t="shared" ref="M183:M184" si="149">F188-F183</f>
        <v>1.6951799476403295E-2</v>
      </c>
      <c r="N183" s="302">
        <f t="shared" ref="N183:N184" si="150">SUM(K183:M183)</f>
        <v>7.7280159690142958E-2</v>
      </c>
    </row>
    <row r="184" spans="1:14" x14ac:dyDescent="0.2">
      <c r="A184" s="282" t="s">
        <v>363</v>
      </c>
      <c r="B184" s="302">
        <f>SUM(B182:B183)</f>
        <v>18.404760888682848</v>
      </c>
      <c r="C184" s="299" t="str">
        <f>CONCATENATE("(",ROUND((B184/$H184)*100,1),")")</f>
        <v>(62.1)</v>
      </c>
      <c r="D184" s="302">
        <f>SUM(D182:D183)</f>
        <v>2.1065156314309341</v>
      </c>
      <c r="E184" s="299" t="str">
        <f>CONCATENATE("(",ROUND((D184/$H184)*100,1),")")</f>
        <v>(7.1)</v>
      </c>
      <c r="F184" s="302">
        <f>SUM(F182:F183)</f>
        <v>9.1257234798862292</v>
      </c>
      <c r="G184" s="299" t="str">
        <f>CONCATENATE("(",ROUND((F184/$H184)*100,1),")")</f>
        <v>(30.8)</v>
      </c>
      <c r="H184" s="302">
        <f>SUM(H182:H183)</f>
        <v>29.637000000000008</v>
      </c>
      <c r="I184" s="299" t="str">
        <f>CONCATENATE("(",ROUND((H184/$H184)*100,1),")")</f>
        <v>(100)</v>
      </c>
      <c r="K184" s="302">
        <f t="shared" si="147"/>
        <v>-0.49149798417201751</v>
      </c>
      <c r="L184" s="302">
        <f t="shared" si="148"/>
        <v>5.9510591233148169E-2</v>
      </c>
      <c r="M184" s="302">
        <f t="shared" si="149"/>
        <v>0.20498739293887347</v>
      </c>
      <c r="N184" s="302">
        <f t="shared" si="150"/>
        <v>-0.22699999999999587</v>
      </c>
    </row>
    <row r="185" spans="1:14" x14ac:dyDescent="0.2">
      <c r="B185" s="302"/>
      <c r="C185" s="284"/>
      <c r="D185" s="302"/>
      <c r="E185" s="284"/>
      <c r="F185" s="302"/>
      <c r="G185" s="284"/>
      <c r="H185" s="302"/>
      <c r="I185" s="284"/>
    </row>
    <row r="186" spans="1:14" x14ac:dyDescent="0.2">
      <c r="A186" s="292">
        <f>$A$18</f>
        <v>2035</v>
      </c>
      <c r="B186" s="302"/>
      <c r="C186" s="284"/>
      <c r="D186" s="302"/>
      <c r="E186" s="284"/>
      <c r="F186" s="302"/>
      <c r="G186" s="284"/>
      <c r="H186" s="302"/>
      <c r="I186" s="284"/>
      <c r="K186" s="286" t="str">
        <f>CONCATENATE(A176," - ",A186)</f>
        <v>2020 - 2035</v>
      </c>
    </row>
    <row r="187" spans="1:14" x14ac:dyDescent="0.2">
      <c r="A187" s="282" t="s">
        <v>364</v>
      </c>
      <c r="B187" s="302">
        <f>'Ind T6'!V72</f>
        <v>15.67765081792081</v>
      </c>
      <c r="C187" s="299" t="str">
        <f>CONCATENATE("(",ROUND((B187/$H189)*100,1),")")</f>
        <v>(53.3)</v>
      </c>
      <c r="D187" s="302">
        <f>'Ind T6'!W72</f>
        <v>0.83104136842442156</v>
      </c>
      <c r="E187" s="299" t="str">
        <f>CONCATENATE("(",ROUND((D187/$H189)*100,1),")")</f>
        <v>(2.8)</v>
      </c>
      <c r="F187" s="302">
        <f>'Ind T6'!X72</f>
        <v>8.9038880260032371</v>
      </c>
      <c r="G187" s="299" t="str">
        <f>CONCATENATE("(",ROUND((F187/$H189)*100,1),")")</f>
        <v>(30.3)</v>
      </c>
      <c r="H187" s="302">
        <f>SUM(B187,D187,F187)</f>
        <v>25.41258021234847</v>
      </c>
      <c r="I187" s="299" t="str">
        <f>CONCATENATE("(",ROUND((H187/$H189)*100,1),")")</f>
        <v>(86.4)</v>
      </c>
      <c r="K187" s="302">
        <f>B187-B177</f>
        <v>-1.2242513279051508</v>
      </c>
      <c r="L187" s="302">
        <f>D187-D177</f>
        <v>1.967570130526819E-2</v>
      </c>
      <c r="M187" s="302">
        <f>F187-F177</f>
        <v>1.2506599480978764E-2</v>
      </c>
      <c r="N187" s="302">
        <f>SUM(K187:M187)</f>
        <v>-1.1920690271189038</v>
      </c>
    </row>
    <row r="188" spans="1:14" x14ac:dyDescent="0.2">
      <c r="A188" s="282" t="s">
        <v>365</v>
      </c>
      <c r="B188" s="302">
        <f>'Ind T6'!V71</f>
        <v>2.2356120865900202</v>
      </c>
      <c r="C188" s="299" t="str">
        <f>CONCATENATE("(",ROUND((B188/$H189)*100,1),")")</f>
        <v>(7.6)</v>
      </c>
      <c r="D188" s="302">
        <f>'Ind T6'!W71</f>
        <v>1.334984854239661</v>
      </c>
      <c r="E188" s="299" t="str">
        <f>CONCATENATE("(",ROUND((D188/$H189)*100,1),")")</f>
        <v>(4.5)</v>
      </c>
      <c r="F188" s="302">
        <f>'Ind T6'!X71</f>
        <v>0.426822846821866</v>
      </c>
      <c r="G188" s="299" t="str">
        <f>CONCATENATE("(",ROUND((F188/$H189)*100,1),")")</f>
        <v>(1.5)</v>
      </c>
      <c r="H188" s="302">
        <f t="shared" ref="H188" si="151">SUM(B188,D188,F188)</f>
        <v>3.9974197876515469</v>
      </c>
      <c r="I188" s="299" t="str">
        <f>CONCATENATE("(",ROUND((H188/$H189)*100,1),")")</f>
        <v>(13.6)</v>
      </c>
      <c r="K188" s="302">
        <f t="shared" ref="K188:K189" si="152">B188-B178</f>
        <v>-2.8067139607385716E-2</v>
      </c>
      <c r="L188" s="302">
        <f t="shared" ref="L188:L189" si="153">D188-D178</f>
        <v>6.611495249500221E-3</v>
      </c>
      <c r="M188" s="302">
        <f t="shared" ref="M188:M189" si="154">F188-F178</f>
        <v>8.5246714768084098E-3</v>
      </c>
      <c r="N188" s="302">
        <f t="shared" ref="N188:N189" si="155">SUM(K188:M188)</f>
        <v>-1.2930972881077085E-2</v>
      </c>
    </row>
    <row r="189" spans="1:14" x14ac:dyDescent="0.2">
      <c r="A189" s="282" t="s">
        <v>363</v>
      </c>
      <c r="B189" s="302">
        <f>SUM(B187:B188)</f>
        <v>17.91326290451083</v>
      </c>
      <c r="C189" s="299" t="str">
        <f>CONCATENATE("(",ROUND((B189/$H189)*100,1),")")</f>
        <v>(60.9)</v>
      </c>
      <c r="D189" s="302">
        <f>SUM(D187:D188)</f>
        <v>2.1660262226640823</v>
      </c>
      <c r="E189" s="299" t="str">
        <f>CONCATENATE("(",ROUND((D189/$H189)*100,1),")")</f>
        <v>(7.4)</v>
      </c>
      <c r="F189" s="302">
        <f>SUM(F187:F188)</f>
        <v>9.3307108728251027</v>
      </c>
      <c r="G189" s="299" t="str">
        <f>CONCATENATE("(",ROUND((F189/$H189)*100,1),")")</f>
        <v>(31.7)</v>
      </c>
      <c r="H189" s="302">
        <f>SUM(H187:H188)</f>
        <v>29.410000000000018</v>
      </c>
      <c r="I189" s="299" t="str">
        <f>CONCATENATE("(",ROUND((H189/$H189)*100,1),")")</f>
        <v>(100)</v>
      </c>
      <c r="K189" s="302">
        <f t="shared" si="152"/>
        <v>-1.2523184675125378</v>
      </c>
      <c r="L189" s="302">
        <f t="shared" si="153"/>
        <v>2.6287196554767966E-2</v>
      </c>
      <c r="M189" s="302">
        <f t="shared" si="154"/>
        <v>2.1031270957786674E-2</v>
      </c>
      <c r="N189" s="302">
        <f t="shared" si="155"/>
        <v>-1.2049999999999832</v>
      </c>
    </row>
    <row r="190" spans="1:14" x14ac:dyDescent="0.2">
      <c r="A190" s="293"/>
      <c r="B190" s="294"/>
      <c r="C190" s="293"/>
      <c r="D190" s="294"/>
      <c r="E190" s="293"/>
      <c r="F190" s="294"/>
      <c r="G190" s="293"/>
      <c r="H190" s="294"/>
      <c r="I190" s="293"/>
      <c r="J190" s="293"/>
      <c r="K190" s="294"/>
      <c r="L190" s="294"/>
      <c r="M190" s="294"/>
      <c r="N190" s="294"/>
    </row>
    <row r="194" spans="1:14" x14ac:dyDescent="0.2">
      <c r="A194" s="288"/>
      <c r="B194" s="289" t="s">
        <v>372</v>
      </c>
      <c r="C194" s="288"/>
      <c r="D194" s="289"/>
      <c r="E194" s="288"/>
      <c r="F194" s="289" t="str">
        <f>name!B12</f>
        <v>Wholesale and retail trade</v>
      </c>
      <c r="G194" s="288"/>
      <c r="H194" s="291"/>
      <c r="I194" s="288"/>
      <c r="J194" s="290"/>
      <c r="K194" s="291"/>
      <c r="L194" s="291"/>
      <c r="M194" s="291"/>
      <c r="N194" s="291"/>
    </row>
    <row r="195" spans="1:14" x14ac:dyDescent="0.2">
      <c r="N195" s="287" t="s">
        <v>370</v>
      </c>
    </row>
    <row r="196" spans="1:14" x14ac:dyDescent="0.2">
      <c r="A196" s="182" t="s">
        <v>371</v>
      </c>
      <c r="B196" s="372" t="s">
        <v>369</v>
      </c>
      <c r="C196" s="372"/>
      <c r="D196" s="372" t="s">
        <v>368</v>
      </c>
      <c r="E196" s="372"/>
      <c r="F196" s="372" t="s">
        <v>367</v>
      </c>
      <c r="G196" s="372"/>
      <c r="H196" s="372" t="s">
        <v>33</v>
      </c>
      <c r="I196" s="372"/>
      <c r="J196" s="182"/>
      <c r="K196" s="297" t="s">
        <v>345</v>
      </c>
      <c r="L196" s="297" t="s">
        <v>347</v>
      </c>
      <c r="M196" s="297" t="s">
        <v>343</v>
      </c>
      <c r="N196" s="297" t="s">
        <v>33</v>
      </c>
    </row>
    <row r="197" spans="1:14" x14ac:dyDescent="0.2">
      <c r="A197" s="292">
        <f>$A$8</f>
        <v>2020</v>
      </c>
      <c r="B197" s="287" t="s">
        <v>66</v>
      </c>
      <c r="C197" s="20" t="s">
        <v>366</v>
      </c>
      <c r="D197" s="287" t="s">
        <v>66</v>
      </c>
      <c r="E197" s="20" t="s">
        <v>366</v>
      </c>
      <c r="F197" s="287" t="s">
        <v>66</v>
      </c>
      <c r="G197" s="20" t="s">
        <v>366</v>
      </c>
      <c r="H197" s="287" t="s">
        <v>66</v>
      </c>
      <c r="I197" s="20" t="s">
        <v>366</v>
      </c>
      <c r="J197" s="182"/>
      <c r="K197" s="286" t="str">
        <f>CONCATENATE(A197," - ",A202)</f>
        <v>2020 - 2025</v>
      </c>
      <c r="L197" s="285"/>
      <c r="M197" s="285"/>
    </row>
    <row r="198" spans="1:14" x14ac:dyDescent="0.2">
      <c r="A198" s="282" t="s">
        <v>364</v>
      </c>
      <c r="B198" s="302">
        <f>'Ind T6'!L81</f>
        <v>24.348984736206816</v>
      </c>
      <c r="C198" s="299" t="str">
        <f>CONCATENATE("(",ROUND((B198/$H200)*100,1),")")</f>
        <v>(33.8)</v>
      </c>
      <c r="D198" s="302">
        <f>'Ind T6'!M81</f>
        <v>9.1361529769825101</v>
      </c>
      <c r="E198" s="299" t="str">
        <f>CONCATENATE("(",ROUND((D198/$H200)*100,1),")")</f>
        <v>(12.7)</v>
      </c>
      <c r="F198" s="302">
        <f>'Ind T6'!N81</f>
        <v>3.1926234586807238</v>
      </c>
      <c r="G198" s="299" t="str">
        <f>CONCATENATE("(",ROUND((F198/$H200)*100,1),")")</f>
        <v>(4.4)</v>
      </c>
      <c r="H198" s="302">
        <f>SUM(B198,D198,F198)</f>
        <v>36.677761171870046</v>
      </c>
      <c r="I198" s="299" t="str">
        <f>CONCATENATE("(",ROUND((H198/$H200)*100,1),")")</f>
        <v>(50.9)</v>
      </c>
      <c r="K198" s="302">
        <f>B203-B198</f>
        <v>0.19460739438611085</v>
      </c>
      <c r="L198" s="302">
        <f>D203-D198</f>
        <v>-0.11193021072333487</v>
      </c>
      <c r="M198" s="302">
        <f>F203-F198</f>
        <v>1.4049475547161183E-2</v>
      </c>
      <c r="N198" s="302">
        <f>SUM(K198:M198)</f>
        <v>9.6726659209937171E-2</v>
      </c>
    </row>
    <row r="199" spans="1:14" x14ac:dyDescent="0.2">
      <c r="A199" s="282" t="s">
        <v>365</v>
      </c>
      <c r="B199" s="302">
        <f>'Ind T6'!L80</f>
        <v>13.071030744072969</v>
      </c>
      <c r="C199" s="299" t="str">
        <f>CONCATENATE("(",ROUND((B199/$H200)*100,1),")")</f>
        <v>(18.1)</v>
      </c>
      <c r="D199" s="302">
        <f>'Ind T6'!M80</f>
        <v>20.694354467622173</v>
      </c>
      <c r="E199" s="299" t="str">
        <f>CONCATENATE("(",ROUND((D199/$H200)*100,1),")")</f>
        <v>(28.7)</v>
      </c>
      <c r="F199" s="302">
        <f>'Ind T6'!N80</f>
        <v>1.6138536164347403</v>
      </c>
      <c r="G199" s="299" t="str">
        <f>CONCATENATE("(",ROUND((F199/$H200)*100,1),")")</f>
        <v>(2.2)</v>
      </c>
      <c r="H199" s="302">
        <f t="shared" ref="H199" si="156">SUM(B199,D199,F199)</f>
        <v>35.379238828129878</v>
      </c>
      <c r="I199" s="299" t="str">
        <f>CONCATENATE("(",ROUND((H199/$H200)*100,1),")")</f>
        <v>(49.1)</v>
      </c>
      <c r="K199" s="302">
        <f t="shared" ref="K199:K200" si="157">B204-B199</f>
        <v>0.27134291307079828</v>
      </c>
      <c r="L199" s="302">
        <f t="shared" ref="L199:L200" si="158">D204-D199</f>
        <v>-1.0364584936341643</v>
      </c>
      <c r="M199" s="302">
        <f t="shared" ref="M199:M200" si="159">F204-F199</f>
        <v>3.4388921353475155E-2</v>
      </c>
      <c r="N199" s="302">
        <f t="shared" ref="N199:N200" si="160">SUM(K199:M199)</f>
        <v>-0.73072665920989088</v>
      </c>
    </row>
    <row r="200" spans="1:14" x14ac:dyDescent="0.2">
      <c r="A200" s="282" t="s">
        <v>363</v>
      </c>
      <c r="B200" s="302">
        <f>SUM(B198:B199)</f>
        <v>37.420015480279787</v>
      </c>
      <c r="C200" s="299" t="str">
        <f>CONCATENATE("(",ROUND((B200/$H200)*100,1),")")</f>
        <v>(51.9)</v>
      </c>
      <c r="D200" s="302">
        <f>SUM(D198:D199)</f>
        <v>29.830507444604685</v>
      </c>
      <c r="E200" s="299" t="str">
        <f>CONCATENATE("(",ROUND((D200/$H200)*100,1),")")</f>
        <v>(41.4)</v>
      </c>
      <c r="F200" s="302">
        <f>SUM(F198:F199)</f>
        <v>4.8064770751154642</v>
      </c>
      <c r="G200" s="299" t="str">
        <f>CONCATENATE("(",ROUND((F200/$H200)*100,1),")")</f>
        <v>(6.7)</v>
      </c>
      <c r="H200" s="302">
        <f>SUM(H198:H199)</f>
        <v>72.056999999999931</v>
      </c>
      <c r="I200" s="299" t="str">
        <f>CONCATENATE("(",ROUND((H200/$H200)*100,1),")")</f>
        <v>(100)</v>
      </c>
      <c r="K200" s="302">
        <f t="shared" si="157"/>
        <v>0.46595030745690735</v>
      </c>
      <c r="L200" s="302">
        <f t="shared" si="158"/>
        <v>-1.148388704357501</v>
      </c>
      <c r="M200" s="302">
        <f t="shared" si="159"/>
        <v>4.8438396900636782E-2</v>
      </c>
      <c r="N200" s="302">
        <f t="shared" si="160"/>
        <v>-0.63399999999995682</v>
      </c>
    </row>
    <row r="201" spans="1:14" x14ac:dyDescent="0.2">
      <c r="B201" s="302"/>
      <c r="C201" s="284"/>
      <c r="D201" s="302"/>
      <c r="E201" s="284"/>
      <c r="F201" s="302"/>
      <c r="G201" s="284"/>
      <c r="H201" s="302"/>
      <c r="I201" s="284"/>
    </row>
    <row r="202" spans="1:14" x14ac:dyDescent="0.2">
      <c r="A202" s="292">
        <f>$A$13</f>
        <v>2025</v>
      </c>
      <c r="B202" s="302"/>
      <c r="C202" s="284"/>
      <c r="D202" s="302"/>
      <c r="E202" s="284"/>
      <c r="F202" s="302"/>
      <c r="G202" s="284"/>
      <c r="H202" s="302"/>
      <c r="I202" s="284"/>
      <c r="K202" s="286" t="str">
        <f>CONCATENATE(A202," - ",A207)</f>
        <v>2025 - 2035</v>
      </c>
    </row>
    <row r="203" spans="1:14" x14ac:dyDescent="0.2">
      <c r="A203" s="282" t="s">
        <v>364</v>
      </c>
      <c r="B203" s="302">
        <f>'Ind T6'!Q81</f>
        <v>24.543592130592927</v>
      </c>
      <c r="C203" s="299" t="str">
        <f>CONCATENATE("(",ROUND((B203/$H205)*100,1),")")</f>
        <v>(34.4)</v>
      </c>
      <c r="D203" s="302">
        <f>'Ind T6'!R81</f>
        <v>9.0242227662591752</v>
      </c>
      <c r="E203" s="299" t="str">
        <f>CONCATENATE("(",ROUND((D203/$H205)*100,1),")")</f>
        <v>(12.6)</v>
      </c>
      <c r="F203" s="302">
        <f>'Ind T6'!S81</f>
        <v>3.206672934227885</v>
      </c>
      <c r="G203" s="299" t="str">
        <f>CONCATENATE("(",ROUND((F203/$H205)*100,1),")")</f>
        <v>(4.5)</v>
      </c>
      <c r="H203" s="302">
        <f>SUM(B203,D203,F203)</f>
        <v>36.774487831079981</v>
      </c>
      <c r="I203" s="299" t="str">
        <f>CONCATENATE("(",ROUND((H203/$H205)*100,1),")")</f>
        <v>(51.5)</v>
      </c>
      <c r="K203" s="302">
        <f>B208-B203</f>
        <v>0.72358821162135811</v>
      </c>
      <c r="L203" s="302">
        <f>D208-D203</f>
        <v>1.3355494333735507E-2</v>
      </c>
      <c r="M203" s="302">
        <f>F208-F203</f>
        <v>7.2489342773111698E-2</v>
      </c>
      <c r="N203" s="302">
        <f>SUM(K203:M203)</f>
        <v>0.80943304872820532</v>
      </c>
    </row>
    <row r="204" spans="1:14" x14ac:dyDescent="0.2">
      <c r="A204" s="282" t="s">
        <v>365</v>
      </c>
      <c r="B204" s="302">
        <f>'Ind T6'!Q80</f>
        <v>13.342373657143767</v>
      </c>
      <c r="C204" s="299" t="str">
        <f>CONCATENATE("(",ROUND((B204/$H205)*100,1),")")</f>
        <v>(18.7)</v>
      </c>
      <c r="D204" s="302">
        <f>'Ind T6'!R80</f>
        <v>19.657895973988008</v>
      </c>
      <c r="E204" s="299" t="str">
        <f>CONCATENATE("(",ROUND((D204/$H205)*100,1),")")</f>
        <v>(27.5)</v>
      </c>
      <c r="F204" s="302">
        <f>'Ind T6'!S80</f>
        <v>1.6482425377882155</v>
      </c>
      <c r="G204" s="299" t="str">
        <f>CONCATENATE("(",ROUND((F204/$H205)*100,1),")")</f>
        <v>(2.3)</v>
      </c>
      <c r="H204" s="302">
        <f t="shared" ref="H204" si="161">SUM(B204,D204,F204)</f>
        <v>34.648512168919986</v>
      </c>
      <c r="I204" s="299" t="str">
        <f>CONCATENATE("(",ROUND((H204/$H205)*100,1),")")</f>
        <v>(48.5)</v>
      </c>
      <c r="K204" s="302">
        <f t="shared" ref="K204:K205" si="162">B209-B204</f>
        <v>0.85779179399067118</v>
      </c>
      <c r="L204" s="302">
        <f t="shared" ref="L204:L205" si="163">D209-D204</f>
        <v>-1.4859593523139658</v>
      </c>
      <c r="M204" s="302">
        <f t="shared" ref="M204:M205" si="164">F209-F204</f>
        <v>0.11273450959515441</v>
      </c>
      <c r="N204" s="302">
        <f t="shared" ref="N204:N205" si="165">SUM(K204:M204)</f>
        <v>-0.51543304872814022</v>
      </c>
    </row>
    <row r="205" spans="1:14" x14ac:dyDescent="0.2">
      <c r="A205" s="282" t="s">
        <v>363</v>
      </c>
      <c r="B205" s="302">
        <f>SUM(B203:B204)</f>
        <v>37.885965787736694</v>
      </c>
      <c r="C205" s="299" t="str">
        <f>CONCATENATE("(",ROUND((B205/$H205)*100,1),")")</f>
        <v>(53)</v>
      </c>
      <c r="D205" s="302">
        <f>SUM(D203:D204)</f>
        <v>28.682118740247184</v>
      </c>
      <c r="E205" s="299" t="str">
        <f>CONCATENATE("(",ROUND((D205/$H205)*100,1),")")</f>
        <v>(40.2)</v>
      </c>
      <c r="F205" s="302">
        <f>SUM(F203:F204)</f>
        <v>4.854915472016101</v>
      </c>
      <c r="G205" s="299" t="str">
        <f>CONCATENATE("(",ROUND((F205/$H205)*100,1),")")</f>
        <v>(6.8)</v>
      </c>
      <c r="H205" s="302">
        <f>SUM(H203:H204)</f>
        <v>71.422999999999973</v>
      </c>
      <c r="I205" s="299" t="str">
        <f>CONCATENATE("(",ROUND((H205/$H205)*100,1),")")</f>
        <v>(100)</v>
      </c>
      <c r="K205" s="302">
        <f t="shared" si="162"/>
        <v>1.5813800056120328</v>
      </c>
      <c r="L205" s="302">
        <f t="shared" si="163"/>
        <v>-1.4726038579802321</v>
      </c>
      <c r="M205" s="302">
        <f t="shared" si="164"/>
        <v>0.18522385236826544</v>
      </c>
      <c r="N205" s="302">
        <f t="shared" si="165"/>
        <v>0.29400000000006621</v>
      </c>
    </row>
    <row r="206" spans="1:14" x14ac:dyDescent="0.2">
      <c r="B206" s="302"/>
      <c r="C206" s="284"/>
      <c r="D206" s="302"/>
      <c r="E206" s="284"/>
      <c r="F206" s="302"/>
      <c r="G206" s="284"/>
      <c r="H206" s="302"/>
      <c r="I206" s="284"/>
    </row>
    <row r="207" spans="1:14" x14ac:dyDescent="0.2">
      <c r="A207" s="292">
        <f>$A$18</f>
        <v>2035</v>
      </c>
      <c r="B207" s="302"/>
      <c r="C207" s="284"/>
      <c r="D207" s="302"/>
      <c r="E207" s="284"/>
      <c r="F207" s="302"/>
      <c r="G207" s="284"/>
      <c r="H207" s="302"/>
      <c r="I207" s="284"/>
      <c r="K207" s="286" t="str">
        <f>CONCATENATE(A197," - ",A207)</f>
        <v>2020 - 2035</v>
      </c>
    </row>
    <row r="208" spans="1:14" x14ac:dyDescent="0.2">
      <c r="A208" s="282" t="s">
        <v>364</v>
      </c>
      <c r="B208" s="302">
        <f>'Ind T6'!V81</f>
        <v>25.267180342214285</v>
      </c>
      <c r="C208" s="299" t="str">
        <f>CONCATENATE("(",ROUND((B208/$H210)*100,1),")")</f>
        <v>(35.2)</v>
      </c>
      <c r="D208" s="302">
        <f>'Ind T6'!W81</f>
        <v>9.0375782605929107</v>
      </c>
      <c r="E208" s="299" t="str">
        <f>CONCATENATE("(",ROUND((D208/$H210)*100,1),")")</f>
        <v>(12.6)</v>
      </c>
      <c r="F208" s="302">
        <f>'Ind T6'!X81</f>
        <v>3.2791622770009967</v>
      </c>
      <c r="G208" s="299" t="str">
        <f>CONCATENATE("(",ROUND((F208/$H210)*100,1),")")</f>
        <v>(4.6)</v>
      </c>
      <c r="H208" s="302">
        <f>SUM(B208,D208,F208)</f>
        <v>37.583920879808197</v>
      </c>
      <c r="I208" s="299" t="str">
        <f>CONCATENATE("(",ROUND((H208/$H210)*100,1),")")</f>
        <v>(52.4)</v>
      </c>
      <c r="K208" s="302">
        <f>B208-B198</f>
        <v>0.91819560600746897</v>
      </c>
      <c r="L208" s="302">
        <f>D208-D198</f>
        <v>-9.8574716389599359E-2</v>
      </c>
      <c r="M208" s="302">
        <f>F208-F198</f>
        <v>8.6538818320272881E-2</v>
      </c>
      <c r="N208" s="302">
        <f>SUM(K208:M208)</f>
        <v>0.90615970793814249</v>
      </c>
    </row>
    <row r="209" spans="1:14" x14ac:dyDescent="0.2">
      <c r="A209" s="282" t="s">
        <v>365</v>
      </c>
      <c r="B209" s="302">
        <f>'Ind T6'!V80</f>
        <v>14.200165451134438</v>
      </c>
      <c r="C209" s="299" t="str">
        <f>CONCATENATE("(",ROUND((B209/$H210)*100,1),")")</f>
        <v>(19.8)</v>
      </c>
      <c r="D209" s="302">
        <f>'Ind T6'!W80</f>
        <v>18.171936621674043</v>
      </c>
      <c r="E209" s="299" t="str">
        <f>CONCATENATE("(",ROUND((D209/$H210)*100,1),")")</f>
        <v>(25.3)</v>
      </c>
      <c r="F209" s="302">
        <f>'Ind T6'!X80</f>
        <v>1.7609770473833699</v>
      </c>
      <c r="G209" s="299" t="str">
        <f>CONCATENATE("(",ROUND((F209/$H210)*100,1),")")</f>
        <v>(2.5)</v>
      </c>
      <c r="H209" s="302">
        <f t="shared" ref="H209" si="166">SUM(B209,D209,F209)</f>
        <v>34.133079120191852</v>
      </c>
      <c r="I209" s="299" t="str">
        <f>CONCATENATE("(",ROUND((H209/$H210)*100,1),")")</f>
        <v>(47.6)</v>
      </c>
      <c r="K209" s="302">
        <f t="shared" ref="K209:K210" si="167">B209-B199</f>
        <v>1.1291347070614695</v>
      </c>
      <c r="L209" s="302">
        <f t="shared" ref="L209:L210" si="168">D209-D199</f>
        <v>-2.5224178459481301</v>
      </c>
      <c r="M209" s="302">
        <f t="shared" ref="M209:M210" si="169">F209-F199</f>
        <v>0.14712343094862956</v>
      </c>
      <c r="N209" s="302">
        <f t="shared" ref="N209:N210" si="170">SUM(K209:M209)</f>
        <v>-1.2461597079380311</v>
      </c>
    </row>
    <row r="210" spans="1:14" x14ac:dyDescent="0.2">
      <c r="A210" s="282" t="s">
        <v>363</v>
      </c>
      <c r="B210" s="302">
        <f>SUM(B208:B209)</f>
        <v>39.467345793348727</v>
      </c>
      <c r="C210" s="299" t="str">
        <f>CONCATENATE("(",ROUND((B210/$H210)*100,1),")")</f>
        <v>(55)</v>
      </c>
      <c r="D210" s="302">
        <f>SUM(D208:D209)</f>
        <v>27.209514882266951</v>
      </c>
      <c r="E210" s="299" t="str">
        <f>CONCATENATE("(",ROUND((D210/$H210)*100,1),")")</f>
        <v>(37.9)</v>
      </c>
      <c r="F210" s="302">
        <f>SUM(F208:F209)</f>
        <v>5.0401393243843664</v>
      </c>
      <c r="G210" s="299" t="str">
        <f>CONCATENATE("(",ROUND((F210/$H210)*100,1),")")</f>
        <v>(7)</v>
      </c>
      <c r="H210" s="302">
        <f>SUM(H208:H209)</f>
        <v>71.717000000000041</v>
      </c>
      <c r="I210" s="299" t="str">
        <f>CONCATENATE("(",ROUND((H210/$H210)*100,1),")")</f>
        <v>(100)</v>
      </c>
      <c r="K210" s="302">
        <f t="shared" si="167"/>
        <v>2.0473303130689402</v>
      </c>
      <c r="L210" s="302">
        <f t="shared" si="168"/>
        <v>-2.620992562337733</v>
      </c>
      <c r="M210" s="302">
        <f t="shared" si="169"/>
        <v>0.23366224926890222</v>
      </c>
      <c r="N210" s="302">
        <f t="shared" si="170"/>
        <v>-0.33999999999989061</v>
      </c>
    </row>
    <row r="211" spans="1:14" x14ac:dyDescent="0.2">
      <c r="A211" s="293"/>
      <c r="B211" s="294"/>
      <c r="C211" s="293"/>
      <c r="D211" s="294"/>
      <c r="E211" s="293"/>
      <c r="F211" s="294"/>
      <c r="G211" s="293"/>
      <c r="H211" s="294"/>
      <c r="I211" s="293"/>
      <c r="J211" s="293"/>
      <c r="K211" s="294"/>
      <c r="L211" s="294"/>
      <c r="M211" s="294"/>
      <c r="N211" s="294"/>
    </row>
    <row r="215" spans="1:14" x14ac:dyDescent="0.2">
      <c r="A215" s="288"/>
      <c r="B215" s="289" t="s">
        <v>372</v>
      </c>
      <c r="C215" s="288"/>
      <c r="D215" s="289"/>
      <c r="E215" s="288"/>
      <c r="F215" s="289" t="str">
        <f>name!B13</f>
        <v>Transport and storage</v>
      </c>
      <c r="G215" s="288"/>
      <c r="H215" s="291"/>
      <c r="I215" s="288"/>
      <c r="J215" s="290"/>
      <c r="K215" s="291"/>
      <c r="L215" s="291"/>
      <c r="M215" s="291"/>
      <c r="N215" s="291"/>
    </row>
    <row r="216" spans="1:14" x14ac:dyDescent="0.2">
      <c r="N216" s="287" t="s">
        <v>370</v>
      </c>
    </row>
    <row r="217" spans="1:14" x14ac:dyDescent="0.2">
      <c r="A217" s="182" t="s">
        <v>371</v>
      </c>
      <c r="B217" s="372" t="s">
        <v>369</v>
      </c>
      <c r="C217" s="372"/>
      <c r="D217" s="372" t="s">
        <v>368</v>
      </c>
      <c r="E217" s="372"/>
      <c r="F217" s="372" t="s">
        <v>367</v>
      </c>
      <c r="G217" s="372"/>
      <c r="H217" s="372" t="s">
        <v>33</v>
      </c>
      <c r="I217" s="372"/>
      <c r="J217" s="182"/>
      <c r="K217" s="297" t="s">
        <v>345</v>
      </c>
      <c r="L217" s="297" t="s">
        <v>347</v>
      </c>
      <c r="M217" s="297" t="s">
        <v>343</v>
      </c>
      <c r="N217" s="297" t="s">
        <v>33</v>
      </c>
    </row>
    <row r="218" spans="1:14" x14ac:dyDescent="0.2">
      <c r="A218" s="292">
        <f>$A$8</f>
        <v>2020</v>
      </c>
      <c r="B218" s="287" t="s">
        <v>66</v>
      </c>
      <c r="C218" s="20" t="s">
        <v>366</v>
      </c>
      <c r="D218" s="287" t="s">
        <v>66</v>
      </c>
      <c r="E218" s="20" t="s">
        <v>366</v>
      </c>
      <c r="F218" s="287" t="s">
        <v>66</v>
      </c>
      <c r="G218" s="20" t="s">
        <v>366</v>
      </c>
      <c r="H218" s="287" t="s">
        <v>66</v>
      </c>
      <c r="I218" s="20" t="s">
        <v>366</v>
      </c>
      <c r="J218" s="182"/>
      <c r="K218" s="286" t="str">
        <f>CONCATENATE(A218," - ",A223)</f>
        <v>2020 - 2025</v>
      </c>
      <c r="L218" s="285"/>
      <c r="M218" s="285"/>
    </row>
    <row r="219" spans="1:14" x14ac:dyDescent="0.2">
      <c r="A219" s="282" t="s">
        <v>364</v>
      </c>
      <c r="B219" s="302">
        <f>'Ind T6'!L90</f>
        <v>14.731652267851452</v>
      </c>
      <c r="C219" s="299" t="str">
        <f>CONCATENATE("(",ROUND((B219/$H221)*100,1),")")</f>
        <v>(53.7)</v>
      </c>
      <c r="D219" s="302">
        <f>'Ind T6'!M90</f>
        <v>2.0913757058911329</v>
      </c>
      <c r="E219" s="299" t="str">
        <f>CONCATENATE("(",ROUND((D219/$H221)*100,1),")")</f>
        <v>(7.6)</v>
      </c>
      <c r="F219" s="302">
        <f>'Ind T6'!N90</f>
        <v>3.6369019037389503</v>
      </c>
      <c r="G219" s="299" t="str">
        <f>CONCATENATE("(",ROUND((F219/$H221)*100,1),")")</f>
        <v>(13.3)</v>
      </c>
      <c r="H219" s="302">
        <f>SUM(B219,D219,F219)</f>
        <v>20.459929877481535</v>
      </c>
      <c r="I219" s="299" t="str">
        <f>CONCATENATE("(",ROUND((H219/$H221)*100,1),")")</f>
        <v>(74.6)</v>
      </c>
      <c r="K219" s="302">
        <f>B224-B219</f>
        <v>0.1884472022325383</v>
      </c>
      <c r="L219" s="302">
        <f>D224-D219</f>
        <v>4.4009834516295143E-2</v>
      </c>
      <c r="M219" s="302">
        <f>F224-F219</f>
        <v>0.16735176098205962</v>
      </c>
      <c r="N219" s="302">
        <f>SUM(K219:M219)</f>
        <v>0.39980879773089306</v>
      </c>
    </row>
    <row r="220" spans="1:14" x14ac:dyDescent="0.2">
      <c r="A220" s="282" t="s">
        <v>365</v>
      </c>
      <c r="B220" s="302">
        <f>'Ind T6'!L89</f>
        <v>3.2759948275092232</v>
      </c>
      <c r="C220" s="299" t="str">
        <f>CONCATENATE("(",ROUND((B220/$H221)*100,1),")")</f>
        <v>(11.9)</v>
      </c>
      <c r="D220" s="302">
        <f>'Ind T6'!M89</f>
        <v>2.2197580737551084</v>
      </c>
      <c r="E220" s="299" t="str">
        <f>CONCATENATE("(",ROUND((D220/$H221)*100,1),")")</f>
        <v>(8.1)</v>
      </c>
      <c r="F220" s="302">
        <f>'Ind T6'!N89</f>
        <v>1.4683172212541051</v>
      </c>
      <c r="G220" s="299" t="str">
        <f>CONCATENATE("(",ROUND((F220/$H221)*100,1),")")</f>
        <v>(5.4)</v>
      </c>
      <c r="H220" s="302">
        <f t="shared" ref="H220" si="171">SUM(B220,D220,F220)</f>
        <v>6.9640701225184376</v>
      </c>
      <c r="I220" s="299" t="str">
        <f>CONCATENATE("(",ROUND((H220/$H221)*100,1),")")</f>
        <v>(25.4)</v>
      </c>
      <c r="K220" s="302">
        <f t="shared" ref="K220:K221" si="172">B225-B220</f>
        <v>0.2135376411307699</v>
      </c>
      <c r="L220" s="302">
        <f t="shared" ref="L220:L221" si="173">D225-D220</f>
        <v>0.17114368531390811</v>
      </c>
      <c r="M220" s="302">
        <f t="shared" ref="M220:M221" si="174">F225-F220</f>
        <v>3.4509875824492386E-2</v>
      </c>
      <c r="N220" s="302">
        <f t="shared" ref="N220:N221" si="175">SUM(K220:M220)</f>
        <v>0.41919120226917039</v>
      </c>
    </row>
    <row r="221" spans="1:14" x14ac:dyDescent="0.2">
      <c r="A221" s="282" t="s">
        <v>363</v>
      </c>
      <c r="B221" s="302">
        <f>SUM(B219:B220)</f>
        <v>18.007647095360674</v>
      </c>
      <c r="C221" s="299" t="str">
        <f>CONCATENATE("(",ROUND((B221/$H221)*100,1),")")</f>
        <v>(65.7)</v>
      </c>
      <c r="D221" s="302">
        <f>SUM(D219:D220)</f>
        <v>4.3111337796462408</v>
      </c>
      <c r="E221" s="299" t="str">
        <f>CONCATENATE("(",ROUND((D221/$H221)*100,1),")")</f>
        <v>(15.7)</v>
      </c>
      <c r="F221" s="302">
        <f>SUM(F219:F220)</f>
        <v>5.1052191249930559</v>
      </c>
      <c r="G221" s="299" t="str">
        <f>CONCATENATE("(",ROUND((F221/$H221)*100,1),")")</f>
        <v>(18.6)</v>
      </c>
      <c r="H221" s="302">
        <f>SUM(H219:H220)</f>
        <v>27.423999999999971</v>
      </c>
      <c r="I221" s="299" t="str">
        <f>CONCATENATE("(",ROUND((H221/$H221)*100,1),")")</f>
        <v>(100)</v>
      </c>
      <c r="K221" s="302">
        <f t="shared" si="172"/>
        <v>0.40198484336330864</v>
      </c>
      <c r="L221" s="302">
        <f t="shared" si="173"/>
        <v>0.2151535198302037</v>
      </c>
      <c r="M221" s="302">
        <f t="shared" si="174"/>
        <v>0.20186163680655156</v>
      </c>
      <c r="N221" s="302">
        <f t="shared" si="175"/>
        <v>0.8190000000000639</v>
      </c>
    </row>
    <row r="222" spans="1:14" x14ac:dyDescent="0.2">
      <c r="B222" s="302"/>
      <c r="C222" s="284"/>
      <c r="D222" s="302"/>
      <c r="E222" s="284"/>
      <c r="F222" s="302"/>
      <c r="G222" s="284"/>
      <c r="H222" s="302"/>
      <c r="I222" s="284"/>
    </row>
    <row r="223" spans="1:14" x14ac:dyDescent="0.2">
      <c r="A223" s="292">
        <f>$A$13</f>
        <v>2025</v>
      </c>
      <c r="B223" s="302"/>
      <c r="C223" s="284"/>
      <c r="D223" s="302"/>
      <c r="E223" s="284"/>
      <c r="F223" s="302"/>
      <c r="G223" s="284"/>
      <c r="H223" s="302"/>
      <c r="I223" s="284"/>
      <c r="K223" s="286" t="str">
        <f>CONCATENATE(A223," - ",A228)</f>
        <v>2025 - 2035</v>
      </c>
    </row>
    <row r="224" spans="1:14" x14ac:dyDescent="0.2">
      <c r="A224" s="282" t="s">
        <v>364</v>
      </c>
      <c r="B224" s="302">
        <f>'Ind T6'!Q90</f>
        <v>14.92009947008399</v>
      </c>
      <c r="C224" s="299" t="str">
        <f>CONCATENATE("(",ROUND((B224/$H226)*100,1),")")</f>
        <v>(52.8)</v>
      </c>
      <c r="D224" s="302">
        <f>'Ind T6'!R90</f>
        <v>2.135385540407428</v>
      </c>
      <c r="E224" s="299" t="str">
        <f>CONCATENATE("(",ROUND((D224/$H226)*100,1),")")</f>
        <v>(7.6)</v>
      </c>
      <c r="F224" s="302">
        <f>'Ind T6'!S90</f>
        <v>3.8042536647210099</v>
      </c>
      <c r="G224" s="299" t="str">
        <f>CONCATENATE("(",ROUND((F224/$H226)*100,1),")")</f>
        <v>(13.5)</v>
      </c>
      <c r="H224" s="302">
        <f>SUM(B224,D224,F224)</f>
        <v>20.859738675212427</v>
      </c>
      <c r="I224" s="299" t="str">
        <f>CONCATENATE("(",ROUND((H224/$H226)*100,1),")")</f>
        <v>(73.9)</v>
      </c>
      <c r="K224" s="302">
        <f>B229-B224</f>
        <v>-0.5158197670769411</v>
      </c>
      <c r="L224" s="302">
        <f>D229-D224</f>
        <v>5.161220035677383E-2</v>
      </c>
      <c r="M224" s="302">
        <f>F229-F224</f>
        <v>0.1863849397704147</v>
      </c>
      <c r="N224" s="302">
        <f>SUM(K224:M224)</f>
        <v>-0.27782262694975257</v>
      </c>
    </row>
    <row r="225" spans="1:14" x14ac:dyDescent="0.2">
      <c r="A225" s="282" t="s">
        <v>365</v>
      </c>
      <c r="B225" s="302">
        <f>'Ind T6'!Q89</f>
        <v>3.4895324686399931</v>
      </c>
      <c r="C225" s="299" t="str">
        <f>CONCATENATE("(",ROUND((B225/$H226)*100,1),")")</f>
        <v>(12.4)</v>
      </c>
      <c r="D225" s="302">
        <f>'Ind T6'!R89</f>
        <v>2.3909017590690165</v>
      </c>
      <c r="E225" s="299" t="str">
        <f>CONCATENATE("(",ROUND((D225/$H226)*100,1),")")</f>
        <v>(8.5)</v>
      </c>
      <c r="F225" s="302">
        <f>'Ind T6'!S89</f>
        <v>1.5028270970785975</v>
      </c>
      <c r="G225" s="299" t="str">
        <f>CONCATENATE("(",ROUND((F225/$H226)*100,1),")")</f>
        <v>(5.3)</v>
      </c>
      <c r="H225" s="302">
        <f t="shared" ref="H225" si="176">SUM(B225,D225,F225)</f>
        <v>7.3832613247876075</v>
      </c>
      <c r="I225" s="299" t="str">
        <f>CONCATENATE("(",ROUND((H225/$H226)*100,1),")")</f>
        <v>(26.1)</v>
      </c>
      <c r="K225" s="302">
        <f t="shared" ref="K225:K226" si="177">B230-B225</f>
        <v>0.13949056277259908</v>
      </c>
      <c r="L225" s="302">
        <f t="shared" ref="L225:L226" si="178">D230-D225</f>
        <v>0.18344615977321244</v>
      </c>
      <c r="M225" s="302">
        <f t="shared" ref="M225:M226" si="179">F230-F225</f>
        <v>-7.1140955960964369E-3</v>
      </c>
      <c r="N225" s="302">
        <f t="shared" ref="N225:N226" si="180">SUM(K225:M225)</f>
        <v>0.31582262694971508</v>
      </c>
    </row>
    <row r="226" spans="1:14" x14ac:dyDescent="0.2">
      <c r="A226" s="282" t="s">
        <v>363</v>
      </c>
      <c r="B226" s="302">
        <f>SUM(B224:B225)</f>
        <v>18.409631938723983</v>
      </c>
      <c r="C226" s="299" t="str">
        <f>CONCATENATE("(",ROUND((B226/$H226)*100,1),")")</f>
        <v>(65.2)</v>
      </c>
      <c r="D226" s="302">
        <f>SUM(D224:D225)</f>
        <v>4.5262872994764445</v>
      </c>
      <c r="E226" s="299" t="str">
        <f>CONCATENATE("(",ROUND((D226/$H226)*100,1),")")</f>
        <v>(16)</v>
      </c>
      <c r="F226" s="302">
        <f>SUM(F224:F225)</f>
        <v>5.3070807617996074</v>
      </c>
      <c r="G226" s="299" t="str">
        <f>CONCATENATE("(",ROUND((F226/$H226)*100,1),")")</f>
        <v>(18.8)</v>
      </c>
      <c r="H226" s="302">
        <f>SUM(H224:H225)</f>
        <v>28.243000000000034</v>
      </c>
      <c r="I226" s="299" t="str">
        <f>CONCATENATE("(",ROUND((H226/$H226)*100,1),")")</f>
        <v>(100)</v>
      </c>
      <c r="K226" s="302">
        <f t="shared" si="177"/>
        <v>-0.37632920430434069</v>
      </c>
      <c r="L226" s="302">
        <f t="shared" si="178"/>
        <v>0.23505836012998582</v>
      </c>
      <c r="M226" s="302">
        <f t="shared" si="179"/>
        <v>0.17927084417431871</v>
      </c>
      <c r="N226" s="302">
        <f t="shared" si="180"/>
        <v>3.799999999996384E-2</v>
      </c>
    </row>
    <row r="227" spans="1:14" x14ac:dyDescent="0.2">
      <c r="B227" s="302"/>
      <c r="C227" s="284"/>
      <c r="D227" s="302"/>
      <c r="E227" s="284"/>
      <c r="F227" s="302"/>
      <c r="G227" s="284"/>
      <c r="H227" s="302"/>
      <c r="I227" s="284"/>
    </row>
    <row r="228" spans="1:14" x14ac:dyDescent="0.2">
      <c r="A228" s="292">
        <f>$A$18</f>
        <v>2035</v>
      </c>
      <c r="B228" s="302"/>
      <c r="C228" s="284"/>
      <c r="D228" s="302"/>
      <c r="E228" s="284"/>
      <c r="F228" s="302"/>
      <c r="G228" s="284"/>
      <c r="H228" s="302"/>
      <c r="I228" s="284"/>
      <c r="K228" s="286" t="str">
        <f>CONCATENATE(A218," - ",A228)</f>
        <v>2020 - 2035</v>
      </c>
    </row>
    <row r="229" spans="1:14" x14ac:dyDescent="0.2">
      <c r="A229" s="282" t="s">
        <v>364</v>
      </c>
      <c r="B229" s="302">
        <f>'Ind T6'!V90</f>
        <v>14.404279703007049</v>
      </c>
      <c r="C229" s="299" t="str">
        <f>CONCATENATE("(",ROUND((B229/$H231)*100,1),")")</f>
        <v>(50.9)</v>
      </c>
      <c r="D229" s="302">
        <f>'Ind T6'!W90</f>
        <v>2.1869977407642018</v>
      </c>
      <c r="E229" s="299" t="str">
        <f>CONCATENATE("(",ROUND((D229/$H231)*100,1),")")</f>
        <v>(7.7)</v>
      </c>
      <c r="F229" s="302">
        <f>'Ind T6'!X90</f>
        <v>3.9906386044914246</v>
      </c>
      <c r="G229" s="299" t="str">
        <f>CONCATENATE("(",ROUND((F229/$H231)*100,1),")")</f>
        <v>(14.1)</v>
      </c>
      <c r="H229" s="302">
        <f>SUM(B229,D229,F229)</f>
        <v>20.581916048262677</v>
      </c>
      <c r="I229" s="299" t="str">
        <f>CONCATENATE("(",ROUND((H229/$H231)*100,1),")")</f>
        <v>(72.8)</v>
      </c>
      <c r="K229" s="302">
        <f>B229-B219</f>
        <v>-0.3273725648444028</v>
      </c>
      <c r="L229" s="302">
        <f>D229-D219</f>
        <v>9.5622034873068973E-2</v>
      </c>
      <c r="M229" s="302">
        <f>F229-F219</f>
        <v>0.35373670075247432</v>
      </c>
      <c r="N229" s="302">
        <f>SUM(K229:M229)</f>
        <v>0.12198617078114049</v>
      </c>
    </row>
    <row r="230" spans="1:14" x14ac:dyDescent="0.2">
      <c r="A230" s="282" t="s">
        <v>365</v>
      </c>
      <c r="B230" s="302">
        <f>'Ind T6'!V89</f>
        <v>3.6290230314125922</v>
      </c>
      <c r="C230" s="299" t="str">
        <f>CONCATENATE("(",ROUND((B230/$H231)*100,1),")")</f>
        <v>(12.8)</v>
      </c>
      <c r="D230" s="302">
        <f>'Ind T6'!W89</f>
        <v>2.5743479188422289</v>
      </c>
      <c r="E230" s="299" t="str">
        <f>CONCATENATE("(",ROUND((D230/$H231)*100,1),")")</f>
        <v>(9.1)</v>
      </c>
      <c r="F230" s="302">
        <f>'Ind T6'!X89</f>
        <v>1.4957130014825011</v>
      </c>
      <c r="G230" s="299" t="str">
        <f>CONCATENATE("(",ROUND((F230/$H231)*100,1),")")</f>
        <v>(5.3)</v>
      </c>
      <c r="H230" s="302">
        <f t="shared" ref="H230" si="181">SUM(B230,D230,F230)</f>
        <v>7.6990839517373217</v>
      </c>
      <c r="I230" s="299" t="str">
        <f>CONCATENATE("(",ROUND((H230/$H231)*100,1),")")</f>
        <v>(27.2)</v>
      </c>
      <c r="K230" s="302">
        <f t="shared" ref="K230:K231" si="182">B230-B220</f>
        <v>0.35302820390336898</v>
      </c>
      <c r="L230" s="302">
        <f t="shared" ref="L230:L231" si="183">D230-D220</f>
        <v>0.35458984508712055</v>
      </c>
      <c r="M230" s="302">
        <f t="shared" ref="M230:M231" si="184">F230-F220</f>
        <v>2.739578022839595E-2</v>
      </c>
      <c r="N230" s="302">
        <f t="shared" ref="N230:N231" si="185">SUM(K230:M230)</f>
        <v>0.73501382921888547</v>
      </c>
    </row>
    <row r="231" spans="1:14" x14ac:dyDescent="0.2">
      <c r="A231" s="282" t="s">
        <v>363</v>
      </c>
      <c r="B231" s="302">
        <f>SUM(B229:B230)</f>
        <v>18.033302734419642</v>
      </c>
      <c r="C231" s="299" t="str">
        <f>CONCATENATE("(",ROUND((B231/$H231)*100,1),")")</f>
        <v>(63.8)</v>
      </c>
      <c r="D231" s="302">
        <f>SUM(D229:D230)</f>
        <v>4.7613456596064303</v>
      </c>
      <c r="E231" s="299" t="str">
        <f>CONCATENATE("(",ROUND((D231/$H231)*100,1),")")</f>
        <v>(16.8)</v>
      </c>
      <c r="F231" s="302">
        <f>SUM(F229:F230)</f>
        <v>5.4863516059739261</v>
      </c>
      <c r="G231" s="299" t="str">
        <f>CONCATENATE("(",ROUND((F231/$H231)*100,1),")")</f>
        <v>(19.4)</v>
      </c>
      <c r="H231" s="302">
        <f>SUM(H229:H230)</f>
        <v>28.280999999999999</v>
      </c>
      <c r="I231" s="299" t="str">
        <f>CONCATENATE("(",ROUND((H231/$H231)*100,1),")")</f>
        <v>(100)</v>
      </c>
      <c r="K231" s="302">
        <f t="shared" si="182"/>
        <v>2.5655639058967949E-2</v>
      </c>
      <c r="L231" s="302">
        <f t="shared" si="183"/>
        <v>0.45021187996018952</v>
      </c>
      <c r="M231" s="302">
        <f t="shared" si="184"/>
        <v>0.38113248098087027</v>
      </c>
      <c r="N231" s="302">
        <f t="shared" si="185"/>
        <v>0.85700000000002774</v>
      </c>
    </row>
    <row r="232" spans="1:14" x14ac:dyDescent="0.2">
      <c r="A232" s="293"/>
      <c r="B232" s="294"/>
      <c r="C232" s="293"/>
      <c r="D232" s="294"/>
      <c r="E232" s="293"/>
      <c r="F232" s="294"/>
      <c r="G232" s="293"/>
      <c r="H232" s="294"/>
      <c r="I232" s="293"/>
      <c r="J232" s="293"/>
      <c r="K232" s="294"/>
      <c r="L232" s="294"/>
      <c r="M232" s="294"/>
      <c r="N232" s="294"/>
    </row>
    <row r="236" spans="1:14" x14ac:dyDescent="0.2">
      <c r="A236" s="288"/>
      <c r="B236" s="289" t="s">
        <v>372</v>
      </c>
      <c r="C236" s="288"/>
      <c r="D236" s="289"/>
      <c r="E236" s="288"/>
      <c r="F236" s="289" t="str">
        <f>name!B14</f>
        <v>Accommodation and food</v>
      </c>
      <c r="G236" s="288"/>
      <c r="H236" s="291"/>
      <c r="I236" s="288"/>
      <c r="J236" s="290"/>
      <c r="K236" s="291"/>
      <c r="L236" s="291"/>
      <c r="M236" s="291"/>
      <c r="N236" s="291"/>
    </row>
    <row r="237" spans="1:14" x14ac:dyDescent="0.2">
      <c r="N237" s="287" t="s">
        <v>370</v>
      </c>
    </row>
    <row r="238" spans="1:14" x14ac:dyDescent="0.2">
      <c r="A238" s="182" t="s">
        <v>371</v>
      </c>
      <c r="B238" s="372" t="s">
        <v>369</v>
      </c>
      <c r="C238" s="372"/>
      <c r="D238" s="372" t="s">
        <v>368</v>
      </c>
      <c r="E238" s="372"/>
      <c r="F238" s="372" t="s">
        <v>367</v>
      </c>
      <c r="G238" s="372"/>
      <c r="H238" s="372" t="s">
        <v>33</v>
      </c>
      <c r="I238" s="372"/>
      <c r="J238" s="182"/>
      <c r="K238" s="297" t="s">
        <v>345</v>
      </c>
      <c r="L238" s="297" t="s">
        <v>347</v>
      </c>
      <c r="M238" s="297" t="s">
        <v>343</v>
      </c>
      <c r="N238" s="297" t="s">
        <v>33</v>
      </c>
    </row>
    <row r="239" spans="1:14" x14ac:dyDescent="0.2">
      <c r="A239" s="292">
        <f>$A$8</f>
        <v>2020</v>
      </c>
      <c r="B239" s="287" t="s">
        <v>66</v>
      </c>
      <c r="C239" s="20" t="s">
        <v>366</v>
      </c>
      <c r="D239" s="287" t="s">
        <v>66</v>
      </c>
      <c r="E239" s="20" t="s">
        <v>366</v>
      </c>
      <c r="F239" s="287" t="s">
        <v>66</v>
      </c>
      <c r="G239" s="20" t="s">
        <v>366</v>
      </c>
      <c r="H239" s="287" t="s">
        <v>66</v>
      </c>
      <c r="I239" s="20" t="s">
        <v>366</v>
      </c>
      <c r="J239" s="182"/>
      <c r="K239" s="286" t="str">
        <f>CONCATENATE(A239," - ",A244)</f>
        <v>2020 - 2025</v>
      </c>
      <c r="L239" s="285"/>
      <c r="M239" s="285"/>
    </row>
    <row r="240" spans="1:14" x14ac:dyDescent="0.2">
      <c r="A240" s="282" t="s">
        <v>364</v>
      </c>
      <c r="B240" s="302">
        <f>'Ind T6'!L99</f>
        <v>6.9884154932491303</v>
      </c>
      <c r="C240" s="299" t="str">
        <f>CONCATENATE("(",ROUND((B240/$H242)*100,1),")")</f>
        <v>(20.6)</v>
      </c>
      <c r="D240" s="302">
        <f>'Ind T6'!M99</f>
        <v>6.6951007513956275</v>
      </c>
      <c r="E240" s="299" t="str">
        <f>CONCATENATE("(",ROUND((D240/$H242)*100,1),")")</f>
        <v>(19.7)</v>
      </c>
      <c r="F240" s="302">
        <f>'Ind T6'!N99</f>
        <v>0.82296153598562261</v>
      </c>
      <c r="G240" s="299" t="str">
        <f>CONCATENATE("(",ROUND((F240/$H242)*100,1),")")</f>
        <v>(2.4)</v>
      </c>
      <c r="H240" s="302">
        <f>SUM(B240,D240,F240)</f>
        <v>14.50647778063038</v>
      </c>
      <c r="I240" s="299" t="str">
        <f>CONCATENATE("(",ROUND((H240/$H242)*100,1),")")</f>
        <v>(42.8)</v>
      </c>
      <c r="K240" s="302">
        <f>B245-B240</f>
        <v>0.2148083440127424</v>
      </c>
      <c r="L240" s="302">
        <f>D245-D240</f>
        <v>0.15793603651496024</v>
      </c>
      <c r="M240" s="302">
        <f>F245-F240</f>
        <v>2.0836364518486694E-2</v>
      </c>
      <c r="N240" s="302">
        <f>SUM(K240:M240)</f>
        <v>0.39358074504618934</v>
      </c>
    </row>
    <row r="241" spans="1:14" x14ac:dyDescent="0.2">
      <c r="A241" s="282" t="s">
        <v>365</v>
      </c>
      <c r="B241" s="302">
        <f>'Ind T6'!L98</f>
        <v>6.9387382766123418</v>
      </c>
      <c r="C241" s="299" t="str">
        <f>CONCATENATE("(",ROUND((B241/$H242)*100,1),")")</f>
        <v>(20.4)</v>
      </c>
      <c r="D241" s="302">
        <f>'Ind T6'!M98</f>
        <v>10.961131723019335</v>
      </c>
      <c r="E241" s="299" t="str">
        <f>CONCATENATE("(",ROUND((D241/$H242)*100,1),")")</f>
        <v>(32.3)</v>
      </c>
      <c r="F241" s="302">
        <f>'Ind T6'!N98</f>
        <v>1.5246522197379959</v>
      </c>
      <c r="G241" s="299" t="str">
        <f>CONCATENATE("(",ROUND((F241/$H242)*100,1),")")</f>
        <v>(4.5)</v>
      </c>
      <c r="H241" s="302">
        <f t="shared" ref="H241" si="186">SUM(B241,D241,F241)</f>
        <v>19.42452221936967</v>
      </c>
      <c r="I241" s="299" t="str">
        <f>CONCATENATE("(",ROUND((H241/$H242)*100,1),")")</f>
        <v>(57.2)</v>
      </c>
      <c r="K241" s="302">
        <f t="shared" ref="K241:K242" si="187">B246-B241</f>
        <v>0.17493668969481035</v>
      </c>
      <c r="L241" s="302">
        <f t="shared" ref="L241:L242" si="188">D246-D241</f>
        <v>0.24412581561523439</v>
      </c>
      <c r="M241" s="302">
        <f t="shared" ref="M241:M242" si="189">F246-F241</f>
        <v>3.7356749643696396E-2</v>
      </c>
      <c r="N241" s="302">
        <f t="shared" ref="N241:N242" si="190">SUM(K241:M241)</f>
        <v>0.45641925495374114</v>
      </c>
    </row>
    <row r="242" spans="1:14" x14ac:dyDescent="0.2">
      <c r="A242" s="282" t="s">
        <v>363</v>
      </c>
      <c r="B242" s="302">
        <f>SUM(B240:B241)</f>
        <v>13.927153769861473</v>
      </c>
      <c r="C242" s="299" t="str">
        <f>CONCATENATE("(",ROUND((B242/$H242)*100,1),")")</f>
        <v>(41)</v>
      </c>
      <c r="D242" s="302">
        <f>SUM(D240:D241)</f>
        <v>17.656232474414963</v>
      </c>
      <c r="E242" s="299" t="str">
        <f>CONCATENATE("(",ROUND((D242/$H242)*100,1),")")</f>
        <v>(52)</v>
      </c>
      <c r="F242" s="302">
        <f>SUM(F240:F241)</f>
        <v>2.3476137557236187</v>
      </c>
      <c r="G242" s="299" t="str">
        <f>CONCATENATE("(",ROUND((F242/$H242)*100,1),")")</f>
        <v>(6.9)</v>
      </c>
      <c r="H242" s="302">
        <f>SUM(H240:H241)</f>
        <v>33.931000000000054</v>
      </c>
      <c r="I242" s="299" t="str">
        <f>CONCATENATE("(",ROUND((H242/$H242)*100,1),")")</f>
        <v>(100)</v>
      </c>
      <c r="K242" s="302">
        <f t="shared" si="187"/>
        <v>0.38974503370755187</v>
      </c>
      <c r="L242" s="302">
        <f t="shared" si="188"/>
        <v>0.40206185213019552</v>
      </c>
      <c r="M242" s="302">
        <f t="shared" si="189"/>
        <v>5.8193114162182979E-2</v>
      </c>
      <c r="N242" s="302">
        <f t="shared" si="190"/>
        <v>0.84999999999993037</v>
      </c>
    </row>
    <row r="243" spans="1:14" x14ac:dyDescent="0.2">
      <c r="B243" s="302"/>
      <c r="C243" s="284"/>
      <c r="D243" s="302"/>
      <c r="E243" s="284"/>
      <c r="F243" s="302"/>
      <c r="G243" s="284"/>
      <c r="H243" s="302"/>
      <c r="I243" s="284"/>
    </row>
    <row r="244" spans="1:14" x14ac:dyDescent="0.2">
      <c r="A244" s="292">
        <f>$A$13</f>
        <v>2025</v>
      </c>
      <c r="B244" s="302"/>
      <c r="C244" s="284"/>
      <c r="D244" s="302"/>
      <c r="E244" s="284"/>
      <c r="F244" s="302"/>
      <c r="G244" s="284"/>
      <c r="H244" s="302"/>
      <c r="I244" s="284"/>
      <c r="K244" s="286" t="str">
        <f>CONCATENATE(A244," - ",A249)</f>
        <v>2025 - 2035</v>
      </c>
    </row>
    <row r="245" spans="1:14" x14ac:dyDescent="0.2">
      <c r="A245" s="282" t="s">
        <v>364</v>
      </c>
      <c r="B245" s="302">
        <f>'Ind T6'!Q99</f>
        <v>7.2032238372618727</v>
      </c>
      <c r="C245" s="299" t="str">
        <f>CONCATENATE("(",ROUND((B245/$H247)*100,1),")")</f>
        <v>(20.7)</v>
      </c>
      <c r="D245" s="302">
        <f>'Ind T6'!R99</f>
        <v>6.8530367879105878</v>
      </c>
      <c r="E245" s="299" t="str">
        <f>CONCATENATE("(",ROUND((D245/$H247)*100,1),")")</f>
        <v>(19.7)</v>
      </c>
      <c r="F245" s="302">
        <f>'Ind T6'!S99</f>
        <v>0.8437979005041093</v>
      </c>
      <c r="G245" s="299" t="str">
        <f>CONCATENATE("(",ROUND((F245/$H247)*100,1),")")</f>
        <v>(2.4)</v>
      </c>
      <c r="H245" s="302">
        <f>SUM(B245,D245,F245)</f>
        <v>14.900058525676569</v>
      </c>
      <c r="I245" s="299" t="str">
        <f>CONCATENATE("(",ROUND((H245/$H247)*100,1),")")</f>
        <v>(42.8)</v>
      </c>
      <c r="K245" s="302">
        <f>B250-B245</f>
        <v>1.0153551977399262</v>
      </c>
      <c r="L245" s="302">
        <f>D250-D245</f>
        <v>0.78025954938382736</v>
      </c>
      <c r="M245" s="302">
        <f>F250-F245</f>
        <v>0.11396939868486122</v>
      </c>
      <c r="N245" s="302">
        <f>SUM(K245:M245)</f>
        <v>1.9095841458086147</v>
      </c>
    </row>
    <row r="246" spans="1:14" x14ac:dyDescent="0.2">
      <c r="A246" s="282" t="s">
        <v>365</v>
      </c>
      <c r="B246" s="302">
        <f>'Ind T6'!Q98</f>
        <v>7.1136749663071521</v>
      </c>
      <c r="C246" s="299" t="str">
        <f>CONCATENATE("(",ROUND((B246/$H247)*100,1),")")</f>
        <v>(20.5)</v>
      </c>
      <c r="D246" s="302">
        <f>'Ind T6'!R98</f>
        <v>11.205257538634569</v>
      </c>
      <c r="E246" s="299" t="str">
        <f>CONCATENATE("(",ROUND((D246/$H247)*100,1),")")</f>
        <v>(32.2)</v>
      </c>
      <c r="F246" s="302">
        <f>'Ind T6'!S98</f>
        <v>1.5620089693816923</v>
      </c>
      <c r="G246" s="299" t="str">
        <f>CONCATENATE("(",ROUND((F246/$H247)*100,1),")")</f>
        <v>(4.5)</v>
      </c>
      <c r="H246" s="302">
        <f t="shared" ref="H246" si="191">SUM(B246,D246,F246)</f>
        <v>19.880941474323414</v>
      </c>
      <c r="I246" s="299" t="str">
        <f>CONCATENATE("(",ROUND((H246/$H247)*100,1),")")</f>
        <v>(57.2)</v>
      </c>
      <c r="K246" s="302">
        <f t="shared" ref="K246:K247" si="192">B251-B246</f>
        <v>0.92587228191505577</v>
      </c>
      <c r="L246" s="302">
        <f t="shared" ref="L246:L247" si="193">D251-D246</f>
        <v>1.2636557023390829</v>
      </c>
      <c r="M246" s="302">
        <f t="shared" ref="M246:M247" si="194">F251-F246</f>
        <v>0.21388786993719422</v>
      </c>
      <c r="N246" s="302">
        <f t="shared" ref="N246:N247" si="195">SUM(K246:M246)</f>
        <v>2.4034158541913326</v>
      </c>
    </row>
    <row r="247" spans="1:14" x14ac:dyDescent="0.2">
      <c r="A247" s="282" t="s">
        <v>363</v>
      </c>
      <c r="B247" s="302">
        <f>SUM(B245:B246)</f>
        <v>14.316898803569025</v>
      </c>
      <c r="C247" s="299" t="str">
        <f>CONCATENATE("(",ROUND((B247/$H247)*100,1),")")</f>
        <v>(41.2)</v>
      </c>
      <c r="D247" s="302">
        <f>SUM(D245:D246)</f>
        <v>18.058294326545159</v>
      </c>
      <c r="E247" s="299" t="str">
        <f>CONCATENATE("(",ROUND((D247/$H247)*100,1),")")</f>
        <v>(51.9)</v>
      </c>
      <c r="F247" s="302">
        <f>SUM(F245:F246)</f>
        <v>2.4058068698858017</v>
      </c>
      <c r="G247" s="299" t="str">
        <f>CONCATENATE("(",ROUND((F247/$H247)*100,1),")")</f>
        <v>(6.9)</v>
      </c>
      <c r="H247" s="302">
        <f>SUM(H245:H246)</f>
        <v>34.780999999999985</v>
      </c>
      <c r="I247" s="299" t="str">
        <f>CONCATENATE("(",ROUND((H247/$H247)*100,1),")")</f>
        <v>(100)</v>
      </c>
      <c r="K247" s="302">
        <f t="shared" si="192"/>
        <v>1.9412274796549838</v>
      </c>
      <c r="L247" s="302">
        <f t="shared" si="193"/>
        <v>2.0439152517229076</v>
      </c>
      <c r="M247" s="302">
        <f t="shared" si="194"/>
        <v>0.32785726862205511</v>
      </c>
      <c r="N247" s="302">
        <f t="shared" si="195"/>
        <v>4.3129999999999464</v>
      </c>
    </row>
    <row r="248" spans="1:14" x14ac:dyDescent="0.2">
      <c r="B248" s="302"/>
      <c r="C248" s="284"/>
      <c r="D248" s="302"/>
      <c r="E248" s="284"/>
      <c r="F248" s="302"/>
      <c r="G248" s="284"/>
      <c r="H248" s="302"/>
      <c r="I248" s="284"/>
    </row>
    <row r="249" spans="1:14" x14ac:dyDescent="0.2">
      <c r="A249" s="292">
        <f>$A$18</f>
        <v>2035</v>
      </c>
      <c r="B249" s="302"/>
      <c r="C249" s="284"/>
      <c r="D249" s="302"/>
      <c r="E249" s="284"/>
      <c r="F249" s="302"/>
      <c r="G249" s="284"/>
      <c r="H249" s="302"/>
      <c r="I249" s="284"/>
      <c r="K249" s="286" t="str">
        <f>CONCATENATE(A239," - ",A249)</f>
        <v>2020 - 2035</v>
      </c>
    </row>
    <row r="250" spans="1:14" x14ac:dyDescent="0.2">
      <c r="A250" s="282" t="s">
        <v>364</v>
      </c>
      <c r="B250" s="302">
        <f>'Ind T6'!V99</f>
        <v>8.2185790350017989</v>
      </c>
      <c r="C250" s="299" t="str">
        <f>CONCATENATE("(",ROUND((B250/$H252)*100,1),")")</f>
        <v>(21)</v>
      </c>
      <c r="D250" s="302">
        <f>'Ind T6'!W99</f>
        <v>7.6332963372944151</v>
      </c>
      <c r="E250" s="299" t="str">
        <f>CONCATENATE("(",ROUND((D250/$H252)*100,1),")")</f>
        <v>(19.5)</v>
      </c>
      <c r="F250" s="302">
        <f>'Ind T6'!X99</f>
        <v>0.95776729918897052</v>
      </c>
      <c r="G250" s="299" t="str">
        <f>CONCATENATE("(",ROUND((F250/$H252)*100,1),")")</f>
        <v>(2.4)</v>
      </c>
      <c r="H250" s="302">
        <f>SUM(B250,D250,F250)</f>
        <v>16.809642671485182</v>
      </c>
      <c r="I250" s="299" t="str">
        <f>CONCATENATE("(",ROUND((H250/$H252)*100,1),")")</f>
        <v>(43)</v>
      </c>
      <c r="K250" s="302">
        <f>B250-B240</f>
        <v>1.2301635417526686</v>
      </c>
      <c r="L250" s="302">
        <f>D250-D240</f>
        <v>0.9381955858987876</v>
      </c>
      <c r="M250" s="302">
        <f>F250-F240</f>
        <v>0.13480576320334792</v>
      </c>
      <c r="N250" s="302">
        <f>SUM(K250:M250)</f>
        <v>2.3031648908548039</v>
      </c>
    </row>
    <row r="251" spans="1:14" x14ac:dyDescent="0.2">
      <c r="A251" s="282" t="s">
        <v>365</v>
      </c>
      <c r="B251" s="302">
        <f>'Ind T6'!V98</f>
        <v>8.0395472482222079</v>
      </c>
      <c r="C251" s="299" t="str">
        <f>CONCATENATE("(",ROUND((B251/$H252)*100,1),")")</f>
        <v>(20.6)</v>
      </c>
      <c r="D251" s="302">
        <f>'Ind T6'!W98</f>
        <v>12.468913240973652</v>
      </c>
      <c r="E251" s="299" t="str">
        <f>CONCATENATE("(",ROUND((D251/$H252)*100,1),")")</f>
        <v>(31.9)</v>
      </c>
      <c r="F251" s="302">
        <f>'Ind T6'!X98</f>
        <v>1.7758968393188865</v>
      </c>
      <c r="G251" s="299" t="str">
        <f>CONCATENATE("(",ROUND((F251/$H252)*100,1),")")</f>
        <v>(4.5)</v>
      </c>
      <c r="H251" s="302">
        <f t="shared" ref="H251" si="196">SUM(B251,D251,F251)</f>
        <v>22.284357328514748</v>
      </c>
      <c r="I251" s="299" t="str">
        <f>CONCATENATE("(",ROUND((H251/$H252)*100,1),")")</f>
        <v>(57)</v>
      </c>
      <c r="K251" s="302">
        <f t="shared" ref="K251:K252" si="197">B251-B241</f>
        <v>1.1008089716098661</v>
      </c>
      <c r="L251" s="302">
        <f t="shared" ref="L251:L252" si="198">D251-D241</f>
        <v>1.5077815179543173</v>
      </c>
      <c r="M251" s="302">
        <f t="shared" ref="M251:M252" si="199">F251-F241</f>
        <v>0.25124461958089062</v>
      </c>
      <c r="N251" s="302">
        <f t="shared" ref="N251:N252" si="200">SUM(K251:M251)</f>
        <v>2.8598351091450738</v>
      </c>
    </row>
    <row r="252" spans="1:14" x14ac:dyDescent="0.2">
      <c r="A252" s="282" t="s">
        <v>363</v>
      </c>
      <c r="B252" s="302">
        <f>SUM(B250:B251)</f>
        <v>16.258126283224009</v>
      </c>
      <c r="C252" s="299" t="str">
        <f>CONCATENATE("(",ROUND((B252/$H252)*100,1),")")</f>
        <v>(41.6)</v>
      </c>
      <c r="D252" s="302">
        <f>SUM(D250:D251)</f>
        <v>20.102209578268067</v>
      </c>
      <c r="E252" s="299" t="str">
        <f>CONCATENATE("(",ROUND((D252/$H252)*100,1),")")</f>
        <v>(51.4)</v>
      </c>
      <c r="F252" s="302">
        <f>SUM(F250:F251)</f>
        <v>2.7336641385078568</v>
      </c>
      <c r="G252" s="299" t="str">
        <f>CONCATENATE("(",ROUND((F252/$H252)*100,1),")")</f>
        <v>(7)</v>
      </c>
      <c r="H252" s="302">
        <f>SUM(H250:H251)</f>
        <v>39.09399999999993</v>
      </c>
      <c r="I252" s="299" t="str">
        <f>CONCATENATE("(",ROUND((H252/$H252)*100,1),")")</f>
        <v>(100)</v>
      </c>
      <c r="K252" s="302">
        <f t="shared" si="197"/>
        <v>2.3309725133625356</v>
      </c>
      <c r="L252" s="302">
        <f t="shared" si="198"/>
        <v>2.4459771038531031</v>
      </c>
      <c r="M252" s="302">
        <f t="shared" si="199"/>
        <v>0.38605038278423809</v>
      </c>
      <c r="N252" s="302">
        <f t="shared" si="200"/>
        <v>5.1629999999998768</v>
      </c>
    </row>
    <row r="253" spans="1:14" x14ac:dyDescent="0.2">
      <c r="A253" s="293"/>
      <c r="B253" s="294"/>
      <c r="C253" s="293"/>
      <c r="D253" s="294"/>
      <c r="E253" s="293"/>
      <c r="F253" s="294"/>
      <c r="G253" s="293"/>
      <c r="H253" s="294"/>
      <c r="I253" s="293"/>
      <c r="J253" s="293"/>
      <c r="K253" s="294"/>
      <c r="L253" s="294"/>
      <c r="M253" s="294"/>
      <c r="N253" s="294"/>
    </row>
    <row r="256" spans="1:14" x14ac:dyDescent="0.2">
      <c r="C256" s="182"/>
      <c r="E256" s="182"/>
      <c r="G256" s="182"/>
      <c r="I256" s="182"/>
    </row>
    <row r="257" spans="1:14" x14ac:dyDescent="0.2">
      <c r="A257" s="288"/>
      <c r="B257" s="289" t="s">
        <v>372</v>
      </c>
      <c r="C257" s="288"/>
      <c r="D257" s="289"/>
      <c r="E257" s="288"/>
      <c r="F257" s="289" t="str">
        <f>name!B15</f>
        <v>Media</v>
      </c>
      <c r="G257" s="288"/>
      <c r="H257" s="291"/>
      <c r="I257" s="288"/>
      <c r="J257" s="290"/>
      <c r="K257" s="291"/>
      <c r="L257" s="291"/>
      <c r="M257" s="291"/>
      <c r="N257" s="291"/>
    </row>
    <row r="258" spans="1:14" x14ac:dyDescent="0.2">
      <c r="N258" s="287" t="s">
        <v>370</v>
      </c>
    </row>
    <row r="259" spans="1:14" x14ac:dyDescent="0.2">
      <c r="A259" s="182" t="s">
        <v>371</v>
      </c>
      <c r="B259" s="372" t="s">
        <v>369</v>
      </c>
      <c r="C259" s="372"/>
      <c r="D259" s="372" t="s">
        <v>368</v>
      </c>
      <c r="E259" s="372"/>
      <c r="F259" s="372" t="s">
        <v>367</v>
      </c>
      <c r="G259" s="372"/>
      <c r="H259" s="372" t="s">
        <v>33</v>
      </c>
      <c r="I259" s="372"/>
      <c r="J259" s="182"/>
      <c r="K259" s="297" t="s">
        <v>345</v>
      </c>
      <c r="L259" s="297" t="s">
        <v>347</v>
      </c>
      <c r="M259" s="297" t="s">
        <v>343</v>
      </c>
      <c r="N259" s="297" t="s">
        <v>33</v>
      </c>
    </row>
    <row r="260" spans="1:14" x14ac:dyDescent="0.2">
      <c r="A260" s="292">
        <f>$A$8</f>
        <v>2020</v>
      </c>
      <c r="B260" s="287" t="s">
        <v>66</v>
      </c>
      <c r="C260" s="20" t="s">
        <v>366</v>
      </c>
      <c r="D260" s="287" t="s">
        <v>66</v>
      </c>
      <c r="E260" s="20" t="s">
        <v>366</v>
      </c>
      <c r="F260" s="287" t="s">
        <v>66</v>
      </c>
      <c r="G260" s="20" t="s">
        <v>366</v>
      </c>
      <c r="H260" s="287" t="s">
        <v>66</v>
      </c>
      <c r="I260" s="20" t="s">
        <v>366</v>
      </c>
      <c r="J260" s="182"/>
      <c r="K260" s="286" t="str">
        <f>CONCATENATE(A260," - ",A265)</f>
        <v>2020 - 2025</v>
      </c>
      <c r="L260" s="285"/>
      <c r="M260" s="285"/>
    </row>
    <row r="261" spans="1:14" x14ac:dyDescent="0.2">
      <c r="A261" s="282" t="s">
        <v>364</v>
      </c>
      <c r="B261" s="302">
        <f>'Ind T6'!L108</f>
        <v>0.90770635188251014</v>
      </c>
      <c r="C261" s="299" t="str">
        <f>CONCATENATE("(",ROUND((B261/$H263)*100,1),")")</f>
        <v>(31.3)</v>
      </c>
      <c r="D261" s="302">
        <f>'Ind T6'!M108</f>
        <v>0.21911275997822077</v>
      </c>
      <c r="E261" s="299" t="str">
        <f>CONCATENATE("(",ROUND((D261/$H263)*100,1),")")</f>
        <v>(7.6)</v>
      </c>
      <c r="F261" s="302">
        <f>'Ind T6'!N108</f>
        <v>0.19957818999778648</v>
      </c>
      <c r="G261" s="299" t="str">
        <f>CONCATENATE("(",ROUND((F261/$H263)*100,1),")")</f>
        <v>(6.9)</v>
      </c>
      <c r="H261" s="302">
        <f>SUM(B261,D261,F261)</f>
        <v>1.3263973018585173</v>
      </c>
      <c r="I261" s="299" t="str">
        <f>CONCATENATE("(",ROUND((H261/$H263)*100,1),")")</f>
        <v>(45.8)</v>
      </c>
      <c r="K261" s="302">
        <f>B266-B261</f>
        <v>-2.2603881609615573E-2</v>
      </c>
      <c r="L261" s="302">
        <f>D266-D261</f>
        <v>5.7318191609888047E-3</v>
      </c>
      <c r="M261" s="302">
        <f>F266-F261</f>
        <v>-2.6364013319244983E-3</v>
      </c>
      <c r="N261" s="302">
        <f>SUM(K261:M261)</f>
        <v>-1.9508463780551266E-2</v>
      </c>
    </row>
    <row r="262" spans="1:14" x14ac:dyDescent="0.2">
      <c r="A262" s="282" t="s">
        <v>365</v>
      </c>
      <c r="B262" s="302">
        <f>'Ind T6'!L107</f>
        <v>0.37018010117988265</v>
      </c>
      <c r="C262" s="299" t="str">
        <f>CONCATENATE("(",ROUND((B262/$H263)*100,1),")")</f>
        <v>(12.8)</v>
      </c>
      <c r="D262" s="302">
        <f>'Ind T6'!M107</f>
        <v>0.16929960652123624</v>
      </c>
      <c r="E262" s="299" t="str">
        <f>CONCATENATE("(",ROUND((D262/$H263)*100,1),")")</f>
        <v>(5.8)</v>
      </c>
      <c r="F262" s="302">
        <f>'Ind T6'!N107</f>
        <v>1.0301229904403655</v>
      </c>
      <c r="G262" s="299" t="str">
        <f>CONCATENATE("(",ROUND((F262/$H263)*100,1),")")</f>
        <v>(35.6)</v>
      </c>
      <c r="H262" s="302">
        <f t="shared" ref="H262" si="201">SUM(B262,D262,F262)</f>
        <v>1.5696026981414843</v>
      </c>
      <c r="I262" s="299" t="str">
        <f>CONCATENATE("(",ROUND((H262/$H263)*100,1),")")</f>
        <v>(54.2)</v>
      </c>
      <c r="K262" s="302">
        <f t="shared" ref="K262:K263" si="202">B267-B262</f>
        <v>-7.7682759218819508E-3</v>
      </c>
      <c r="L262" s="302">
        <f t="shared" ref="L262:L263" si="203">D267-D262</f>
        <v>-1.2339615027426587E-3</v>
      </c>
      <c r="M262" s="302">
        <f t="shared" ref="M262:M263" si="204">F267-F262</f>
        <v>-3.0489298794828645E-2</v>
      </c>
      <c r="N262" s="302">
        <f t="shared" ref="N262:N263" si="205">SUM(K262:M262)</f>
        <v>-3.9491536219453255E-2</v>
      </c>
    </row>
    <row r="263" spans="1:14" x14ac:dyDescent="0.2">
      <c r="A263" s="282" t="s">
        <v>363</v>
      </c>
      <c r="B263" s="302">
        <f>SUM(B261:B262)</f>
        <v>1.2778864530623928</v>
      </c>
      <c r="C263" s="299" t="str">
        <f>CONCATENATE("(",ROUND((B263/$H263)*100,1),")")</f>
        <v>(44.1)</v>
      </c>
      <c r="D263" s="302">
        <f>SUM(D261:D262)</f>
        <v>0.38841236649945698</v>
      </c>
      <c r="E263" s="299" t="str">
        <f>CONCATENATE("(",ROUND((D263/$H263)*100,1),")")</f>
        <v>(13.4)</v>
      </c>
      <c r="F263" s="302">
        <f>SUM(F261:F262)</f>
        <v>1.2297011804381519</v>
      </c>
      <c r="G263" s="299" t="str">
        <f>CONCATENATE("(",ROUND((F263/$H263)*100,1),")")</f>
        <v>(42.5)</v>
      </c>
      <c r="H263" s="302">
        <f>SUM(H261:H262)</f>
        <v>2.8960000000000017</v>
      </c>
      <c r="I263" s="299" t="str">
        <f>CONCATENATE("(",ROUND((H263/$H263)*100,1),")")</f>
        <v>(100)</v>
      </c>
      <c r="K263" s="302">
        <f t="shared" si="202"/>
        <v>-3.0372157531497468E-2</v>
      </c>
      <c r="L263" s="302">
        <f t="shared" si="203"/>
        <v>4.4978576582461738E-3</v>
      </c>
      <c r="M263" s="302">
        <f t="shared" si="204"/>
        <v>-3.3125700126753088E-2</v>
      </c>
      <c r="N263" s="302">
        <f t="shared" si="205"/>
        <v>-5.9000000000004382E-2</v>
      </c>
    </row>
    <row r="264" spans="1:14" x14ac:dyDescent="0.2">
      <c r="B264" s="302"/>
      <c r="C264" s="284"/>
      <c r="D264" s="302"/>
      <c r="E264" s="284"/>
      <c r="F264" s="302"/>
      <c r="G264" s="284"/>
      <c r="H264" s="302"/>
      <c r="I264" s="284"/>
    </row>
    <row r="265" spans="1:14" x14ac:dyDescent="0.2">
      <c r="A265" s="292">
        <f>$A$13</f>
        <v>2025</v>
      </c>
      <c r="B265" s="302"/>
      <c r="C265" s="284"/>
      <c r="D265" s="302"/>
      <c r="E265" s="284"/>
      <c r="F265" s="302"/>
      <c r="G265" s="284"/>
      <c r="H265" s="302"/>
      <c r="I265" s="284"/>
      <c r="K265" s="286" t="str">
        <f>CONCATENATE(A265," - ",A270)</f>
        <v>2025 - 2035</v>
      </c>
    </row>
    <row r="266" spans="1:14" x14ac:dyDescent="0.2">
      <c r="A266" s="282" t="s">
        <v>364</v>
      </c>
      <c r="B266" s="302">
        <f>'Ind T6'!Q108</f>
        <v>0.88510247027289457</v>
      </c>
      <c r="C266" s="299" t="str">
        <f>CONCATENATE("(",ROUND((B266/$H268)*100,1),")")</f>
        <v>(31.2)</v>
      </c>
      <c r="D266" s="302">
        <f>'Ind T6'!R108</f>
        <v>0.22484457913920958</v>
      </c>
      <c r="E266" s="299" t="str">
        <f>CONCATENATE("(",ROUND((D266/$H268)*100,1),")")</f>
        <v>(7.9)</v>
      </c>
      <c r="F266" s="302">
        <f>'Ind T6'!S108</f>
        <v>0.19694178866586198</v>
      </c>
      <c r="G266" s="299" t="str">
        <f>CONCATENATE("(",ROUND((F266/$H268)*100,1),")")</f>
        <v>(6.9)</v>
      </c>
      <c r="H266" s="302">
        <f>SUM(B266,D266,F266)</f>
        <v>1.3068888380779662</v>
      </c>
      <c r="I266" s="299" t="str">
        <f>CONCATENATE("(",ROUND((H266/$H268)*100,1),")")</f>
        <v>(46.1)</v>
      </c>
      <c r="K266" s="302">
        <f>B271-B266</f>
        <v>1.6991181231232777E-2</v>
      </c>
      <c r="L266" s="302">
        <f>D271-D266</f>
        <v>2.2215303793041541E-2</v>
      </c>
      <c r="M266" s="302">
        <f>F271-F266</f>
        <v>7.5327723483443187E-3</v>
      </c>
      <c r="N266" s="302">
        <f>SUM(K266:M266)</f>
        <v>4.6739257372618637E-2</v>
      </c>
    </row>
    <row r="267" spans="1:14" x14ac:dyDescent="0.2">
      <c r="A267" s="282" t="s">
        <v>365</v>
      </c>
      <c r="B267" s="302">
        <f>'Ind T6'!Q107</f>
        <v>0.3624118252580007</v>
      </c>
      <c r="C267" s="299" t="str">
        <f>CONCATENATE("(",ROUND((B267/$H268)*100,1),")")</f>
        <v>(12.8)</v>
      </c>
      <c r="D267" s="302">
        <f>'Ind T6'!R107</f>
        <v>0.16806564501849358</v>
      </c>
      <c r="E267" s="299" t="str">
        <f>CONCATENATE("(",ROUND((D267/$H268)*100,1),")")</f>
        <v>(5.9)</v>
      </c>
      <c r="F267" s="302">
        <f>'Ind T6'!S107</f>
        <v>0.99963369164553684</v>
      </c>
      <c r="G267" s="299" t="str">
        <f>CONCATENATE("(",ROUND((F267/$H268)*100,1),")")</f>
        <v>(35.2)</v>
      </c>
      <c r="H267" s="302">
        <f t="shared" ref="H267" si="206">SUM(B267,D267,F267)</f>
        <v>1.5301111619220311</v>
      </c>
      <c r="I267" s="299" t="str">
        <f>CONCATENATE("(",ROUND((H267/$H268)*100,1),")")</f>
        <v>(53.9)</v>
      </c>
      <c r="K267" s="302">
        <f t="shared" ref="K267:K268" si="207">B272-B267</f>
        <v>1.3704338631391977E-2</v>
      </c>
      <c r="L267" s="302">
        <f t="shared" ref="L267:L268" si="208">D272-D267</f>
        <v>5.201351828900469E-3</v>
      </c>
      <c r="M267" s="302">
        <f t="shared" ref="M267:M268" si="209">F272-F267</f>
        <v>-1.4644947832911592E-2</v>
      </c>
      <c r="N267" s="302">
        <f t="shared" ref="N267:N268" si="210">SUM(K267:M267)</f>
        <v>4.2607426273808535E-3</v>
      </c>
    </row>
    <row r="268" spans="1:14" x14ac:dyDescent="0.2">
      <c r="A268" s="282" t="s">
        <v>363</v>
      </c>
      <c r="B268" s="302">
        <f>SUM(B266:B267)</f>
        <v>1.2475142955308953</v>
      </c>
      <c r="C268" s="299" t="str">
        <f>CONCATENATE("(",ROUND((B268/$H268)*100,1),")")</f>
        <v>(44)</v>
      </c>
      <c r="D268" s="302">
        <f>SUM(D266:D267)</f>
        <v>0.39291022415770316</v>
      </c>
      <c r="E268" s="299" t="str">
        <f>CONCATENATE("(",ROUND((D268/$H268)*100,1),")")</f>
        <v>(13.8)</v>
      </c>
      <c r="F268" s="302">
        <f>SUM(F266:F267)</f>
        <v>1.1965754803113988</v>
      </c>
      <c r="G268" s="299" t="str">
        <f>CONCATENATE("(",ROUND((F268/$H268)*100,1),")")</f>
        <v>(42.2)</v>
      </c>
      <c r="H268" s="302">
        <f>SUM(H266:H267)</f>
        <v>2.8369999999999971</v>
      </c>
      <c r="I268" s="299" t="str">
        <f>CONCATENATE("(",ROUND((H268/$H268)*100,1),")")</f>
        <v>(100)</v>
      </c>
      <c r="K268" s="302">
        <f t="shared" si="207"/>
        <v>3.0695519862624643E-2</v>
      </c>
      <c r="L268" s="302">
        <f t="shared" si="208"/>
        <v>2.741665562194201E-2</v>
      </c>
      <c r="M268" s="302">
        <f t="shared" si="209"/>
        <v>-7.1121754845673291E-3</v>
      </c>
      <c r="N268" s="302">
        <f t="shared" si="210"/>
        <v>5.0999999999999324E-2</v>
      </c>
    </row>
    <row r="269" spans="1:14" x14ac:dyDescent="0.2">
      <c r="B269" s="302"/>
      <c r="C269" s="284"/>
      <c r="D269" s="302"/>
      <c r="E269" s="284"/>
      <c r="F269" s="302"/>
      <c r="G269" s="284"/>
      <c r="H269" s="302"/>
      <c r="I269" s="284"/>
    </row>
    <row r="270" spans="1:14" x14ac:dyDescent="0.2">
      <c r="A270" s="292">
        <f>$A$18</f>
        <v>2035</v>
      </c>
      <c r="B270" s="302"/>
      <c r="C270" s="284"/>
      <c r="D270" s="302"/>
      <c r="E270" s="284"/>
      <c r="F270" s="302"/>
      <c r="G270" s="284"/>
      <c r="H270" s="302"/>
      <c r="I270" s="284"/>
      <c r="K270" s="286" t="str">
        <f>CONCATENATE(A260," - ",A270)</f>
        <v>2020 - 2035</v>
      </c>
    </row>
    <row r="271" spans="1:14" x14ac:dyDescent="0.2">
      <c r="A271" s="282" t="s">
        <v>364</v>
      </c>
      <c r="B271" s="302">
        <f>'Ind T6'!V108</f>
        <v>0.90209365150412735</v>
      </c>
      <c r="C271" s="299" t="str">
        <f>CONCATENATE("(",ROUND((B271/$H273)*100,1),")")</f>
        <v>(31.2)</v>
      </c>
      <c r="D271" s="302">
        <f>'Ind T6'!W108</f>
        <v>0.24705988293225112</v>
      </c>
      <c r="E271" s="299" t="str">
        <f>CONCATENATE("(",ROUND((D271/$H273)*100,1),")")</f>
        <v>(8.6)</v>
      </c>
      <c r="F271" s="302">
        <f>'Ind T6'!X108</f>
        <v>0.2044745610142063</v>
      </c>
      <c r="G271" s="299" t="str">
        <f>CONCATENATE("(",ROUND((F271/$H273)*100,1),")")</f>
        <v>(7.1)</v>
      </c>
      <c r="H271" s="302">
        <f>SUM(B271,D271,F271)</f>
        <v>1.3536280954505846</v>
      </c>
      <c r="I271" s="299" t="str">
        <f>CONCATENATE("(",ROUND((H271/$H273)*100,1),")")</f>
        <v>(46.9)</v>
      </c>
      <c r="K271" s="302">
        <f>B271-B261</f>
        <v>-5.6127003783827956E-3</v>
      </c>
      <c r="L271" s="302">
        <f>D271-D261</f>
        <v>2.7947122954030346E-2</v>
      </c>
      <c r="M271" s="302">
        <f>F271-F261</f>
        <v>4.8963710164198204E-3</v>
      </c>
      <c r="N271" s="302">
        <f>SUM(K271:M271)</f>
        <v>2.723079359206737E-2</v>
      </c>
    </row>
    <row r="272" spans="1:14" x14ac:dyDescent="0.2">
      <c r="A272" s="282" t="s">
        <v>365</v>
      </c>
      <c r="B272" s="302">
        <f>'Ind T6'!V107</f>
        <v>0.37611616388939267</v>
      </c>
      <c r="C272" s="299" t="str">
        <f>CONCATENATE("(",ROUND((B272/$H273)*100,1),")")</f>
        <v>(13)</v>
      </c>
      <c r="D272" s="302">
        <f>'Ind T6'!W107</f>
        <v>0.17326699684739405</v>
      </c>
      <c r="E272" s="299" t="str">
        <f>CONCATENATE("(",ROUND((D272/$H273)*100,1),")")</f>
        <v>(6)</v>
      </c>
      <c r="F272" s="302">
        <f>'Ind T6'!X107</f>
        <v>0.98498874381262524</v>
      </c>
      <c r="G272" s="299" t="str">
        <f>CONCATENATE("(",ROUND((F272/$H273)*100,1),")")</f>
        <v>(34.1)</v>
      </c>
      <c r="H272" s="302">
        <f t="shared" ref="H272" si="211">SUM(B272,D272,F272)</f>
        <v>1.534371904549412</v>
      </c>
      <c r="I272" s="299" t="str">
        <f>CONCATENATE("(",ROUND((H272/$H273)*100,1),")")</f>
        <v>(53.1)</v>
      </c>
      <c r="K272" s="302">
        <f t="shared" ref="K272:K273" si="212">B272-B262</f>
        <v>5.936062709510026E-3</v>
      </c>
      <c r="L272" s="302">
        <f t="shared" ref="L272:L273" si="213">D272-D262</f>
        <v>3.9673903261578103E-3</v>
      </c>
      <c r="M272" s="302">
        <f t="shared" ref="M272:M273" si="214">F272-F262</f>
        <v>-4.5134246627740238E-2</v>
      </c>
      <c r="N272" s="302">
        <f t="shared" ref="N272:N273" si="215">SUM(K272:M272)</f>
        <v>-3.5230793592072401E-2</v>
      </c>
    </row>
    <row r="273" spans="1:14" x14ac:dyDescent="0.2">
      <c r="A273" s="282" t="s">
        <v>363</v>
      </c>
      <c r="B273" s="302">
        <f>SUM(B271:B272)</f>
        <v>1.27820981539352</v>
      </c>
      <c r="C273" s="299" t="str">
        <f>CONCATENATE("(",ROUND((B273/$H273)*100,1),")")</f>
        <v>(44.3)</v>
      </c>
      <c r="D273" s="302">
        <f>SUM(D271:D272)</f>
        <v>0.42032687977964517</v>
      </c>
      <c r="E273" s="299" t="str">
        <f>CONCATENATE("(",ROUND((D273/$H273)*100,1),")")</f>
        <v>(14.6)</v>
      </c>
      <c r="F273" s="302">
        <f>SUM(F271:F272)</f>
        <v>1.1894633048268315</v>
      </c>
      <c r="G273" s="299" t="str">
        <f>CONCATENATE("(",ROUND((F273/$H273)*100,1),")")</f>
        <v>(41.2)</v>
      </c>
      <c r="H273" s="302">
        <f>SUM(H271:H272)</f>
        <v>2.8879999999999963</v>
      </c>
      <c r="I273" s="299" t="str">
        <f>CONCATENATE("(",ROUND((H273/$H273)*100,1),")")</f>
        <v>(100)</v>
      </c>
      <c r="K273" s="302">
        <f t="shared" si="212"/>
        <v>3.2336233112717494E-4</v>
      </c>
      <c r="L273" s="302">
        <f t="shared" si="213"/>
        <v>3.1914513280188184E-2</v>
      </c>
      <c r="M273" s="302">
        <f t="shared" si="214"/>
        <v>-4.0237875611320417E-2</v>
      </c>
      <c r="N273" s="302">
        <f t="shared" si="215"/>
        <v>-8.0000000000050586E-3</v>
      </c>
    </row>
    <row r="274" spans="1:14" x14ac:dyDescent="0.2">
      <c r="A274" s="293"/>
      <c r="B274" s="294"/>
      <c r="C274" s="293"/>
      <c r="D274" s="294"/>
      <c r="E274" s="293"/>
      <c r="F274" s="294"/>
      <c r="G274" s="293"/>
      <c r="H274" s="294"/>
      <c r="I274" s="293"/>
      <c r="J274" s="293"/>
      <c r="K274" s="294"/>
      <c r="L274" s="294"/>
      <c r="M274" s="294"/>
      <c r="N274" s="294"/>
    </row>
    <row r="278" spans="1:14" x14ac:dyDescent="0.2">
      <c r="A278" s="288"/>
      <c r="B278" s="289" t="s">
        <v>372</v>
      </c>
      <c r="C278" s="288"/>
      <c r="D278" s="289"/>
      <c r="E278" s="288"/>
      <c r="F278" s="289" t="str">
        <f>name!B16</f>
        <v>Information technology</v>
      </c>
      <c r="G278" s="288"/>
      <c r="H278" s="291"/>
      <c r="I278" s="288"/>
      <c r="J278" s="290"/>
      <c r="K278" s="291"/>
      <c r="L278" s="291"/>
      <c r="M278" s="291"/>
      <c r="N278" s="291"/>
    </row>
    <row r="279" spans="1:14" x14ac:dyDescent="0.2">
      <c r="N279" s="287" t="s">
        <v>370</v>
      </c>
    </row>
    <row r="280" spans="1:14" x14ac:dyDescent="0.2">
      <c r="A280" s="182" t="s">
        <v>371</v>
      </c>
      <c r="B280" s="372" t="s">
        <v>369</v>
      </c>
      <c r="C280" s="372"/>
      <c r="D280" s="372" t="s">
        <v>368</v>
      </c>
      <c r="E280" s="372"/>
      <c r="F280" s="372" t="s">
        <v>367</v>
      </c>
      <c r="G280" s="372"/>
      <c r="H280" s="372" t="s">
        <v>33</v>
      </c>
      <c r="I280" s="372"/>
      <c r="J280" s="182"/>
      <c r="K280" s="297" t="s">
        <v>345</v>
      </c>
      <c r="L280" s="297" t="s">
        <v>347</v>
      </c>
      <c r="M280" s="297" t="s">
        <v>343</v>
      </c>
      <c r="N280" s="297" t="s">
        <v>33</v>
      </c>
    </row>
    <row r="281" spans="1:14" x14ac:dyDescent="0.2">
      <c r="A281" s="292">
        <f>$A$8</f>
        <v>2020</v>
      </c>
      <c r="B281" s="287" t="s">
        <v>66</v>
      </c>
      <c r="C281" s="20" t="s">
        <v>366</v>
      </c>
      <c r="D281" s="287" t="s">
        <v>66</v>
      </c>
      <c r="E281" s="20" t="s">
        <v>366</v>
      </c>
      <c r="F281" s="287" t="s">
        <v>66</v>
      </c>
      <c r="G281" s="20" t="s">
        <v>366</v>
      </c>
      <c r="H281" s="287" t="s">
        <v>66</v>
      </c>
      <c r="I281" s="20" t="s">
        <v>366</v>
      </c>
      <c r="J281" s="182"/>
      <c r="K281" s="286" t="str">
        <f>CONCATENATE(A281," - ",A286)</f>
        <v>2020 - 2025</v>
      </c>
      <c r="L281" s="285"/>
      <c r="M281" s="285"/>
    </row>
    <row r="282" spans="1:14" x14ac:dyDescent="0.2">
      <c r="A282" s="282" t="s">
        <v>364</v>
      </c>
      <c r="B282" s="302">
        <f>'Ind T6'!L117</f>
        <v>3.7508454170655319</v>
      </c>
      <c r="C282" s="299" t="str">
        <f>CONCATENATE("(",ROUND((B282/$H284)*100,1),")")</f>
        <v>(66.5)</v>
      </c>
      <c r="D282" s="302">
        <f>'Ind T6'!M117</f>
        <v>0.27438194308343755</v>
      </c>
      <c r="E282" s="299" t="str">
        <f>CONCATENATE("(",ROUND((D282/$H284)*100,1),")")</f>
        <v>(4.9)</v>
      </c>
      <c r="F282" s="302">
        <f>'Ind T6'!N117</f>
        <v>0.1170548773319733</v>
      </c>
      <c r="G282" s="299" t="str">
        <f>CONCATENATE("(",ROUND((F282/$H284)*100,1),")")</f>
        <v>(2.1)</v>
      </c>
      <c r="H282" s="302">
        <f>SUM(B282,D282,F282)</f>
        <v>4.1422822374809432</v>
      </c>
      <c r="I282" s="299" t="str">
        <f>CONCATENATE("(",ROUND((H282/$H284)*100,1),")")</f>
        <v>(73.5)</v>
      </c>
      <c r="K282" s="302">
        <f>B287-B282</f>
        <v>0.2913033423830611</v>
      </c>
      <c r="L282" s="302">
        <f>D287-D282</f>
        <v>2.5933483017197334E-2</v>
      </c>
      <c r="M282" s="302">
        <f>F287-F282</f>
        <v>1.2846956543039703E-2</v>
      </c>
      <c r="N282" s="302">
        <f>SUM(K282:M282)</f>
        <v>0.33008378194329813</v>
      </c>
    </row>
    <row r="283" spans="1:14" x14ac:dyDescent="0.2">
      <c r="A283" s="282" t="s">
        <v>365</v>
      </c>
      <c r="B283" s="302">
        <f>'Ind T6'!L116</f>
        <v>1.0672129931328747</v>
      </c>
      <c r="C283" s="299" t="str">
        <f>CONCATENATE("(",ROUND((B283/$H284)*100,1),")")</f>
        <v>(18.9)</v>
      </c>
      <c r="D283" s="302">
        <f>'Ind T6'!M116</f>
        <v>0.19715670265343821</v>
      </c>
      <c r="E283" s="299" t="str">
        <f>CONCATENATE("(",ROUND((D283/$H284)*100,1),")")</f>
        <v>(3.5)</v>
      </c>
      <c r="F283" s="302">
        <f>'Ind T6'!N116</f>
        <v>0.23034806673273958</v>
      </c>
      <c r="G283" s="299" t="str">
        <f>CONCATENATE("(",ROUND((F283/$H284)*100,1),")")</f>
        <v>(4.1)</v>
      </c>
      <c r="H283" s="302">
        <f t="shared" ref="H283" si="216">SUM(B283,D283,F283)</f>
        <v>1.4947177625190524</v>
      </c>
      <c r="I283" s="299" t="str">
        <f>CONCATENATE("(",ROUND((H283/$H284)*100,1),")")</f>
        <v>(26.5)</v>
      </c>
      <c r="K283" s="302">
        <f t="shared" ref="K283:K284" si="217">B288-B283</f>
        <v>0.11819628410969174</v>
      </c>
      <c r="L283" s="302">
        <f t="shared" ref="L283:L284" si="218">D288-D283</f>
        <v>1.3988820538446634E-2</v>
      </c>
      <c r="M283" s="302">
        <f t="shared" ref="M283:M284" si="219">F288-F283</f>
        <v>2.3731113408571342E-2</v>
      </c>
      <c r="N283" s="302">
        <f t="shared" ref="N283:N284" si="220">SUM(K283:M283)</f>
        <v>0.15591621805670972</v>
      </c>
    </row>
    <row r="284" spans="1:14" x14ac:dyDescent="0.2">
      <c r="A284" s="282" t="s">
        <v>363</v>
      </c>
      <c r="B284" s="302">
        <f>SUM(B282:B283)</f>
        <v>4.8180584101984065</v>
      </c>
      <c r="C284" s="299" t="str">
        <f>CONCATENATE("(",ROUND((B284/$H284)*100,1),")")</f>
        <v>(85.5)</v>
      </c>
      <c r="D284" s="302">
        <f>SUM(D282:D283)</f>
        <v>0.47153864573687576</v>
      </c>
      <c r="E284" s="299" t="str">
        <f>CONCATENATE("(",ROUND((D284/$H284)*100,1),")")</f>
        <v>(8.4)</v>
      </c>
      <c r="F284" s="302">
        <f>SUM(F282:F283)</f>
        <v>0.34740294406471289</v>
      </c>
      <c r="G284" s="299" t="str">
        <f>CONCATENATE("(",ROUND((F284/$H284)*100,1),")")</f>
        <v>(6.2)</v>
      </c>
      <c r="H284" s="302">
        <f>SUM(H282:H283)</f>
        <v>5.6369999999999951</v>
      </c>
      <c r="I284" s="299" t="str">
        <f>CONCATENATE("(",ROUND((H284/$H284)*100,1),")")</f>
        <v>(100)</v>
      </c>
      <c r="K284" s="302">
        <f t="shared" si="217"/>
        <v>0.40949962649275307</v>
      </c>
      <c r="L284" s="302">
        <f t="shared" si="218"/>
        <v>3.9922303555643968E-2</v>
      </c>
      <c r="M284" s="302">
        <f t="shared" si="219"/>
        <v>3.6578069951611003E-2</v>
      </c>
      <c r="N284" s="302">
        <f t="shared" si="220"/>
        <v>0.48600000000000804</v>
      </c>
    </row>
    <row r="285" spans="1:14" x14ac:dyDescent="0.2">
      <c r="B285" s="302"/>
      <c r="C285" s="284"/>
      <c r="D285" s="302"/>
      <c r="E285" s="284"/>
      <c r="F285" s="302"/>
      <c r="G285" s="284"/>
      <c r="H285" s="302"/>
      <c r="I285" s="284"/>
    </row>
    <row r="286" spans="1:14" x14ac:dyDescent="0.2">
      <c r="A286" s="292">
        <f>$A$13</f>
        <v>2025</v>
      </c>
      <c r="B286" s="302"/>
      <c r="C286" s="284"/>
      <c r="D286" s="302"/>
      <c r="E286" s="284"/>
      <c r="F286" s="302"/>
      <c r="G286" s="284"/>
      <c r="H286" s="302"/>
      <c r="I286" s="284"/>
      <c r="K286" s="286" t="str">
        <f>CONCATENATE(A286," - ",A291)</f>
        <v>2025 - 2035</v>
      </c>
    </row>
    <row r="287" spans="1:14" x14ac:dyDescent="0.2">
      <c r="A287" s="282" t="s">
        <v>364</v>
      </c>
      <c r="B287" s="302">
        <f>'Ind T6'!Q117</f>
        <v>4.042148759448593</v>
      </c>
      <c r="C287" s="299" t="str">
        <f>CONCATENATE("(",ROUND((B287/$H289)*100,1),")")</f>
        <v>(66)</v>
      </c>
      <c r="D287" s="302">
        <f>'Ind T6'!R117</f>
        <v>0.30031542610063489</v>
      </c>
      <c r="E287" s="299" t="str">
        <f>CONCATENATE("(",ROUND((D287/$H289)*100,1),")")</f>
        <v>(4.9)</v>
      </c>
      <c r="F287" s="302">
        <f>'Ind T6'!S117</f>
        <v>0.129901833875013</v>
      </c>
      <c r="G287" s="299" t="str">
        <f>CONCATENATE("(",ROUND((F287/$H289)*100,1),")")</f>
        <v>(2.1)</v>
      </c>
      <c r="H287" s="302">
        <f>SUM(B287,D287,F287)</f>
        <v>4.4723660194242409</v>
      </c>
      <c r="I287" s="299" t="str">
        <f>CONCATENATE("(",ROUND((H287/$H289)*100,1),")")</f>
        <v>(73)</v>
      </c>
      <c r="K287" s="302">
        <f>B292-B287</f>
        <v>0.33969294280740314</v>
      </c>
      <c r="L287" s="302">
        <f>D292-D287</f>
        <v>3.1277489923508761E-2</v>
      </c>
      <c r="M287" s="302">
        <f>F292-F287</f>
        <v>1.5867725252005055E-2</v>
      </c>
      <c r="N287" s="302">
        <f>SUM(K287:M287)</f>
        <v>0.38683815798291699</v>
      </c>
    </row>
    <row r="288" spans="1:14" x14ac:dyDescent="0.2">
      <c r="A288" s="282" t="s">
        <v>365</v>
      </c>
      <c r="B288" s="302">
        <f>'Ind T6'!Q116</f>
        <v>1.1854092772425664</v>
      </c>
      <c r="C288" s="299" t="str">
        <f>CONCATENATE("(",ROUND((B288/$H289)*100,1),")")</f>
        <v>(19.4)</v>
      </c>
      <c r="D288" s="302">
        <f>'Ind T6'!R116</f>
        <v>0.21114552319188484</v>
      </c>
      <c r="E288" s="299" t="str">
        <f>CONCATENATE("(",ROUND((D288/$H289)*100,1),")")</f>
        <v>(3.4)</v>
      </c>
      <c r="F288" s="302">
        <f>'Ind T6'!S116</f>
        <v>0.25407918014131092</v>
      </c>
      <c r="G288" s="299" t="str">
        <f>CONCATENATE("(",ROUND((F288/$H289)*100,1),")")</f>
        <v>(4.1)</v>
      </c>
      <c r="H288" s="302">
        <f t="shared" ref="H288" si="221">SUM(B288,D288,F288)</f>
        <v>1.6506339805757622</v>
      </c>
      <c r="I288" s="299" t="str">
        <f>CONCATENATE("(",ROUND((H288/$H289)*100,1),")")</f>
        <v>(27)</v>
      </c>
      <c r="K288" s="302">
        <f t="shared" ref="K288:K289" si="222">B293-B288</f>
        <v>0.16963477761964207</v>
      </c>
      <c r="L288" s="302">
        <f t="shared" ref="L288:L289" si="223">D293-D288</f>
        <v>1.2324026156978529E-2</v>
      </c>
      <c r="M288" s="302">
        <f t="shared" ref="M288:M289" si="224">F293-F288</f>
        <v>2.5203038240448727E-2</v>
      </c>
      <c r="N288" s="302">
        <f t="shared" ref="N288:N289" si="225">SUM(K288:M288)</f>
        <v>0.20716184201706933</v>
      </c>
    </row>
    <row r="289" spans="1:14" x14ac:dyDescent="0.2">
      <c r="A289" s="282" t="s">
        <v>363</v>
      </c>
      <c r="B289" s="302">
        <f>SUM(B287:B288)</f>
        <v>5.2275580366911596</v>
      </c>
      <c r="C289" s="299" t="str">
        <f>CONCATENATE("(",ROUND((B289/$H289)*100,1),")")</f>
        <v>(85.4)</v>
      </c>
      <c r="D289" s="302">
        <f>SUM(D287:D288)</f>
        <v>0.51146094929251973</v>
      </c>
      <c r="E289" s="299" t="str">
        <f>CONCATENATE("(",ROUND((D289/$H289)*100,1),")")</f>
        <v>(8.4)</v>
      </c>
      <c r="F289" s="302">
        <f>SUM(F287:F288)</f>
        <v>0.3839810140163239</v>
      </c>
      <c r="G289" s="299" t="str">
        <f>CONCATENATE("(",ROUND((F289/$H289)*100,1),")")</f>
        <v>(6.3)</v>
      </c>
      <c r="H289" s="302">
        <f>SUM(H287:H288)</f>
        <v>6.1230000000000029</v>
      </c>
      <c r="I289" s="299" t="str">
        <f>CONCATENATE("(",ROUND((H289/$H289)*100,1),")")</f>
        <v>(100)</v>
      </c>
      <c r="K289" s="302">
        <f t="shared" si="222"/>
        <v>0.50932772042704499</v>
      </c>
      <c r="L289" s="302">
        <f t="shared" si="223"/>
        <v>4.3601516080487235E-2</v>
      </c>
      <c r="M289" s="302">
        <f t="shared" si="224"/>
        <v>4.107076349245381E-2</v>
      </c>
      <c r="N289" s="302">
        <f t="shared" si="225"/>
        <v>0.59399999999998609</v>
      </c>
    </row>
    <row r="290" spans="1:14" x14ac:dyDescent="0.2">
      <c r="B290" s="302"/>
      <c r="C290" s="284"/>
      <c r="D290" s="302"/>
      <c r="E290" s="284"/>
      <c r="F290" s="302"/>
      <c r="G290" s="284"/>
      <c r="H290" s="302"/>
      <c r="I290" s="284"/>
    </row>
    <row r="291" spans="1:14" x14ac:dyDescent="0.2">
      <c r="A291" s="292">
        <f>$A$18</f>
        <v>2035</v>
      </c>
      <c r="B291" s="302"/>
      <c r="C291" s="284"/>
      <c r="D291" s="302"/>
      <c r="E291" s="284"/>
      <c r="F291" s="302"/>
      <c r="G291" s="284"/>
      <c r="H291" s="302"/>
      <c r="I291" s="284"/>
      <c r="K291" s="286" t="str">
        <f>CONCATENATE(A281," - ",A291)</f>
        <v>2020 - 2035</v>
      </c>
    </row>
    <row r="292" spans="1:14" x14ac:dyDescent="0.2">
      <c r="A292" s="282" t="s">
        <v>364</v>
      </c>
      <c r="B292" s="302">
        <f>'Ind T6'!V117</f>
        <v>4.3818417022559961</v>
      </c>
      <c r="C292" s="299" t="str">
        <f>CONCATENATE("(",ROUND((B292/$H294)*100,1),")")</f>
        <v>(65.2)</v>
      </c>
      <c r="D292" s="302">
        <f>'Ind T6'!W117</f>
        <v>0.33159291602414365</v>
      </c>
      <c r="E292" s="299" t="str">
        <f>CONCATENATE("(",ROUND((D292/$H294)*100,1),")")</f>
        <v>(4.9)</v>
      </c>
      <c r="F292" s="302">
        <f>'Ind T6'!X117</f>
        <v>0.14576955912701806</v>
      </c>
      <c r="G292" s="299" t="str">
        <f>CONCATENATE("(",ROUND((F292/$H294)*100,1),")")</f>
        <v>(2.2)</v>
      </c>
      <c r="H292" s="302">
        <f>SUM(B292,D292,F292)</f>
        <v>4.8592041774071575</v>
      </c>
      <c r="I292" s="299" t="str">
        <f>CONCATENATE("(",ROUND((H292/$H294)*100,1),")")</f>
        <v>(72.3)</v>
      </c>
      <c r="K292" s="302">
        <f>B292-B282</f>
        <v>0.63099628519046425</v>
      </c>
      <c r="L292" s="302">
        <f>D292-D282</f>
        <v>5.7210972940706095E-2</v>
      </c>
      <c r="M292" s="302">
        <f>F292-F282</f>
        <v>2.8714681795044758E-2</v>
      </c>
      <c r="N292" s="302">
        <f>SUM(K292:M292)</f>
        <v>0.71692193992621511</v>
      </c>
    </row>
    <row r="293" spans="1:14" x14ac:dyDescent="0.2">
      <c r="A293" s="282" t="s">
        <v>365</v>
      </c>
      <c r="B293" s="302">
        <f>'Ind T6'!V116</f>
        <v>1.3550440548622085</v>
      </c>
      <c r="C293" s="299" t="str">
        <f>CONCATENATE("(",ROUND((B293/$H294)*100,1),")")</f>
        <v>(20.2)</v>
      </c>
      <c r="D293" s="302">
        <f>'Ind T6'!W116</f>
        <v>0.22346954934886337</v>
      </c>
      <c r="E293" s="299" t="str">
        <f>CONCATENATE("(",ROUND((D293/$H294)*100,1),")")</f>
        <v>(3.3)</v>
      </c>
      <c r="F293" s="302">
        <f>'Ind T6'!X116</f>
        <v>0.27928221838175965</v>
      </c>
      <c r="G293" s="299" t="str">
        <f>CONCATENATE("(",ROUND((F293/$H294)*100,1),")")</f>
        <v>(4.2)</v>
      </c>
      <c r="H293" s="302">
        <f t="shared" ref="H293" si="226">SUM(B293,D293,F293)</f>
        <v>1.8577958225928315</v>
      </c>
      <c r="I293" s="299" t="str">
        <f>CONCATENATE("(",ROUND((H293/$H294)*100,1),")")</f>
        <v>(27.7)</v>
      </c>
      <c r="K293" s="302">
        <f t="shared" ref="K293:K294" si="227">B293-B283</f>
        <v>0.28783106172933381</v>
      </c>
      <c r="L293" s="302">
        <f t="shared" ref="L293:L294" si="228">D293-D283</f>
        <v>2.6312846695425163E-2</v>
      </c>
      <c r="M293" s="302">
        <f t="shared" ref="M293:M294" si="229">F293-F283</f>
        <v>4.8934151649020069E-2</v>
      </c>
      <c r="N293" s="302">
        <f t="shared" ref="N293:N294" si="230">SUM(K293:M293)</f>
        <v>0.36307806007377907</v>
      </c>
    </row>
    <row r="294" spans="1:14" x14ac:dyDescent="0.2">
      <c r="A294" s="282" t="s">
        <v>363</v>
      </c>
      <c r="B294" s="302">
        <f>SUM(B292:B293)</f>
        <v>5.7368857571182046</v>
      </c>
      <c r="C294" s="299" t="str">
        <f>CONCATENATE("(",ROUND((B294/$H294)*100,1),")")</f>
        <v>(85.4)</v>
      </c>
      <c r="D294" s="302">
        <f>SUM(D292:D293)</f>
        <v>0.55506246537300696</v>
      </c>
      <c r="E294" s="299" t="str">
        <f>CONCATENATE("(",ROUND((D294/$H294)*100,1),")")</f>
        <v>(8.3)</v>
      </c>
      <c r="F294" s="302">
        <f>SUM(F292:F293)</f>
        <v>0.42505177750877771</v>
      </c>
      <c r="G294" s="299" t="str">
        <f>CONCATENATE("(",ROUND((F294/$H294)*100,1),")")</f>
        <v>(6.3)</v>
      </c>
      <c r="H294" s="302">
        <f>SUM(H292:H293)</f>
        <v>6.716999999999989</v>
      </c>
      <c r="I294" s="299" t="str">
        <f>CONCATENATE("(",ROUND((H294/$H294)*100,1),")")</f>
        <v>(100)</v>
      </c>
      <c r="K294" s="302">
        <f t="shared" si="227"/>
        <v>0.91882734691979806</v>
      </c>
      <c r="L294" s="302">
        <f t="shared" si="228"/>
        <v>8.3523819636131202E-2</v>
      </c>
      <c r="M294" s="302">
        <f t="shared" si="229"/>
        <v>7.7648833444064813E-2</v>
      </c>
      <c r="N294" s="302">
        <f t="shared" si="230"/>
        <v>1.0799999999999941</v>
      </c>
    </row>
    <row r="295" spans="1:14" x14ac:dyDescent="0.2">
      <c r="A295" s="293"/>
      <c r="B295" s="294"/>
      <c r="C295" s="293"/>
      <c r="D295" s="294"/>
      <c r="E295" s="293"/>
      <c r="F295" s="294"/>
      <c r="G295" s="293"/>
      <c r="H295" s="294"/>
      <c r="I295" s="293"/>
      <c r="J295" s="293"/>
      <c r="K295" s="294"/>
      <c r="L295" s="294"/>
      <c r="M295" s="294"/>
      <c r="N295" s="294"/>
    </row>
    <row r="299" spans="1:14" x14ac:dyDescent="0.2">
      <c r="A299" s="288"/>
      <c r="B299" s="289" t="s">
        <v>372</v>
      </c>
      <c r="C299" s="288"/>
      <c r="D299" s="289"/>
      <c r="E299" s="288"/>
      <c r="F299" s="289" t="str">
        <f>name!B17</f>
        <v>Finance and insurance</v>
      </c>
      <c r="G299" s="288"/>
      <c r="H299" s="291"/>
      <c r="I299" s="288"/>
      <c r="J299" s="290"/>
      <c r="K299" s="291"/>
      <c r="L299" s="291"/>
      <c r="M299" s="291"/>
      <c r="N299" s="291"/>
    </row>
    <row r="300" spans="1:14" x14ac:dyDescent="0.2">
      <c r="N300" s="287" t="s">
        <v>370</v>
      </c>
    </row>
    <row r="301" spans="1:14" x14ac:dyDescent="0.2">
      <c r="A301" s="182" t="s">
        <v>371</v>
      </c>
      <c r="B301" s="372" t="s">
        <v>369</v>
      </c>
      <c r="C301" s="372"/>
      <c r="D301" s="372" t="s">
        <v>368</v>
      </c>
      <c r="E301" s="372"/>
      <c r="F301" s="372" t="s">
        <v>367</v>
      </c>
      <c r="G301" s="372"/>
      <c r="H301" s="372" t="s">
        <v>33</v>
      </c>
      <c r="I301" s="372"/>
      <c r="J301" s="182"/>
      <c r="K301" s="297" t="s">
        <v>345</v>
      </c>
      <c r="L301" s="297" t="s">
        <v>347</v>
      </c>
      <c r="M301" s="297" t="s">
        <v>343</v>
      </c>
      <c r="N301" s="297" t="s">
        <v>33</v>
      </c>
    </row>
    <row r="302" spans="1:14" x14ac:dyDescent="0.2">
      <c r="A302" s="292">
        <f>$A$8</f>
        <v>2020</v>
      </c>
      <c r="B302" s="287" t="s">
        <v>66</v>
      </c>
      <c r="C302" s="20" t="s">
        <v>366</v>
      </c>
      <c r="D302" s="287" t="s">
        <v>66</v>
      </c>
      <c r="E302" s="20" t="s">
        <v>366</v>
      </c>
      <c r="F302" s="287" t="s">
        <v>66</v>
      </c>
      <c r="G302" s="20" t="s">
        <v>366</v>
      </c>
      <c r="H302" s="287" t="s">
        <v>66</v>
      </c>
      <c r="I302" s="20" t="s">
        <v>366</v>
      </c>
      <c r="J302" s="182"/>
      <c r="K302" s="286" t="str">
        <f>CONCATENATE(A302," - ",A307)</f>
        <v>2020 - 2025</v>
      </c>
      <c r="L302" s="285"/>
      <c r="M302" s="285"/>
    </row>
    <row r="303" spans="1:14" x14ac:dyDescent="0.2">
      <c r="A303" s="282" t="s">
        <v>364</v>
      </c>
      <c r="B303" s="302">
        <f>'Ind T6'!L126</f>
        <v>3.3476529347998953</v>
      </c>
      <c r="C303" s="299" t="str">
        <f>CONCATENATE("(",ROUND((B303/$H305)*100,1),")")</f>
        <v>(42)</v>
      </c>
      <c r="D303" s="302">
        <f>'Ind T6'!M126</f>
        <v>0.17163023608484698</v>
      </c>
      <c r="E303" s="299" t="str">
        <f>CONCATENATE("(",ROUND((D303/$H305)*100,1),")")</f>
        <v>(2.2)</v>
      </c>
      <c r="F303" s="302">
        <f>'Ind T6'!N126</f>
        <v>0.15712627247334862</v>
      </c>
      <c r="G303" s="299" t="str">
        <f>CONCATENATE("(",ROUND((F303/$H305)*100,1),")")</f>
        <v>(2)</v>
      </c>
      <c r="H303" s="302">
        <f>SUM(B303,D303,F303)</f>
        <v>3.6764094433580912</v>
      </c>
      <c r="I303" s="299" t="str">
        <f>CONCATENATE("(",ROUND((H303/$H305)*100,1),")")</f>
        <v>(46.1)</v>
      </c>
      <c r="K303" s="302">
        <f>B308-B303</f>
        <v>0.11165143121345755</v>
      </c>
      <c r="L303" s="302">
        <f>D308-D303</f>
        <v>1.28476407588268E-2</v>
      </c>
      <c r="M303" s="302">
        <f>F308-F303</f>
        <v>1.3240423505078786E-2</v>
      </c>
      <c r="N303" s="302">
        <f>SUM(K303:M303)</f>
        <v>0.13773949547736314</v>
      </c>
    </row>
    <row r="304" spans="1:14" x14ac:dyDescent="0.2">
      <c r="A304" s="282" t="s">
        <v>365</v>
      </c>
      <c r="B304" s="302">
        <f>'Ind T6'!L125</f>
        <v>3.1404534546176248</v>
      </c>
      <c r="C304" s="299" t="str">
        <f>CONCATENATE("(",ROUND((B304/$H305)*100,1),")")</f>
        <v>(39.4)</v>
      </c>
      <c r="D304" s="302">
        <f>'Ind T6'!M125</f>
        <v>1.1551371020242933</v>
      </c>
      <c r="E304" s="299" t="str">
        <f>CONCATENATE("(",ROUND((D304/$H305)*100,1),")")</f>
        <v>(14.5)</v>
      </c>
      <c r="F304" s="302">
        <f>'Ind T6'!N125</f>
        <v>0</v>
      </c>
      <c r="G304" s="299" t="str">
        <f>CONCATENATE("(",ROUND((F304/$H305)*100,1),")")</f>
        <v>(0)</v>
      </c>
      <c r="H304" s="302">
        <f t="shared" ref="H304" si="231">SUM(B304,D304,F304)</f>
        <v>4.2955905566419181</v>
      </c>
      <c r="I304" s="299" t="str">
        <f>CONCATENATE("(",ROUND((H304/$H305)*100,1),")")</f>
        <v>(53.9)</v>
      </c>
      <c r="K304" s="302">
        <f t="shared" ref="K304:K305" si="232">B309-B304</f>
        <v>9.135114164791247E-2</v>
      </c>
      <c r="L304" s="302">
        <f t="shared" ref="L304:L305" si="233">D309-D304</f>
        <v>2.0909362874710347E-2</v>
      </c>
      <c r="M304" s="302">
        <f t="shared" ref="M304:M305" si="234">F309-F304</f>
        <v>0</v>
      </c>
      <c r="N304" s="302">
        <f t="shared" ref="N304:N305" si="235">SUM(K304:M304)</f>
        <v>0.11226050452262282</v>
      </c>
    </row>
    <row r="305" spans="1:14" x14ac:dyDescent="0.2">
      <c r="A305" s="282" t="s">
        <v>363</v>
      </c>
      <c r="B305" s="302">
        <f>SUM(B303:B304)</f>
        <v>6.4881063894175206</v>
      </c>
      <c r="C305" s="299" t="str">
        <f>CONCATENATE("(",ROUND((B305/$H305)*100,1),")")</f>
        <v>(81.4)</v>
      </c>
      <c r="D305" s="302">
        <f>SUM(D303:D304)</f>
        <v>1.3267673381091403</v>
      </c>
      <c r="E305" s="299" t="str">
        <f>CONCATENATE("(",ROUND((D305/$H305)*100,1),")")</f>
        <v>(16.6)</v>
      </c>
      <c r="F305" s="302">
        <f>SUM(F303:F304)</f>
        <v>0.15712627247334862</v>
      </c>
      <c r="G305" s="299" t="str">
        <f>CONCATENATE("(",ROUND((F305/$H305)*100,1),")")</f>
        <v>(2)</v>
      </c>
      <c r="H305" s="302">
        <f>SUM(H303:H304)</f>
        <v>7.9720000000000093</v>
      </c>
      <c r="I305" s="299" t="str">
        <f>CONCATENATE("(",ROUND((H305/$H305)*100,1),")")</f>
        <v>(100)</v>
      </c>
      <c r="K305" s="302">
        <f t="shared" si="232"/>
        <v>0.20300257286136958</v>
      </c>
      <c r="L305" s="302">
        <f t="shared" si="233"/>
        <v>3.3757003633537286E-2</v>
      </c>
      <c r="M305" s="302">
        <f t="shared" si="234"/>
        <v>1.3240423505078786E-2</v>
      </c>
      <c r="N305" s="302">
        <f t="shared" si="235"/>
        <v>0.24999999999998565</v>
      </c>
    </row>
    <row r="306" spans="1:14" x14ac:dyDescent="0.2">
      <c r="B306" s="302"/>
      <c r="C306" s="284"/>
      <c r="D306" s="302"/>
      <c r="E306" s="284"/>
      <c r="F306" s="302"/>
      <c r="G306" s="284"/>
      <c r="H306" s="302"/>
      <c r="I306" s="284"/>
    </row>
    <row r="307" spans="1:14" x14ac:dyDescent="0.2">
      <c r="A307" s="292">
        <f>$A$13</f>
        <v>2025</v>
      </c>
      <c r="B307" s="302"/>
      <c r="C307" s="284"/>
      <c r="D307" s="302"/>
      <c r="E307" s="284"/>
      <c r="F307" s="302"/>
      <c r="G307" s="284"/>
      <c r="H307" s="302"/>
      <c r="I307" s="284"/>
      <c r="K307" s="286" t="str">
        <f>CONCATENATE(A307," - ",A312)</f>
        <v>2025 - 2035</v>
      </c>
    </row>
    <row r="308" spans="1:14" x14ac:dyDescent="0.2">
      <c r="A308" s="282" t="s">
        <v>364</v>
      </c>
      <c r="B308" s="302">
        <f>'Ind T6'!Q126</f>
        <v>3.4593043660133529</v>
      </c>
      <c r="C308" s="299" t="str">
        <f>CONCATENATE("(",ROUND((B308/$H310)*100,1),")")</f>
        <v>(42.1)</v>
      </c>
      <c r="D308" s="302">
        <f>'Ind T6'!R126</f>
        <v>0.18447787684367378</v>
      </c>
      <c r="E308" s="299" t="str">
        <f>CONCATENATE("(",ROUND((D308/$H310)*100,1),")")</f>
        <v>(2.2)</v>
      </c>
      <c r="F308" s="302">
        <f>'Ind T6'!S126</f>
        <v>0.17036669597842741</v>
      </c>
      <c r="G308" s="299" t="str">
        <f>CONCATENATE("(",ROUND((F308/$H310)*100,1),")")</f>
        <v>(2.1)</v>
      </c>
      <c r="H308" s="302">
        <f>SUM(B308,D308,F308)</f>
        <v>3.8141489388354541</v>
      </c>
      <c r="I308" s="299" t="str">
        <f>CONCATENATE("(",ROUND((H308/$H310)*100,1),")")</f>
        <v>(46.4)</v>
      </c>
      <c r="K308" s="302">
        <f>B313-B308</f>
        <v>-6.3058281111687542E-3</v>
      </c>
      <c r="L308" s="302">
        <f>D313-D308</f>
        <v>1.251330871669884E-2</v>
      </c>
      <c r="M308" s="302">
        <f>F313-F308</f>
        <v>6.7540743540315529E-3</v>
      </c>
      <c r="N308" s="302">
        <f>SUM(K308:M308)</f>
        <v>1.2961554959561639E-2</v>
      </c>
    </row>
    <row r="309" spans="1:14" x14ac:dyDescent="0.2">
      <c r="A309" s="282" t="s">
        <v>365</v>
      </c>
      <c r="B309" s="302">
        <f>'Ind T6'!Q125</f>
        <v>3.2318045962655373</v>
      </c>
      <c r="C309" s="299" t="str">
        <f>CONCATENATE("(",ROUND((B309/$H310)*100,1),")")</f>
        <v>(39.3)</v>
      </c>
      <c r="D309" s="302">
        <f>'Ind T6'!R125</f>
        <v>1.1760464648990037</v>
      </c>
      <c r="E309" s="299" t="str">
        <f>CONCATENATE("(",ROUND((D309/$H310)*100,1),")")</f>
        <v>(14.3)</v>
      </c>
      <c r="F309" s="302">
        <f>'Ind T6'!S125</f>
        <v>0</v>
      </c>
      <c r="G309" s="299" t="str">
        <f>CONCATENATE("(",ROUND((F309/$H310)*100,1),")")</f>
        <v>(0)</v>
      </c>
      <c r="H309" s="302">
        <f t="shared" ref="H309" si="236">SUM(B309,D309,F309)</f>
        <v>4.407851061164541</v>
      </c>
      <c r="I309" s="299" t="str">
        <f>CONCATENATE("(",ROUND((H309/$H310)*100,1),")")</f>
        <v>(53.6)</v>
      </c>
      <c r="K309" s="302">
        <f t="shared" ref="K309:K310" si="237">B314-B309</f>
        <v>-1.6908447895256806E-2</v>
      </c>
      <c r="L309" s="302">
        <f t="shared" ref="L309:L310" si="238">D314-D309</f>
        <v>-1.7053107064298079E-2</v>
      </c>
      <c r="M309" s="302">
        <f t="shared" ref="M309:M310" si="239">F314-F309</f>
        <v>0</v>
      </c>
      <c r="N309" s="302">
        <f t="shared" ref="N309:N310" si="240">SUM(K309:M309)</f>
        <v>-3.3961554959554885E-2</v>
      </c>
    </row>
    <row r="310" spans="1:14" x14ac:dyDescent="0.2">
      <c r="A310" s="282" t="s">
        <v>363</v>
      </c>
      <c r="B310" s="302">
        <f>SUM(B308:B309)</f>
        <v>6.6911089622788902</v>
      </c>
      <c r="C310" s="299" t="str">
        <f>CONCATENATE("(",ROUND((B310/$H310)*100,1),")")</f>
        <v>(81.4)</v>
      </c>
      <c r="D310" s="302">
        <f>SUM(D308:D309)</f>
        <v>1.3605243417426776</v>
      </c>
      <c r="E310" s="299" t="str">
        <f>CONCATENATE("(",ROUND((D310/$H310)*100,1),")")</f>
        <v>(16.5)</v>
      </c>
      <c r="F310" s="302">
        <f>SUM(F308:F309)</f>
        <v>0.17036669597842741</v>
      </c>
      <c r="G310" s="299" t="str">
        <f>CONCATENATE("(",ROUND((F310/$H310)*100,1),")")</f>
        <v>(2.1)</v>
      </c>
      <c r="H310" s="302">
        <f>SUM(H308:H309)</f>
        <v>8.2219999999999942</v>
      </c>
      <c r="I310" s="299" t="str">
        <f>CONCATENATE("(",ROUND((H310/$H310)*100,1),")")</f>
        <v>(100)</v>
      </c>
      <c r="K310" s="302">
        <f t="shared" si="237"/>
        <v>-2.3214276006425116E-2</v>
      </c>
      <c r="L310" s="302">
        <f t="shared" si="238"/>
        <v>-4.539798347599433E-3</v>
      </c>
      <c r="M310" s="302">
        <f t="shared" si="239"/>
        <v>6.7540743540315529E-3</v>
      </c>
      <c r="N310" s="302">
        <f t="shared" si="240"/>
        <v>-2.0999999999992996E-2</v>
      </c>
    </row>
    <row r="311" spans="1:14" x14ac:dyDescent="0.2">
      <c r="B311" s="302"/>
      <c r="C311" s="284"/>
      <c r="D311" s="302"/>
      <c r="E311" s="284"/>
      <c r="F311" s="302"/>
      <c r="G311" s="284"/>
      <c r="H311" s="302"/>
      <c r="I311" s="284"/>
    </row>
    <row r="312" spans="1:14" x14ac:dyDescent="0.2">
      <c r="A312" s="292">
        <f>$A$18</f>
        <v>2035</v>
      </c>
      <c r="B312" s="302"/>
      <c r="C312" s="284"/>
      <c r="D312" s="302"/>
      <c r="E312" s="284"/>
      <c r="F312" s="302"/>
      <c r="G312" s="284"/>
      <c r="H312" s="302"/>
      <c r="I312" s="284"/>
      <c r="K312" s="286" t="str">
        <f>CONCATENATE(A302," - ",A312)</f>
        <v>2020 - 2035</v>
      </c>
    </row>
    <row r="313" spans="1:14" x14ac:dyDescent="0.2">
      <c r="A313" s="282" t="s">
        <v>364</v>
      </c>
      <c r="B313" s="302">
        <f>'Ind T6'!V126</f>
        <v>3.4529985379021841</v>
      </c>
      <c r="C313" s="299" t="str">
        <f>CONCATENATE("(",ROUND((B313/$H315)*100,1),")")</f>
        <v>(42.1)</v>
      </c>
      <c r="D313" s="302">
        <f>'Ind T6'!W126</f>
        <v>0.19699118556037262</v>
      </c>
      <c r="E313" s="299" t="str">
        <f>CONCATENATE("(",ROUND((D313/$H315)*100,1),")")</f>
        <v>(2.4)</v>
      </c>
      <c r="F313" s="302">
        <f>'Ind T6'!X126</f>
        <v>0.17712077033245896</v>
      </c>
      <c r="G313" s="299" t="str">
        <f>CONCATENATE("(",ROUND((F313/$H315)*100,1),")")</f>
        <v>(2.2)</v>
      </c>
      <c r="H313" s="302">
        <f>SUM(B313,D313,F313)</f>
        <v>3.8271104937950158</v>
      </c>
      <c r="I313" s="299" t="str">
        <f>CONCATENATE("(",ROUND((H313/$H315)*100,1),")")</f>
        <v>(46.7)</v>
      </c>
      <c r="K313" s="302">
        <f>B313-B303</f>
        <v>0.1053456031022888</v>
      </c>
      <c r="L313" s="302">
        <f>D313-D303</f>
        <v>2.536094947552564E-2</v>
      </c>
      <c r="M313" s="302">
        <f>F313-F303</f>
        <v>1.9994497859110338E-2</v>
      </c>
      <c r="N313" s="302">
        <f>SUM(K313:M313)</f>
        <v>0.15070105043692478</v>
      </c>
    </row>
    <row r="314" spans="1:14" x14ac:dyDescent="0.2">
      <c r="A314" s="282" t="s">
        <v>365</v>
      </c>
      <c r="B314" s="302">
        <f>'Ind T6'!V125</f>
        <v>3.2148961483702805</v>
      </c>
      <c r="C314" s="299" t="str">
        <f>CONCATENATE("(",ROUND((B314/$H315)*100,1),")")</f>
        <v>(39.2)</v>
      </c>
      <c r="D314" s="302">
        <f>'Ind T6'!W125</f>
        <v>1.1589933578347056</v>
      </c>
      <c r="E314" s="299" t="str">
        <f>CONCATENATE("(",ROUND((D314/$H315)*100,1),")")</f>
        <v>(14.1)</v>
      </c>
      <c r="F314" s="302">
        <f>'Ind T6'!X125</f>
        <v>0</v>
      </c>
      <c r="G314" s="299" t="str">
        <f>CONCATENATE("(",ROUND((F314/$H315)*100,1),")")</f>
        <v>(0)</v>
      </c>
      <c r="H314" s="302">
        <f t="shared" ref="H314" si="241">SUM(B314,D314,F314)</f>
        <v>4.3738895062049856</v>
      </c>
      <c r="I314" s="299" t="str">
        <f>CONCATENATE("(",ROUND((H314/$H315)*100,1),")")</f>
        <v>(53.3)</v>
      </c>
      <c r="K314" s="302">
        <f t="shared" ref="K314:K315" si="242">B314-B304</f>
        <v>7.4442693752655664E-2</v>
      </c>
      <c r="L314" s="302">
        <f t="shared" ref="L314:L315" si="243">D314-D304</f>
        <v>3.8562558104122679E-3</v>
      </c>
      <c r="M314" s="302">
        <f t="shared" ref="M314:M315" si="244">F314-F304</f>
        <v>0</v>
      </c>
      <c r="N314" s="302">
        <f t="shared" ref="N314:N315" si="245">SUM(K314:M314)</f>
        <v>7.8298949563067932E-2</v>
      </c>
    </row>
    <row r="315" spans="1:14" x14ac:dyDescent="0.2">
      <c r="A315" s="282" t="s">
        <v>363</v>
      </c>
      <c r="B315" s="302">
        <f>SUM(B313:B314)</f>
        <v>6.6678946862724651</v>
      </c>
      <c r="C315" s="299" t="str">
        <f>CONCATENATE("(",ROUND((B315/$H315)*100,1),")")</f>
        <v>(81.3)</v>
      </c>
      <c r="D315" s="302">
        <f>SUM(D313:D314)</f>
        <v>1.3559845433950781</v>
      </c>
      <c r="E315" s="299" t="str">
        <f>CONCATENATE("(",ROUND((D315/$H315)*100,1),")")</f>
        <v>(16.5)</v>
      </c>
      <c r="F315" s="302">
        <f>SUM(F313:F314)</f>
        <v>0.17712077033245896</v>
      </c>
      <c r="G315" s="299" t="str">
        <f>CONCATENATE("(",ROUND((F315/$H315)*100,1),")")</f>
        <v>(2.2)</v>
      </c>
      <c r="H315" s="302">
        <f>SUM(H313:H314)</f>
        <v>8.2010000000000005</v>
      </c>
      <c r="I315" s="299" t="str">
        <f>CONCATENATE("(",ROUND((H315/$H315)*100,1),")")</f>
        <v>(100)</v>
      </c>
      <c r="K315" s="302">
        <f t="shared" si="242"/>
        <v>0.17978829685494446</v>
      </c>
      <c r="L315" s="302">
        <f t="shared" si="243"/>
        <v>2.9217205285937853E-2</v>
      </c>
      <c r="M315" s="302">
        <f t="shared" si="244"/>
        <v>1.9994497859110338E-2</v>
      </c>
      <c r="N315" s="302">
        <f t="shared" si="245"/>
        <v>0.22899999999999265</v>
      </c>
    </row>
    <row r="316" spans="1:14" x14ac:dyDescent="0.2">
      <c r="A316" s="293"/>
      <c r="B316" s="294"/>
      <c r="C316" s="293"/>
      <c r="D316" s="294"/>
      <c r="E316" s="293"/>
      <c r="F316" s="294"/>
      <c r="G316" s="293"/>
      <c r="H316" s="294"/>
      <c r="I316" s="293"/>
      <c r="J316" s="293"/>
      <c r="K316" s="294"/>
      <c r="L316" s="294"/>
      <c r="M316" s="294"/>
      <c r="N316" s="294"/>
    </row>
    <row r="320" spans="1:14" x14ac:dyDescent="0.2">
      <c r="A320" s="288"/>
      <c r="B320" s="289" t="s">
        <v>372</v>
      </c>
      <c r="C320" s="288"/>
      <c r="D320" s="289"/>
      <c r="E320" s="288"/>
      <c r="F320" s="289" t="str">
        <f>name!B18</f>
        <v>Real estate</v>
      </c>
      <c r="G320" s="288"/>
      <c r="H320" s="291"/>
      <c r="I320" s="288"/>
      <c r="J320" s="290"/>
      <c r="K320" s="291"/>
      <c r="L320" s="291"/>
      <c r="M320" s="291"/>
      <c r="N320" s="291"/>
    </row>
    <row r="321" spans="1:14" x14ac:dyDescent="0.2">
      <c r="N321" s="287" t="s">
        <v>370</v>
      </c>
    </row>
    <row r="322" spans="1:14" x14ac:dyDescent="0.2">
      <c r="A322" s="182" t="s">
        <v>371</v>
      </c>
      <c r="B322" s="372" t="s">
        <v>369</v>
      </c>
      <c r="C322" s="372"/>
      <c r="D322" s="372" t="s">
        <v>368</v>
      </c>
      <c r="E322" s="372"/>
      <c r="F322" s="372" t="s">
        <v>367</v>
      </c>
      <c r="G322" s="372"/>
      <c r="H322" s="372" t="s">
        <v>33</v>
      </c>
      <c r="I322" s="372"/>
      <c r="J322" s="182"/>
      <c r="K322" s="297" t="s">
        <v>345</v>
      </c>
      <c r="L322" s="297" t="s">
        <v>347</v>
      </c>
      <c r="M322" s="297" t="s">
        <v>343</v>
      </c>
      <c r="N322" s="297" t="s">
        <v>33</v>
      </c>
    </row>
    <row r="323" spans="1:14" x14ac:dyDescent="0.2">
      <c r="A323" s="292">
        <f>$A$8</f>
        <v>2020</v>
      </c>
      <c r="B323" s="287" t="s">
        <v>66</v>
      </c>
      <c r="C323" s="20" t="s">
        <v>366</v>
      </c>
      <c r="D323" s="287" t="s">
        <v>66</v>
      </c>
      <c r="E323" s="20" t="s">
        <v>366</v>
      </c>
      <c r="F323" s="287" t="s">
        <v>66</v>
      </c>
      <c r="G323" s="20" t="s">
        <v>366</v>
      </c>
      <c r="H323" s="287" t="s">
        <v>66</v>
      </c>
      <c r="I323" s="20" t="s">
        <v>366</v>
      </c>
      <c r="J323" s="182"/>
      <c r="K323" s="286" t="str">
        <f>CONCATENATE(A323," - ",A328)</f>
        <v>2020 - 2025</v>
      </c>
      <c r="L323" s="285"/>
      <c r="M323" s="285"/>
    </row>
    <row r="324" spans="1:14" x14ac:dyDescent="0.2">
      <c r="A324" s="282" t="s">
        <v>364</v>
      </c>
      <c r="B324" s="302">
        <f>'Ind T6'!L135</f>
        <v>2.561415419405829</v>
      </c>
      <c r="C324" s="299" t="str">
        <f>CONCATENATE("(",ROUND((B324/$H326)*100,1),")")</f>
        <v>(37.8)</v>
      </c>
      <c r="D324" s="302">
        <f>'Ind T6'!M135</f>
        <v>0.53711219984809422</v>
      </c>
      <c r="E324" s="299" t="str">
        <f>CONCATENATE("(",ROUND((D324/$H326)*100,1),")")</f>
        <v>(7.9)</v>
      </c>
      <c r="F324" s="302">
        <f>'Ind T6'!N135</f>
        <v>3.6513405836153927E-4</v>
      </c>
      <c r="G324" s="299" t="str">
        <f>CONCATENATE("(",ROUND((F324/$H326)*100,1),")")</f>
        <v>(0)</v>
      </c>
      <c r="H324" s="302">
        <f>SUM(B324,D324,F324)</f>
        <v>3.0988927533122848</v>
      </c>
      <c r="I324" s="299" t="str">
        <f>CONCATENATE("(",ROUND((H324/$H326)*100,1),")")</f>
        <v>(45.7)</v>
      </c>
      <c r="K324" s="302">
        <f>B329-B324</f>
        <v>-2.2288435312435961E-2</v>
      </c>
      <c r="L324" s="302">
        <f>D329-D324</f>
        <v>-3.0010887414415599E-3</v>
      </c>
      <c r="M324" s="302">
        <f>F329-F324</f>
        <v>-5.469329448311213E-8</v>
      </c>
      <c r="N324" s="302">
        <f>SUM(K324:M324)</f>
        <v>-2.5289578747172005E-2</v>
      </c>
    </row>
    <row r="325" spans="1:14" x14ac:dyDescent="0.2">
      <c r="A325" s="282" t="s">
        <v>365</v>
      </c>
      <c r="B325" s="302">
        <f>'Ind T6'!L134</f>
        <v>2.0637376978471549</v>
      </c>
      <c r="C325" s="299" t="str">
        <f>CONCATENATE("(",ROUND((B325/$H326)*100,1),")")</f>
        <v>(30.4)</v>
      </c>
      <c r="D325" s="302">
        <f>'Ind T6'!M134</f>
        <v>1.0709381931872479</v>
      </c>
      <c r="E325" s="299" t="str">
        <f>CONCATENATE("(",ROUND((D325/$H326)*100,1),")")</f>
        <v>(15.8)</v>
      </c>
      <c r="F325" s="302">
        <f>'Ind T6'!N134</f>
        <v>0.5484313556533098</v>
      </c>
      <c r="G325" s="299" t="str">
        <f>CONCATENATE("(",ROUND((F325/$H326)*100,1),")")</f>
        <v>(8.1)</v>
      </c>
      <c r="H325" s="302">
        <f t="shared" ref="H325" si="246">SUM(B325,D325,F325)</f>
        <v>3.6831072466877126</v>
      </c>
      <c r="I325" s="299" t="str">
        <f>CONCATENATE("(",ROUND((H325/$H326)*100,1),")")</f>
        <v>(54.3)</v>
      </c>
      <c r="K325" s="302">
        <f t="shared" ref="K325:K326" si="247">B330-B325</f>
        <v>5.6643254557298572E-2</v>
      </c>
      <c r="L325" s="302">
        <f t="shared" ref="L325:L326" si="248">D330-D325</f>
        <v>-5.4922320144803916E-2</v>
      </c>
      <c r="M325" s="302">
        <f t="shared" ref="M325:M326" si="249">F330-F325</f>
        <v>3.5686443346912844E-3</v>
      </c>
      <c r="N325" s="302">
        <f t="shared" ref="N325:N326" si="250">SUM(K325:M325)</f>
        <v>5.2895787471859412E-3</v>
      </c>
    </row>
    <row r="326" spans="1:14" x14ac:dyDescent="0.2">
      <c r="A326" s="282" t="s">
        <v>363</v>
      </c>
      <c r="B326" s="302">
        <f>SUM(B324:B325)</f>
        <v>4.6251531172529834</v>
      </c>
      <c r="C326" s="299" t="str">
        <f>CONCATENATE("(",ROUND((B326/$H326)*100,1),")")</f>
        <v>(68.2)</v>
      </c>
      <c r="D326" s="302">
        <f>SUM(D324:D325)</f>
        <v>1.608050393035342</v>
      </c>
      <c r="E326" s="299" t="str">
        <f>CONCATENATE("(",ROUND((D326/$H326)*100,1),")")</f>
        <v>(23.7)</v>
      </c>
      <c r="F326" s="302">
        <f>SUM(F324:F325)</f>
        <v>0.54879648971167139</v>
      </c>
      <c r="G326" s="299" t="str">
        <f>CONCATENATE("(",ROUND((F326/$H326)*100,1),")")</f>
        <v>(8.1)</v>
      </c>
      <c r="H326" s="302">
        <f>SUM(H324:H325)</f>
        <v>6.7819999999999974</v>
      </c>
      <c r="I326" s="299" t="str">
        <f>CONCATENATE("(",ROUND((H326/$H326)*100,1),")")</f>
        <v>(100)</v>
      </c>
      <c r="K326" s="302">
        <f t="shared" si="247"/>
        <v>3.4354819244862611E-2</v>
      </c>
      <c r="L326" s="302">
        <f t="shared" si="248"/>
        <v>-5.7923408886245475E-2</v>
      </c>
      <c r="M326" s="302">
        <f t="shared" si="249"/>
        <v>3.5685896413967244E-3</v>
      </c>
      <c r="N326" s="302">
        <f t="shared" si="250"/>
        <v>-1.999999999998614E-2</v>
      </c>
    </row>
    <row r="327" spans="1:14" x14ac:dyDescent="0.2">
      <c r="B327" s="302"/>
      <c r="C327" s="284"/>
      <c r="D327" s="302"/>
      <c r="E327" s="284"/>
      <c r="F327" s="302"/>
      <c r="G327" s="284"/>
      <c r="H327" s="302"/>
      <c r="I327" s="284"/>
    </row>
    <row r="328" spans="1:14" x14ac:dyDescent="0.2">
      <c r="A328" s="292">
        <f>$A$13</f>
        <v>2025</v>
      </c>
      <c r="B328" s="302"/>
      <c r="C328" s="284"/>
      <c r="D328" s="302"/>
      <c r="E328" s="284"/>
      <c r="F328" s="302"/>
      <c r="G328" s="284"/>
      <c r="H328" s="302"/>
      <c r="I328" s="284"/>
      <c r="K328" s="286" t="str">
        <f>CONCATENATE(A328," - ",A333)</f>
        <v>2025 - 2035</v>
      </c>
    </row>
    <row r="329" spans="1:14" x14ac:dyDescent="0.2">
      <c r="A329" s="282" t="s">
        <v>364</v>
      </c>
      <c r="B329" s="302">
        <f>'Ind T6'!Q135</f>
        <v>2.539126984093393</v>
      </c>
      <c r="C329" s="299" t="str">
        <f>CONCATENATE("(",ROUND((B329/$H331)*100,1),")")</f>
        <v>(37.5)</v>
      </c>
      <c r="D329" s="302">
        <f>'Ind T6'!R135</f>
        <v>0.53411111110665266</v>
      </c>
      <c r="E329" s="299" t="str">
        <f>CONCATENATE("(",ROUND((D329/$H331)*100,1),")")</f>
        <v>(7.9)</v>
      </c>
      <c r="F329" s="302">
        <f>'Ind T6'!S135</f>
        <v>3.6507936506705615E-4</v>
      </c>
      <c r="G329" s="299" t="str">
        <f>CONCATENATE("(",ROUND((F329/$H331)*100,1),")")</f>
        <v>(0)</v>
      </c>
      <c r="H329" s="302">
        <f>SUM(B329,D329,F329)</f>
        <v>3.0736031745651125</v>
      </c>
      <c r="I329" s="299" t="str">
        <f>CONCATENATE("(",ROUND((H329/$H331)*100,1),")")</f>
        <v>(45.5)</v>
      </c>
      <c r="K329" s="302">
        <f>B334-B329</f>
        <v>0.37207497844159043</v>
      </c>
      <c r="L329" s="302">
        <f>D334-D329</f>
        <v>8.9427125440640465E-2</v>
      </c>
      <c r="M329" s="302">
        <f>F334-F329</f>
        <v>4.9730008290824299E-6</v>
      </c>
      <c r="N329" s="302">
        <f>SUM(K329:M329)</f>
        <v>0.46150707688305997</v>
      </c>
    </row>
    <row r="330" spans="1:14" x14ac:dyDescent="0.2">
      <c r="A330" s="282" t="s">
        <v>365</v>
      </c>
      <c r="B330" s="302">
        <f>'Ind T6'!Q134</f>
        <v>2.1203809524044535</v>
      </c>
      <c r="C330" s="299" t="str">
        <f>CONCATENATE("(",ROUND((B330/$H331)*100,1),")")</f>
        <v>(31.4)</v>
      </c>
      <c r="D330" s="302">
        <f>'Ind T6'!R134</f>
        <v>1.016015873042444</v>
      </c>
      <c r="E330" s="299" t="str">
        <f>CONCATENATE("(",ROUND((D330/$H331)*100,1),")")</f>
        <v>(15)</v>
      </c>
      <c r="F330" s="302">
        <f>'Ind T6'!S134</f>
        <v>0.55199999998800109</v>
      </c>
      <c r="G330" s="299" t="str">
        <f>CONCATENATE("(",ROUND((F330/$H331)*100,1),")")</f>
        <v>(8.2)</v>
      </c>
      <c r="H330" s="302">
        <f t="shared" ref="H330" si="251">SUM(B330,D330,F330)</f>
        <v>3.6883968254348987</v>
      </c>
      <c r="I330" s="299" t="str">
        <f>CONCATENATE("(",ROUND((H330/$H331)*100,1),")")</f>
        <v>(54.5)</v>
      </c>
      <c r="K330" s="302">
        <f t="shared" ref="K330:K331" si="252">B335-B330</f>
        <v>0.48404759879876069</v>
      </c>
      <c r="L330" s="302">
        <f t="shared" ref="L330:L331" si="253">D335-D330</f>
        <v>5.0845097852942667E-2</v>
      </c>
      <c r="M330" s="302">
        <f t="shared" ref="M330:M331" si="254">F335-F330</f>
        <v>8.5600226465212481E-2</v>
      </c>
      <c r="N330" s="302">
        <f t="shared" ref="N330:N331" si="255">SUM(K330:M330)</f>
        <v>0.62049292311691584</v>
      </c>
    </row>
    <row r="331" spans="1:14" x14ac:dyDescent="0.2">
      <c r="A331" s="282" t="s">
        <v>363</v>
      </c>
      <c r="B331" s="302">
        <f>SUM(B329:B330)</f>
        <v>4.659507936497846</v>
      </c>
      <c r="C331" s="299" t="str">
        <f>CONCATENATE("(",ROUND((B331/$H331)*100,1),")")</f>
        <v>(68.9)</v>
      </c>
      <c r="D331" s="302">
        <f>SUM(D329:D330)</f>
        <v>1.5501269841490966</v>
      </c>
      <c r="E331" s="299" t="str">
        <f>CONCATENATE("(",ROUND((D331/$H331)*100,1),")")</f>
        <v>(22.9)</v>
      </c>
      <c r="F331" s="302">
        <f>SUM(F329:F330)</f>
        <v>0.55236507935306811</v>
      </c>
      <c r="G331" s="299" t="str">
        <f>CONCATENATE("(",ROUND((F331/$H331)*100,1),")")</f>
        <v>(8.2)</v>
      </c>
      <c r="H331" s="302">
        <f>SUM(H329:H330)</f>
        <v>6.7620000000000111</v>
      </c>
      <c r="I331" s="299" t="str">
        <f>CONCATENATE("(",ROUND((H331/$H331)*100,1),")")</f>
        <v>(100)</v>
      </c>
      <c r="K331" s="302">
        <f t="shared" si="252"/>
        <v>0.85612257724035157</v>
      </c>
      <c r="L331" s="302">
        <f t="shared" si="253"/>
        <v>0.14027222329358313</v>
      </c>
      <c r="M331" s="302">
        <f t="shared" si="254"/>
        <v>8.5605199466041615E-2</v>
      </c>
      <c r="N331" s="302">
        <f t="shared" si="255"/>
        <v>1.0819999999999763</v>
      </c>
    </row>
    <row r="332" spans="1:14" x14ac:dyDescent="0.2">
      <c r="B332" s="302"/>
      <c r="C332" s="284"/>
      <c r="D332" s="302"/>
      <c r="E332" s="284"/>
      <c r="F332" s="302"/>
      <c r="G332" s="284"/>
      <c r="H332" s="302"/>
      <c r="I332" s="284"/>
    </row>
    <row r="333" spans="1:14" x14ac:dyDescent="0.2">
      <c r="A333" s="292">
        <f>$A$18</f>
        <v>2035</v>
      </c>
      <c r="B333" s="302"/>
      <c r="C333" s="284"/>
      <c r="D333" s="302"/>
      <c r="E333" s="284"/>
      <c r="F333" s="302"/>
      <c r="G333" s="284"/>
      <c r="H333" s="302"/>
      <c r="I333" s="284"/>
      <c r="K333" s="286" t="str">
        <f>CONCATENATE(A323," - ",A333)</f>
        <v>2020 - 2035</v>
      </c>
    </row>
    <row r="334" spans="1:14" x14ac:dyDescent="0.2">
      <c r="A334" s="282" t="s">
        <v>364</v>
      </c>
      <c r="B334" s="302">
        <f>'Ind T6'!V135</f>
        <v>2.9112019625349834</v>
      </c>
      <c r="C334" s="299" t="str">
        <f>CONCATENATE("(",ROUND((B334/$H336)*100,1),")")</f>
        <v>(37.1)</v>
      </c>
      <c r="D334" s="302">
        <f>'Ind T6'!W135</f>
        <v>0.62353823654729312</v>
      </c>
      <c r="E334" s="299" t="str">
        <f>CONCATENATE("(",ROUND((D334/$H336)*100,1),")")</f>
        <v>(7.9)</v>
      </c>
      <c r="F334" s="302">
        <f>'Ind T6'!X135</f>
        <v>3.7005236589613858E-4</v>
      </c>
      <c r="G334" s="299" t="str">
        <f>CONCATENATE("(",ROUND((F334/$H336)*100,1),")")</f>
        <v>(0)</v>
      </c>
      <c r="H334" s="302">
        <f>SUM(B334,D334,F334)</f>
        <v>3.5351102514481729</v>
      </c>
      <c r="I334" s="299" t="str">
        <f>CONCATENATE("(",ROUND((H334/$H336)*100,1),")")</f>
        <v>(45.1)</v>
      </c>
      <c r="K334" s="302">
        <f>B334-B324</f>
        <v>0.34978654312915447</v>
      </c>
      <c r="L334" s="302">
        <f>D334-D324</f>
        <v>8.6426036699198905E-2</v>
      </c>
      <c r="M334" s="302">
        <f>F334-F324</f>
        <v>4.9183075345993177E-6</v>
      </c>
      <c r="N334" s="302">
        <f>SUM(K334:M334)</f>
        <v>0.43621749813588795</v>
      </c>
    </row>
    <row r="335" spans="1:14" x14ac:dyDescent="0.2">
      <c r="A335" s="282" t="s">
        <v>365</v>
      </c>
      <c r="B335" s="302">
        <f>'Ind T6'!V134</f>
        <v>2.6044285512032141</v>
      </c>
      <c r="C335" s="299" t="str">
        <f>CONCATENATE("(",ROUND((B335/$H336)*100,1),")")</f>
        <v>(33.2)</v>
      </c>
      <c r="D335" s="302">
        <f>'Ind T6'!W134</f>
        <v>1.0668609708953867</v>
      </c>
      <c r="E335" s="299" t="str">
        <f>CONCATENATE("(",ROUND((D335/$H336)*100,1),")")</f>
        <v>(13.6)</v>
      </c>
      <c r="F335" s="302">
        <f>'Ind T6'!X134</f>
        <v>0.63760022645321357</v>
      </c>
      <c r="G335" s="299" t="str">
        <f>CONCATENATE("(",ROUND((F335/$H336)*100,1),")")</f>
        <v>(8.1)</v>
      </c>
      <c r="H335" s="302">
        <f>SUM(B335,D335,F335)</f>
        <v>4.3088897485518141</v>
      </c>
      <c r="I335" s="299" t="str">
        <f>CONCATENATE("(",ROUND((H335/$H336)*100,1),")")</f>
        <v>(54.9)</v>
      </c>
      <c r="K335" s="302">
        <f t="shared" ref="K335:K336" si="256">B335-B325</f>
        <v>0.54069085335605926</v>
      </c>
      <c r="L335" s="302">
        <f t="shared" ref="L335:L336" si="257">D335-D325</f>
        <v>-4.0772222918612488E-3</v>
      </c>
      <c r="M335" s="302">
        <f t="shared" ref="M335:M336" si="258">F335-F325</f>
        <v>8.9168870799903766E-2</v>
      </c>
      <c r="N335" s="302">
        <f t="shared" ref="N335:N336" si="259">SUM(K335:M335)</f>
        <v>0.62578250186410178</v>
      </c>
    </row>
    <row r="336" spans="1:14" x14ac:dyDescent="0.2">
      <c r="A336" s="282" t="s">
        <v>363</v>
      </c>
      <c r="B336" s="302">
        <f>SUM(B334:B335)</f>
        <v>5.5156305137381976</v>
      </c>
      <c r="C336" s="299" t="str">
        <f>CONCATENATE("(",ROUND((B336/$H336)*100,1),")")</f>
        <v>(70.3)</v>
      </c>
      <c r="D336" s="302">
        <f>SUM(D334:D335)</f>
        <v>1.6903992074426797</v>
      </c>
      <c r="E336" s="299" t="str">
        <f>CONCATENATE("(",ROUND((D336/$H336)*100,1),")")</f>
        <v>(21.6)</v>
      </c>
      <c r="F336" s="302">
        <f>SUM(F334:F335)</f>
        <v>0.63797027881910973</v>
      </c>
      <c r="G336" s="299" t="str">
        <f>CONCATENATE("(",ROUND((F336/$H336)*100,1),")")</f>
        <v>(8.1)</v>
      </c>
      <c r="H336" s="302">
        <f>SUM(H334:H335)</f>
        <v>7.843999999999987</v>
      </c>
      <c r="I336" s="299" t="str">
        <f>CONCATENATE("(",ROUND((H336/$H336)*100,1),")")</f>
        <v>(100)</v>
      </c>
      <c r="K336" s="302">
        <f t="shared" si="256"/>
        <v>0.89047739648521418</v>
      </c>
      <c r="L336" s="302">
        <f t="shared" si="257"/>
        <v>8.2348814407337656E-2</v>
      </c>
      <c r="M336" s="302">
        <f t="shared" si="258"/>
        <v>8.9173789107438339E-2</v>
      </c>
      <c r="N336" s="302">
        <f t="shared" si="259"/>
        <v>1.0619999999999901</v>
      </c>
    </row>
    <row r="337" spans="1:14" x14ac:dyDescent="0.2">
      <c r="A337" s="293"/>
      <c r="B337" s="294"/>
      <c r="C337" s="293"/>
      <c r="D337" s="294"/>
      <c r="E337" s="293"/>
      <c r="F337" s="294"/>
      <c r="G337" s="293"/>
      <c r="H337" s="294"/>
      <c r="I337" s="293"/>
      <c r="J337" s="293"/>
      <c r="K337" s="294"/>
      <c r="L337" s="294"/>
      <c r="M337" s="294"/>
      <c r="N337" s="294"/>
    </row>
    <row r="341" spans="1:14" x14ac:dyDescent="0.2">
      <c r="A341" s="288"/>
      <c r="B341" s="289" t="s">
        <v>372</v>
      </c>
      <c r="C341" s="288"/>
      <c r="D341" s="289"/>
      <c r="E341" s="288"/>
      <c r="F341" s="289" t="str">
        <f>name!B19</f>
        <v>Professional services</v>
      </c>
      <c r="G341" s="288"/>
      <c r="H341" s="291"/>
      <c r="I341" s="288"/>
      <c r="J341" s="290"/>
      <c r="K341" s="291"/>
      <c r="L341" s="291"/>
      <c r="M341" s="291"/>
      <c r="N341" s="291"/>
    </row>
    <row r="342" spans="1:14" x14ac:dyDescent="0.2">
      <c r="N342" s="287" t="s">
        <v>370</v>
      </c>
    </row>
    <row r="343" spans="1:14" x14ac:dyDescent="0.2">
      <c r="A343" s="182" t="s">
        <v>371</v>
      </c>
      <c r="B343" s="372" t="s">
        <v>369</v>
      </c>
      <c r="C343" s="372"/>
      <c r="D343" s="372" t="s">
        <v>368</v>
      </c>
      <c r="E343" s="372"/>
      <c r="F343" s="372" t="s">
        <v>367</v>
      </c>
      <c r="G343" s="372"/>
      <c r="H343" s="372" t="s">
        <v>33</v>
      </c>
      <c r="I343" s="372"/>
      <c r="J343" s="182"/>
      <c r="K343" s="297" t="s">
        <v>345</v>
      </c>
      <c r="L343" s="297" t="s">
        <v>347</v>
      </c>
      <c r="M343" s="297" t="s">
        <v>343</v>
      </c>
      <c r="N343" s="297" t="s">
        <v>33</v>
      </c>
    </row>
    <row r="344" spans="1:14" x14ac:dyDescent="0.2">
      <c r="A344" s="292">
        <f>$A$8</f>
        <v>2020</v>
      </c>
      <c r="B344" s="287" t="s">
        <v>66</v>
      </c>
      <c r="C344" s="20" t="s">
        <v>366</v>
      </c>
      <c r="D344" s="287" t="s">
        <v>66</v>
      </c>
      <c r="E344" s="20" t="s">
        <v>366</v>
      </c>
      <c r="F344" s="287" t="s">
        <v>66</v>
      </c>
      <c r="G344" s="20" t="s">
        <v>366</v>
      </c>
      <c r="H344" s="287" t="s">
        <v>66</v>
      </c>
      <c r="I344" s="20" t="s">
        <v>366</v>
      </c>
      <c r="J344" s="182"/>
      <c r="K344" s="286" t="str">
        <f>CONCATENATE(A344," - ",A349)</f>
        <v>2020 - 2025</v>
      </c>
      <c r="L344" s="285"/>
      <c r="M344" s="285"/>
    </row>
    <row r="345" spans="1:14" x14ac:dyDescent="0.2">
      <c r="A345" s="282" t="s">
        <v>364</v>
      </c>
      <c r="B345" s="302">
        <f>'Ind T6'!L144</f>
        <v>9.7599584861905964</v>
      </c>
      <c r="C345" s="299" t="str">
        <f>CONCATENATE("(",ROUND((B345/$H347)*100,1),")")</f>
        <v>(42.3)</v>
      </c>
      <c r="D345" s="302">
        <f>'Ind T6'!M144</f>
        <v>1.4413248955862061</v>
      </c>
      <c r="E345" s="299" t="str">
        <f>CONCATENATE("(",ROUND((D345/$H347)*100,1),")")</f>
        <v>(6.2)</v>
      </c>
      <c r="F345" s="302">
        <f>'Ind T6'!N144</f>
        <v>2.6910360714141635</v>
      </c>
      <c r="G345" s="299" t="str">
        <f>CONCATENATE("(",ROUND((F345/$H347)*100,1),")")</f>
        <v>(11.7)</v>
      </c>
      <c r="H345" s="302">
        <f>SUM(B345,D345,F345)</f>
        <v>13.892319453190966</v>
      </c>
      <c r="I345" s="299" t="str">
        <f>CONCATENATE("(",ROUND((H345/$H347)*100,1),")")</f>
        <v>(60.2)</v>
      </c>
      <c r="K345" s="302">
        <f>B350-B345</f>
        <v>7.3409587748445304E-2</v>
      </c>
      <c r="L345" s="302">
        <f>D350-D345</f>
        <v>7.2029534770950976E-2</v>
      </c>
      <c r="M345" s="302">
        <f>F350-F345</f>
        <v>0.15472468135089423</v>
      </c>
      <c r="N345" s="302">
        <f>SUM(K345:M345)</f>
        <v>0.30016380387029051</v>
      </c>
    </row>
    <row r="346" spans="1:14" x14ac:dyDescent="0.2">
      <c r="A346" s="282" t="s">
        <v>365</v>
      </c>
      <c r="B346" s="302">
        <f>'Ind T6'!L143</f>
        <v>5.7990755600681245</v>
      </c>
      <c r="C346" s="299" t="str">
        <f>CONCATENATE("(",ROUND((B346/$H347)*100,1),")")</f>
        <v>(25.1)</v>
      </c>
      <c r="D346" s="302">
        <f>'Ind T6'!M143</f>
        <v>2.8686847234783306</v>
      </c>
      <c r="E346" s="299" t="str">
        <f>CONCATENATE("(",ROUND((D346/$H347)*100,1),")")</f>
        <v>(12.4)</v>
      </c>
      <c r="F346" s="302">
        <f>'Ind T6'!N143</f>
        <v>0.53392026326261111</v>
      </c>
      <c r="G346" s="299" t="str">
        <f>CONCATENATE("(",ROUND((F346/$H347)*100,1),")")</f>
        <v>(2.3)</v>
      </c>
      <c r="H346" s="302">
        <f t="shared" ref="H346" si="260">SUM(B346,D346,F346)</f>
        <v>9.201680546809067</v>
      </c>
      <c r="I346" s="299" t="str">
        <f>CONCATENATE("(",ROUND((H346/$H347)*100,1),")")</f>
        <v>(39.8)</v>
      </c>
      <c r="K346" s="302">
        <f t="shared" ref="K346:K347" si="261">B351-B346</f>
        <v>0.28542727940779944</v>
      </c>
      <c r="L346" s="302">
        <f t="shared" ref="L346:L347" si="262">D351-D346</f>
        <v>0.16424116084600415</v>
      </c>
      <c r="M346" s="302">
        <f t="shared" ref="M346:M347" si="263">F351-F346</f>
        <v>6.7167755875875756E-2</v>
      </c>
      <c r="N346" s="302">
        <f t="shared" ref="N346:N347" si="264">SUM(K346:M346)</f>
        <v>0.51683619612967935</v>
      </c>
    </row>
    <row r="347" spans="1:14" x14ac:dyDescent="0.2">
      <c r="A347" s="282" t="s">
        <v>363</v>
      </c>
      <c r="B347" s="302">
        <f>SUM(B345:B346)</f>
        <v>15.55903404625872</v>
      </c>
      <c r="C347" s="299" t="str">
        <f>CONCATENATE("(",ROUND((B347/$H347)*100,1),")")</f>
        <v>(67.4)</v>
      </c>
      <c r="D347" s="302">
        <f>SUM(D345:D346)</f>
        <v>4.3100096190645365</v>
      </c>
      <c r="E347" s="299" t="str">
        <f>CONCATENATE("(",ROUND((D347/$H347)*100,1),")")</f>
        <v>(18.7)</v>
      </c>
      <c r="F347" s="302">
        <f>SUM(F345:F346)</f>
        <v>3.2249563346767744</v>
      </c>
      <c r="G347" s="299" t="str">
        <f>CONCATENATE("(",ROUND((F347/$H347)*100,1),")")</f>
        <v>(14)</v>
      </c>
      <c r="H347" s="302">
        <f>SUM(H345:H346)</f>
        <v>23.094000000000033</v>
      </c>
      <c r="I347" s="299" t="str">
        <f>CONCATENATE("(",ROUND((H347/$H347)*100,1),")")</f>
        <v>(100)</v>
      </c>
      <c r="K347" s="302">
        <f t="shared" si="261"/>
        <v>0.35883686715624563</v>
      </c>
      <c r="L347" s="302">
        <f t="shared" si="262"/>
        <v>0.23627069561695535</v>
      </c>
      <c r="M347" s="302">
        <f t="shared" si="263"/>
        <v>0.22189243722677032</v>
      </c>
      <c r="N347" s="302">
        <f t="shared" si="264"/>
        <v>0.8169999999999713</v>
      </c>
    </row>
    <row r="348" spans="1:14" x14ac:dyDescent="0.2">
      <c r="B348" s="302"/>
      <c r="C348" s="284"/>
      <c r="D348" s="302"/>
      <c r="E348" s="284"/>
      <c r="F348" s="302"/>
      <c r="G348" s="284"/>
      <c r="H348" s="302"/>
      <c r="I348" s="284"/>
    </row>
    <row r="349" spans="1:14" x14ac:dyDescent="0.2">
      <c r="A349" s="292">
        <f>$A$13</f>
        <v>2025</v>
      </c>
      <c r="B349" s="302"/>
      <c r="C349" s="284"/>
      <c r="D349" s="302"/>
      <c r="E349" s="284"/>
      <c r="F349" s="302"/>
      <c r="G349" s="284"/>
      <c r="H349" s="302"/>
      <c r="I349" s="284"/>
      <c r="K349" s="286" t="str">
        <f>CONCATENATE(A349," - ",A354)</f>
        <v>2025 - 2035</v>
      </c>
    </row>
    <row r="350" spans="1:14" x14ac:dyDescent="0.2">
      <c r="A350" s="282" t="s">
        <v>364</v>
      </c>
      <c r="B350" s="302">
        <f>'Ind T6'!Q144</f>
        <v>9.8333680739390417</v>
      </c>
      <c r="C350" s="299" t="str">
        <f>CONCATENATE("(",ROUND((B350/$H352)*100,1),")")</f>
        <v>(41.1)</v>
      </c>
      <c r="D350" s="302">
        <f>'Ind T6'!R144</f>
        <v>1.5133544303571571</v>
      </c>
      <c r="E350" s="299" t="str">
        <f>CONCATENATE("(",ROUND((D350/$H352)*100,1),")")</f>
        <v>(6.3)</v>
      </c>
      <c r="F350" s="302">
        <f>'Ind T6'!S144</f>
        <v>2.8457607527650577</v>
      </c>
      <c r="G350" s="299" t="str">
        <f>CONCATENATE("(",ROUND((F350/$H352)*100,1),")")</f>
        <v>(11.9)</v>
      </c>
      <c r="H350" s="302">
        <f>SUM(B350,D350,F350)</f>
        <v>14.192483257061257</v>
      </c>
      <c r="I350" s="299" t="str">
        <f>CONCATENATE("(",ROUND((H350/$H352)*100,1),")")</f>
        <v>(59.4)</v>
      </c>
      <c r="K350" s="302">
        <f>B355-B350</f>
        <v>0.38528634348516277</v>
      </c>
      <c r="L350" s="302">
        <f>D355-D350</f>
        <v>0.14966912558623147</v>
      </c>
      <c r="M350" s="302">
        <f>F355-F350</f>
        <v>0.27593317543050944</v>
      </c>
      <c r="N350" s="302">
        <f>SUM(K350:M350)</f>
        <v>0.81088864450190368</v>
      </c>
    </row>
    <row r="351" spans="1:14" x14ac:dyDescent="0.2">
      <c r="A351" s="282" t="s">
        <v>365</v>
      </c>
      <c r="B351" s="302">
        <f>'Ind T6'!Q143</f>
        <v>6.084502839475924</v>
      </c>
      <c r="C351" s="299" t="str">
        <f>CONCATENATE("(",ROUND((B351/$H352)*100,1),")")</f>
        <v>(25.4)</v>
      </c>
      <c r="D351" s="302">
        <f>'Ind T6'!R143</f>
        <v>3.0329258843243347</v>
      </c>
      <c r="E351" s="299" t="str">
        <f>CONCATENATE("(",ROUND((D351/$H352)*100,1),")")</f>
        <v>(12.7)</v>
      </c>
      <c r="F351" s="302">
        <f>'Ind T6'!S143</f>
        <v>0.60108801913848686</v>
      </c>
      <c r="G351" s="299" t="str">
        <f>CONCATENATE("(",ROUND((F351/$H352)*100,1),")")</f>
        <v>(2.5)</v>
      </c>
      <c r="H351" s="302">
        <f t="shared" ref="H351" si="265">SUM(B351,D351,F351)</f>
        <v>9.7185167429387462</v>
      </c>
      <c r="I351" s="299" t="str">
        <f>CONCATENATE("(",ROUND((H351/$H352)*100,1),")")</f>
        <v>(40.6)</v>
      </c>
      <c r="K351" s="302">
        <f t="shared" ref="K351:K352" si="266">B356-B351</f>
        <v>0.49394462002425321</v>
      </c>
      <c r="L351" s="302">
        <f t="shared" ref="L351:L352" si="267">D356-D351</f>
        <v>0.24700906434889847</v>
      </c>
      <c r="M351" s="302">
        <f t="shared" ref="M351:M352" si="268">F356-F351</f>
        <v>0.11215767112496433</v>
      </c>
      <c r="N351" s="302">
        <f t="shared" ref="N351:N352" si="269">SUM(K351:M351)</f>
        <v>0.85311135549811601</v>
      </c>
    </row>
    <row r="352" spans="1:14" x14ac:dyDescent="0.2">
      <c r="A352" s="282" t="s">
        <v>363</v>
      </c>
      <c r="B352" s="302">
        <f>SUM(B350:B351)</f>
        <v>15.917870913414966</v>
      </c>
      <c r="C352" s="299" t="str">
        <f>CONCATENATE("(",ROUND((B352/$H352)*100,1),")")</f>
        <v>(66.6)</v>
      </c>
      <c r="D352" s="302">
        <f>SUM(D350:D351)</f>
        <v>4.5462803146814919</v>
      </c>
      <c r="E352" s="299" t="str">
        <f>CONCATENATE("(",ROUND((D352/$H352)*100,1),")")</f>
        <v>(19)</v>
      </c>
      <c r="F352" s="302">
        <f>SUM(F350:F351)</f>
        <v>3.4468487719035448</v>
      </c>
      <c r="G352" s="299" t="str">
        <f>CONCATENATE("(",ROUND((F352/$H352)*100,1),")")</f>
        <v>(14.4)</v>
      </c>
      <c r="H352" s="302">
        <f>SUM(H350:H351)</f>
        <v>23.911000000000001</v>
      </c>
      <c r="I352" s="299" t="str">
        <f>CONCATENATE("(",ROUND((H352/$H352)*100,1),")")</f>
        <v>(100)</v>
      </c>
      <c r="K352" s="302">
        <f t="shared" si="266"/>
        <v>0.87923096350941421</v>
      </c>
      <c r="L352" s="302">
        <f t="shared" si="267"/>
        <v>0.39667818993512949</v>
      </c>
      <c r="M352" s="302">
        <f t="shared" si="268"/>
        <v>0.38809084655547377</v>
      </c>
      <c r="N352" s="302">
        <f t="shared" si="269"/>
        <v>1.6640000000000175</v>
      </c>
    </row>
    <row r="353" spans="1:14" x14ac:dyDescent="0.2">
      <c r="B353" s="302"/>
      <c r="C353" s="284"/>
      <c r="D353" s="302"/>
      <c r="E353" s="284"/>
      <c r="F353" s="302"/>
      <c r="G353" s="284"/>
      <c r="H353" s="302"/>
      <c r="I353" s="284"/>
    </row>
    <row r="354" spans="1:14" x14ac:dyDescent="0.2">
      <c r="A354" s="292">
        <f>$A$18</f>
        <v>2035</v>
      </c>
      <c r="B354" s="302"/>
      <c r="C354" s="284"/>
      <c r="D354" s="302"/>
      <c r="E354" s="284"/>
      <c r="F354" s="302"/>
      <c r="G354" s="284"/>
      <c r="H354" s="302"/>
      <c r="I354" s="284"/>
      <c r="K354" s="286" t="str">
        <f>CONCATENATE(A344," - ",A354)</f>
        <v>2020 - 2035</v>
      </c>
    </row>
    <row r="355" spans="1:14" x14ac:dyDescent="0.2">
      <c r="A355" s="282" t="s">
        <v>364</v>
      </c>
      <c r="B355" s="302">
        <f>'Ind T6'!V144</f>
        <v>10.218654417424204</v>
      </c>
      <c r="C355" s="299" t="str">
        <f>CONCATENATE("(",ROUND((B355/$H357)*100,1),")")</f>
        <v>(40)</v>
      </c>
      <c r="D355" s="302">
        <f>'Ind T6'!W144</f>
        <v>1.6630235559433886</v>
      </c>
      <c r="E355" s="299" t="str">
        <f>CONCATENATE("(",ROUND((D355/$H357)*100,1),")")</f>
        <v>(6.5)</v>
      </c>
      <c r="F355" s="302">
        <f>'Ind T6'!X144</f>
        <v>3.1216939281955671</v>
      </c>
      <c r="G355" s="299" t="str">
        <f>CONCATENATE("(",ROUND((F355/$H357)*100,1),")")</f>
        <v>(12.2)</v>
      </c>
      <c r="H355" s="302">
        <f>SUM(B355,D355,F355)</f>
        <v>15.00337190156316</v>
      </c>
      <c r="I355" s="299" t="str">
        <f>CONCATENATE("(",ROUND((H355/$H357)*100,1),")")</f>
        <v>(58.7)</v>
      </c>
      <c r="K355" s="302">
        <f>B355-B345</f>
        <v>0.45869593123360808</v>
      </c>
      <c r="L355" s="302">
        <f>D355-D345</f>
        <v>0.22169866035718244</v>
      </c>
      <c r="M355" s="302">
        <f>F355-F345</f>
        <v>0.43065785678140367</v>
      </c>
      <c r="N355" s="302">
        <f>SUM(K355:M355)</f>
        <v>1.1110524483721942</v>
      </c>
    </row>
    <row r="356" spans="1:14" x14ac:dyDescent="0.2">
      <c r="A356" s="282" t="s">
        <v>365</v>
      </c>
      <c r="B356" s="302">
        <f>'Ind T6'!V143</f>
        <v>6.5784474595001772</v>
      </c>
      <c r="C356" s="299" t="str">
        <f>CONCATENATE("(",ROUND((B356/$H357)*100,1),")")</f>
        <v>(25.7)</v>
      </c>
      <c r="D356" s="302">
        <f>'Ind T6'!W143</f>
        <v>3.2799349486732332</v>
      </c>
      <c r="E356" s="299" t="str">
        <f>CONCATENATE("(",ROUND((D356/$H357)*100,1),")")</f>
        <v>(12.8)</v>
      </c>
      <c r="F356" s="302">
        <f>'Ind T6'!X143</f>
        <v>0.71324569026345119</v>
      </c>
      <c r="G356" s="299" t="str">
        <f>CONCATENATE("(",ROUND((F356/$H357)*100,1),")")</f>
        <v>(2.8)</v>
      </c>
      <c r="H356" s="302">
        <f t="shared" ref="H356" si="270">SUM(B356,D356,F356)</f>
        <v>10.571628098436861</v>
      </c>
      <c r="I356" s="299" t="str">
        <f>CONCATENATE("(",ROUND((H356/$H357)*100,1),")")</f>
        <v>(41.3)</v>
      </c>
      <c r="K356" s="302">
        <f t="shared" ref="K356:K357" si="271">B356-B346</f>
        <v>0.77937189943205265</v>
      </c>
      <c r="L356" s="302">
        <f t="shared" ref="L356:L357" si="272">D356-D346</f>
        <v>0.41125022519490262</v>
      </c>
      <c r="M356" s="302">
        <f t="shared" ref="M356:M357" si="273">F356-F346</f>
        <v>0.17932542700084009</v>
      </c>
      <c r="N356" s="302">
        <f t="shared" ref="N356:N357" si="274">SUM(K356:M356)</f>
        <v>1.3699475516277952</v>
      </c>
    </row>
    <row r="357" spans="1:14" x14ac:dyDescent="0.2">
      <c r="A357" s="282" t="s">
        <v>363</v>
      </c>
      <c r="B357" s="302">
        <f>SUM(B355:B356)</f>
        <v>16.79710187692438</v>
      </c>
      <c r="C357" s="299" t="str">
        <f>CONCATENATE("(",ROUND((B357/$H357)*100,1),")")</f>
        <v>(65.7)</v>
      </c>
      <c r="D357" s="302">
        <f>SUM(D355:D356)</f>
        <v>4.9429585046166213</v>
      </c>
      <c r="E357" s="299" t="str">
        <f>CONCATENATE("(",ROUND((D357/$H357)*100,1),")")</f>
        <v>(19.3)</v>
      </c>
      <c r="F357" s="302">
        <f>SUM(F355:F356)</f>
        <v>3.8349396184590185</v>
      </c>
      <c r="G357" s="299" t="str">
        <f>CONCATENATE("(",ROUND((F357/$H357)*100,1),")")</f>
        <v>(15)</v>
      </c>
      <c r="H357" s="302">
        <f>SUM(H355:H356)</f>
        <v>25.575000000000021</v>
      </c>
      <c r="I357" s="299" t="str">
        <f>CONCATENATE("(",ROUND((H357/$H357)*100,1),")")</f>
        <v>(100)</v>
      </c>
      <c r="K357" s="302">
        <f t="shared" si="271"/>
        <v>1.2380678306656598</v>
      </c>
      <c r="L357" s="302">
        <f t="shared" si="272"/>
        <v>0.63294888555208484</v>
      </c>
      <c r="M357" s="302">
        <f t="shared" si="273"/>
        <v>0.60998328378224409</v>
      </c>
      <c r="N357" s="302">
        <f t="shared" si="274"/>
        <v>2.4809999999999888</v>
      </c>
    </row>
    <row r="358" spans="1:14" x14ac:dyDescent="0.2">
      <c r="A358" s="293"/>
      <c r="B358" s="294"/>
      <c r="C358" s="293"/>
      <c r="D358" s="294"/>
      <c r="E358" s="293"/>
      <c r="F358" s="294"/>
      <c r="G358" s="293"/>
      <c r="H358" s="294"/>
      <c r="I358" s="293"/>
      <c r="J358" s="293"/>
      <c r="K358" s="294"/>
      <c r="L358" s="294"/>
      <c r="M358" s="294"/>
      <c r="N358" s="294"/>
    </row>
    <row r="361" spans="1:14" x14ac:dyDescent="0.2">
      <c r="C361" s="182"/>
      <c r="E361" s="182"/>
      <c r="G361" s="182"/>
      <c r="I361" s="182"/>
    </row>
    <row r="362" spans="1:14" x14ac:dyDescent="0.2">
      <c r="A362" s="288"/>
      <c r="B362" s="289" t="s">
        <v>372</v>
      </c>
      <c r="C362" s="288"/>
      <c r="D362" s="289"/>
      <c r="E362" s="288"/>
      <c r="F362" s="289" t="str">
        <f>name!B20</f>
        <v>Support services</v>
      </c>
      <c r="G362" s="288"/>
      <c r="H362" s="291"/>
      <c r="I362" s="288"/>
      <c r="J362" s="290"/>
      <c r="K362" s="291"/>
      <c r="L362" s="291"/>
      <c r="M362" s="291"/>
      <c r="N362" s="291"/>
    </row>
    <row r="363" spans="1:14" x14ac:dyDescent="0.2">
      <c r="N363" s="287" t="s">
        <v>370</v>
      </c>
    </row>
    <row r="364" spans="1:14" x14ac:dyDescent="0.2">
      <c r="A364" s="182" t="s">
        <v>371</v>
      </c>
      <c r="B364" s="372" t="s">
        <v>369</v>
      </c>
      <c r="C364" s="372"/>
      <c r="D364" s="372" t="s">
        <v>368</v>
      </c>
      <c r="E364" s="372"/>
      <c r="F364" s="372" t="s">
        <v>367</v>
      </c>
      <c r="G364" s="372"/>
      <c r="H364" s="372" t="s">
        <v>33</v>
      </c>
      <c r="I364" s="372"/>
      <c r="J364" s="182"/>
      <c r="K364" s="297" t="s">
        <v>345</v>
      </c>
      <c r="L364" s="297" t="s">
        <v>347</v>
      </c>
      <c r="M364" s="297" t="s">
        <v>343</v>
      </c>
      <c r="N364" s="297" t="s">
        <v>33</v>
      </c>
    </row>
    <row r="365" spans="1:14" x14ac:dyDescent="0.2">
      <c r="A365" s="292">
        <f>$A$8</f>
        <v>2020</v>
      </c>
      <c r="B365" s="287" t="s">
        <v>66</v>
      </c>
      <c r="C365" s="20" t="s">
        <v>366</v>
      </c>
      <c r="D365" s="287" t="s">
        <v>66</v>
      </c>
      <c r="E365" s="20" t="s">
        <v>366</v>
      </c>
      <c r="F365" s="287" t="s">
        <v>66</v>
      </c>
      <c r="G365" s="20" t="s">
        <v>366</v>
      </c>
      <c r="H365" s="287" t="s">
        <v>66</v>
      </c>
      <c r="I365" s="20" t="s">
        <v>366</v>
      </c>
      <c r="J365" s="182"/>
      <c r="K365" s="286" t="str">
        <f>CONCATENATE(A365," - ",A370)</f>
        <v>2020 - 2025</v>
      </c>
      <c r="L365" s="285"/>
      <c r="M365" s="285"/>
    </row>
    <row r="366" spans="1:14" x14ac:dyDescent="0.2">
      <c r="A366" s="282" t="s">
        <v>364</v>
      </c>
      <c r="B366" s="302">
        <f>'Ind T6'!L153</f>
        <v>14.569407953420523</v>
      </c>
      <c r="C366" s="299" t="str">
        <f>CONCATENATE("(",ROUND((B366/$H368)*100,1),")")</f>
        <v>(41.4)</v>
      </c>
      <c r="D366" s="302">
        <f>'Ind T6'!M153</f>
        <v>4.0465886184509703</v>
      </c>
      <c r="E366" s="299" t="str">
        <f>CONCATENATE("(",ROUND((D366/$H368)*100,1),")")</f>
        <v>(11.5)</v>
      </c>
      <c r="F366" s="302">
        <f>'Ind T6'!N153</f>
        <v>1.8795344532213301</v>
      </c>
      <c r="G366" s="299" t="str">
        <f>CONCATENATE("(",ROUND((F366/$H368)*100,1),")")</f>
        <v>(5.3)</v>
      </c>
      <c r="H366" s="302">
        <f>SUM(B366,D366,F366)</f>
        <v>20.49553102509282</v>
      </c>
      <c r="I366" s="299" t="str">
        <f>CONCATENATE("(",ROUND((H366/$H368)*100,1),")")</f>
        <v>(58.2)</v>
      </c>
      <c r="K366" s="302">
        <f>B371-B366</f>
        <v>0.36964002616091918</v>
      </c>
      <c r="L366" s="302">
        <f>D371-D366</f>
        <v>9.4081866201605635E-2</v>
      </c>
      <c r="M366" s="302">
        <f>F371-F366</f>
        <v>1.7936278076449375E-2</v>
      </c>
      <c r="N366" s="302">
        <f>SUM(K366:M366)</f>
        <v>0.48165817043897419</v>
      </c>
    </row>
    <row r="367" spans="1:14" x14ac:dyDescent="0.2">
      <c r="A367" s="282" t="s">
        <v>365</v>
      </c>
      <c r="B367" s="302">
        <f>'Ind T6'!L152</f>
        <v>7.2531371271050693</v>
      </c>
      <c r="C367" s="299" t="str">
        <f>CONCATENATE("(",ROUND((B367/$H368)*100,1),")")</f>
        <v>(20.6)</v>
      </c>
      <c r="D367" s="302">
        <f>'Ind T6'!M152</f>
        <v>6.5337346589222447</v>
      </c>
      <c r="E367" s="299" t="str">
        <f>CONCATENATE("(",ROUND((D367/$H368)*100,1),")")</f>
        <v>(18.6)</v>
      </c>
      <c r="F367" s="302">
        <f>'Ind T6'!N152</f>
        <v>0.90759718887989926</v>
      </c>
      <c r="G367" s="299" t="str">
        <f>CONCATENATE("(",ROUND((F367/$H368)*100,1),")")</f>
        <v>(2.6)</v>
      </c>
      <c r="H367" s="302">
        <f t="shared" ref="H367" si="275">SUM(B367,D367,F367)</f>
        <v>14.694468974907213</v>
      </c>
      <c r="I367" s="299" t="str">
        <f>CONCATENATE("(",ROUND((H367/$H368)*100,1),")")</f>
        <v>(41.8)</v>
      </c>
      <c r="K367" s="302">
        <f t="shared" ref="K367:K368" si="276">B372-B367</f>
        <v>0.31776301320451861</v>
      </c>
      <c r="L367" s="302">
        <f t="shared" ref="L367:L368" si="277">D372-D367</f>
        <v>4.0367319339948082E-2</v>
      </c>
      <c r="M367" s="302">
        <f t="shared" ref="M367:M368" si="278">F372-F367</f>
        <v>7.2114970165370051E-3</v>
      </c>
      <c r="N367" s="302">
        <f t="shared" ref="N367:N368" si="279">SUM(K367:M367)</f>
        <v>0.36534182956100369</v>
      </c>
    </row>
    <row r="368" spans="1:14" x14ac:dyDescent="0.2">
      <c r="A368" s="282" t="s">
        <v>363</v>
      </c>
      <c r="B368" s="302">
        <f>SUM(B366:B367)</f>
        <v>21.822545080525593</v>
      </c>
      <c r="C368" s="299" t="str">
        <f>CONCATENATE("(",ROUND((B368/$H368)*100,1),")")</f>
        <v>(62)</v>
      </c>
      <c r="D368" s="302">
        <f>SUM(D366:D367)</f>
        <v>10.580323277373214</v>
      </c>
      <c r="E368" s="299" t="str">
        <f>CONCATENATE("(",ROUND((D368/$H368)*100,1),")")</f>
        <v>(30.1)</v>
      </c>
      <c r="F368" s="302">
        <f>SUM(F366:F367)</f>
        <v>2.7871316421012295</v>
      </c>
      <c r="G368" s="299" t="str">
        <f>CONCATENATE("(",ROUND((F368/$H368)*100,1),")")</f>
        <v>(7.9)</v>
      </c>
      <c r="H368" s="302">
        <f>SUM(H366:H367)</f>
        <v>35.190000000000033</v>
      </c>
      <c r="I368" s="299" t="str">
        <f>CONCATENATE("(",ROUND((H368/$H368)*100,1),")")</f>
        <v>(100)</v>
      </c>
      <c r="K368" s="302">
        <f t="shared" si="276"/>
        <v>0.68740303936543512</v>
      </c>
      <c r="L368" s="302">
        <f t="shared" si="277"/>
        <v>0.13444918554155549</v>
      </c>
      <c r="M368" s="302">
        <f t="shared" si="278"/>
        <v>2.5147775092986269E-2</v>
      </c>
      <c r="N368" s="302">
        <f t="shared" si="279"/>
        <v>0.84699999999997688</v>
      </c>
    </row>
    <row r="369" spans="1:14" x14ac:dyDescent="0.2">
      <c r="B369" s="302"/>
      <c r="C369" s="284"/>
      <c r="D369" s="302"/>
      <c r="E369" s="284"/>
      <c r="F369" s="302"/>
      <c r="G369" s="284"/>
      <c r="H369" s="302"/>
      <c r="I369" s="284"/>
    </row>
    <row r="370" spans="1:14" x14ac:dyDescent="0.2">
      <c r="A370" s="292">
        <f>$A$13</f>
        <v>2025</v>
      </c>
      <c r="B370" s="302"/>
      <c r="C370" s="284"/>
      <c r="D370" s="302"/>
      <c r="E370" s="284"/>
      <c r="F370" s="302"/>
      <c r="G370" s="284"/>
      <c r="H370" s="302"/>
      <c r="I370" s="284"/>
      <c r="K370" s="286" t="str">
        <f>CONCATENATE(A370," - ",A375)</f>
        <v>2025 - 2035</v>
      </c>
    </row>
    <row r="371" spans="1:14" x14ac:dyDescent="0.2">
      <c r="A371" s="282" t="s">
        <v>364</v>
      </c>
      <c r="B371" s="302">
        <f>'Ind T6'!Q153</f>
        <v>14.939047979581442</v>
      </c>
      <c r="C371" s="299" t="str">
        <f>CONCATENATE("(",ROUND((B371/$H373)*100,1),")")</f>
        <v>(41.5)</v>
      </c>
      <c r="D371" s="302">
        <f>'Ind T6'!R153</f>
        <v>4.1406704846525759</v>
      </c>
      <c r="E371" s="299" t="str">
        <f>CONCATENATE("(",ROUND((D371/$H373)*100,1),")")</f>
        <v>(11.5)</v>
      </c>
      <c r="F371" s="302">
        <f>'Ind T6'!S153</f>
        <v>1.8974707312977794</v>
      </c>
      <c r="G371" s="299" t="str">
        <f>CONCATENATE("(",ROUND((F371/$H373)*100,1),")")</f>
        <v>(5.3)</v>
      </c>
      <c r="H371" s="302">
        <f>SUM(B371,D371,F371)</f>
        <v>20.9771891955318</v>
      </c>
      <c r="I371" s="299" t="str">
        <f>CONCATENATE("(",ROUND((H371/$H373)*100,1),")")</f>
        <v>(58.2)</v>
      </c>
      <c r="K371" s="302">
        <f>B376-B371</f>
        <v>0.71820153963418676</v>
      </c>
      <c r="L371" s="302">
        <f>D376-D371</f>
        <v>0.15991267762275019</v>
      </c>
      <c r="M371" s="302">
        <f>F376-F371</f>
        <v>9.7091127292352475E-2</v>
      </c>
      <c r="N371" s="302">
        <f>SUM(K371:M371)</f>
        <v>0.97520534454928942</v>
      </c>
    </row>
    <row r="372" spans="1:14" x14ac:dyDescent="0.2">
      <c r="A372" s="282" t="s">
        <v>365</v>
      </c>
      <c r="B372" s="302">
        <f>'Ind T6'!Q152</f>
        <v>7.5709001403095879</v>
      </c>
      <c r="C372" s="299" t="str">
        <f>CONCATENATE("(",ROUND((B372/$H373)*100,1),")")</f>
        <v>(21)</v>
      </c>
      <c r="D372" s="302">
        <f>'Ind T6'!R152</f>
        <v>6.5741019782621928</v>
      </c>
      <c r="E372" s="299" t="str">
        <f>CONCATENATE("(",ROUND((D372/$H373)*100,1),")")</f>
        <v>(18.2)</v>
      </c>
      <c r="F372" s="302">
        <f>'Ind T6'!S152</f>
        <v>0.91480868589643627</v>
      </c>
      <c r="G372" s="299" t="str">
        <f>CONCATENATE("(",ROUND((F372/$H373)*100,1),")")</f>
        <v>(2.5)</v>
      </c>
      <c r="H372" s="302">
        <f t="shared" ref="H372" si="280">SUM(B372,D372,F372)</f>
        <v>15.059810804468217</v>
      </c>
      <c r="I372" s="299" t="str">
        <f>CONCATENATE("(",ROUND((H372/$H373)*100,1),")")</f>
        <v>(41.8)</v>
      </c>
      <c r="K372" s="302">
        <f t="shared" ref="K372:K373" si="281">B377-B372</f>
        <v>0.54129521218029808</v>
      </c>
      <c r="L372" s="302">
        <f t="shared" ref="L372:L373" si="282">D377-D372</f>
        <v>8.0544598276739876E-2</v>
      </c>
      <c r="M372" s="302">
        <f t="shared" ref="M372:M373" si="283">F377-F372</f>
        <v>5.2954844993629457E-2</v>
      </c>
      <c r="N372" s="302">
        <f t="shared" ref="N372:N373" si="284">SUM(K372:M372)</f>
        <v>0.67479465545066741</v>
      </c>
    </row>
    <row r="373" spans="1:14" x14ac:dyDescent="0.2">
      <c r="A373" s="282" t="s">
        <v>363</v>
      </c>
      <c r="B373" s="302">
        <f>SUM(B371:B372)</f>
        <v>22.509948119891028</v>
      </c>
      <c r="C373" s="299" t="str">
        <f>CONCATENATE("(",ROUND((B373/$H373)*100,1),")")</f>
        <v>(62.5)</v>
      </c>
      <c r="D373" s="302">
        <f>SUM(D371:D372)</f>
        <v>10.71477246291477</v>
      </c>
      <c r="E373" s="299" t="str">
        <f>CONCATENATE("(",ROUND((D373/$H373)*100,1),")")</f>
        <v>(29.7)</v>
      </c>
      <c r="F373" s="302">
        <f>SUM(F371:F372)</f>
        <v>2.8122794171942158</v>
      </c>
      <c r="G373" s="299" t="str">
        <f>CONCATENATE("(",ROUND((F373/$H373)*100,1),")")</f>
        <v>(7.8)</v>
      </c>
      <c r="H373" s="302">
        <f>SUM(H371:H372)</f>
        <v>36.03700000000002</v>
      </c>
      <c r="I373" s="299" t="str">
        <f>CONCATENATE("(",ROUND((H373/$H373)*100,1),")")</f>
        <v>(100)</v>
      </c>
      <c r="K373" s="302">
        <f t="shared" si="281"/>
        <v>1.2594967518144884</v>
      </c>
      <c r="L373" s="302">
        <f t="shared" si="282"/>
        <v>0.24045727589948918</v>
      </c>
      <c r="M373" s="302">
        <f t="shared" si="283"/>
        <v>0.15004597228598193</v>
      </c>
      <c r="N373" s="302">
        <f t="shared" si="284"/>
        <v>1.6499999999999595</v>
      </c>
    </row>
    <row r="374" spans="1:14" x14ac:dyDescent="0.2">
      <c r="B374" s="302"/>
      <c r="C374" s="284"/>
      <c r="D374" s="302"/>
      <c r="E374" s="284"/>
      <c r="F374" s="302"/>
      <c r="G374" s="284"/>
      <c r="H374" s="302"/>
      <c r="I374" s="284"/>
    </row>
    <row r="375" spans="1:14" x14ac:dyDescent="0.2">
      <c r="A375" s="292">
        <f>$A$18</f>
        <v>2035</v>
      </c>
      <c r="B375" s="302"/>
      <c r="C375" s="284"/>
      <c r="D375" s="302"/>
      <c r="E375" s="284"/>
      <c r="F375" s="302"/>
      <c r="G375" s="284"/>
      <c r="H375" s="302"/>
      <c r="I375" s="284"/>
      <c r="K375" s="286" t="str">
        <f>CONCATENATE(A365," - ",A375)</f>
        <v>2020 - 2035</v>
      </c>
    </row>
    <row r="376" spans="1:14" x14ac:dyDescent="0.2">
      <c r="A376" s="282" t="s">
        <v>364</v>
      </c>
      <c r="B376" s="302">
        <f>'Ind T6'!V153</f>
        <v>15.657249519215629</v>
      </c>
      <c r="C376" s="299" t="str">
        <f>CONCATENATE("(",ROUND((B376/$H378)*100,1),")")</f>
        <v>(41.5)</v>
      </c>
      <c r="D376" s="302">
        <f>'Ind T6'!W153</f>
        <v>4.3005831622753261</v>
      </c>
      <c r="E376" s="299" t="str">
        <f>CONCATENATE("(",ROUND((D376/$H378)*100,1),")")</f>
        <v>(11.4)</v>
      </c>
      <c r="F376" s="302">
        <f>'Ind T6'!X153</f>
        <v>1.9945618585901319</v>
      </c>
      <c r="G376" s="299" t="str">
        <f>CONCATENATE("(",ROUND((F376/$H378)*100,1),")")</f>
        <v>(5.3)</v>
      </c>
      <c r="H376" s="302">
        <f>SUM(B376,D376,F376)</f>
        <v>21.952394540081087</v>
      </c>
      <c r="I376" s="299" t="str">
        <f>CONCATENATE("(",ROUND((H376/$H378)*100,1),")")</f>
        <v>(58.2)</v>
      </c>
      <c r="K376" s="302">
        <f>B376-B366</f>
        <v>1.0878415657951059</v>
      </c>
      <c r="L376" s="302">
        <f>D376-D366</f>
        <v>0.25399454382435582</v>
      </c>
      <c r="M376" s="302">
        <f>F376-F366</f>
        <v>0.11502740536880185</v>
      </c>
      <c r="N376" s="302">
        <f>SUM(K376:M376)</f>
        <v>1.4568635149882636</v>
      </c>
    </row>
    <row r="377" spans="1:14" x14ac:dyDescent="0.2">
      <c r="A377" s="282" t="s">
        <v>365</v>
      </c>
      <c r="B377" s="302">
        <f>'Ind T6'!V152</f>
        <v>8.112195352489886</v>
      </c>
      <c r="C377" s="299" t="str">
        <f>CONCATENATE("(",ROUND((B377/$H378)*100,1),")")</f>
        <v>(21.5)</v>
      </c>
      <c r="D377" s="302">
        <f>'Ind T6'!W152</f>
        <v>6.6546465765389327</v>
      </c>
      <c r="E377" s="299" t="str">
        <f>CONCATENATE("(",ROUND((D377/$H378)*100,1),")")</f>
        <v>(17.7)</v>
      </c>
      <c r="F377" s="302">
        <f>'Ind T6'!X152</f>
        <v>0.96776353089006573</v>
      </c>
      <c r="G377" s="299" t="str">
        <f>CONCATENATE("(",ROUND((F377/$H378)*100,1),")")</f>
        <v>(2.6)</v>
      </c>
      <c r="H377" s="302">
        <f t="shared" ref="H377" si="285">SUM(B377,D377,F377)</f>
        <v>15.734605459918884</v>
      </c>
      <c r="I377" s="299" t="str">
        <f>CONCATENATE("(",ROUND((H377/$H378)*100,1),")")</f>
        <v>(41.8)</v>
      </c>
      <c r="K377" s="302">
        <f t="shared" ref="K377:K378" si="286">B377-B367</f>
        <v>0.85905822538481669</v>
      </c>
      <c r="L377" s="302">
        <f t="shared" ref="L377:L378" si="287">D377-D367</f>
        <v>0.12091191761668796</v>
      </c>
      <c r="M377" s="302">
        <f t="shared" ref="M377:M378" si="288">F377-F367</f>
        <v>6.0166342010166463E-2</v>
      </c>
      <c r="N377" s="302">
        <f t="shared" ref="N377:N378" si="289">SUM(K377:M377)</f>
        <v>1.0401364850116712</v>
      </c>
    </row>
    <row r="378" spans="1:14" x14ac:dyDescent="0.2">
      <c r="A378" s="282" t="s">
        <v>363</v>
      </c>
      <c r="B378" s="302">
        <f>SUM(B376:B377)</f>
        <v>23.769444871705517</v>
      </c>
      <c r="C378" s="299" t="str">
        <f>CONCATENATE("(",ROUND((B378/$H378)*100,1),")")</f>
        <v>(63.1)</v>
      </c>
      <c r="D378" s="302">
        <f>SUM(D376:D377)</f>
        <v>10.955229738814259</v>
      </c>
      <c r="E378" s="299" t="str">
        <f>CONCATENATE("(",ROUND((D378/$H378)*100,1),")")</f>
        <v>(29.1)</v>
      </c>
      <c r="F378" s="302">
        <f>SUM(F376:F377)</f>
        <v>2.9623253894801977</v>
      </c>
      <c r="G378" s="299" t="str">
        <f>CONCATENATE("(",ROUND((F378/$H378)*100,1),")")</f>
        <v>(7.9)</v>
      </c>
      <c r="H378" s="302">
        <f>SUM(H376:H377)</f>
        <v>37.686999999999969</v>
      </c>
      <c r="I378" s="299" t="str">
        <f>CONCATENATE("(",ROUND((H378/$H378)*100,1),")")</f>
        <v>(100)</v>
      </c>
      <c r="K378" s="302">
        <f t="shared" si="286"/>
        <v>1.9468997911799235</v>
      </c>
      <c r="L378" s="302">
        <f t="shared" si="287"/>
        <v>0.37490646144104467</v>
      </c>
      <c r="M378" s="302">
        <f t="shared" si="288"/>
        <v>0.1751937473789682</v>
      </c>
      <c r="N378" s="302">
        <f t="shared" si="289"/>
        <v>2.4969999999999364</v>
      </c>
    </row>
    <row r="379" spans="1:14" x14ac:dyDescent="0.2">
      <c r="A379" s="293"/>
      <c r="B379" s="294"/>
      <c r="C379" s="293"/>
      <c r="D379" s="294"/>
      <c r="E379" s="293"/>
      <c r="F379" s="294"/>
      <c r="G379" s="293"/>
      <c r="H379" s="294"/>
      <c r="I379" s="293"/>
      <c r="J379" s="293"/>
      <c r="K379" s="294"/>
      <c r="L379" s="294"/>
      <c r="M379" s="294"/>
      <c r="N379" s="294"/>
    </row>
    <row r="383" spans="1:14" x14ac:dyDescent="0.2">
      <c r="A383" s="288"/>
      <c r="B383" s="289" t="s">
        <v>372</v>
      </c>
      <c r="C383" s="288"/>
      <c r="D383" s="289"/>
      <c r="E383" s="288"/>
      <c r="F383" s="289" t="str">
        <f>name!B21</f>
        <v>Public admin. and defence</v>
      </c>
      <c r="G383" s="288"/>
      <c r="H383" s="291"/>
      <c r="I383" s="288"/>
      <c r="J383" s="290"/>
      <c r="K383" s="291"/>
      <c r="L383" s="291"/>
      <c r="M383" s="291"/>
      <c r="N383" s="291"/>
    </row>
    <row r="384" spans="1:14" x14ac:dyDescent="0.2">
      <c r="N384" s="287" t="s">
        <v>370</v>
      </c>
    </row>
    <row r="385" spans="1:14" x14ac:dyDescent="0.2">
      <c r="A385" s="182" t="s">
        <v>371</v>
      </c>
      <c r="B385" s="372" t="s">
        <v>369</v>
      </c>
      <c r="C385" s="372"/>
      <c r="D385" s="372" t="s">
        <v>368</v>
      </c>
      <c r="E385" s="372"/>
      <c r="F385" s="372" t="s">
        <v>367</v>
      </c>
      <c r="G385" s="372"/>
      <c r="H385" s="372" t="s">
        <v>33</v>
      </c>
      <c r="I385" s="372"/>
      <c r="J385" s="182"/>
      <c r="K385" s="297" t="s">
        <v>345</v>
      </c>
      <c r="L385" s="297" t="s">
        <v>347</v>
      </c>
      <c r="M385" s="297" t="s">
        <v>343</v>
      </c>
      <c r="N385" s="297" t="s">
        <v>33</v>
      </c>
    </row>
    <row r="386" spans="1:14" x14ac:dyDescent="0.2">
      <c r="A386" s="292">
        <f>$A$8</f>
        <v>2020</v>
      </c>
      <c r="B386" s="287" t="s">
        <v>66</v>
      </c>
      <c r="C386" s="20" t="s">
        <v>366</v>
      </c>
      <c r="D386" s="287" t="s">
        <v>66</v>
      </c>
      <c r="E386" s="20" t="s">
        <v>366</v>
      </c>
      <c r="F386" s="287" t="s">
        <v>66</v>
      </c>
      <c r="G386" s="20" t="s">
        <v>366</v>
      </c>
      <c r="H386" s="287" t="s">
        <v>66</v>
      </c>
      <c r="I386" s="20" t="s">
        <v>366</v>
      </c>
      <c r="J386" s="182"/>
      <c r="K386" s="286" t="str">
        <f>CONCATENATE(A386," - ",A391)</f>
        <v>2020 - 2025</v>
      </c>
      <c r="L386" s="285"/>
      <c r="M386" s="285"/>
    </row>
    <row r="387" spans="1:14" x14ac:dyDescent="0.2">
      <c r="A387" s="282" t="s">
        <v>364</v>
      </c>
      <c r="B387" s="302">
        <f>'Ind T6'!L162</f>
        <v>10.730112878007395</v>
      </c>
      <c r="C387" s="299" t="str">
        <f>CONCATENATE("(",ROUND((B387/$H389)*100,1),")")</f>
        <v>(33.9)</v>
      </c>
      <c r="D387" s="302">
        <f>'Ind T6'!M162</f>
        <v>1.6065352238526376</v>
      </c>
      <c r="E387" s="299" t="str">
        <f>CONCATENATE("(",ROUND((D387/$H389)*100,1),")")</f>
        <v>(5.1)</v>
      </c>
      <c r="F387" s="302">
        <f>'Ind T6'!N162</f>
        <v>0</v>
      </c>
      <c r="G387" s="299" t="str">
        <f>CONCATENATE("(",ROUND((F387/$H389)*100,1),")")</f>
        <v>(0)</v>
      </c>
      <c r="H387" s="302">
        <f>SUM(B387,D387,F387)</f>
        <v>12.336648101860032</v>
      </c>
      <c r="I387" s="299" t="str">
        <f>CONCATENATE("(",ROUND((H387/$H389)*100,1),")")</f>
        <v>(39)</v>
      </c>
      <c r="K387" s="302">
        <f>B392-B387</f>
        <v>-0.5504748520942897</v>
      </c>
      <c r="L387" s="302">
        <f>D392-D387</f>
        <v>3.2923669510295239E-2</v>
      </c>
      <c r="M387" s="302">
        <f>F392-F387</f>
        <v>0</v>
      </c>
      <c r="N387" s="302">
        <f>SUM(K387:M387)</f>
        <v>-0.51755118258399446</v>
      </c>
    </row>
    <row r="388" spans="1:14" x14ac:dyDescent="0.2">
      <c r="A388" s="282" t="s">
        <v>365</v>
      </c>
      <c r="B388" s="302">
        <f>'Ind T6'!L161</f>
        <v>9.8230459626689921</v>
      </c>
      <c r="C388" s="299" t="str">
        <f>CONCATENATE("(",ROUND((B388/$H389)*100,1),")")</f>
        <v>(31.1)</v>
      </c>
      <c r="D388" s="302">
        <f>'Ind T6'!M161</f>
        <v>8.3066345400944765</v>
      </c>
      <c r="E388" s="299" t="str">
        <f>CONCATENATE("(",ROUND((D388/$H389)*100,1),")")</f>
        <v>(26.3)</v>
      </c>
      <c r="F388" s="302">
        <f>'Ind T6'!N161</f>
        <v>1.1406713953765177</v>
      </c>
      <c r="G388" s="299" t="str">
        <f>CONCATENATE("(",ROUND((F388/$H389)*100,1),")")</f>
        <v>(3.6)</v>
      </c>
      <c r="H388" s="302">
        <f t="shared" ref="H388" si="290">SUM(B388,D388,F388)</f>
        <v>19.270351898139989</v>
      </c>
      <c r="I388" s="299" t="str">
        <f>CONCATENATE("(",ROUND((H388/$H389)*100,1),")")</f>
        <v>(61)</v>
      </c>
      <c r="K388" s="302">
        <f t="shared" ref="K388:K389" si="291">B393-B388</f>
        <v>-0.31187778324112259</v>
      </c>
      <c r="L388" s="302">
        <f t="shared" ref="L388:L389" si="292">D393-D388</f>
        <v>-0.24729237744986854</v>
      </c>
      <c r="M388" s="302">
        <f t="shared" ref="M388:M389" si="293">F393-F388</f>
        <v>-3.5278656725067137E-2</v>
      </c>
      <c r="N388" s="302">
        <f t="shared" ref="N388:N389" si="294">SUM(K388:M388)</f>
        <v>-0.59444881741605826</v>
      </c>
    </row>
    <row r="389" spans="1:14" x14ac:dyDescent="0.2">
      <c r="A389" s="282" t="s">
        <v>363</v>
      </c>
      <c r="B389" s="302">
        <f>SUM(B387:B388)</f>
        <v>20.553158840676389</v>
      </c>
      <c r="C389" s="299" t="str">
        <f>CONCATENATE("(",ROUND((B389/$H389)*100,1),")")</f>
        <v>(65)</v>
      </c>
      <c r="D389" s="302">
        <f>SUM(D387:D388)</f>
        <v>9.9131697639471135</v>
      </c>
      <c r="E389" s="299" t="str">
        <f>CONCATENATE("(",ROUND((D389/$H389)*100,1),")")</f>
        <v>(31.4)</v>
      </c>
      <c r="F389" s="302">
        <f>SUM(F387:F388)</f>
        <v>1.1406713953765177</v>
      </c>
      <c r="G389" s="299" t="str">
        <f>CONCATENATE("(",ROUND((F389/$H389)*100,1),")")</f>
        <v>(3.6)</v>
      </c>
      <c r="H389" s="302">
        <f>SUM(H387:H388)</f>
        <v>31.607000000000021</v>
      </c>
      <c r="I389" s="299" t="str">
        <f>CONCATENATE("(",ROUND((H389/$H389)*100,1),")")</f>
        <v>(100)</v>
      </c>
      <c r="K389" s="302">
        <f t="shared" si="291"/>
        <v>-0.86235263533541229</v>
      </c>
      <c r="L389" s="302">
        <f t="shared" si="292"/>
        <v>-0.21436870793957219</v>
      </c>
      <c r="M389" s="302">
        <f t="shared" si="293"/>
        <v>-3.5278656725067137E-2</v>
      </c>
      <c r="N389" s="302">
        <f t="shared" si="294"/>
        <v>-1.1120000000000516</v>
      </c>
    </row>
    <row r="390" spans="1:14" x14ac:dyDescent="0.2">
      <c r="B390" s="302"/>
      <c r="C390" s="284"/>
      <c r="D390" s="302"/>
      <c r="E390" s="284"/>
      <c r="F390" s="302"/>
      <c r="G390" s="284"/>
      <c r="H390" s="302"/>
      <c r="I390" s="284"/>
    </row>
    <row r="391" spans="1:14" x14ac:dyDescent="0.2">
      <c r="A391" s="292">
        <f>$A$13</f>
        <v>2025</v>
      </c>
      <c r="B391" s="302"/>
      <c r="C391" s="284"/>
      <c r="D391" s="302"/>
      <c r="E391" s="284"/>
      <c r="F391" s="302"/>
      <c r="G391" s="284"/>
      <c r="H391" s="302"/>
      <c r="I391" s="284"/>
      <c r="K391" s="286" t="str">
        <f>CONCATENATE(A391," - ",A396)</f>
        <v>2025 - 2035</v>
      </c>
    </row>
    <row r="392" spans="1:14" x14ac:dyDescent="0.2">
      <c r="A392" s="282" t="s">
        <v>364</v>
      </c>
      <c r="B392" s="302">
        <f>'Ind T6'!Q162</f>
        <v>10.179638025913105</v>
      </c>
      <c r="C392" s="299" t="str">
        <f>CONCATENATE("(",ROUND((B392/$H394)*100,1),")")</f>
        <v>(33.4)</v>
      </c>
      <c r="D392" s="302">
        <f>'Ind T6'!R162</f>
        <v>1.6394588933629328</v>
      </c>
      <c r="E392" s="299" t="str">
        <f>CONCATENATE("(",ROUND((D392/$H394)*100,1),")")</f>
        <v>(5.4)</v>
      </c>
      <c r="F392" s="302">
        <f>'Ind T6'!S162</f>
        <v>0</v>
      </c>
      <c r="G392" s="299" t="str">
        <f>CONCATENATE("(",ROUND((F392/$H394)*100,1),")")</f>
        <v>(0)</v>
      </c>
      <c r="H392" s="302">
        <f>SUM(B392,D392,F392)</f>
        <v>11.819096919276038</v>
      </c>
      <c r="I392" s="299" t="str">
        <f>CONCATENATE("(",ROUND((H392/$H394)*100,1),")")</f>
        <v>(38.8)</v>
      </c>
      <c r="K392" s="302">
        <f>B397-B392</f>
        <v>-0.29043642585208218</v>
      </c>
      <c r="L392" s="302">
        <f>D397-D392</f>
        <v>0.1918910685129529</v>
      </c>
      <c r="M392" s="302">
        <f>F397-F392</f>
        <v>0</v>
      </c>
      <c r="N392" s="302">
        <f>SUM(K392:M392)</f>
        <v>-9.854535733912928E-2</v>
      </c>
    </row>
    <row r="393" spans="1:14" x14ac:dyDescent="0.2">
      <c r="A393" s="282" t="s">
        <v>365</v>
      </c>
      <c r="B393" s="302">
        <f>'Ind T6'!Q161</f>
        <v>9.5111681794278695</v>
      </c>
      <c r="C393" s="299" t="str">
        <f>CONCATENATE("(",ROUND((B393/$H394)*100,1),")")</f>
        <v>(31.2)</v>
      </c>
      <c r="D393" s="302">
        <f>'Ind T6'!R161</f>
        <v>8.059342162644608</v>
      </c>
      <c r="E393" s="299" t="str">
        <f>CONCATENATE("(",ROUND((D393/$H394)*100,1),")")</f>
        <v>(26.4)</v>
      </c>
      <c r="F393" s="302">
        <f>'Ind T6'!S161</f>
        <v>1.1053927386514506</v>
      </c>
      <c r="G393" s="299" t="str">
        <f>CONCATENATE("(",ROUND((F393/$H394)*100,1),")")</f>
        <v>(3.6)</v>
      </c>
      <c r="H393" s="302">
        <f t="shared" ref="H393" si="295">SUM(B393,D393,F393)</f>
        <v>18.675903080723927</v>
      </c>
      <c r="I393" s="299" t="str">
        <f>CONCATENATE("(",ROUND((H393/$H394)*100,1),")")</f>
        <v>(61.2)</v>
      </c>
      <c r="K393" s="302">
        <f t="shared" ref="K393:K394" si="296">B398-B393</f>
        <v>0.12094769272925632</v>
      </c>
      <c r="L393" s="302">
        <f t="shared" ref="L393:L394" si="297">D398-D393</f>
        <v>0.10610624665148549</v>
      </c>
      <c r="M393" s="302">
        <f t="shared" ref="M393:M394" si="298">F398-F393</f>
        <v>2.349141795840537E-2</v>
      </c>
      <c r="N393" s="302">
        <f t="shared" ref="N393:N394" si="299">SUM(K393:M393)</f>
        <v>0.25054535733914718</v>
      </c>
    </row>
    <row r="394" spans="1:14" x14ac:dyDescent="0.2">
      <c r="A394" s="282" t="s">
        <v>363</v>
      </c>
      <c r="B394" s="302">
        <f>SUM(B392:B393)</f>
        <v>19.690806205340976</v>
      </c>
      <c r="C394" s="299" t="str">
        <f>CONCATENATE("(",ROUND((B394/$H394)*100,1),")")</f>
        <v>(64.6)</v>
      </c>
      <c r="D394" s="302">
        <f>SUM(D392:D393)</f>
        <v>9.6988010560075413</v>
      </c>
      <c r="E394" s="299" t="str">
        <f>CONCATENATE("(",ROUND((D394/$H394)*100,1),")")</f>
        <v>(31.8)</v>
      </c>
      <c r="F394" s="302">
        <f>SUM(F392:F393)</f>
        <v>1.1053927386514506</v>
      </c>
      <c r="G394" s="299" t="str">
        <f>CONCATENATE("(",ROUND((F394/$H394)*100,1),")")</f>
        <v>(3.6)</v>
      </c>
      <c r="H394" s="302">
        <f>SUM(H392:H393)</f>
        <v>30.494999999999965</v>
      </c>
      <c r="I394" s="299" t="str">
        <f>CONCATENATE("(",ROUND((H394/$H394)*100,1),")")</f>
        <v>(100)</v>
      </c>
      <c r="K394" s="302">
        <f t="shared" si="296"/>
        <v>-0.16948873312282586</v>
      </c>
      <c r="L394" s="302">
        <f t="shared" si="297"/>
        <v>0.29799731516443728</v>
      </c>
      <c r="M394" s="302">
        <f t="shared" si="298"/>
        <v>2.349141795840537E-2</v>
      </c>
      <c r="N394" s="302">
        <f t="shared" si="299"/>
        <v>0.15200000000001679</v>
      </c>
    </row>
    <row r="395" spans="1:14" x14ac:dyDescent="0.2">
      <c r="B395" s="302"/>
      <c r="C395" s="284"/>
      <c r="D395" s="302"/>
      <c r="E395" s="284"/>
      <c r="F395" s="302"/>
      <c r="G395" s="284"/>
      <c r="H395" s="302"/>
      <c r="I395" s="284"/>
    </row>
    <row r="396" spans="1:14" x14ac:dyDescent="0.2">
      <c r="A396" s="292">
        <f>$A$18</f>
        <v>2035</v>
      </c>
      <c r="B396" s="302"/>
      <c r="C396" s="284"/>
      <c r="D396" s="302"/>
      <c r="E396" s="284"/>
      <c r="F396" s="302"/>
      <c r="G396" s="284"/>
      <c r="H396" s="302"/>
      <c r="I396" s="284"/>
      <c r="K396" s="286" t="str">
        <f>CONCATENATE(A386," - ",A396)</f>
        <v>2020 - 2035</v>
      </c>
    </row>
    <row r="397" spans="1:14" x14ac:dyDescent="0.2">
      <c r="A397" s="282" t="s">
        <v>364</v>
      </c>
      <c r="B397" s="302">
        <f>'Ind T6'!V162</f>
        <v>9.889201600061023</v>
      </c>
      <c r="C397" s="299" t="str">
        <f>CONCATENATE("(",ROUND((B397/$H399)*100,1),")")</f>
        <v>(32.3)</v>
      </c>
      <c r="D397" s="302">
        <f>'Ind T6'!W162</f>
        <v>1.8313499618758857</v>
      </c>
      <c r="E397" s="299" t="str">
        <f>CONCATENATE("(",ROUND((D397/$H399)*100,1),")")</f>
        <v>(6)</v>
      </c>
      <c r="F397" s="302">
        <f>'Ind T6'!X162</f>
        <v>0</v>
      </c>
      <c r="G397" s="299" t="str">
        <f>CONCATENATE("(",ROUND((F397/$H399)*100,1),")")</f>
        <v>(0)</v>
      </c>
      <c r="H397" s="302">
        <f>SUM(B397,D397,F397)</f>
        <v>11.720551561936908</v>
      </c>
      <c r="I397" s="299" t="str">
        <f>CONCATENATE("(",ROUND((H397/$H399)*100,1),")")</f>
        <v>(38.2)</v>
      </c>
      <c r="K397" s="302">
        <f>B397-B387</f>
        <v>-0.84091127794637188</v>
      </c>
      <c r="L397" s="302">
        <f>D397-D387</f>
        <v>0.22481473802324814</v>
      </c>
      <c r="M397" s="302">
        <f>F397-F387</f>
        <v>0</v>
      </c>
      <c r="N397" s="302">
        <f>SUM(K397:M397)</f>
        <v>-0.61609653992312374</v>
      </c>
    </row>
    <row r="398" spans="1:14" x14ac:dyDescent="0.2">
      <c r="A398" s="282" t="s">
        <v>365</v>
      </c>
      <c r="B398" s="302">
        <f>'Ind T6'!V161</f>
        <v>9.6321158721571258</v>
      </c>
      <c r="C398" s="299" t="str">
        <f>CONCATENATE("(",ROUND((B398/$H399)*100,1),")")</f>
        <v>(31.4)</v>
      </c>
      <c r="D398" s="302">
        <f>'Ind T6'!W161</f>
        <v>8.1654484092960935</v>
      </c>
      <c r="E398" s="299" t="str">
        <f>CONCATENATE("(",ROUND((D398/$H399)*100,1),")")</f>
        <v>(26.6)</v>
      </c>
      <c r="F398" s="302">
        <f>'Ind T6'!X161</f>
        <v>1.128884156609856</v>
      </c>
      <c r="G398" s="299" t="str">
        <f>CONCATENATE("(",ROUND((F398/$H399)*100,1),")")</f>
        <v>(3.7)</v>
      </c>
      <c r="H398" s="302">
        <f t="shared" ref="H398" si="300">SUM(B398,D398,F398)</f>
        <v>18.926448438063076</v>
      </c>
      <c r="I398" s="299" t="str">
        <f>CONCATENATE("(",ROUND((H398/$H399)*100,1),")")</f>
        <v>(61.8)</v>
      </c>
      <c r="K398" s="302">
        <f t="shared" ref="K398:K399" si="301">B398-B388</f>
        <v>-0.19093009051186627</v>
      </c>
      <c r="L398" s="302">
        <f t="shared" ref="L398:L399" si="302">D398-D388</f>
        <v>-0.14118613079838305</v>
      </c>
      <c r="M398" s="302">
        <f t="shared" ref="M398:M399" si="303">F398-F388</f>
        <v>-1.1787238766661767E-2</v>
      </c>
      <c r="N398" s="302">
        <f t="shared" ref="N398:N399" si="304">SUM(K398:M398)</f>
        <v>-0.34390346007691108</v>
      </c>
    </row>
    <row r="399" spans="1:14" x14ac:dyDescent="0.2">
      <c r="A399" s="282" t="s">
        <v>363</v>
      </c>
      <c r="B399" s="302">
        <f>SUM(B397:B398)</f>
        <v>19.521317472218151</v>
      </c>
      <c r="C399" s="299" t="str">
        <f>CONCATENATE("(",ROUND((B399/$H399)*100,1),")")</f>
        <v>(63.7)</v>
      </c>
      <c r="D399" s="302">
        <f>SUM(D397:D398)</f>
        <v>9.9967983711719786</v>
      </c>
      <c r="E399" s="299" t="str">
        <f>CONCATENATE("(",ROUND((D399/$H399)*100,1),")")</f>
        <v>(32.6)</v>
      </c>
      <c r="F399" s="302">
        <f>SUM(F397:F398)</f>
        <v>1.128884156609856</v>
      </c>
      <c r="G399" s="299" t="str">
        <f>CONCATENATE("(",ROUND((F399/$H399)*100,1),")")</f>
        <v>(3.7)</v>
      </c>
      <c r="H399" s="302">
        <f>SUM(H397:H398)</f>
        <v>30.646999999999984</v>
      </c>
      <c r="I399" s="299" t="str">
        <f>CONCATENATE("(",ROUND((H399/$H399)*100,1),")")</f>
        <v>(100)</v>
      </c>
      <c r="K399" s="302">
        <f t="shared" si="301"/>
        <v>-1.0318413684582382</v>
      </c>
      <c r="L399" s="302">
        <f t="shared" si="302"/>
        <v>8.3628607224865092E-2</v>
      </c>
      <c r="M399" s="302">
        <f t="shared" si="303"/>
        <v>-1.1787238766661767E-2</v>
      </c>
      <c r="N399" s="302">
        <f t="shared" si="304"/>
        <v>-0.96000000000003483</v>
      </c>
    </row>
    <row r="400" spans="1:14" x14ac:dyDescent="0.2">
      <c r="A400" s="293"/>
      <c r="B400" s="294"/>
      <c r="C400" s="293"/>
      <c r="D400" s="294"/>
      <c r="E400" s="293"/>
      <c r="F400" s="294"/>
      <c r="G400" s="293"/>
      <c r="H400" s="294"/>
      <c r="I400" s="293"/>
      <c r="J400" s="293"/>
      <c r="K400" s="294"/>
      <c r="L400" s="294"/>
      <c r="M400" s="294"/>
      <c r="N400" s="294"/>
    </row>
    <row r="404" spans="1:14" x14ac:dyDescent="0.2">
      <c r="A404" s="288"/>
      <c r="B404" s="289" t="s">
        <v>372</v>
      </c>
      <c r="C404" s="288"/>
      <c r="D404" s="289"/>
      <c r="E404" s="288"/>
      <c r="F404" s="289" t="str">
        <f>name!B22</f>
        <v>Education</v>
      </c>
      <c r="G404" s="288"/>
      <c r="H404" s="291"/>
      <c r="I404" s="288"/>
      <c r="J404" s="290"/>
      <c r="K404" s="291"/>
      <c r="L404" s="291"/>
      <c r="M404" s="291"/>
      <c r="N404" s="291"/>
    </row>
    <row r="405" spans="1:14" x14ac:dyDescent="0.2">
      <c r="N405" s="287" t="s">
        <v>370</v>
      </c>
    </row>
    <row r="406" spans="1:14" x14ac:dyDescent="0.2">
      <c r="A406" s="182" t="s">
        <v>371</v>
      </c>
      <c r="B406" s="372" t="s">
        <v>369</v>
      </c>
      <c r="C406" s="372"/>
      <c r="D406" s="372" t="s">
        <v>368</v>
      </c>
      <c r="E406" s="372"/>
      <c r="F406" s="372" t="s">
        <v>367</v>
      </c>
      <c r="G406" s="372"/>
      <c r="H406" s="372" t="s">
        <v>33</v>
      </c>
      <c r="I406" s="372"/>
      <c r="J406" s="182"/>
      <c r="K406" s="297" t="s">
        <v>345</v>
      </c>
      <c r="L406" s="297" t="s">
        <v>347</v>
      </c>
      <c r="M406" s="297" t="s">
        <v>343</v>
      </c>
      <c r="N406" s="297" t="s">
        <v>33</v>
      </c>
    </row>
    <row r="407" spans="1:14" x14ac:dyDescent="0.2">
      <c r="A407" s="292">
        <f>$A$8</f>
        <v>2020</v>
      </c>
      <c r="B407" s="287" t="s">
        <v>66</v>
      </c>
      <c r="C407" s="20" t="s">
        <v>366</v>
      </c>
      <c r="D407" s="287" t="s">
        <v>66</v>
      </c>
      <c r="E407" s="20" t="s">
        <v>366</v>
      </c>
      <c r="F407" s="287" t="s">
        <v>66</v>
      </c>
      <c r="G407" s="20" t="s">
        <v>366</v>
      </c>
      <c r="H407" s="287" t="s">
        <v>66</v>
      </c>
      <c r="I407" s="20" t="s">
        <v>366</v>
      </c>
      <c r="J407" s="182"/>
      <c r="K407" s="286" t="str">
        <f>CONCATENATE(A407," - ",A412)</f>
        <v>2020 - 2025</v>
      </c>
      <c r="L407" s="285"/>
      <c r="M407" s="285"/>
    </row>
    <row r="408" spans="1:14" x14ac:dyDescent="0.2">
      <c r="A408" s="282" t="s">
        <v>364</v>
      </c>
      <c r="B408" s="302">
        <f>'Ind T6'!L171</f>
        <v>8.9691465422950625</v>
      </c>
      <c r="C408" s="299" t="str">
        <f>CONCATENATE("(",ROUND((B408/$H410)*100,1),")")</f>
        <v>(20.9)</v>
      </c>
      <c r="D408" s="302">
        <f>'Ind T6'!M171</f>
        <v>2.1033747973595518</v>
      </c>
      <c r="E408" s="299" t="str">
        <f>CONCATENATE("(",ROUND((D408/$H410)*100,1),")")</f>
        <v>(4.9)</v>
      </c>
      <c r="F408" s="302">
        <f>'Ind T6'!N171</f>
        <v>1.6958175704504679</v>
      </c>
      <c r="G408" s="299" t="str">
        <f>CONCATENATE("(",ROUND((F408/$H410)*100,1),")")</f>
        <v>(3.9)</v>
      </c>
      <c r="H408" s="302">
        <f>SUM(B408,D408,F408)</f>
        <v>12.768338910105081</v>
      </c>
      <c r="I408" s="299" t="str">
        <f>CONCATENATE("(",ROUND((H408/$H410)*100,1),")")</f>
        <v>(29.7)</v>
      </c>
      <c r="K408" s="302">
        <f>B413-B408</f>
        <v>0.41776451145464577</v>
      </c>
      <c r="L408" s="302">
        <f>D413-D408</f>
        <v>0.15716846853369137</v>
      </c>
      <c r="M408" s="302">
        <f>F413-F408</f>
        <v>0.13729995319571331</v>
      </c>
      <c r="N408" s="302">
        <f>SUM(K408:M408)</f>
        <v>0.71223293318405045</v>
      </c>
    </row>
    <row r="409" spans="1:14" x14ac:dyDescent="0.2">
      <c r="A409" s="282" t="s">
        <v>365</v>
      </c>
      <c r="B409" s="302">
        <f>'Ind T6'!L170</f>
        <v>15.808517819556295</v>
      </c>
      <c r="C409" s="299" t="str">
        <f>CONCATENATE("(",ROUND((B409/$H410)*100,1),")")</f>
        <v>(36.8)</v>
      </c>
      <c r="D409" s="302">
        <f>'Ind T6'!M170</f>
        <v>12.947367083955131</v>
      </c>
      <c r="E409" s="299" t="str">
        <f>CONCATENATE("(",ROUND((D409/$H410)*100,1),")")</f>
        <v>(30.1)</v>
      </c>
      <c r="F409" s="302">
        <f>'Ind T6'!N170</f>
        <v>1.4767761863835336</v>
      </c>
      <c r="G409" s="299" t="str">
        <f>CONCATENATE("(",ROUND((F409/$H410)*100,1),")")</f>
        <v>(3.4)</v>
      </c>
      <c r="H409" s="302">
        <f t="shared" ref="H409" si="305">SUM(B409,D409,F409)</f>
        <v>30.232661089894961</v>
      </c>
      <c r="I409" s="299" t="str">
        <f>CONCATENATE("(",ROUND((H409/$H410)*100,1),")")</f>
        <v>(70.3)</v>
      </c>
      <c r="K409" s="302">
        <f t="shared" ref="K409:K410" si="306">B414-B409</f>
        <v>1.3280045219397163</v>
      </c>
      <c r="L409" s="302">
        <f t="shared" ref="L409:L410" si="307">D414-D409</f>
        <v>0.48671860870845052</v>
      </c>
      <c r="M409" s="302">
        <f t="shared" ref="M409:M410" si="308">F414-F409</f>
        <v>0.10704393616771313</v>
      </c>
      <c r="N409" s="302">
        <f t="shared" ref="N409:N410" si="309">SUM(K409:M409)</f>
        <v>1.9217670668158799</v>
      </c>
    </row>
    <row r="410" spans="1:14" x14ac:dyDescent="0.2">
      <c r="A410" s="282" t="s">
        <v>363</v>
      </c>
      <c r="B410" s="302">
        <f>SUM(B408:B409)</f>
        <v>24.777664361851357</v>
      </c>
      <c r="C410" s="299" t="str">
        <f>CONCATENATE("(",ROUND((B410/$H410)*100,1),")")</f>
        <v>(57.6)</v>
      </c>
      <c r="D410" s="302">
        <f>SUM(D408:D409)</f>
        <v>15.050741881314682</v>
      </c>
      <c r="E410" s="299" t="str">
        <f>CONCATENATE("(",ROUND((D410/$H410)*100,1),")")</f>
        <v>(35)</v>
      </c>
      <c r="F410" s="302">
        <f>SUM(F408:F409)</f>
        <v>3.1725937568340017</v>
      </c>
      <c r="G410" s="299" t="str">
        <f>CONCATENATE("(",ROUND((F410/$H410)*100,1),")")</f>
        <v>(7.4)</v>
      </c>
      <c r="H410" s="302">
        <f>SUM(H408:H409)</f>
        <v>43.00100000000004</v>
      </c>
      <c r="I410" s="299" t="str">
        <f>CONCATENATE("(",ROUND((H410/$H410)*100,1),")")</f>
        <v>(100)</v>
      </c>
      <c r="K410" s="302">
        <f t="shared" si="306"/>
        <v>1.7457690333943603</v>
      </c>
      <c r="L410" s="302">
        <f t="shared" si="307"/>
        <v>0.64388707724214278</v>
      </c>
      <c r="M410" s="302">
        <f t="shared" si="308"/>
        <v>0.24434388936342621</v>
      </c>
      <c r="N410" s="302">
        <f t="shared" si="309"/>
        <v>2.6339999999999293</v>
      </c>
    </row>
    <row r="411" spans="1:14" x14ac:dyDescent="0.2">
      <c r="B411" s="302"/>
      <c r="C411" s="284"/>
      <c r="D411" s="302"/>
      <c r="E411" s="284"/>
      <c r="F411" s="302"/>
      <c r="G411" s="284"/>
      <c r="H411" s="302"/>
      <c r="I411" s="284"/>
    </row>
    <row r="412" spans="1:14" x14ac:dyDescent="0.2">
      <c r="A412" s="292">
        <f>$A$13</f>
        <v>2025</v>
      </c>
      <c r="B412" s="302"/>
      <c r="C412" s="284"/>
      <c r="D412" s="302"/>
      <c r="E412" s="284"/>
      <c r="F412" s="302"/>
      <c r="G412" s="284"/>
      <c r="H412" s="302"/>
      <c r="I412" s="284"/>
      <c r="K412" s="286" t="str">
        <f>CONCATENATE(A412," - ",A417)</f>
        <v>2025 - 2035</v>
      </c>
    </row>
    <row r="413" spans="1:14" x14ac:dyDescent="0.2">
      <c r="A413" s="282" t="s">
        <v>364</v>
      </c>
      <c r="B413" s="302">
        <f>'Ind T6'!Q171</f>
        <v>9.3869110537497082</v>
      </c>
      <c r="C413" s="299" t="str">
        <f>CONCATENATE("(",ROUND((B413/$H415)*100,1),")")</f>
        <v>(20.6)</v>
      </c>
      <c r="D413" s="302">
        <f>'Ind T6'!R171</f>
        <v>2.2605432658932432</v>
      </c>
      <c r="E413" s="299" t="str">
        <f>CONCATENATE("(",ROUND((D413/$H415)*100,1),")")</f>
        <v>(5)</v>
      </c>
      <c r="F413" s="302">
        <f>'Ind T6'!S171</f>
        <v>1.8331175236461812</v>
      </c>
      <c r="G413" s="299" t="str">
        <f>CONCATENATE("(",ROUND((F413/$H415)*100,1),")")</f>
        <v>(4)</v>
      </c>
      <c r="H413" s="302">
        <f>SUM(B413,D413,F413)</f>
        <v>13.480571843289134</v>
      </c>
      <c r="I413" s="299" t="str">
        <f>CONCATENATE("(",ROUND((H413/$H415)*100,1),")")</f>
        <v>(29.5)</v>
      </c>
      <c r="K413" s="302">
        <f>B418-B413</f>
        <v>4.8307606822930893E-2</v>
      </c>
      <c r="L413" s="302">
        <f>D418-D413</f>
        <v>0.12105872772600268</v>
      </c>
      <c r="M413" s="302">
        <f>F418-F413</f>
        <v>0.11512984705762563</v>
      </c>
      <c r="N413" s="302">
        <f>SUM(K413:M413)</f>
        <v>0.28449618160655921</v>
      </c>
    </row>
    <row r="414" spans="1:14" x14ac:dyDescent="0.2">
      <c r="A414" s="282" t="s">
        <v>365</v>
      </c>
      <c r="B414" s="302">
        <f>'Ind T6'!Q170</f>
        <v>17.136522341496011</v>
      </c>
      <c r="C414" s="299" t="str">
        <f>CONCATENATE("(",ROUND((B414/$H415)*100,1),")")</f>
        <v>(37.6)</v>
      </c>
      <c r="D414" s="302">
        <f>'Ind T6'!R170</f>
        <v>13.434085692663581</v>
      </c>
      <c r="E414" s="299" t="str">
        <f>CONCATENATE("(",ROUND((D414/$H415)*100,1),")")</f>
        <v>(29.4)</v>
      </c>
      <c r="F414" s="302">
        <f>'Ind T6'!S170</f>
        <v>1.5838201225512467</v>
      </c>
      <c r="G414" s="299" t="str">
        <f>CONCATENATE("(",ROUND((F414/$H415)*100,1),")")</f>
        <v>(3.5)</v>
      </c>
      <c r="H414" s="302">
        <f t="shared" ref="H414" si="310">SUM(B414,D414,F414)</f>
        <v>32.154428156710836</v>
      </c>
      <c r="I414" s="299" t="str">
        <f>CONCATENATE("(",ROUND((H414/$H415)*100,1),")")</f>
        <v>(70.5)</v>
      </c>
      <c r="K414" s="302">
        <f t="shared" ref="K414:K415" si="311">B419-B414</f>
        <v>1.3539595044074808</v>
      </c>
      <c r="L414" s="302">
        <f t="shared" ref="L414:L415" si="312">D419-D414</f>
        <v>-0.1828817753188563</v>
      </c>
      <c r="M414" s="302">
        <f t="shared" ref="M414:M415" si="313">F419-F414</f>
        <v>5.1426089304886791E-2</v>
      </c>
      <c r="N414" s="302">
        <f t="shared" ref="N414:N415" si="314">SUM(K414:M414)</f>
        <v>1.2225038183935113</v>
      </c>
    </row>
    <row r="415" spans="1:14" x14ac:dyDescent="0.2">
      <c r="A415" s="282" t="s">
        <v>363</v>
      </c>
      <c r="B415" s="302">
        <f>SUM(B413:B414)</f>
        <v>26.523433395245718</v>
      </c>
      <c r="C415" s="299" t="str">
        <f>CONCATENATE("(",ROUND((B415/$H415)*100,1),")")</f>
        <v>(58.1)</v>
      </c>
      <c r="D415" s="302">
        <f>SUM(D413:D414)</f>
        <v>15.694628958556825</v>
      </c>
      <c r="E415" s="299" t="str">
        <f>CONCATENATE("(",ROUND((D415/$H415)*100,1),")")</f>
        <v>(34.4)</v>
      </c>
      <c r="F415" s="302">
        <f>SUM(F413:F414)</f>
        <v>3.4169376461974279</v>
      </c>
      <c r="G415" s="299" t="str">
        <f>CONCATENATE("(",ROUND((F415/$H415)*100,1),")")</f>
        <v>(7.5)</v>
      </c>
      <c r="H415" s="302">
        <f>SUM(H413:H414)</f>
        <v>45.63499999999997</v>
      </c>
      <c r="I415" s="299" t="str">
        <f>CONCATENATE("(",ROUND((H415/$H415)*100,1),")")</f>
        <v>(100)</v>
      </c>
      <c r="K415" s="302">
        <f t="shared" si="311"/>
        <v>1.4022671112304153</v>
      </c>
      <c r="L415" s="302">
        <f t="shared" si="312"/>
        <v>-6.1823047592854508E-2</v>
      </c>
      <c r="M415" s="302">
        <f t="shared" si="313"/>
        <v>0.16655593636251265</v>
      </c>
      <c r="N415" s="302">
        <f t="shared" si="314"/>
        <v>1.5070000000000734</v>
      </c>
    </row>
    <row r="416" spans="1:14" x14ac:dyDescent="0.2">
      <c r="B416" s="302"/>
      <c r="C416" s="284"/>
      <c r="D416" s="302"/>
      <c r="E416" s="284"/>
      <c r="F416" s="302"/>
      <c r="G416" s="284"/>
      <c r="H416" s="302"/>
      <c r="I416" s="284"/>
    </row>
    <row r="417" spans="1:14" x14ac:dyDescent="0.2">
      <c r="A417" s="292">
        <f>$A$18</f>
        <v>2035</v>
      </c>
      <c r="B417" s="302"/>
      <c r="C417" s="284"/>
      <c r="D417" s="302"/>
      <c r="E417" s="284"/>
      <c r="F417" s="302"/>
      <c r="G417" s="284"/>
      <c r="H417" s="302"/>
      <c r="I417" s="284"/>
      <c r="K417" s="286" t="str">
        <f>CONCATENATE(A407," - ",A417)</f>
        <v>2020 - 2035</v>
      </c>
    </row>
    <row r="418" spans="1:14" x14ac:dyDescent="0.2">
      <c r="A418" s="282" t="s">
        <v>364</v>
      </c>
      <c r="B418" s="302">
        <f>'Ind T6'!V171</f>
        <v>9.4352186605726391</v>
      </c>
      <c r="C418" s="299" t="str">
        <f>CONCATENATE("(",ROUND((B418/$H420)*100,1),")")</f>
        <v>(20)</v>
      </c>
      <c r="D418" s="302">
        <f>'Ind T6'!W171</f>
        <v>2.3816019936192458</v>
      </c>
      <c r="E418" s="299" t="str">
        <f>CONCATENATE("(",ROUND((D418/$H420)*100,1),")")</f>
        <v>(5.1)</v>
      </c>
      <c r="F418" s="302">
        <f>'Ind T6'!X171</f>
        <v>1.9482473707038068</v>
      </c>
      <c r="G418" s="299" t="str">
        <f>CONCATENATE("(",ROUND((F418/$H420)*100,1),")")</f>
        <v>(4.1)</v>
      </c>
      <c r="H418" s="302">
        <f>SUM(B418,D418,F418)</f>
        <v>13.765068024895692</v>
      </c>
      <c r="I418" s="299" t="str">
        <f>CONCATENATE("(",ROUND((H418/$H420)*100,1),")")</f>
        <v>(29.2)</v>
      </c>
      <c r="K418" s="302">
        <f>B418-B408</f>
        <v>0.46607211827757666</v>
      </c>
      <c r="L418" s="302">
        <f>D418-D408</f>
        <v>0.27822719625969405</v>
      </c>
      <c r="M418" s="302">
        <f>F418-F408</f>
        <v>0.25242980025333894</v>
      </c>
      <c r="N418" s="302">
        <f>SUM(K418:M418)</f>
        <v>0.99672911479060966</v>
      </c>
    </row>
    <row r="419" spans="1:14" x14ac:dyDescent="0.2">
      <c r="A419" s="282" t="s">
        <v>365</v>
      </c>
      <c r="B419" s="302">
        <f>'Ind T6'!V170</f>
        <v>18.490481845903492</v>
      </c>
      <c r="C419" s="299" t="str">
        <f>CONCATENATE("(",ROUND((B419/$H420)*100,1),")")</f>
        <v>(39.2)</v>
      </c>
      <c r="D419" s="302">
        <f>'Ind T6'!W170</f>
        <v>13.251203917344725</v>
      </c>
      <c r="E419" s="299" t="str">
        <f>CONCATENATE("(",ROUND((D419/$H420)*100,1),")")</f>
        <v>(28.1)</v>
      </c>
      <c r="F419" s="302">
        <f>'Ind T6'!X170</f>
        <v>1.6352462118561335</v>
      </c>
      <c r="G419" s="299" t="str">
        <f>CONCATENATE("(",ROUND((F419/$H420)*100,1),")")</f>
        <v>(3.5)</v>
      </c>
      <c r="H419" s="302">
        <f t="shared" ref="H419" si="315">SUM(B419,D419,F419)</f>
        <v>33.376931975104348</v>
      </c>
      <c r="I419" s="299" t="str">
        <f>CONCATENATE("(",ROUND((H419/$H420)*100,1),")")</f>
        <v>(70.8)</v>
      </c>
      <c r="K419" s="302">
        <f t="shared" ref="K419:K420" si="316">B419-B409</f>
        <v>2.6819640263471971</v>
      </c>
      <c r="L419" s="302">
        <f t="shared" ref="L419:L420" si="317">D419-D409</f>
        <v>0.30383683338959422</v>
      </c>
      <c r="M419" s="302">
        <f t="shared" ref="M419:M420" si="318">F419-F409</f>
        <v>0.15847002547259992</v>
      </c>
      <c r="N419" s="302">
        <f t="shared" ref="N419:N420" si="319">SUM(K419:M419)</f>
        <v>3.1442708852093912</v>
      </c>
    </row>
    <row r="420" spans="1:14" x14ac:dyDescent="0.2">
      <c r="A420" s="282" t="s">
        <v>363</v>
      </c>
      <c r="B420" s="302">
        <f>SUM(B418:B419)</f>
        <v>27.925700506476133</v>
      </c>
      <c r="C420" s="299" t="str">
        <f>CONCATENATE("(",ROUND((B420/$H420)*100,1),")")</f>
        <v>(59.2)</v>
      </c>
      <c r="D420" s="302">
        <f>SUM(D418:D419)</f>
        <v>15.63280591096397</v>
      </c>
      <c r="E420" s="299" t="str">
        <f>CONCATENATE("(",ROUND((D420/$H420)*100,1),")")</f>
        <v>(33.2)</v>
      </c>
      <c r="F420" s="302">
        <f>SUM(F418:F419)</f>
        <v>3.5834935825599405</v>
      </c>
      <c r="G420" s="299" t="str">
        <f>CONCATENATE("(",ROUND((F420/$H420)*100,1),")")</f>
        <v>(7.6)</v>
      </c>
      <c r="H420" s="302">
        <f>SUM(H418:H419)</f>
        <v>47.142000000000039</v>
      </c>
      <c r="I420" s="299" t="str">
        <f>CONCATENATE("(",ROUND((H420/$H420)*100,1),")")</f>
        <v>(100)</v>
      </c>
      <c r="K420" s="302">
        <f t="shared" si="316"/>
        <v>3.1480361446247755</v>
      </c>
      <c r="L420" s="302">
        <f t="shared" si="317"/>
        <v>0.58206402964928827</v>
      </c>
      <c r="M420" s="302">
        <f t="shared" si="318"/>
        <v>0.41089982572593886</v>
      </c>
      <c r="N420" s="302">
        <f t="shared" si="319"/>
        <v>4.1410000000000027</v>
      </c>
    </row>
    <row r="421" spans="1:14" x14ac:dyDescent="0.2">
      <c r="A421" s="293"/>
      <c r="B421" s="294"/>
      <c r="C421" s="293"/>
      <c r="D421" s="294"/>
      <c r="E421" s="293"/>
      <c r="F421" s="294"/>
      <c r="G421" s="293"/>
      <c r="H421" s="294"/>
      <c r="I421" s="293"/>
      <c r="J421" s="293"/>
      <c r="K421" s="294"/>
      <c r="L421" s="294"/>
      <c r="M421" s="294"/>
      <c r="N421" s="294"/>
    </row>
    <row r="424" spans="1:14" x14ac:dyDescent="0.2">
      <c r="C424" s="182"/>
      <c r="E424" s="182"/>
      <c r="G424" s="182"/>
      <c r="I424" s="182"/>
    </row>
    <row r="425" spans="1:14" x14ac:dyDescent="0.2">
      <c r="A425" s="288"/>
      <c r="B425" s="289" t="s">
        <v>372</v>
      </c>
      <c r="C425" s="288"/>
      <c r="D425" s="289"/>
      <c r="E425" s="288"/>
      <c r="F425" s="289" t="str">
        <f>name!B23</f>
        <v>Health and social work</v>
      </c>
      <c r="G425" s="288"/>
      <c r="H425" s="291"/>
      <c r="I425" s="288"/>
      <c r="J425" s="290"/>
      <c r="K425" s="291"/>
      <c r="L425" s="291"/>
      <c r="M425" s="291"/>
      <c r="N425" s="291"/>
    </row>
    <row r="426" spans="1:14" x14ac:dyDescent="0.2">
      <c r="N426" s="287" t="s">
        <v>370</v>
      </c>
    </row>
    <row r="427" spans="1:14" x14ac:dyDescent="0.2">
      <c r="A427" s="182" t="s">
        <v>371</v>
      </c>
      <c r="B427" s="372" t="s">
        <v>369</v>
      </c>
      <c r="C427" s="372"/>
      <c r="D427" s="372" t="s">
        <v>368</v>
      </c>
      <c r="E427" s="372"/>
      <c r="F427" s="372" t="s">
        <v>367</v>
      </c>
      <c r="G427" s="372"/>
      <c r="H427" s="372" t="s">
        <v>33</v>
      </c>
      <c r="I427" s="372"/>
      <c r="J427" s="182"/>
      <c r="K427" s="297" t="s">
        <v>345</v>
      </c>
      <c r="L427" s="297" t="s">
        <v>347</v>
      </c>
      <c r="M427" s="297" t="s">
        <v>343</v>
      </c>
      <c r="N427" s="297" t="s">
        <v>33</v>
      </c>
    </row>
    <row r="428" spans="1:14" x14ac:dyDescent="0.2">
      <c r="A428" s="292">
        <f>$A$8</f>
        <v>2020</v>
      </c>
      <c r="B428" s="287" t="s">
        <v>66</v>
      </c>
      <c r="C428" s="20" t="s">
        <v>366</v>
      </c>
      <c r="D428" s="287" t="s">
        <v>66</v>
      </c>
      <c r="E428" s="20" t="s">
        <v>366</v>
      </c>
      <c r="F428" s="287" t="s">
        <v>66</v>
      </c>
      <c r="G428" s="20" t="s">
        <v>366</v>
      </c>
      <c r="H428" s="287" t="s">
        <v>66</v>
      </c>
      <c r="I428" s="20" t="s">
        <v>366</v>
      </c>
      <c r="J428" s="182"/>
      <c r="K428" s="286" t="str">
        <f>CONCATENATE(A428," - ",A433)</f>
        <v>2020 - 2025</v>
      </c>
      <c r="L428" s="285"/>
      <c r="M428" s="285"/>
    </row>
    <row r="429" spans="1:14" x14ac:dyDescent="0.2">
      <c r="A429" s="282" t="s">
        <v>364</v>
      </c>
      <c r="B429" s="302">
        <f>'Ind T6'!L180</f>
        <v>8.9477363326373833</v>
      </c>
      <c r="C429" s="299" t="str">
        <f>CONCATENATE("(",ROUND((B429/$H431)*100,1),")")</f>
        <v>(13.6)</v>
      </c>
      <c r="D429" s="302">
        <f>'Ind T6'!M180</f>
        <v>3.185374918578602</v>
      </c>
      <c r="E429" s="299" t="str">
        <f>CONCATENATE("(",ROUND((D429/$H431)*100,1),")")</f>
        <v>(4.8)</v>
      </c>
      <c r="F429" s="302">
        <f>'Ind T6'!N180</f>
        <v>0.89559717093067059</v>
      </c>
      <c r="G429" s="299" t="str">
        <f>CONCATENATE("(",ROUND((F429/$H431)*100,1),")")</f>
        <v>(1.4)</v>
      </c>
      <c r="H429" s="302">
        <f>SUM(B429,D429,F429)</f>
        <v>13.028708422146657</v>
      </c>
      <c r="I429" s="299" t="str">
        <f>CONCATENATE("(",ROUND((H429/$H431)*100,1),")")</f>
        <v>(19.8)</v>
      </c>
      <c r="K429" s="302">
        <f>B434-B429</f>
        <v>0.46541515166436831</v>
      </c>
      <c r="L429" s="302">
        <f>D434-D429</f>
        <v>0.20769061278695755</v>
      </c>
      <c r="M429" s="302">
        <f>F434-F429</f>
        <v>6.4683165098551321E-3</v>
      </c>
      <c r="N429" s="302">
        <f>SUM(K429:M429)</f>
        <v>0.67957408096118099</v>
      </c>
    </row>
    <row r="430" spans="1:14" x14ac:dyDescent="0.2">
      <c r="A430" s="282" t="s">
        <v>365</v>
      </c>
      <c r="B430" s="302">
        <f>'Ind T6'!L179</f>
        <v>26.647275670808714</v>
      </c>
      <c r="C430" s="299" t="str">
        <f>CONCATENATE("(",ROUND((B430/$H431)*100,1),")")</f>
        <v>(40.5)</v>
      </c>
      <c r="D430" s="302">
        <f>'Ind T6'!M179</f>
        <v>23.907297352493913</v>
      </c>
      <c r="E430" s="299" t="str">
        <f>CONCATENATE("(",ROUND((D430/$H431)*100,1),")")</f>
        <v>(36.3)</v>
      </c>
      <c r="F430" s="302">
        <f>'Ind T6'!N179</f>
        <v>2.2527185545507407</v>
      </c>
      <c r="G430" s="299" t="str">
        <f>CONCATENATE("(",ROUND((F430/$H431)*100,1),")")</f>
        <v>(3.4)</v>
      </c>
      <c r="H430" s="302">
        <f t="shared" ref="H430" si="320">SUM(B430,D430,F430)</f>
        <v>52.807291577853363</v>
      </c>
      <c r="I430" s="299" t="str">
        <f>CONCATENATE("(",ROUND((H430/$H431)*100,1),")")</f>
        <v>(80.2)</v>
      </c>
      <c r="K430" s="302">
        <f t="shared" ref="K430:K431" si="321">B435-B430</f>
        <v>1.9975330400277969</v>
      </c>
      <c r="L430" s="302">
        <f t="shared" ref="L430:L431" si="322">D435-D430</f>
        <v>0.3946716992868744</v>
      </c>
      <c r="M430" s="302">
        <f t="shared" ref="M430:M431" si="323">F435-F430</f>
        <v>0.23422117972407808</v>
      </c>
      <c r="N430" s="302">
        <f t="shared" ref="N430:N431" si="324">SUM(K430:M430)</f>
        <v>2.6264259190387493</v>
      </c>
    </row>
    <row r="431" spans="1:14" x14ac:dyDescent="0.2">
      <c r="A431" s="282" t="s">
        <v>363</v>
      </c>
      <c r="B431" s="302">
        <f>SUM(B429:B430)</f>
        <v>35.595012003446101</v>
      </c>
      <c r="C431" s="299" t="str">
        <f>CONCATENATE("(",ROUND((B431/$H431)*100,1),")")</f>
        <v>(54.1)</v>
      </c>
      <c r="D431" s="302">
        <f>SUM(D429:D430)</f>
        <v>27.092672271072516</v>
      </c>
      <c r="E431" s="299" t="str">
        <f>CONCATENATE("(",ROUND((D431/$H431)*100,1),")")</f>
        <v>(41.2)</v>
      </c>
      <c r="F431" s="302">
        <f>SUM(F429:F430)</f>
        <v>3.1483157254814111</v>
      </c>
      <c r="G431" s="299" t="str">
        <f>CONCATENATE("(",ROUND((F431/$H431)*100,1),")")</f>
        <v>(4.8)</v>
      </c>
      <c r="H431" s="302">
        <f>SUM(H429:H430)</f>
        <v>65.836000000000013</v>
      </c>
      <c r="I431" s="299" t="str">
        <f>CONCATENATE("(",ROUND((H431/$H431)*100,1),")")</f>
        <v>(100)</v>
      </c>
      <c r="K431" s="302">
        <f t="shared" si="321"/>
        <v>2.4629481916921634</v>
      </c>
      <c r="L431" s="302">
        <f t="shared" si="322"/>
        <v>0.60236231207382929</v>
      </c>
      <c r="M431" s="302">
        <f t="shared" si="323"/>
        <v>0.24068949623393321</v>
      </c>
      <c r="N431" s="302">
        <f t="shared" si="324"/>
        <v>3.3059999999999259</v>
      </c>
    </row>
    <row r="432" spans="1:14" x14ac:dyDescent="0.2">
      <c r="B432" s="302"/>
      <c r="C432" s="284"/>
      <c r="D432" s="302"/>
      <c r="E432" s="284"/>
      <c r="F432" s="302"/>
      <c r="G432" s="284"/>
      <c r="H432" s="302"/>
      <c r="I432" s="284"/>
    </row>
    <row r="433" spans="1:14" x14ac:dyDescent="0.2">
      <c r="A433" s="292">
        <f>$A$13</f>
        <v>2025</v>
      </c>
      <c r="B433" s="302"/>
      <c r="C433" s="284"/>
      <c r="D433" s="302"/>
      <c r="E433" s="284"/>
      <c r="F433" s="302"/>
      <c r="G433" s="284"/>
      <c r="H433" s="302"/>
      <c r="I433" s="284"/>
      <c r="K433" s="286" t="str">
        <f>CONCATENATE(A433," - ",A438)</f>
        <v>2025 - 2035</v>
      </c>
    </row>
    <row r="434" spans="1:14" x14ac:dyDescent="0.2">
      <c r="A434" s="282" t="s">
        <v>364</v>
      </c>
      <c r="B434" s="302">
        <f>'Ind T6'!Q180</f>
        <v>9.4131514843017516</v>
      </c>
      <c r="C434" s="299" t="str">
        <f>CONCATENATE("(",ROUND((B434/$H436)*100,1),")")</f>
        <v>(13.6)</v>
      </c>
      <c r="D434" s="302">
        <f>'Ind T6'!R180</f>
        <v>3.3930655313655596</v>
      </c>
      <c r="E434" s="299" t="str">
        <f>CONCATENATE("(",ROUND((D434/$H436)*100,1),")")</f>
        <v>(4.9)</v>
      </c>
      <c r="F434" s="302">
        <f>'Ind T6'!S180</f>
        <v>0.90206548744052573</v>
      </c>
      <c r="G434" s="299" t="str">
        <f>CONCATENATE("(",ROUND((F434/$H436)*100,1),")")</f>
        <v>(1.3)</v>
      </c>
      <c r="H434" s="302">
        <f>SUM(B434,D434,F434)</f>
        <v>13.708282503107837</v>
      </c>
      <c r="I434" s="299" t="str">
        <f>CONCATENATE("(",ROUND((H434/$H436)*100,1),")")</f>
        <v>(19.8)</v>
      </c>
      <c r="K434" s="302">
        <f>B439-B434</f>
        <v>0.5337067749200326</v>
      </c>
      <c r="L434" s="302">
        <f>D439-D434</f>
        <v>0.23697936639513184</v>
      </c>
      <c r="M434" s="302">
        <f>F439-F434</f>
        <v>-3.1145459073357529E-2</v>
      </c>
      <c r="N434" s="302">
        <f>SUM(K434:M434)</f>
        <v>0.73954068224180691</v>
      </c>
    </row>
    <row r="435" spans="1:14" x14ac:dyDescent="0.2">
      <c r="A435" s="282" t="s">
        <v>365</v>
      </c>
      <c r="B435" s="302">
        <f>'Ind T6'!Q179</f>
        <v>28.644808710836511</v>
      </c>
      <c r="C435" s="299" t="str">
        <f>CONCATENATE("(",ROUND((B435/$H436)*100,1),")")</f>
        <v>(41.4)</v>
      </c>
      <c r="D435" s="302">
        <f>'Ind T6'!R179</f>
        <v>24.301969051780787</v>
      </c>
      <c r="E435" s="299" t="str">
        <f>CONCATENATE("(",ROUND((D435/$H436)*100,1),")")</f>
        <v>(35.1)</v>
      </c>
      <c r="F435" s="302">
        <f>'Ind T6'!S179</f>
        <v>2.4869397342748187</v>
      </c>
      <c r="G435" s="299" t="str">
        <f>CONCATENATE("(",ROUND((F435/$H436)*100,1),")")</f>
        <v>(3.6)</v>
      </c>
      <c r="H435" s="302">
        <f t="shared" ref="H435" si="325">SUM(B435,D435,F435)</f>
        <v>55.433717496892122</v>
      </c>
      <c r="I435" s="299" t="str">
        <f>CONCATENATE("(",ROUND((H435/$H436)*100,1),")")</f>
        <v>(80.2)</v>
      </c>
      <c r="K435" s="302">
        <f t="shared" ref="K435:K436" si="326">B440-B435</f>
        <v>2.7707568760610322</v>
      </c>
      <c r="L435" s="302">
        <f t="shared" ref="L435:L436" si="327">D440-D435</f>
        <v>-0.49010359020678962</v>
      </c>
      <c r="M435" s="302">
        <f t="shared" ref="M435:M436" si="328">F440-F435</f>
        <v>0.31480603190401801</v>
      </c>
      <c r="N435" s="302">
        <f t="shared" ref="N435:N436" si="329">SUM(K435:M435)</f>
        <v>2.5954593177582606</v>
      </c>
    </row>
    <row r="436" spans="1:14" x14ac:dyDescent="0.2">
      <c r="A436" s="282" t="s">
        <v>363</v>
      </c>
      <c r="B436" s="302">
        <f>SUM(B434:B435)</f>
        <v>38.057960195138264</v>
      </c>
      <c r="C436" s="299" t="str">
        <f>CONCATENATE("(",ROUND((B436/$H436)*100,1),")")</f>
        <v>(55)</v>
      </c>
      <c r="D436" s="302">
        <f>SUM(D434:D435)</f>
        <v>27.695034583146345</v>
      </c>
      <c r="E436" s="299" t="str">
        <f>CONCATENATE("(",ROUND((D436/$H436)*100,1),")")</f>
        <v>(40.1)</v>
      </c>
      <c r="F436" s="302">
        <f>SUM(F434:F435)</f>
        <v>3.3890052217153444</v>
      </c>
      <c r="G436" s="299" t="str">
        <f>CONCATENATE("(",ROUND((F436/$H436)*100,1),")")</f>
        <v>(4.9)</v>
      </c>
      <c r="H436" s="302">
        <f>SUM(H434:H435)</f>
        <v>69.141999999999953</v>
      </c>
      <c r="I436" s="299" t="str">
        <f>CONCATENATE("(",ROUND((H436/$H436)*100,1),")")</f>
        <v>(100)</v>
      </c>
      <c r="K436" s="302">
        <f t="shared" si="326"/>
        <v>3.304463650981063</v>
      </c>
      <c r="L436" s="302">
        <f t="shared" si="327"/>
        <v>-0.25312422381165689</v>
      </c>
      <c r="M436" s="302">
        <f t="shared" si="328"/>
        <v>0.28366057283066048</v>
      </c>
      <c r="N436" s="302">
        <f t="shared" si="329"/>
        <v>3.3350000000000666</v>
      </c>
    </row>
    <row r="437" spans="1:14" x14ac:dyDescent="0.2">
      <c r="B437" s="302"/>
      <c r="C437" s="284"/>
      <c r="D437" s="302"/>
      <c r="E437" s="284"/>
      <c r="F437" s="302"/>
      <c r="G437" s="284"/>
      <c r="H437" s="302"/>
      <c r="I437" s="284"/>
    </row>
    <row r="438" spans="1:14" x14ac:dyDescent="0.2">
      <c r="A438" s="292">
        <f>$A$18</f>
        <v>2035</v>
      </c>
      <c r="B438" s="302"/>
      <c r="C438" s="284"/>
      <c r="D438" s="302"/>
      <c r="E438" s="284"/>
      <c r="F438" s="302"/>
      <c r="G438" s="284"/>
      <c r="H438" s="302"/>
      <c r="I438" s="284"/>
      <c r="K438" s="286" t="str">
        <f>CONCATENATE(A428," - ",A438)</f>
        <v>2020 - 2035</v>
      </c>
    </row>
    <row r="439" spans="1:14" x14ac:dyDescent="0.2">
      <c r="A439" s="282" t="s">
        <v>364</v>
      </c>
      <c r="B439" s="302">
        <f>'Ind T6'!V180</f>
        <v>9.9468582592217842</v>
      </c>
      <c r="C439" s="299" t="str">
        <f>CONCATENATE("(",ROUND((B439/$H441)*100,1),")")</f>
        <v>(13.7)</v>
      </c>
      <c r="D439" s="302">
        <f>'Ind T6'!W180</f>
        <v>3.6300448977606914</v>
      </c>
      <c r="E439" s="299" t="str">
        <f>CONCATENATE("(",ROUND((D439/$H441)*100,1),")")</f>
        <v>(5)</v>
      </c>
      <c r="F439" s="302">
        <f>'Ind T6'!X180</f>
        <v>0.8709200283671682</v>
      </c>
      <c r="G439" s="299" t="str">
        <f>CONCATENATE("(",ROUND((F439/$H441)*100,1),")")</f>
        <v>(1.2)</v>
      </c>
      <c r="H439" s="302">
        <f>SUM(B439,D439,F439)</f>
        <v>14.447823185349643</v>
      </c>
      <c r="I439" s="299" t="str">
        <f>CONCATENATE("(",ROUND((H439/$H441)*100,1),")")</f>
        <v>(19.9)</v>
      </c>
      <c r="K439" s="302">
        <f>B439-B429</f>
        <v>0.99912192658440091</v>
      </c>
      <c r="L439" s="302">
        <f>D439-D429</f>
        <v>0.44466997918208939</v>
      </c>
      <c r="M439" s="302">
        <f>F439-F429</f>
        <v>-2.4677142563502397E-2</v>
      </c>
      <c r="N439" s="302">
        <f>SUM(K439:M439)</f>
        <v>1.4191147632029879</v>
      </c>
    </row>
    <row r="440" spans="1:14" x14ac:dyDescent="0.2">
      <c r="A440" s="282" t="s">
        <v>365</v>
      </c>
      <c r="B440" s="302">
        <f>'Ind T6'!V179</f>
        <v>31.415565586897543</v>
      </c>
      <c r="C440" s="299" t="str">
        <f>CONCATENATE("(",ROUND((B440/$H441)*100,1),")")</f>
        <v>(43.3)</v>
      </c>
      <c r="D440" s="302">
        <f>'Ind T6'!W179</f>
        <v>23.811865461573998</v>
      </c>
      <c r="E440" s="299" t="str">
        <f>CONCATENATE("(",ROUND((D440/$H441)*100,1),")")</f>
        <v>(32.9)</v>
      </c>
      <c r="F440" s="302">
        <f>'Ind T6'!X179</f>
        <v>2.8017457661788367</v>
      </c>
      <c r="G440" s="299" t="str">
        <f>CONCATENATE("(",ROUND((F440/$H441)*100,1),")")</f>
        <v>(3.9)</v>
      </c>
      <c r="H440" s="302">
        <f t="shared" ref="H440" si="330">SUM(B440,D440,F440)</f>
        <v>58.029176814650384</v>
      </c>
      <c r="I440" s="299" t="str">
        <f>CONCATENATE("(",ROUND((H440/$H441)*100,1),")")</f>
        <v>(80.1)</v>
      </c>
      <c r="K440" s="302">
        <f t="shared" ref="K440:K441" si="331">B440-B430</f>
        <v>4.768289916088829</v>
      </c>
      <c r="L440" s="302">
        <f t="shared" ref="L440:L441" si="332">D440-D430</f>
        <v>-9.5431890919915219E-2</v>
      </c>
      <c r="M440" s="302">
        <f t="shared" ref="M440:M441" si="333">F440-F430</f>
        <v>0.54902721162809609</v>
      </c>
      <c r="N440" s="302">
        <f t="shared" ref="N440:N441" si="334">SUM(K440:M440)</f>
        <v>5.2218852367970099</v>
      </c>
    </row>
    <row r="441" spans="1:14" x14ac:dyDescent="0.2">
      <c r="A441" s="282" t="s">
        <v>363</v>
      </c>
      <c r="B441" s="302">
        <f>SUM(B439:B440)</f>
        <v>41.362423846119327</v>
      </c>
      <c r="C441" s="299" t="str">
        <f>CONCATENATE("(",ROUND((B441/$H441)*100,1),")")</f>
        <v>(57.1)</v>
      </c>
      <c r="D441" s="302">
        <f>SUM(D439:D440)</f>
        <v>27.441910359334688</v>
      </c>
      <c r="E441" s="299" t="str">
        <f>CONCATENATE("(",ROUND((D441/$H441)*100,1),")")</f>
        <v>(37.9)</v>
      </c>
      <c r="F441" s="302">
        <f>SUM(F439:F440)</f>
        <v>3.6726657945460048</v>
      </c>
      <c r="G441" s="299" t="str">
        <f>CONCATENATE("(",ROUND((F441/$H441)*100,1),")")</f>
        <v>(5.1)</v>
      </c>
      <c r="H441" s="302">
        <f>SUM(H439:H440)</f>
        <v>72.477000000000032</v>
      </c>
      <c r="I441" s="299" t="str">
        <f>CONCATENATE("(",ROUND((H441/$H441)*100,1),")")</f>
        <v>(100)</v>
      </c>
      <c r="K441" s="302">
        <f t="shared" si="331"/>
        <v>5.7674118426732264</v>
      </c>
      <c r="L441" s="302">
        <f t="shared" si="332"/>
        <v>0.3492380882621724</v>
      </c>
      <c r="M441" s="302">
        <f t="shared" si="333"/>
        <v>0.52435006906459369</v>
      </c>
      <c r="N441" s="302">
        <f t="shared" si="334"/>
        <v>6.6409999999999929</v>
      </c>
    </row>
    <row r="442" spans="1:14" x14ac:dyDescent="0.2">
      <c r="A442" s="293"/>
      <c r="B442" s="294"/>
      <c r="C442" s="293"/>
      <c r="D442" s="294"/>
      <c r="E442" s="293"/>
      <c r="F442" s="294"/>
      <c r="G442" s="293"/>
      <c r="H442" s="294"/>
      <c r="I442" s="293"/>
      <c r="J442" s="293"/>
      <c r="K442" s="294"/>
      <c r="L442" s="294"/>
      <c r="M442" s="294"/>
      <c r="N442" s="294"/>
    </row>
    <row r="446" spans="1:14" x14ac:dyDescent="0.2">
      <c r="A446" s="288"/>
      <c r="B446" s="289" t="s">
        <v>372</v>
      </c>
      <c r="C446" s="288"/>
      <c r="D446" s="289"/>
      <c r="E446" s="288"/>
      <c r="F446" s="289" t="str">
        <f>name!B24</f>
        <v>Arts and entertainment</v>
      </c>
      <c r="G446" s="288"/>
      <c r="H446" s="291"/>
      <c r="I446" s="288"/>
      <c r="J446" s="290"/>
      <c r="K446" s="291"/>
      <c r="L446" s="291"/>
      <c r="M446" s="291"/>
      <c r="N446" s="291"/>
    </row>
    <row r="447" spans="1:14" x14ac:dyDescent="0.2">
      <c r="N447" s="287" t="s">
        <v>370</v>
      </c>
    </row>
    <row r="448" spans="1:14" x14ac:dyDescent="0.2">
      <c r="A448" s="182" t="s">
        <v>371</v>
      </c>
      <c r="B448" s="372" t="s">
        <v>369</v>
      </c>
      <c r="C448" s="372"/>
      <c r="D448" s="372" t="s">
        <v>368</v>
      </c>
      <c r="E448" s="372"/>
      <c r="F448" s="372" t="s">
        <v>367</v>
      </c>
      <c r="G448" s="372"/>
      <c r="H448" s="372" t="s">
        <v>33</v>
      </c>
      <c r="I448" s="372"/>
      <c r="J448" s="182"/>
      <c r="K448" s="297" t="s">
        <v>345</v>
      </c>
      <c r="L448" s="297" t="s">
        <v>347</v>
      </c>
      <c r="M448" s="297" t="s">
        <v>343</v>
      </c>
      <c r="N448" s="297" t="s">
        <v>33</v>
      </c>
    </row>
    <row r="449" spans="1:14" x14ac:dyDescent="0.2">
      <c r="A449" s="292">
        <f>$A$8</f>
        <v>2020</v>
      </c>
      <c r="B449" s="287" t="s">
        <v>66</v>
      </c>
      <c r="C449" s="20" t="s">
        <v>366</v>
      </c>
      <c r="D449" s="287" t="s">
        <v>66</v>
      </c>
      <c r="E449" s="20" t="s">
        <v>366</v>
      </c>
      <c r="F449" s="287" t="s">
        <v>343</v>
      </c>
      <c r="G449" s="20" t="s">
        <v>366</v>
      </c>
      <c r="H449" s="287" t="s">
        <v>66</v>
      </c>
      <c r="I449" s="20" t="s">
        <v>366</v>
      </c>
      <c r="J449" s="182"/>
      <c r="K449" s="286" t="str">
        <f>CONCATENATE(A449," - ",A454)</f>
        <v>2020 - 2025</v>
      </c>
      <c r="L449" s="285"/>
      <c r="M449" s="285"/>
    </row>
    <row r="450" spans="1:14" x14ac:dyDescent="0.2">
      <c r="A450" s="282" t="s">
        <v>364</v>
      </c>
      <c r="B450" s="302">
        <f>'Ind T6'!L189</f>
        <v>2.2290372670682941</v>
      </c>
      <c r="C450" s="299" t="str">
        <f>CONCATENATE("(",ROUND((B450/$H452)*100,1),")")</f>
        <v>(17.7)</v>
      </c>
      <c r="D450" s="302">
        <f>'Ind T6'!M189</f>
        <v>2.3791836734570939</v>
      </c>
      <c r="E450" s="299" t="str">
        <f>CONCATENATE("(",ROUND((D450/$H452)*100,1),")")</f>
        <v>(18.9)</v>
      </c>
      <c r="F450" s="302">
        <f>'Ind T6'!N189</f>
        <v>2.1942990240044056</v>
      </c>
      <c r="G450" s="299" t="str">
        <f>CONCATENATE("(",ROUND((F450/$H452)*100,1),")")</f>
        <v>(17.4)</v>
      </c>
      <c r="H450" s="302">
        <f>SUM(B450,D450,F450)</f>
        <v>6.802519964529794</v>
      </c>
      <c r="I450" s="299" t="str">
        <f>CONCATENATE("(",ROUND((H450/$H452)*100,1),")")</f>
        <v>(53.9)</v>
      </c>
      <c r="K450" s="302">
        <f>B455-B450</f>
        <v>9.0680524297666487E-2</v>
      </c>
      <c r="L450" s="302">
        <f>D455-D450</f>
        <v>0.16768749212575518</v>
      </c>
      <c r="M450" s="302">
        <f>F455-F450</f>
        <v>-7.4200864359990959E-2</v>
      </c>
      <c r="N450" s="302">
        <f>SUM(K450:M450)</f>
        <v>0.18416715206343071</v>
      </c>
    </row>
    <row r="451" spans="1:14" x14ac:dyDescent="0.2">
      <c r="A451" s="282" t="s">
        <v>365</v>
      </c>
      <c r="B451" s="302">
        <f>'Ind T6'!L188</f>
        <v>1.7793700088635132</v>
      </c>
      <c r="C451" s="299" t="str">
        <f>CONCATENATE("(",ROUND((B451/$H452)*100,1),")")</f>
        <v>(14.1)</v>
      </c>
      <c r="D451" s="302">
        <f>'Ind T6'!M188</f>
        <v>3.5278615794075816</v>
      </c>
      <c r="E451" s="299" t="str">
        <f>CONCATENATE("(",ROUND((D451/$H452)*100,1),")")</f>
        <v>(28)</v>
      </c>
      <c r="F451" s="302">
        <f>'Ind T6'!N188</f>
        <v>0.50524844719911044</v>
      </c>
      <c r="G451" s="299" t="str">
        <f>CONCATENATE("(",ROUND((F451/$H452)*100,1),")")</f>
        <v>(4)</v>
      </c>
      <c r="H451" s="302">
        <f t="shared" ref="H451" si="335">SUM(B451,D451,F451)</f>
        <v>5.8124800354702053</v>
      </c>
      <c r="I451" s="299" t="str">
        <f>CONCATENATE("(",ROUND((H451/$H452)*100,1),")")</f>
        <v>(46.1)</v>
      </c>
      <c r="K451" s="302">
        <f t="shared" ref="K451:K452" si="336">B456-B451</f>
        <v>4.9694594191349584E-3</v>
      </c>
      <c r="L451" s="302">
        <f t="shared" ref="L451:L452" si="337">D456-D451</f>
        <v>0.12456582347093548</v>
      </c>
      <c r="M451" s="302">
        <f t="shared" ref="M451:M452" si="338">F456-F451</f>
        <v>-2.5702434953512321E-2</v>
      </c>
      <c r="N451" s="302">
        <f t="shared" ref="N451:N452" si="339">SUM(K451:M451)</f>
        <v>0.10383284793655811</v>
      </c>
    </row>
    <row r="452" spans="1:14" x14ac:dyDescent="0.2">
      <c r="A452" s="282" t="s">
        <v>363</v>
      </c>
      <c r="B452" s="302">
        <f>SUM(B450:B451)</f>
        <v>4.0084072759318072</v>
      </c>
      <c r="C452" s="299" t="str">
        <f>CONCATENATE("(",ROUND((B452/$H452)*100,1),")")</f>
        <v>(31.8)</v>
      </c>
      <c r="D452" s="302">
        <f>SUM(D450:D451)</f>
        <v>5.9070452528646751</v>
      </c>
      <c r="E452" s="299" t="str">
        <f>CONCATENATE("(",ROUND((D452/$H452)*100,1),")")</f>
        <v>(46.8)</v>
      </c>
      <c r="F452" s="302">
        <f>SUM(F450:F451)</f>
        <v>2.6995474712035161</v>
      </c>
      <c r="G452" s="299" t="str">
        <f>CONCATENATE("(",ROUND((F452/$H452)*100,1),")")</f>
        <v>(21.4)</v>
      </c>
      <c r="H452" s="302">
        <f>SUM(H450:H451)</f>
        <v>12.614999999999998</v>
      </c>
      <c r="I452" s="299" t="str">
        <f>CONCATENATE("(",ROUND((H452/$H452)*100,1),")")</f>
        <v>(100)</v>
      </c>
      <c r="K452" s="302">
        <f t="shared" si="336"/>
        <v>9.5649983716801223E-2</v>
      </c>
      <c r="L452" s="302">
        <f t="shared" si="337"/>
        <v>0.29225331559669065</v>
      </c>
      <c r="M452" s="302">
        <f t="shared" si="338"/>
        <v>-9.9903299313503169E-2</v>
      </c>
      <c r="N452" s="302">
        <f t="shared" si="339"/>
        <v>0.28799999999998871</v>
      </c>
    </row>
    <row r="453" spans="1:14" x14ac:dyDescent="0.2">
      <c r="B453" s="302"/>
      <c r="C453" s="284"/>
      <c r="D453" s="302"/>
      <c r="E453" s="284"/>
      <c r="F453" s="302"/>
      <c r="G453" s="284"/>
      <c r="H453" s="302"/>
      <c r="I453" s="284"/>
    </row>
    <row r="454" spans="1:14" x14ac:dyDescent="0.2">
      <c r="A454" s="292">
        <f>$A$13</f>
        <v>2025</v>
      </c>
      <c r="B454" s="302"/>
      <c r="C454" s="284"/>
      <c r="D454" s="302"/>
      <c r="E454" s="284"/>
      <c r="F454" s="302"/>
      <c r="G454" s="284"/>
      <c r="H454" s="302"/>
      <c r="I454" s="284"/>
      <c r="K454" s="286" t="str">
        <f>CONCATENATE(A454," - ",A459)</f>
        <v>2025 - 2035</v>
      </c>
    </row>
    <row r="455" spans="1:14" x14ac:dyDescent="0.2">
      <c r="A455" s="282" t="s">
        <v>364</v>
      </c>
      <c r="B455" s="302">
        <f>'Ind T6'!Q189</f>
        <v>2.3197177913659606</v>
      </c>
      <c r="C455" s="299" t="str">
        <f>CONCATENATE("(",ROUND((B455/$H457)*100,1),")")</f>
        <v>(18)</v>
      </c>
      <c r="D455" s="302">
        <f>'Ind T6'!R189</f>
        <v>2.5468711655828491</v>
      </c>
      <c r="E455" s="299" t="str">
        <f>CONCATENATE("(",ROUND((D455/$H457)*100,1),")")</f>
        <v>(19.7)</v>
      </c>
      <c r="F455" s="302">
        <f>'Ind T6'!S189</f>
        <v>2.1200981596444146</v>
      </c>
      <c r="G455" s="299" t="str">
        <f>CONCATENATE("(",ROUND((F455/$H457)*100,1),")")</f>
        <v>(16.4)</v>
      </c>
      <c r="H455" s="302">
        <f>SUM(B455,D455,F455)</f>
        <v>6.9866871165932247</v>
      </c>
      <c r="I455" s="299" t="str">
        <f>CONCATENATE("(",ROUND((H455/$H457)*100,1),")")</f>
        <v>(54.1)</v>
      </c>
      <c r="K455" s="302">
        <f>B460-B455</f>
        <v>0.19365603354375205</v>
      </c>
      <c r="L455" s="302">
        <f>D460-D455</f>
        <v>0.31144574169684525</v>
      </c>
      <c r="M455" s="302">
        <f>F460-F455</f>
        <v>0.20636818025303416</v>
      </c>
      <c r="N455" s="302">
        <f>SUM(K455:M455)</f>
        <v>0.71146995549363146</v>
      </c>
    </row>
    <row r="456" spans="1:14" x14ac:dyDescent="0.2">
      <c r="A456" s="282" t="s">
        <v>365</v>
      </c>
      <c r="B456" s="302">
        <f>'Ind T6'!Q188</f>
        <v>1.7843394682826481</v>
      </c>
      <c r="C456" s="299" t="str">
        <f>CONCATENATE("(",ROUND((B456/$H457)*100,1),")")</f>
        <v>(13.8)</v>
      </c>
      <c r="D456" s="302">
        <f>'Ind T6'!R188</f>
        <v>3.6524274028785171</v>
      </c>
      <c r="E456" s="299" t="str">
        <f>CONCATENATE("(",ROUND((D456/$H457)*100,1),")")</f>
        <v>(28.3)</v>
      </c>
      <c r="F456" s="302">
        <f>'Ind T6'!S188</f>
        <v>0.47954601224559812</v>
      </c>
      <c r="G456" s="299" t="str">
        <f>CONCATENATE("(",ROUND((F456/$H457)*100,1),")")</f>
        <v>(3.7)</v>
      </c>
      <c r="H456" s="302">
        <f t="shared" ref="H456" si="340">SUM(B456,D456,F456)</f>
        <v>5.9163128834067633</v>
      </c>
      <c r="I456" s="299" t="str">
        <f>CONCATENATE("(",ROUND((H456/$H457)*100,1),")")</f>
        <v>(45.9)</v>
      </c>
      <c r="K456" s="302">
        <f t="shared" ref="K456:K457" si="341">B461-B456</f>
        <v>2.9270967055812447E-2</v>
      </c>
      <c r="L456" s="302">
        <f t="shared" ref="L456:L457" si="342">D461-D456</f>
        <v>0.30036199376880068</v>
      </c>
      <c r="M456" s="302">
        <f t="shared" ref="M456:M457" si="343">F461-F456</f>
        <v>7.8897083681774172E-2</v>
      </c>
      <c r="N456" s="302">
        <f t="shared" ref="N456:N457" si="344">SUM(K456:M456)</f>
        <v>0.4085300445063873</v>
      </c>
    </row>
    <row r="457" spans="1:14" x14ac:dyDescent="0.2">
      <c r="A457" s="282" t="s">
        <v>363</v>
      </c>
      <c r="B457" s="302">
        <f>SUM(B455:B456)</f>
        <v>4.1040572596486085</v>
      </c>
      <c r="C457" s="299" t="str">
        <f>CONCATENATE("(",ROUND((B457/$H457)*100,1),")")</f>
        <v>(31.8)</v>
      </c>
      <c r="D457" s="302">
        <f>SUM(D455:D456)</f>
        <v>6.1992985684613657</v>
      </c>
      <c r="E457" s="299" t="str">
        <f>CONCATENATE("(",ROUND((D457/$H457)*100,1),")")</f>
        <v>(48)</v>
      </c>
      <c r="F457" s="302">
        <f>SUM(F455:F456)</f>
        <v>2.599644171890013</v>
      </c>
      <c r="G457" s="299" t="str">
        <f>CONCATENATE("(",ROUND((F457/$H457)*100,1),")")</f>
        <v>(20.1)</v>
      </c>
      <c r="H457" s="302">
        <f>SUM(H455:H456)</f>
        <v>12.902999999999988</v>
      </c>
      <c r="I457" s="299" t="str">
        <f>CONCATENATE("(",ROUND((H457/$H457)*100,1),")")</f>
        <v>(100)</v>
      </c>
      <c r="K457" s="302">
        <f t="shared" si="341"/>
        <v>0.22292700059956427</v>
      </c>
      <c r="L457" s="302">
        <f t="shared" si="342"/>
        <v>0.61180773546564637</v>
      </c>
      <c r="M457" s="302">
        <f t="shared" si="343"/>
        <v>0.28526526393480811</v>
      </c>
      <c r="N457" s="302">
        <f t="shared" si="344"/>
        <v>1.1200000000000188</v>
      </c>
    </row>
    <row r="458" spans="1:14" x14ac:dyDescent="0.2">
      <c r="B458" s="302"/>
      <c r="C458" s="284"/>
      <c r="D458" s="302"/>
      <c r="E458" s="284"/>
      <c r="F458" s="302"/>
      <c r="G458" s="284"/>
      <c r="H458" s="302"/>
      <c r="I458" s="284"/>
    </row>
    <row r="459" spans="1:14" x14ac:dyDescent="0.2">
      <c r="A459" s="292">
        <f>$A$18</f>
        <v>2035</v>
      </c>
      <c r="B459" s="302"/>
      <c r="C459" s="284"/>
      <c r="D459" s="302"/>
      <c r="E459" s="284"/>
      <c r="F459" s="302"/>
      <c r="G459" s="284"/>
      <c r="H459" s="302"/>
      <c r="I459" s="284"/>
      <c r="K459" s="286" t="str">
        <f>CONCATENATE(A449," - ",A459)</f>
        <v>2020 - 2035</v>
      </c>
    </row>
    <row r="460" spans="1:14" x14ac:dyDescent="0.2">
      <c r="A460" s="282" t="s">
        <v>364</v>
      </c>
      <c r="B460" s="302">
        <f>'Ind T6'!V189</f>
        <v>2.5133738249097126</v>
      </c>
      <c r="C460" s="299" t="str">
        <f>CONCATENATE("(",ROUND((B460/$H462)*100,1),")")</f>
        <v>(17.9)</v>
      </c>
      <c r="D460" s="302">
        <f>'Ind T6'!W189</f>
        <v>2.8583169072796943</v>
      </c>
      <c r="E460" s="299" t="str">
        <f>CONCATENATE("(",ROUND((D460/$H462)*100,1),")")</f>
        <v>(20.4)</v>
      </c>
      <c r="F460" s="302">
        <f>'Ind T6'!X189</f>
        <v>2.3264663398974488</v>
      </c>
      <c r="G460" s="299" t="str">
        <f>CONCATENATE("(",ROUND((F460/$H462)*100,1),")")</f>
        <v>(16.6)</v>
      </c>
      <c r="H460" s="302">
        <f>SUM(B460,D460,F460)</f>
        <v>7.6981570720868557</v>
      </c>
      <c r="I460" s="299" t="str">
        <f>CONCATENATE("(",ROUND((H460/$H462)*100,1),")")</f>
        <v>(54.9)</v>
      </c>
      <c r="K460" s="302">
        <f>B460-B450</f>
        <v>0.28433655784141854</v>
      </c>
      <c r="L460" s="302">
        <f>D460-D450</f>
        <v>0.47913323382260042</v>
      </c>
      <c r="M460" s="302">
        <f>F460-F450</f>
        <v>0.1321673158930432</v>
      </c>
      <c r="N460" s="302">
        <f>SUM(K460:M460)</f>
        <v>0.89563710755706216</v>
      </c>
    </row>
    <row r="461" spans="1:14" x14ac:dyDescent="0.2">
      <c r="A461" s="282" t="s">
        <v>365</v>
      </c>
      <c r="B461" s="302">
        <f>'Ind T6'!V188</f>
        <v>1.8136104353384606</v>
      </c>
      <c r="C461" s="299" t="str">
        <f>CONCATENATE("(",ROUND((B461/$H462)*100,1),")")</f>
        <v>(12.9)</v>
      </c>
      <c r="D461" s="302">
        <f>'Ind T6'!W188</f>
        <v>3.9527893966473178</v>
      </c>
      <c r="E461" s="299" t="str">
        <f>CONCATENATE("(",ROUND((D461/$H462)*100,1),")")</f>
        <v>(28.2)</v>
      </c>
      <c r="F461" s="302">
        <f>'Ind T6'!X188</f>
        <v>0.55844309592737229</v>
      </c>
      <c r="G461" s="299" t="str">
        <f>CONCATENATE("(",ROUND((F461/$H462)*100,1),")")</f>
        <v>(4)</v>
      </c>
      <c r="H461" s="302">
        <f t="shared" ref="H461" si="345">SUM(B461,D461,F461)</f>
        <v>6.3248429279131502</v>
      </c>
      <c r="I461" s="299" t="str">
        <f>CONCATENATE("(",ROUND((H461/$H462)*100,1),")")</f>
        <v>(45.1)</v>
      </c>
      <c r="K461" s="302">
        <f t="shared" ref="K461:K462" si="346">B461-B451</f>
        <v>3.4240426474947405E-2</v>
      </c>
      <c r="L461" s="302">
        <f t="shared" ref="L461:L462" si="347">D461-D451</f>
        <v>0.42492781723973616</v>
      </c>
      <c r="M461" s="302">
        <f t="shared" ref="M461:M462" si="348">F461-F451</f>
        <v>5.3194648728261851E-2</v>
      </c>
      <c r="N461" s="302">
        <f t="shared" ref="N461:N462" si="349">SUM(K461:M461)</f>
        <v>0.51236289244294542</v>
      </c>
    </row>
    <row r="462" spans="1:14" x14ac:dyDescent="0.2">
      <c r="A462" s="282" t="s">
        <v>363</v>
      </c>
      <c r="B462" s="302">
        <f>SUM(B460:B461)</f>
        <v>4.3269842602481727</v>
      </c>
      <c r="C462" s="299" t="str">
        <f>CONCATENATE("(",ROUND((B462/$H462)*100,1),")")</f>
        <v>(30.9)</v>
      </c>
      <c r="D462" s="302">
        <f>SUM(D460:D461)</f>
        <v>6.8111063039270121</v>
      </c>
      <c r="E462" s="299" t="str">
        <f>CONCATENATE("(",ROUND((D462/$H462)*100,1),")")</f>
        <v>(48.6)</v>
      </c>
      <c r="F462" s="302">
        <f>SUM(F460:F461)</f>
        <v>2.8849094358248211</v>
      </c>
      <c r="G462" s="299" t="str">
        <f>CONCATENATE("(",ROUND((F462/$H462)*100,1),")")</f>
        <v>(20.6)</v>
      </c>
      <c r="H462" s="302">
        <f>SUM(H460:H461)</f>
        <v>14.023000000000007</v>
      </c>
      <c r="I462" s="299" t="str">
        <f>CONCATENATE("(",ROUND((H462/$H462)*100,1),")")</f>
        <v>(100)</v>
      </c>
      <c r="K462" s="302">
        <f t="shared" si="346"/>
        <v>0.3185769843163655</v>
      </c>
      <c r="L462" s="302">
        <f t="shared" si="347"/>
        <v>0.90406105106233703</v>
      </c>
      <c r="M462" s="302">
        <f t="shared" si="348"/>
        <v>0.18536196462130494</v>
      </c>
      <c r="N462" s="302">
        <f t="shared" si="349"/>
        <v>1.4080000000000075</v>
      </c>
    </row>
    <row r="463" spans="1:14" x14ac:dyDescent="0.2">
      <c r="A463" s="293"/>
      <c r="B463" s="294"/>
      <c r="C463" s="293"/>
      <c r="D463" s="294"/>
      <c r="E463" s="293"/>
      <c r="F463" s="294"/>
      <c r="G463" s="293"/>
      <c r="H463" s="294"/>
      <c r="I463" s="293"/>
      <c r="J463" s="293"/>
      <c r="K463" s="294"/>
      <c r="L463" s="294"/>
      <c r="M463" s="294"/>
      <c r="N463" s="294"/>
    </row>
    <row r="466" spans="1:14" x14ac:dyDescent="0.2">
      <c r="C466" s="182"/>
      <c r="E466" s="182"/>
      <c r="G466" s="182"/>
      <c r="I466" s="182"/>
    </row>
    <row r="467" spans="1:14" x14ac:dyDescent="0.2">
      <c r="A467" s="288"/>
      <c r="B467" s="289" t="s">
        <v>372</v>
      </c>
      <c r="C467" s="288"/>
      <c r="D467" s="289"/>
      <c r="E467" s="288"/>
      <c r="F467" s="289" t="str">
        <f>name!B25</f>
        <v>Other services</v>
      </c>
      <c r="G467" s="288"/>
      <c r="H467" s="291"/>
      <c r="I467" s="288"/>
      <c r="J467" s="290"/>
      <c r="K467" s="291"/>
      <c r="L467" s="291"/>
      <c r="M467" s="291"/>
      <c r="N467" s="291"/>
    </row>
    <row r="468" spans="1:14" x14ac:dyDescent="0.2">
      <c r="N468" s="287" t="s">
        <v>370</v>
      </c>
    </row>
    <row r="469" spans="1:14" x14ac:dyDescent="0.2">
      <c r="A469" s="182" t="s">
        <v>371</v>
      </c>
      <c r="B469" s="372" t="s">
        <v>369</v>
      </c>
      <c r="C469" s="372"/>
      <c r="D469" s="372" t="s">
        <v>368</v>
      </c>
      <c r="E469" s="372"/>
      <c r="F469" s="372" t="s">
        <v>367</v>
      </c>
      <c r="G469" s="372"/>
      <c r="H469" s="372" t="s">
        <v>33</v>
      </c>
      <c r="I469" s="372"/>
      <c r="J469" s="182"/>
      <c r="K469" s="297" t="s">
        <v>345</v>
      </c>
      <c r="L469" s="297" t="s">
        <v>347</v>
      </c>
      <c r="M469" s="297" t="s">
        <v>343</v>
      </c>
      <c r="N469" s="297" t="s">
        <v>33</v>
      </c>
    </row>
    <row r="470" spans="1:14" x14ac:dyDescent="0.2">
      <c r="A470" s="292">
        <f>$A$8</f>
        <v>2020</v>
      </c>
      <c r="B470" s="287" t="s">
        <v>66</v>
      </c>
      <c r="C470" s="20" t="s">
        <v>366</v>
      </c>
      <c r="D470" s="287" t="s">
        <v>66</v>
      </c>
      <c r="E470" s="20" t="s">
        <v>366</v>
      </c>
      <c r="F470" s="287" t="s">
        <v>66</v>
      </c>
      <c r="G470" s="20" t="s">
        <v>366</v>
      </c>
      <c r="H470" s="287" t="s">
        <v>66</v>
      </c>
      <c r="I470" s="20" t="s">
        <v>366</v>
      </c>
      <c r="J470" s="182"/>
      <c r="K470" s="286" t="str">
        <f>CONCATENATE(A470," - ",A475)</f>
        <v>2020 - 2025</v>
      </c>
      <c r="L470" s="285"/>
      <c r="M470" s="285"/>
    </row>
    <row r="471" spans="1:14" x14ac:dyDescent="0.2">
      <c r="A471" s="282" t="s">
        <v>364</v>
      </c>
      <c r="B471" s="302">
        <f>'Ind T6'!L198</f>
        <v>3.2086065564066808</v>
      </c>
      <c r="C471" s="299" t="str">
        <f>CONCATENATE("(",ROUND((B471/$H473)*100,1),")")</f>
        <v>(24)</v>
      </c>
      <c r="D471" s="302">
        <f>'Ind T6'!M198</f>
        <v>1.234597901483008</v>
      </c>
      <c r="E471" s="299" t="str">
        <f>CONCATENATE("(",ROUND((D471/$H473)*100,1),")")</f>
        <v>(9.2)</v>
      </c>
      <c r="F471" s="302">
        <f>'Ind T6'!N198</f>
        <v>0</v>
      </c>
      <c r="G471" s="299" t="str">
        <f>CONCATENATE("(",ROUND((F471/$H473)*100,1),")")</f>
        <v>(0)</v>
      </c>
      <c r="H471" s="302">
        <f>SUM(B471,D471,F471)</f>
        <v>4.4432044578896885</v>
      </c>
      <c r="I471" s="299" t="str">
        <f>CONCATENATE("(",ROUND((H471/$H473)*100,1),")")</f>
        <v>(33.2)</v>
      </c>
      <c r="K471" s="302">
        <f>B476-B471</f>
        <v>-0.49918556561674965</v>
      </c>
      <c r="L471" s="302">
        <f>D476-D471</f>
        <v>-0.22855538066034886</v>
      </c>
      <c r="M471" s="302">
        <f>F476-F471</f>
        <v>0</v>
      </c>
      <c r="N471" s="302">
        <f>SUM(K471:M471)</f>
        <v>-0.72774094627709851</v>
      </c>
    </row>
    <row r="472" spans="1:14" x14ac:dyDescent="0.2">
      <c r="A472" s="282" t="s">
        <v>365</v>
      </c>
      <c r="B472" s="302">
        <f>'Ind T6'!L197</f>
        <v>2.0172235461525023</v>
      </c>
      <c r="C472" s="299" t="str">
        <f>CONCATENATE("(",ROUND((B472/$H473)*100,1),")")</f>
        <v>(15.1)</v>
      </c>
      <c r="D472" s="302">
        <f>'Ind T6'!M197</f>
        <v>1.9744051218358418</v>
      </c>
      <c r="E472" s="299" t="str">
        <f>CONCATENATE("(",ROUND((D472/$H473)*100,1),")")</f>
        <v>(14.8)</v>
      </c>
      <c r="F472" s="302">
        <f>'Ind T6'!N197</f>
        <v>4.9411668741219836</v>
      </c>
      <c r="G472" s="299" t="str">
        <f>CONCATENATE("(",ROUND((F472/$H473)*100,1),")")</f>
        <v>(36.9)</v>
      </c>
      <c r="H472" s="302">
        <f t="shared" ref="H472" si="350">SUM(B472,D472,F472)</f>
        <v>8.9327955421103269</v>
      </c>
      <c r="I472" s="299" t="str">
        <f>CONCATENATE("(",ROUND((H472/$H473)*100,1),")")</f>
        <v>(66.8)</v>
      </c>
      <c r="K472" s="302">
        <f t="shared" ref="K472:K473" si="351">B477-B472</f>
        <v>-0.41914621353684778</v>
      </c>
      <c r="L472" s="302">
        <f t="shared" ref="L472:L473" si="352">D477-D472</f>
        <v>-0.3831458484733663</v>
      </c>
      <c r="M472" s="302">
        <f t="shared" ref="M472:M473" si="353">F477-F472</f>
        <v>-0.88896699171269056</v>
      </c>
      <c r="N472" s="302">
        <f t="shared" ref="N472:N473" si="354">SUM(K472:M472)</f>
        <v>-1.6912590537229046</v>
      </c>
    </row>
    <row r="473" spans="1:14" x14ac:dyDescent="0.2">
      <c r="A473" s="282" t="s">
        <v>363</v>
      </c>
      <c r="B473" s="302">
        <f>SUM(B471:B472)</f>
        <v>5.2258301025591827</v>
      </c>
      <c r="C473" s="299" t="str">
        <f>CONCATENATE("(",ROUND((B473/$H473)*100,1),")")</f>
        <v>(39.1)</v>
      </c>
      <c r="D473" s="302">
        <f>SUM(D471:D472)</f>
        <v>3.20900302331885</v>
      </c>
      <c r="E473" s="299" t="str">
        <f>CONCATENATE("(",ROUND((D473/$H473)*100,1),")")</f>
        <v>(24)</v>
      </c>
      <c r="F473" s="302">
        <f>SUM(F471:F472)</f>
        <v>4.9411668741219836</v>
      </c>
      <c r="G473" s="299" t="str">
        <f>CONCATENATE("(",ROUND((F473/$H473)*100,1),")")</f>
        <v>(36.9)</v>
      </c>
      <c r="H473" s="302">
        <f>SUM(H471:H472)</f>
        <v>13.376000000000015</v>
      </c>
      <c r="I473" s="299" t="str">
        <f>CONCATENATE("(",ROUND((H473/$H473)*100,1),")")</f>
        <v>(100)</v>
      </c>
      <c r="K473" s="302">
        <f t="shared" si="351"/>
        <v>-0.91833177915359698</v>
      </c>
      <c r="L473" s="302">
        <f t="shared" si="352"/>
        <v>-0.61170122913371561</v>
      </c>
      <c r="M473" s="302">
        <f t="shared" si="353"/>
        <v>-0.88896699171269056</v>
      </c>
      <c r="N473" s="302">
        <f t="shared" si="354"/>
        <v>-2.4190000000000031</v>
      </c>
    </row>
    <row r="474" spans="1:14" x14ac:dyDescent="0.2">
      <c r="B474" s="302"/>
      <c r="C474" s="284"/>
      <c r="D474" s="302"/>
      <c r="E474" s="284"/>
      <c r="F474" s="302"/>
      <c r="G474" s="284"/>
      <c r="H474" s="302"/>
      <c r="I474" s="284"/>
    </row>
    <row r="475" spans="1:14" x14ac:dyDescent="0.2">
      <c r="A475" s="292">
        <f>$A$13</f>
        <v>2025</v>
      </c>
      <c r="B475" s="302"/>
      <c r="C475" s="284"/>
      <c r="D475" s="302"/>
      <c r="E475" s="284"/>
      <c r="F475" s="302"/>
      <c r="G475" s="284"/>
      <c r="H475" s="302"/>
      <c r="I475" s="284"/>
      <c r="K475" s="286" t="str">
        <f>CONCATENATE(A475," - ",A480)</f>
        <v>2025 - 2035</v>
      </c>
    </row>
    <row r="476" spans="1:14" x14ac:dyDescent="0.2">
      <c r="A476" s="282" t="s">
        <v>364</v>
      </c>
      <c r="B476" s="302">
        <f>'Ind T6'!Q198</f>
        <v>2.7094209907899311</v>
      </c>
      <c r="C476" s="299" t="str">
        <f>CONCATENATE("(",ROUND((B476/$H478)*100,1),")")</f>
        <v>(24.7)</v>
      </c>
      <c r="D476" s="302">
        <f>'Ind T6'!R198</f>
        <v>1.0060425208226591</v>
      </c>
      <c r="E476" s="299" t="str">
        <f>CONCATENATE("(",ROUND((D476/$H478)*100,1),")")</f>
        <v>(9.2)</v>
      </c>
      <c r="F476" s="302">
        <f>'Ind T6'!S198</f>
        <v>0</v>
      </c>
      <c r="G476" s="299" t="str">
        <f>CONCATENATE("(",ROUND((F476/$H478)*100,1),")")</f>
        <v>(0)</v>
      </c>
      <c r="H476" s="302">
        <f>SUM(B476,D476,F476)</f>
        <v>3.7154635116125903</v>
      </c>
      <c r="I476" s="299" t="str">
        <f>CONCATENATE("(",ROUND((H476/$H478)*100,1),")")</f>
        <v>(33.9)</v>
      </c>
      <c r="K476" s="302">
        <f>B481-B476</f>
        <v>-6.3484486332651358E-2</v>
      </c>
      <c r="L476" s="302">
        <f>D481-D476</f>
        <v>-6.5281597260625102E-2</v>
      </c>
      <c r="M476" s="302">
        <f>F481-F476</f>
        <v>0</v>
      </c>
      <c r="N476" s="302">
        <f>SUM(K476:M476)</f>
        <v>-0.12876608359327646</v>
      </c>
    </row>
    <row r="477" spans="1:14" x14ac:dyDescent="0.2">
      <c r="A477" s="282" t="s">
        <v>365</v>
      </c>
      <c r="B477" s="302">
        <f>'Ind T6'!Q197</f>
        <v>1.5980773326156545</v>
      </c>
      <c r="C477" s="299" t="str">
        <f>CONCATENATE("(",ROUND((B477/$H478)*100,1),")")</f>
        <v>(14.6)</v>
      </c>
      <c r="D477" s="302">
        <f>'Ind T6'!R197</f>
        <v>1.5912592733624755</v>
      </c>
      <c r="E477" s="299" t="str">
        <f>CONCATENATE("(",ROUND((D477/$H478)*100,1),")")</f>
        <v>(14.5)</v>
      </c>
      <c r="F477" s="302">
        <f>'Ind T6'!S197</f>
        <v>4.0521998824092931</v>
      </c>
      <c r="G477" s="299" t="str">
        <f>CONCATENATE("(",ROUND((F477/$H478)*100,1),")")</f>
        <v>(37)</v>
      </c>
      <c r="H477" s="302">
        <f t="shared" ref="H477" si="355">SUM(B477,D477,F477)</f>
        <v>7.2415364883874229</v>
      </c>
      <c r="I477" s="299" t="str">
        <f>CONCATENATE("(",ROUND((H477/$H478)*100,1),")")</f>
        <v>(66.1)</v>
      </c>
      <c r="K477" s="302">
        <f t="shared" ref="K477:K478" si="356">B482-B477</f>
        <v>-0.17616954363884463</v>
      </c>
      <c r="L477" s="302">
        <f t="shared" ref="L477:L478" si="357">D482-D477</f>
        <v>-0.15561503838378687</v>
      </c>
      <c r="M477" s="302">
        <f t="shared" ref="M477:M478" si="358">F482-F477</f>
        <v>-0.33444933438410596</v>
      </c>
      <c r="N477" s="302">
        <f t="shared" ref="N477:N478" si="359">SUM(K477:M477)</f>
        <v>-0.66623391640673746</v>
      </c>
    </row>
    <row r="478" spans="1:14" x14ac:dyDescent="0.2">
      <c r="A478" s="282" t="s">
        <v>363</v>
      </c>
      <c r="B478" s="302">
        <f>SUM(B476:B477)</f>
        <v>4.3074983234055857</v>
      </c>
      <c r="C478" s="299" t="str">
        <f>CONCATENATE("(",ROUND((B478/$H478)*100,1),")")</f>
        <v>(39.3)</v>
      </c>
      <c r="D478" s="302">
        <f>SUM(D476:D477)</f>
        <v>2.5973017941851344</v>
      </c>
      <c r="E478" s="299" t="str">
        <f>CONCATENATE("(",ROUND((D478/$H478)*100,1),")")</f>
        <v>(23.7)</v>
      </c>
      <c r="F478" s="302">
        <f>SUM(F476:F477)</f>
        <v>4.0521998824092931</v>
      </c>
      <c r="G478" s="299" t="str">
        <f>CONCATENATE("(",ROUND((F478/$H478)*100,1),")")</f>
        <v>(37)</v>
      </c>
      <c r="H478" s="302">
        <f>SUM(H476:H477)</f>
        <v>10.957000000000013</v>
      </c>
      <c r="I478" s="299" t="str">
        <f>CONCATENATE("(",ROUND((H478/$H478)*100,1),")")</f>
        <v>(100)</v>
      </c>
      <c r="K478" s="302">
        <f t="shared" si="356"/>
        <v>-0.23965402997149621</v>
      </c>
      <c r="L478" s="302">
        <f t="shared" si="357"/>
        <v>-0.22089663564441153</v>
      </c>
      <c r="M478" s="302">
        <f t="shared" si="358"/>
        <v>-0.33444933438410596</v>
      </c>
      <c r="N478" s="302">
        <f t="shared" si="359"/>
        <v>-0.7950000000000137</v>
      </c>
    </row>
    <row r="479" spans="1:14" x14ac:dyDescent="0.2">
      <c r="B479" s="302"/>
      <c r="C479" s="284"/>
      <c r="D479" s="302"/>
      <c r="E479" s="284"/>
      <c r="F479" s="302"/>
      <c r="G479" s="284"/>
      <c r="H479" s="302"/>
      <c r="I479" s="284"/>
    </row>
    <row r="480" spans="1:14" x14ac:dyDescent="0.2">
      <c r="A480" s="292">
        <f>$A$18</f>
        <v>2035</v>
      </c>
      <c r="B480" s="302"/>
      <c r="C480" s="284"/>
      <c r="D480" s="302"/>
      <c r="E480" s="284"/>
      <c r="F480" s="302"/>
      <c r="G480" s="284"/>
      <c r="H480" s="302"/>
      <c r="I480" s="284"/>
      <c r="K480" s="286" t="str">
        <f>CONCATENATE(A470," - ",A480)</f>
        <v>2020 - 2035</v>
      </c>
    </row>
    <row r="481" spans="1:14" x14ac:dyDescent="0.2">
      <c r="A481" s="282" t="s">
        <v>364</v>
      </c>
      <c r="B481" s="302">
        <f>'Ind T6'!V198</f>
        <v>2.6459365044572798</v>
      </c>
      <c r="C481" s="299" t="str">
        <f>CONCATENATE("(",ROUND((B481/$H483)*100,1),")")</f>
        <v>(26)</v>
      </c>
      <c r="D481" s="302">
        <f>'Ind T6'!W198</f>
        <v>0.940760923562034</v>
      </c>
      <c r="E481" s="299" t="str">
        <f>CONCATENATE("(",ROUND((D481/$H483)*100,1),")")</f>
        <v>(9.3)</v>
      </c>
      <c r="F481" s="302">
        <f>'Ind T6'!X198</f>
        <v>0</v>
      </c>
      <c r="G481" s="299" t="str">
        <f>CONCATENATE("(",ROUND((F481/$H483)*100,1),")")</f>
        <v>(0)</v>
      </c>
      <c r="H481" s="302">
        <f>SUM(B481,D481,F481)</f>
        <v>3.5866974280193138</v>
      </c>
      <c r="I481" s="299" t="str">
        <f>CONCATENATE("(",ROUND((H481/$H483)*100,1),")")</f>
        <v>(35.3)</v>
      </c>
      <c r="K481" s="302">
        <f>B481-B471</f>
        <v>-0.56267005194940101</v>
      </c>
      <c r="L481" s="302">
        <f>D481-D471</f>
        <v>-0.29383697792097396</v>
      </c>
      <c r="M481" s="302">
        <f>F481-F471</f>
        <v>0</v>
      </c>
      <c r="N481" s="302">
        <f>SUM(K481:M481)</f>
        <v>-0.85650702987037497</v>
      </c>
    </row>
    <row r="482" spans="1:14" x14ac:dyDescent="0.2">
      <c r="A482" s="282" t="s">
        <v>365</v>
      </c>
      <c r="B482" s="302">
        <f>'Ind T6'!V197</f>
        <v>1.4219077889768099</v>
      </c>
      <c r="C482" s="299" t="str">
        <f>CONCATENATE("(",ROUND((B482/$H483)*100,1),")")</f>
        <v>(14)</v>
      </c>
      <c r="D482" s="302">
        <f>'Ind T6'!W197</f>
        <v>1.4356442349786886</v>
      </c>
      <c r="E482" s="299" t="str">
        <f>CONCATENATE("(",ROUND((D482/$H483)*100,1),")")</f>
        <v>(14.1)</v>
      </c>
      <c r="F482" s="302">
        <f>'Ind T6'!X197</f>
        <v>3.7177505480251871</v>
      </c>
      <c r="G482" s="299" t="str">
        <f>CONCATENATE("(",ROUND((F482/$H483)*100,1),")")</f>
        <v>(36.6)</v>
      </c>
      <c r="H482" s="302">
        <f t="shared" ref="H482" si="360">SUM(B482,D482,F482)</f>
        <v>6.5753025719806857</v>
      </c>
      <c r="I482" s="299" t="str">
        <f>CONCATENATE("(",ROUND((H482/$H483)*100,1),")")</f>
        <v>(64.7)</v>
      </c>
      <c r="K482" s="302">
        <f t="shared" ref="K482:K483" si="361">B482-B472</f>
        <v>-0.59531575717569241</v>
      </c>
      <c r="L482" s="302">
        <f t="shared" ref="L482:L483" si="362">D482-D472</f>
        <v>-0.53876088685715318</v>
      </c>
      <c r="M482" s="302">
        <f t="shared" ref="M482:M483" si="363">F482-F472</f>
        <v>-1.2234163260967965</v>
      </c>
      <c r="N482" s="302">
        <f t="shared" ref="N482:N483" si="364">SUM(K482:M482)</f>
        <v>-2.3574929701296421</v>
      </c>
    </row>
    <row r="483" spans="1:14" x14ac:dyDescent="0.2">
      <c r="A483" s="282" t="s">
        <v>363</v>
      </c>
      <c r="B483" s="302">
        <f>SUM(B481:B482)</f>
        <v>4.0678442934340895</v>
      </c>
      <c r="C483" s="299" t="str">
        <f>CONCATENATE("(",ROUND((B483/$H483)*100,1),")")</f>
        <v>(40)</v>
      </c>
      <c r="D483" s="302">
        <f>SUM(D481:D482)</f>
        <v>2.3764051585407229</v>
      </c>
      <c r="E483" s="299" t="str">
        <f>CONCATENATE("(",ROUND((D483/$H483)*100,1),")")</f>
        <v>(23.4)</v>
      </c>
      <c r="F483" s="302">
        <f>SUM(F481:F482)</f>
        <v>3.7177505480251871</v>
      </c>
      <c r="G483" s="299" t="str">
        <f>CONCATENATE("(",ROUND((F483/$H483)*100,1),")")</f>
        <v>(36.6)</v>
      </c>
      <c r="H483" s="302">
        <f>SUM(H481:H482)</f>
        <v>10.161999999999999</v>
      </c>
      <c r="I483" s="299" t="str">
        <f>CONCATENATE("(",ROUND((H483/$H483)*100,1),")")</f>
        <v>(100)</v>
      </c>
      <c r="K483" s="302">
        <f t="shared" si="361"/>
        <v>-1.1579858091250932</v>
      </c>
      <c r="L483" s="302">
        <f t="shared" si="362"/>
        <v>-0.83259786477812714</v>
      </c>
      <c r="M483" s="302">
        <f t="shared" si="363"/>
        <v>-1.2234163260967965</v>
      </c>
      <c r="N483" s="302">
        <f t="shared" si="364"/>
        <v>-3.2140000000000168</v>
      </c>
    </row>
    <row r="484" spans="1:14" x14ac:dyDescent="0.2">
      <c r="A484" s="293"/>
      <c r="B484" s="294"/>
      <c r="C484" s="293"/>
      <c r="D484" s="294"/>
      <c r="E484" s="293"/>
      <c r="F484" s="294"/>
      <c r="G484" s="293"/>
      <c r="H484" s="294"/>
      <c r="I484" s="293"/>
      <c r="J484" s="293"/>
      <c r="K484" s="294"/>
      <c r="L484" s="294"/>
      <c r="M484" s="294"/>
      <c r="N484" s="294"/>
    </row>
    <row r="488" spans="1:14" x14ac:dyDescent="0.2">
      <c r="A488" s="182"/>
      <c r="B488" s="285"/>
      <c r="C488" s="182"/>
      <c r="D488" s="285"/>
      <c r="E488" s="182"/>
      <c r="F488" s="285"/>
      <c r="G488" s="182"/>
      <c r="I488" s="182"/>
    </row>
    <row r="489" spans="1:14" x14ac:dyDescent="0.2">
      <c r="N489" s="287"/>
    </row>
    <row r="490" spans="1:14" x14ac:dyDescent="0.2">
      <c r="A490" s="182"/>
      <c r="B490" s="372"/>
      <c r="C490" s="372"/>
      <c r="D490" s="372"/>
      <c r="E490" s="372"/>
      <c r="F490" s="372"/>
      <c r="G490" s="372"/>
      <c r="H490" s="372"/>
      <c r="I490" s="372"/>
      <c r="J490" s="182"/>
      <c r="K490" s="287"/>
      <c r="L490" s="287"/>
      <c r="M490" s="287"/>
      <c r="N490" s="287"/>
    </row>
    <row r="491" spans="1:14" x14ac:dyDescent="0.2">
      <c r="A491" s="292"/>
      <c r="B491" s="287"/>
      <c r="C491" s="20"/>
      <c r="D491" s="287"/>
      <c r="E491" s="20"/>
      <c r="F491" s="287"/>
      <c r="G491" s="20"/>
      <c r="H491" s="287"/>
      <c r="I491" s="20"/>
      <c r="J491" s="182"/>
      <c r="K491" s="286"/>
      <c r="L491" s="285"/>
      <c r="M491" s="285"/>
    </row>
    <row r="492" spans="1:14" x14ac:dyDescent="0.2">
      <c r="B492" s="249"/>
      <c r="C492" s="284"/>
      <c r="D492" s="249"/>
      <c r="E492" s="284"/>
      <c r="F492" s="249"/>
      <c r="G492" s="284"/>
      <c r="H492" s="249"/>
      <c r="I492" s="284"/>
      <c r="K492" s="249"/>
      <c r="L492" s="249"/>
      <c r="M492" s="249"/>
      <c r="N492" s="249"/>
    </row>
    <row r="493" spans="1:14" x14ac:dyDescent="0.2">
      <c r="B493" s="249"/>
      <c r="C493" s="284"/>
      <c r="D493" s="249"/>
      <c r="E493" s="284"/>
      <c r="F493" s="249"/>
      <c r="G493" s="284"/>
      <c r="H493" s="249"/>
      <c r="I493" s="284"/>
      <c r="K493" s="249"/>
      <c r="L493" s="249"/>
      <c r="M493" s="249"/>
      <c r="N493" s="249"/>
    </row>
    <row r="494" spans="1:14" x14ac:dyDescent="0.2">
      <c r="B494" s="249"/>
      <c r="C494" s="284"/>
      <c r="D494" s="249"/>
      <c r="E494" s="284"/>
      <c r="F494" s="249"/>
      <c r="G494" s="284"/>
      <c r="H494" s="249"/>
      <c r="I494" s="284"/>
      <c r="K494" s="249"/>
      <c r="L494" s="249"/>
      <c r="M494" s="249"/>
      <c r="N494" s="249"/>
    </row>
    <row r="495" spans="1:14" x14ac:dyDescent="0.2">
      <c r="B495" s="249"/>
      <c r="C495" s="284"/>
      <c r="D495" s="249"/>
      <c r="E495" s="284"/>
      <c r="F495" s="249"/>
      <c r="G495" s="284"/>
      <c r="H495" s="249"/>
      <c r="I495" s="284"/>
    </row>
    <row r="496" spans="1:14" x14ac:dyDescent="0.2">
      <c r="A496" s="292"/>
      <c r="B496" s="249"/>
      <c r="C496" s="284"/>
      <c r="D496" s="249"/>
      <c r="E496" s="284"/>
      <c r="F496" s="249"/>
      <c r="G496" s="284"/>
      <c r="H496" s="249"/>
      <c r="I496" s="284"/>
      <c r="K496" s="285"/>
    </row>
    <row r="497" spans="1:14" x14ac:dyDescent="0.2">
      <c r="B497" s="249"/>
      <c r="C497" s="284"/>
      <c r="D497" s="249"/>
      <c r="E497" s="284"/>
      <c r="F497" s="249"/>
      <c r="G497" s="284"/>
      <c r="H497" s="249"/>
      <c r="I497" s="284"/>
      <c r="K497" s="249"/>
      <c r="L497" s="249"/>
      <c r="M497" s="249"/>
      <c r="N497" s="249"/>
    </row>
    <row r="498" spans="1:14" x14ac:dyDescent="0.2">
      <c r="B498" s="249"/>
      <c r="C498" s="284"/>
      <c r="D498" s="249"/>
      <c r="E498" s="284"/>
      <c r="F498" s="249"/>
      <c r="G498" s="284"/>
      <c r="H498" s="249"/>
      <c r="I498" s="284"/>
      <c r="K498" s="249"/>
      <c r="L498" s="249"/>
      <c r="M498" s="249"/>
      <c r="N498" s="249"/>
    </row>
    <row r="499" spans="1:14" x14ac:dyDescent="0.2">
      <c r="B499" s="249"/>
      <c r="C499" s="284"/>
      <c r="D499" s="249"/>
      <c r="E499" s="284"/>
      <c r="F499" s="249"/>
      <c r="G499" s="284"/>
      <c r="H499" s="249"/>
      <c r="I499" s="284"/>
      <c r="K499" s="249"/>
      <c r="L499" s="249"/>
      <c r="M499" s="249"/>
      <c r="N499" s="249"/>
    </row>
    <row r="500" spans="1:14" x14ac:dyDescent="0.2">
      <c r="B500" s="249"/>
      <c r="C500" s="284"/>
      <c r="D500" s="249"/>
      <c r="E500" s="284"/>
      <c r="F500" s="249"/>
      <c r="G500" s="284"/>
      <c r="H500" s="249"/>
      <c r="I500" s="284"/>
    </row>
    <row r="501" spans="1:14" x14ac:dyDescent="0.2">
      <c r="A501" s="292"/>
      <c r="B501" s="249"/>
      <c r="C501" s="284"/>
      <c r="D501" s="249"/>
      <c r="E501" s="284"/>
      <c r="F501" s="249"/>
      <c r="G501" s="284"/>
      <c r="H501" s="249"/>
      <c r="I501" s="284"/>
      <c r="K501" s="285"/>
    </row>
    <row r="502" spans="1:14" x14ac:dyDescent="0.2">
      <c r="B502" s="249"/>
      <c r="C502" s="284"/>
      <c r="D502" s="249"/>
      <c r="E502" s="284"/>
      <c r="F502" s="249"/>
      <c r="G502" s="284"/>
      <c r="H502" s="249"/>
      <c r="I502" s="284"/>
      <c r="K502" s="249"/>
      <c r="L502" s="249"/>
      <c r="M502" s="249"/>
      <c r="N502" s="249"/>
    </row>
    <row r="503" spans="1:14" x14ac:dyDescent="0.2">
      <c r="B503" s="249"/>
      <c r="C503" s="284"/>
      <c r="D503" s="249"/>
      <c r="E503" s="284"/>
      <c r="F503" s="249"/>
      <c r="G503" s="284"/>
      <c r="H503" s="249"/>
      <c r="I503" s="284"/>
      <c r="K503" s="249"/>
      <c r="L503" s="249"/>
      <c r="M503" s="249"/>
      <c r="N503" s="249"/>
    </row>
    <row r="504" spans="1:14" x14ac:dyDescent="0.2">
      <c r="B504" s="249"/>
      <c r="C504" s="284"/>
      <c r="D504" s="249"/>
      <c r="E504" s="284"/>
      <c r="F504" s="249"/>
      <c r="G504" s="284"/>
      <c r="H504" s="249"/>
      <c r="I504" s="284"/>
      <c r="K504" s="249"/>
      <c r="L504" s="249"/>
      <c r="M504" s="249"/>
      <c r="N504" s="249"/>
    </row>
    <row r="509" spans="1:14" x14ac:dyDescent="0.2">
      <c r="A509" s="182"/>
      <c r="B509" s="285"/>
      <c r="C509" s="182"/>
      <c r="D509" s="285"/>
      <c r="E509" s="182"/>
      <c r="F509" s="285"/>
      <c r="G509" s="182"/>
      <c r="I509" s="182"/>
    </row>
    <row r="510" spans="1:14" x14ac:dyDescent="0.2">
      <c r="N510" s="287"/>
    </row>
    <row r="511" spans="1:14" x14ac:dyDescent="0.2">
      <c r="A511" s="182"/>
      <c r="B511" s="372"/>
      <c r="C511" s="372"/>
      <c r="D511" s="372"/>
      <c r="E511" s="372"/>
      <c r="F511" s="372"/>
      <c r="G511" s="372"/>
      <c r="H511" s="372"/>
      <c r="I511" s="372"/>
      <c r="J511" s="182"/>
      <c r="K511" s="287"/>
      <c r="L511" s="287"/>
      <c r="M511" s="287"/>
      <c r="N511" s="287"/>
    </row>
    <row r="512" spans="1:14" x14ac:dyDescent="0.2">
      <c r="A512" s="292"/>
      <c r="B512" s="287"/>
      <c r="C512" s="20"/>
      <c r="D512" s="287"/>
      <c r="E512" s="20"/>
      <c r="F512" s="287"/>
      <c r="G512" s="20"/>
      <c r="H512" s="287"/>
      <c r="I512" s="20"/>
      <c r="J512" s="182"/>
      <c r="K512" s="286"/>
      <c r="L512" s="285"/>
      <c r="M512" s="285"/>
    </row>
    <row r="513" spans="1:14" x14ac:dyDescent="0.2">
      <c r="B513" s="249"/>
      <c r="C513" s="284"/>
      <c r="D513" s="249"/>
      <c r="E513" s="284"/>
      <c r="F513" s="249"/>
      <c r="G513" s="284"/>
      <c r="H513" s="249"/>
      <c r="I513" s="284"/>
      <c r="K513" s="249"/>
      <c r="L513" s="249"/>
      <c r="M513" s="249"/>
      <c r="N513" s="249"/>
    </row>
    <row r="514" spans="1:14" x14ac:dyDescent="0.2">
      <c r="B514" s="249"/>
      <c r="C514" s="284"/>
      <c r="D514" s="249"/>
      <c r="E514" s="284"/>
      <c r="F514" s="249"/>
      <c r="G514" s="284"/>
      <c r="H514" s="249"/>
      <c r="I514" s="284"/>
      <c r="K514" s="249"/>
      <c r="L514" s="249"/>
      <c r="M514" s="249"/>
      <c r="N514" s="249"/>
    </row>
    <row r="515" spans="1:14" x14ac:dyDescent="0.2">
      <c r="B515" s="249"/>
      <c r="C515" s="284"/>
      <c r="D515" s="249"/>
      <c r="E515" s="284"/>
      <c r="F515" s="249"/>
      <c r="G515" s="284"/>
      <c r="H515" s="249"/>
      <c r="I515" s="284"/>
      <c r="K515" s="249"/>
      <c r="L515" s="249"/>
      <c r="M515" s="249"/>
      <c r="N515" s="249"/>
    </row>
    <row r="516" spans="1:14" x14ac:dyDescent="0.2">
      <c r="B516" s="249"/>
      <c r="C516" s="284"/>
      <c r="D516" s="249"/>
      <c r="E516" s="284"/>
      <c r="F516" s="249"/>
      <c r="G516" s="284"/>
      <c r="H516" s="249"/>
      <c r="I516" s="284"/>
    </row>
    <row r="517" spans="1:14" x14ac:dyDescent="0.2">
      <c r="A517" s="292"/>
      <c r="B517" s="249"/>
      <c r="C517" s="284"/>
      <c r="D517" s="249"/>
      <c r="E517" s="284"/>
      <c r="F517" s="249"/>
      <c r="G517" s="284"/>
      <c r="H517" s="249"/>
      <c r="I517" s="284"/>
      <c r="K517" s="285"/>
    </row>
    <row r="518" spans="1:14" x14ac:dyDescent="0.2">
      <c r="B518" s="249"/>
      <c r="C518" s="284"/>
      <c r="D518" s="249"/>
      <c r="E518" s="284"/>
      <c r="F518" s="249"/>
      <c r="G518" s="284"/>
      <c r="H518" s="249"/>
      <c r="I518" s="284"/>
      <c r="K518" s="249"/>
      <c r="L518" s="249"/>
      <c r="M518" s="249"/>
      <c r="N518" s="249"/>
    </row>
    <row r="519" spans="1:14" x14ac:dyDescent="0.2">
      <c r="B519" s="249"/>
      <c r="C519" s="284"/>
      <c r="D519" s="249"/>
      <c r="E519" s="284"/>
      <c r="F519" s="249"/>
      <c r="G519" s="284"/>
      <c r="H519" s="249"/>
      <c r="I519" s="284"/>
      <c r="K519" s="249"/>
      <c r="L519" s="249"/>
      <c r="M519" s="249"/>
      <c r="N519" s="249"/>
    </row>
    <row r="520" spans="1:14" x14ac:dyDescent="0.2">
      <c r="B520" s="249"/>
      <c r="C520" s="284"/>
      <c r="D520" s="249"/>
      <c r="E520" s="284"/>
      <c r="F520" s="249"/>
      <c r="G520" s="284"/>
      <c r="H520" s="249"/>
      <c r="I520" s="284"/>
      <c r="K520" s="249"/>
      <c r="L520" s="249"/>
      <c r="M520" s="249"/>
      <c r="N520" s="249"/>
    </row>
    <row r="521" spans="1:14" x14ac:dyDescent="0.2">
      <c r="B521" s="249"/>
      <c r="C521" s="284"/>
      <c r="D521" s="249"/>
      <c r="E521" s="284"/>
      <c r="F521" s="249"/>
      <c r="G521" s="284"/>
      <c r="H521" s="249"/>
      <c r="I521" s="284"/>
    </row>
    <row r="522" spans="1:14" x14ac:dyDescent="0.2">
      <c r="A522" s="292"/>
      <c r="B522" s="249"/>
      <c r="C522" s="284"/>
      <c r="D522" s="249"/>
      <c r="E522" s="284"/>
      <c r="F522" s="249"/>
      <c r="G522" s="284"/>
      <c r="H522" s="249"/>
      <c r="I522" s="284"/>
      <c r="K522" s="285"/>
    </row>
    <row r="523" spans="1:14" x14ac:dyDescent="0.2">
      <c r="B523" s="249"/>
      <c r="C523" s="284"/>
      <c r="D523" s="249"/>
      <c r="E523" s="284"/>
      <c r="F523" s="249"/>
      <c r="G523" s="284"/>
      <c r="H523" s="249"/>
      <c r="I523" s="284"/>
      <c r="K523" s="249"/>
      <c r="L523" s="249"/>
      <c r="M523" s="249"/>
      <c r="N523" s="249"/>
    </row>
    <row r="524" spans="1:14" x14ac:dyDescent="0.2">
      <c r="B524" s="249"/>
      <c r="C524" s="284"/>
      <c r="D524" s="249"/>
      <c r="E524" s="284"/>
      <c r="F524" s="249"/>
      <c r="G524" s="284"/>
      <c r="H524" s="249"/>
      <c r="I524" s="284"/>
      <c r="K524" s="249"/>
      <c r="L524" s="249"/>
      <c r="M524" s="249"/>
      <c r="N524" s="249"/>
    </row>
    <row r="525" spans="1:14" x14ac:dyDescent="0.2">
      <c r="B525" s="249"/>
      <c r="C525" s="284"/>
      <c r="D525" s="249"/>
      <c r="E525" s="284"/>
      <c r="F525" s="249"/>
      <c r="G525" s="284"/>
      <c r="H525" s="249"/>
      <c r="I525" s="284"/>
      <c r="K525" s="249"/>
      <c r="L525" s="249"/>
      <c r="M525" s="249"/>
      <c r="N525" s="249"/>
    </row>
    <row r="530" spans="1:14" x14ac:dyDescent="0.2">
      <c r="A530" s="182"/>
      <c r="B530" s="285"/>
      <c r="C530" s="182"/>
      <c r="D530" s="285"/>
      <c r="E530" s="182"/>
      <c r="F530" s="285"/>
      <c r="G530" s="182"/>
      <c r="H530" s="285"/>
      <c r="I530" s="182"/>
    </row>
    <row r="531" spans="1:14" x14ac:dyDescent="0.2">
      <c r="N531" s="287"/>
    </row>
    <row r="532" spans="1:14" x14ac:dyDescent="0.2">
      <c r="A532" s="182"/>
      <c r="B532" s="285"/>
      <c r="C532" s="182"/>
      <c r="D532" s="285"/>
      <c r="E532" s="182"/>
      <c r="F532" s="285"/>
      <c r="G532" s="182"/>
      <c r="H532" s="285"/>
      <c r="I532" s="182"/>
      <c r="J532" s="182"/>
      <c r="K532" s="287"/>
      <c r="L532" s="287"/>
      <c r="M532" s="287"/>
      <c r="N532" s="287"/>
    </row>
    <row r="533" spans="1:14" x14ac:dyDescent="0.2">
      <c r="A533" s="292"/>
      <c r="B533" s="287"/>
      <c r="C533" s="20"/>
      <c r="D533" s="287"/>
      <c r="E533" s="20"/>
      <c r="F533" s="287"/>
      <c r="G533" s="20"/>
      <c r="H533" s="287"/>
      <c r="I533" s="20"/>
      <c r="J533" s="182"/>
      <c r="K533" s="286"/>
      <c r="L533" s="285"/>
      <c r="M533" s="285"/>
    </row>
    <row r="534" spans="1:14" x14ac:dyDescent="0.2">
      <c r="C534" s="284"/>
      <c r="E534" s="284"/>
      <c r="G534" s="284"/>
      <c r="I534" s="284"/>
    </row>
    <row r="535" spans="1:14" x14ac:dyDescent="0.2">
      <c r="C535" s="284"/>
      <c r="E535" s="284"/>
      <c r="G535" s="284"/>
      <c r="I535" s="284"/>
    </row>
    <row r="536" spans="1:14" x14ac:dyDescent="0.2">
      <c r="C536" s="284"/>
      <c r="E536" s="284"/>
      <c r="G536" s="284"/>
      <c r="I536" s="284"/>
    </row>
    <row r="537" spans="1:14" x14ac:dyDescent="0.2">
      <c r="C537" s="284"/>
      <c r="E537" s="284"/>
      <c r="G537" s="284"/>
      <c r="I537" s="284"/>
    </row>
    <row r="538" spans="1:14" x14ac:dyDescent="0.2">
      <c r="A538" s="292"/>
      <c r="C538" s="284"/>
      <c r="E538" s="284"/>
      <c r="G538" s="284"/>
      <c r="I538" s="284"/>
      <c r="K538" s="285"/>
    </row>
    <row r="539" spans="1:14" x14ac:dyDescent="0.2">
      <c r="C539" s="284"/>
      <c r="E539" s="284"/>
      <c r="G539" s="284"/>
      <c r="I539" s="284"/>
    </row>
    <row r="540" spans="1:14" x14ac:dyDescent="0.2">
      <c r="C540" s="284"/>
      <c r="E540" s="284"/>
      <c r="G540" s="284"/>
      <c r="I540" s="284"/>
    </row>
    <row r="541" spans="1:14" x14ac:dyDescent="0.2">
      <c r="C541" s="284"/>
      <c r="E541" s="284"/>
      <c r="G541" s="284"/>
      <c r="I541" s="284"/>
    </row>
    <row r="542" spans="1:14" x14ac:dyDescent="0.2">
      <c r="C542" s="284"/>
      <c r="E542" s="284"/>
      <c r="G542" s="284"/>
      <c r="I542" s="284"/>
    </row>
    <row r="543" spans="1:14" x14ac:dyDescent="0.2">
      <c r="A543" s="292"/>
      <c r="C543" s="284"/>
      <c r="E543" s="284"/>
      <c r="G543" s="284"/>
      <c r="I543" s="284"/>
      <c r="K543" s="285"/>
    </row>
    <row r="544" spans="1:14" x14ac:dyDescent="0.2">
      <c r="C544" s="284"/>
      <c r="E544" s="284"/>
      <c r="G544" s="284"/>
      <c r="I544" s="284"/>
    </row>
    <row r="545" spans="1:9" x14ac:dyDescent="0.2">
      <c r="C545" s="284"/>
      <c r="E545" s="284"/>
      <c r="G545" s="284"/>
      <c r="I545" s="284"/>
    </row>
    <row r="546" spans="1:9" x14ac:dyDescent="0.2">
      <c r="C546" s="284"/>
      <c r="E546" s="284"/>
      <c r="G546" s="284"/>
      <c r="I546" s="284"/>
    </row>
    <row r="557" spans="1:9" x14ac:dyDescent="0.2">
      <c r="C557" s="182"/>
      <c r="E557" s="182"/>
      <c r="G557" s="182"/>
      <c r="I557" s="182"/>
    </row>
    <row r="558" spans="1:9" x14ac:dyDescent="0.2">
      <c r="A558" s="182"/>
      <c r="B558" s="285"/>
      <c r="C558" s="182"/>
      <c r="D558" s="285"/>
      <c r="E558" s="182"/>
      <c r="F558" s="285"/>
      <c r="G558" s="182"/>
      <c r="H558" s="285"/>
      <c r="I558" s="182"/>
    </row>
    <row r="559" spans="1:9" x14ac:dyDescent="0.2">
      <c r="A559" s="182"/>
      <c r="B559" s="285"/>
      <c r="C559" s="182"/>
      <c r="D559" s="285"/>
      <c r="E559" s="182"/>
      <c r="F559" s="285"/>
      <c r="G559" s="182"/>
      <c r="H559" s="285"/>
      <c r="I559" s="182"/>
    </row>
    <row r="560" spans="1:9" x14ac:dyDescent="0.2">
      <c r="A560" s="182"/>
      <c r="B560" s="285"/>
      <c r="C560" s="182"/>
      <c r="D560" s="285"/>
      <c r="E560" s="182"/>
      <c r="F560" s="285"/>
      <c r="G560" s="182"/>
      <c r="H560" s="285"/>
      <c r="I560" s="182"/>
    </row>
    <row r="561" spans="1:9" x14ac:dyDescent="0.2">
      <c r="A561" s="182"/>
      <c r="B561" s="285"/>
      <c r="C561" s="182"/>
      <c r="D561" s="285"/>
      <c r="E561" s="182"/>
      <c r="F561" s="285"/>
      <c r="G561" s="182"/>
      <c r="H561" s="285"/>
      <c r="I561" s="182"/>
    </row>
    <row r="562" spans="1:9" x14ac:dyDescent="0.2">
      <c r="A562" s="182"/>
      <c r="B562" s="285"/>
      <c r="C562" s="182"/>
      <c r="D562" s="285"/>
      <c r="E562" s="182"/>
      <c r="F562" s="285"/>
      <c r="G562" s="182"/>
      <c r="H562" s="285"/>
      <c r="I562" s="182"/>
    </row>
    <row r="563" spans="1:9" x14ac:dyDescent="0.2">
      <c r="A563" s="182"/>
      <c r="B563" s="285"/>
      <c r="C563" s="182"/>
      <c r="D563" s="285"/>
      <c r="E563" s="182"/>
      <c r="F563" s="285"/>
      <c r="G563" s="182"/>
      <c r="H563" s="285"/>
      <c r="I563" s="182"/>
    </row>
    <row r="564" spans="1:9" x14ac:dyDescent="0.2">
      <c r="A564" s="182"/>
      <c r="B564" s="285"/>
      <c r="C564" s="182"/>
      <c r="D564" s="285"/>
      <c r="E564" s="182"/>
      <c r="F564" s="285"/>
      <c r="G564" s="182"/>
      <c r="H564" s="285"/>
      <c r="I564" s="182"/>
    </row>
    <row r="565" spans="1:9" x14ac:dyDescent="0.2">
      <c r="A565" s="182"/>
      <c r="B565" s="285"/>
      <c r="C565" s="182"/>
      <c r="D565" s="285"/>
      <c r="E565" s="182"/>
      <c r="F565" s="285"/>
      <c r="G565" s="182"/>
      <c r="H565" s="285"/>
      <c r="I565" s="182"/>
    </row>
    <row r="566" spans="1:9" x14ac:dyDescent="0.2">
      <c r="A566" s="182"/>
      <c r="B566" s="285"/>
      <c r="C566" s="182"/>
      <c r="D566" s="285"/>
      <c r="E566" s="182"/>
      <c r="F566" s="285"/>
      <c r="G566" s="182"/>
      <c r="H566" s="285"/>
      <c r="I566" s="182"/>
    </row>
    <row r="567" spans="1:9" x14ac:dyDescent="0.2">
      <c r="A567" s="182"/>
      <c r="B567" s="285"/>
      <c r="C567" s="182"/>
      <c r="D567" s="285"/>
      <c r="E567" s="182"/>
      <c r="F567" s="285"/>
      <c r="G567" s="182"/>
      <c r="H567" s="285"/>
      <c r="I567" s="182"/>
    </row>
    <row r="568" spans="1:9" x14ac:dyDescent="0.2">
      <c r="A568" s="182"/>
      <c r="B568" s="285"/>
      <c r="C568" s="182"/>
      <c r="D568" s="285"/>
      <c r="E568" s="182"/>
      <c r="F568" s="285"/>
      <c r="G568" s="182"/>
      <c r="H568" s="285"/>
      <c r="I568" s="182"/>
    </row>
    <row r="569" spans="1:9" x14ac:dyDescent="0.2">
      <c r="A569" s="182"/>
      <c r="B569" s="285"/>
      <c r="C569" s="182"/>
      <c r="D569" s="285"/>
      <c r="E569" s="182"/>
      <c r="F569" s="285"/>
      <c r="G569" s="182"/>
      <c r="H569" s="285"/>
      <c r="I569" s="182"/>
    </row>
    <row r="570" spans="1:9" x14ac:dyDescent="0.2">
      <c r="A570" s="182"/>
      <c r="B570" s="285"/>
      <c r="C570" s="182"/>
      <c r="D570" s="285"/>
      <c r="E570" s="182"/>
      <c r="F570" s="285"/>
      <c r="G570" s="182"/>
      <c r="H570" s="285"/>
      <c r="I570" s="182"/>
    </row>
    <row r="571" spans="1:9" x14ac:dyDescent="0.2">
      <c r="A571" s="182"/>
      <c r="B571" s="285"/>
      <c r="C571" s="182"/>
      <c r="D571" s="285"/>
      <c r="E571" s="182"/>
      <c r="F571" s="285"/>
      <c r="G571" s="182"/>
      <c r="H571" s="285"/>
      <c r="I571" s="182"/>
    </row>
    <row r="572" spans="1:9" x14ac:dyDescent="0.2">
      <c r="A572" s="182"/>
      <c r="B572" s="285"/>
      <c r="C572" s="182"/>
      <c r="D572" s="285"/>
      <c r="E572" s="182"/>
      <c r="F572" s="285"/>
      <c r="G572" s="182"/>
      <c r="H572" s="285"/>
      <c r="I572" s="182"/>
    </row>
    <row r="573" spans="1:9" x14ac:dyDescent="0.2">
      <c r="A573" s="182"/>
      <c r="B573" s="285"/>
      <c r="C573" s="182"/>
      <c r="D573" s="285"/>
      <c r="E573" s="182"/>
      <c r="F573" s="285"/>
      <c r="G573" s="182"/>
      <c r="H573" s="285"/>
      <c r="I573" s="182"/>
    </row>
    <row r="574" spans="1:9" x14ac:dyDescent="0.2">
      <c r="A574" s="182"/>
      <c r="B574" s="285"/>
      <c r="C574" s="182"/>
      <c r="D574" s="285"/>
      <c r="E574" s="182"/>
      <c r="F574" s="285"/>
      <c r="G574" s="182"/>
      <c r="H574" s="285"/>
      <c r="I574" s="182"/>
    </row>
    <row r="575" spans="1:9" x14ac:dyDescent="0.2">
      <c r="A575" s="182"/>
      <c r="B575" s="285"/>
      <c r="C575" s="182"/>
      <c r="D575" s="285"/>
      <c r="E575" s="182"/>
      <c r="F575" s="285"/>
      <c r="G575" s="182"/>
      <c r="H575" s="285"/>
      <c r="I575" s="182"/>
    </row>
    <row r="576" spans="1:9" x14ac:dyDescent="0.2">
      <c r="A576" s="182"/>
      <c r="B576" s="285"/>
      <c r="C576" s="182"/>
      <c r="D576" s="285"/>
      <c r="E576" s="182"/>
      <c r="F576" s="285"/>
      <c r="G576" s="182"/>
      <c r="H576" s="285"/>
      <c r="I576" s="182"/>
    </row>
    <row r="577" spans="1:8" x14ac:dyDescent="0.2">
      <c r="A577" s="182"/>
      <c r="B577" s="285"/>
      <c r="D577" s="285"/>
      <c r="F577" s="285"/>
      <c r="H577" s="285"/>
    </row>
  </sheetData>
  <mergeCells count="100">
    <mergeCell ref="B469:C469"/>
    <mergeCell ref="D469:E469"/>
    <mergeCell ref="F469:G469"/>
    <mergeCell ref="H469:I469"/>
    <mergeCell ref="B427:C427"/>
    <mergeCell ref="D427:E427"/>
    <mergeCell ref="F427:G427"/>
    <mergeCell ref="H427:I427"/>
    <mergeCell ref="B448:C448"/>
    <mergeCell ref="D448:E448"/>
    <mergeCell ref="F448:G448"/>
    <mergeCell ref="H448:I448"/>
    <mergeCell ref="B385:C385"/>
    <mergeCell ref="D385:E385"/>
    <mergeCell ref="F385:G385"/>
    <mergeCell ref="H385:I385"/>
    <mergeCell ref="B406:C406"/>
    <mergeCell ref="D406:E406"/>
    <mergeCell ref="F406:G406"/>
    <mergeCell ref="H406:I406"/>
    <mergeCell ref="B343:C343"/>
    <mergeCell ref="D343:E343"/>
    <mergeCell ref="F343:G343"/>
    <mergeCell ref="H343:I343"/>
    <mergeCell ref="B364:C364"/>
    <mergeCell ref="D364:E364"/>
    <mergeCell ref="F364:G364"/>
    <mergeCell ref="H364:I364"/>
    <mergeCell ref="B301:C301"/>
    <mergeCell ref="D301:E301"/>
    <mergeCell ref="F301:G301"/>
    <mergeCell ref="H301:I301"/>
    <mergeCell ref="B322:C322"/>
    <mergeCell ref="D322:E322"/>
    <mergeCell ref="F322:G322"/>
    <mergeCell ref="H322:I322"/>
    <mergeCell ref="B259:C259"/>
    <mergeCell ref="D259:E259"/>
    <mergeCell ref="F259:G259"/>
    <mergeCell ref="H259:I259"/>
    <mergeCell ref="B280:C280"/>
    <mergeCell ref="D280:E280"/>
    <mergeCell ref="F280:G280"/>
    <mergeCell ref="H280:I280"/>
    <mergeCell ref="B217:C217"/>
    <mergeCell ref="D217:E217"/>
    <mergeCell ref="F217:G217"/>
    <mergeCell ref="H217:I217"/>
    <mergeCell ref="B238:C238"/>
    <mergeCell ref="D238:E238"/>
    <mergeCell ref="F238:G238"/>
    <mergeCell ref="H238:I238"/>
    <mergeCell ref="B175:C175"/>
    <mergeCell ref="D175:E175"/>
    <mergeCell ref="F175:G175"/>
    <mergeCell ref="H175:I175"/>
    <mergeCell ref="B196:C196"/>
    <mergeCell ref="D196:E196"/>
    <mergeCell ref="F196:G196"/>
    <mergeCell ref="H196:I196"/>
    <mergeCell ref="B133:C133"/>
    <mergeCell ref="D133:E133"/>
    <mergeCell ref="F133:G133"/>
    <mergeCell ref="H133:I133"/>
    <mergeCell ref="B154:C154"/>
    <mergeCell ref="D154:E154"/>
    <mergeCell ref="F154:G154"/>
    <mergeCell ref="H154:I154"/>
    <mergeCell ref="B91:C91"/>
    <mergeCell ref="D91:E91"/>
    <mergeCell ref="F91:G91"/>
    <mergeCell ref="H91:I91"/>
    <mergeCell ref="B112:C112"/>
    <mergeCell ref="D112:E112"/>
    <mergeCell ref="F112:G112"/>
    <mergeCell ref="H112:I112"/>
    <mergeCell ref="B49:C49"/>
    <mergeCell ref="D49:E49"/>
    <mergeCell ref="F49:G49"/>
    <mergeCell ref="H49:I49"/>
    <mergeCell ref="B70:C70"/>
    <mergeCell ref="D70:E70"/>
    <mergeCell ref="F70:G70"/>
    <mergeCell ref="H70:I70"/>
    <mergeCell ref="B7:C7"/>
    <mergeCell ref="D7:E7"/>
    <mergeCell ref="F7:G7"/>
    <mergeCell ref="H7:I7"/>
    <mergeCell ref="B28:C28"/>
    <mergeCell ref="D28:E28"/>
    <mergeCell ref="F28:G28"/>
    <mergeCell ref="H28:I28"/>
    <mergeCell ref="B490:C490"/>
    <mergeCell ref="D490:E490"/>
    <mergeCell ref="F490:G490"/>
    <mergeCell ref="H490:I490"/>
    <mergeCell ref="B511:C511"/>
    <mergeCell ref="D511:E511"/>
    <mergeCell ref="F511:G511"/>
    <mergeCell ref="H511:I511"/>
  </mergeCells>
  <pageMargins left="0.55118110236220474" right="0.55118110236220474" top="0.78740157480314965" bottom="0.78740157480314965" header="0.51181102362204722" footer="0.51181102362204722"/>
  <pageSetup scale="85" orientation="landscape" r:id="rId1"/>
  <headerFooter alignWithMargins="0"/>
  <rowBreaks count="12" manualBreakCount="12">
    <brk id="46" max="16383" man="1"/>
    <brk id="88" max="16383" man="1"/>
    <brk id="130" max="16383" man="1"/>
    <brk id="172" max="16383" man="1"/>
    <brk id="214" max="16383" man="1"/>
    <brk id="256" max="16383" man="1"/>
    <brk id="298" max="16383" man="1"/>
    <brk id="340" max="16383" man="1"/>
    <brk id="382" max="16383" man="1"/>
    <brk id="424" max="16383" man="1"/>
    <brk id="466" max="16383" man="1"/>
    <brk id="508" max="16383" man="1"/>
  </rowBreaks>
  <ignoredErrors>
    <ignoredError sqref="B10:I484 C9:I9" formula="1"/>
  </ignoredErrors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38">
    <pageSetUpPr fitToPage="1"/>
  </sheetPr>
  <dimension ref="A1:Y694"/>
  <sheetViews>
    <sheetView showGridLines="0" zoomScale="85" zoomScaleNormal="85" zoomScaleSheetLayoutView="85" workbookViewId="0"/>
  </sheetViews>
  <sheetFormatPr defaultColWidth="6.28515625" defaultRowHeight="12.75" x14ac:dyDescent="0.2"/>
  <cols>
    <col min="1" max="1" width="35.85546875" style="260" customWidth="1"/>
    <col min="2" max="2" width="6.7109375" style="263" customWidth="1"/>
    <col min="3" max="3" width="6.7109375" style="314" customWidth="1"/>
    <col min="4" max="25" width="6.7109375" style="263" customWidth="1"/>
    <col min="26" max="26" width="7.5703125" style="260" customWidth="1"/>
    <col min="27" max="266" width="6.28515625" style="260"/>
    <col min="267" max="267" width="43.5703125" style="260" customWidth="1"/>
    <col min="268" max="268" width="7.5703125" style="260" customWidth="1"/>
    <col min="269" max="270" width="8.42578125" style="260" customWidth="1"/>
    <col min="271" max="271" width="6.7109375" style="260" customWidth="1"/>
    <col min="272" max="273" width="7.5703125" style="260" customWidth="1"/>
    <col min="274" max="275" width="8.42578125" style="260" customWidth="1"/>
    <col min="276" max="276" width="6.7109375" style="260" customWidth="1"/>
    <col min="277" max="278" width="7.5703125" style="260" customWidth="1"/>
    <col min="279" max="280" width="8.42578125" style="260" customWidth="1"/>
    <col min="281" max="281" width="6.7109375" style="260" customWidth="1"/>
    <col min="282" max="282" width="7.5703125" style="260" customWidth="1"/>
    <col min="283" max="522" width="6.28515625" style="260"/>
    <col min="523" max="523" width="43.5703125" style="260" customWidth="1"/>
    <col min="524" max="524" width="7.5703125" style="260" customWidth="1"/>
    <col min="525" max="526" width="8.42578125" style="260" customWidth="1"/>
    <col min="527" max="527" width="6.7109375" style="260" customWidth="1"/>
    <col min="528" max="529" width="7.5703125" style="260" customWidth="1"/>
    <col min="530" max="531" width="8.42578125" style="260" customWidth="1"/>
    <col min="532" max="532" width="6.7109375" style="260" customWidth="1"/>
    <col min="533" max="534" width="7.5703125" style="260" customWidth="1"/>
    <col min="535" max="536" width="8.42578125" style="260" customWidth="1"/>
    <col min="537" max="537" width="6.7109375" style="260" customWidth="1"/>
    <col min="538" max="538" width="7.5703125" style="260" customWidth="1"/>
    <col min="539" max="778" width="6.28515625" style="260"/>
    <col min="779" max="779" width="43.5703125" style="260" customWidth="1"/>
    <col min="780" max="780" width="7.5703125" style="260" customWidth="1"/>
    <col min="781" max="782" width="8.42578125" style="260" customWidth="1"/>
    <col min="783" max="783" width="6.7109375" style="260" customWidth="1"/>
    <col min="784" max="785" width="7.5703125" style="260" customWidth="1"/>
    <col min="786" max="787" width="8.42578125" style="260" customWidth="1"/>
    <col min="788" max="788" width="6.7109375" style="260" customWidth="1"/>
    <col min="789" max="790" width="7.5703125" style="260" customWidth="1"/>
    <col min="791" max="792" width="8.42578125" style="260" customWidth="1"/>
    <col min="793" max="793" width="6.7109375" style="260" customWidth="1"/>
    <col min="794" max="794" width="7.5703125" style="260" customWidth="1"/>
    <col min="795" max="1034" width="6.28515625" style="260"/>
    <col min="1035" max="1035" width="43.5703125" style="260" customWidth="1"/>
    <col min="1036" max="1036" width="7.5703125" style="260" customWidth="1"/>
    <col min="1037" max="1038" width="8.42578125" style="260" customWidth="1"/>
    <col min="1039" max="1039" width="6.7109375" style="260" customWidth="1"/>
    <col min="1040" max="1041" width="7.5703125" style="260" customWidth="1"/>
    <col min="1042" max="1043" width="8.42578125" style="260" customWidth="1"/>
    <col min="1044" max="1044" width="6.7109375" style="260" customWidth="1"/>
    <col min="1045" max="1046" width="7.5703125" style="260" customWidth="1"/>
    <col min="1047" max="1048" width="8.42578125" style="260" customWidth="1"/>
    <col min="1049" max="1049" width="6.7109375" style="260" customWidth="1"/>
    <col min="1050" max="1050" width="7.5703125" style="260" customWidth="1"/>
    <col min="1051" max="1290" width="6.28515625" style="260"/>
    <col min="1291" max="1291" width="43.5703125" style="260" customWidth="1"/>
    <col min="1292" max="1292" width="7.5703125" style="260" customWidth="1"/>
    <col min="1293" max="1294" width="8.42578125" style="260" customWidth="1"/>
    <col min="1295" max="1295" width="6.7109375" style="260" customWidth="1"/>
    <col min="1296" max="1297" width="7.5703125" style="260" customWidth="1"/>
    <col min="1298" max="1299" width="8.42578125" style="260" customWidth="1"/>
    <col min="1300" max="1300" width="6.7109375" style="260" customWidth="1"/>
    <col min="1301" max="1302" width="7.5703125" style="260" customWidth="1"/>
    <col min="1303" max="1304" width="8.42578125" style="260" customWidth="1"/>
    <col min="1305" max="1305" width="6.7109375" style="260" customWidth="1"/>
    <col min="1306" max="1306" width="7.5703125" style="260" customWidth="1"/>
    <col min="1307" max="1546" width="6.28515625" style="260"/>
    <col min="1547" max="1547" width="43.5703125" style="260" customWidth="1"/>
    <col min="1548" max="1548" width="7.5703125" style="260" customWidth="1"/>
    <col min="1549" max="1550" width="8.42578125" style="260" customWidth="1"/>
    <col min="1551" max="1551" width="6.7109375" style="260" customWidth="1"/>
    <col min="1552" max="1553" width="7.5703125" style="260" customWidth="1"/>
    <col min="1554" max="1555" width="8.42578125" style="260" customWidth="1"/>
    <col min="1556" max="1556" width="6.7109375" style="260" customWidth="1"/>
    <col min="1557" max="1558" width="7.5703125" style="260" customWidth="1"/>
    <col min="1559" max="1560" width="8.42578125" style="260" customWidth="1"/>
    <col min="1561" max="1561" width="6.7109375" style="260" customWidth="1"/>
    <col min="1562" max="1562" width="7.5703125" style="260" customWidth="1"/>
    <col min="1563" max="1802" width="6.28515625" style="260"/>
    <col min="1803" max="1803" width="43.5703125" style="260" customWidth="1"/>
    <col min="1804" max="1804" width="7.5703125" style="260" customWidth="1"/>
    <col min="1805" max="1806" width="8.42578125" style="260" customWidth="1"/>
    <col min="1807" max="1807" width="6.7109375" style="260" customWidth="1"/>
    <col min="1808" max="1809" width="7.5703125" style="260" customWidth="1"/>
    <col min="1810" max="1811" width="8.42578125" style="260" customWidth="1"/>
    <col min="1812" max="1812" width="6.7109375" style="260" customWidth="1"/>
    <col min="1813" max="1814" width="7.5703125" style="260" customWidth="1"/>
    <col min="1815" max="1816" width="8.42578125" style="260" customWidth="1"/>
    <col min="1817" max="1817" width="6.7109375" style="260" customWidth="1"/>
    <col min="1818" max="1818" width="7.5703125" style="260" customWidth="1"/>
    <col min="1819" max="2058" width="6.28515625" style="260"/>
    <col min="2059" max="2059" width="43.5703125" style="260" customWidth="1"/>
    <col min="2060" max="2060" width="7.5703125" style="260" customWidth="1"/>
    <col min="2061" max="2062" width="8.42578125" style="260" customWidth="1"/>
    <col min="2063" max="2063" width="6.7109375" style="260" customWidth="1"/>
    <col min="2064" max="2065" width="7.5703125" style="260" customWidth="1"/>
    <col min="2066" max="2067" width="8.42578125" style="260" customWidth="1"/>
    <col min="2068" max="2068" width="6.7109375" style="260" customWidth="1"/>
    <col min="2069" max="2070" width="7.5703125" style="260" customWidth="1"/>
    <col min="2071" max="2072" width="8.42578125" style="260" customWidth="1"/>
    <col min="2073" max="2073" width="6.7109375" style="260" customWidth="1"/>
    <col min="2074" max="2074" width="7.5703125" style="260" customWidth="1"/>
    <col min="2075" max="2314" width="6.28515625" style="260"/>
    <col min="2315" max="2315" width="43.5703125" style="260" customWidth="1"/>
    <col min="2316" max="2316" width="7.5703125" style="260" customWidth="1"/>
    <col min="2317" max="2318" width="8.42578125" style="260" customWidth="1"/>
    <col min="2319" max="2319" width="6.7109375" style="260" customWidth="1"/>
    <col min="2320" max="2321" width="7.5703125" style="260" customWidth="1"/>
    <col min="2322" max="2323" width="8.42578125" style="260" customWidth="1"/>
    <col min="2324" max="2324" width="6.7109375" style="260" customWidth="1"/>
    <col min="2325" max="2326" width="7.5703125" style="260" customWidth="1"/>
    <col min="2327" max="2328" width="8.42578125" style="260" customWidth="1"/>
    <col min="2329" max="2329" width="6.7109375" style="260" customWidth="1"/>
    <col min="2330" max="2330" width="7.5703125" style="260" customWidth="1"/>
    <col min="2331" max="2570" width="6.28515625" style="260"/>
    <col min="2571" max="2571" width="43.5703125" style="260" customWidth="1"/>
    <col min="2572" max="2572" width="7.5703125" style="260" customWidth="1"/>
    <col min="2573" max="2574" width="8.42578125" style="260" customWidth="1"/>
    <col min="2575" max="2575" width="6.7109375" style="260" customWidth="1"/>
    <col min="2576" max="2577" width="7.5703125" style="260" customWidth="1"/>
    <col min="2578" max="2579" width="8.42578125" style="260" customWidth="1"/>
    <col min="2580" max="2580" width="6.7109375" style="260" customWidth="1"/>
    <col min="2581" max="2582" width="7.5703125" style="260" customWidth="1"/>
    <col min="2583" max="2584" width="8.42578125" style="260" customWidth="1"/>
    <col min="2585" max="2585" width="6.7109375" style="260" customWidth="1"/>
    <col min="2586" max="2586" width="7.5703125" style="260" customWidth="1"/>
    <col min="2587" max="2826" width="6.28515625" style="260"/>
    <col min="2827" max="2827" width="43.5703125" style="260" customWidth="1"/>
    <col min="2828" max="2828" width="7.5703125" style="260" customWidth="1"/>
    <col min="2829" max="2830" width="8.42578125" style="260" customWidth="1"/>
    <col min="2831" max="2831" width="6.7109375" style="260" customWidth="1"/>
    <col min="2832" max="2833" width="7.5703125" style="260" customWidth="1"/>
    <col min="2834" max="2835" width="8.42578125" style="260" customWidth="1"/>
    <col min="2836" max="2836" width="6.7109375" style="260" customWidth="1"/>
    <col min="2837" max="2838" width="7.5703125" style="260" customWidth="1"/>
    <col min="2839" max="2840" width="8.42578125" style="260" customWidth="1"/>
    <col min="2841" max="2841" width="6.7109375" style="260" customWidth="1"/>
    <col min="2842" max="2842" width="7.5703125" style="260" customWidth="1"/>
    <col min="2843" max="3082" width="6.28515625" style="260"/>
    <col min="3083" max="3083" width="43.5703125" style="260" customWidth="1"/>
    <col min="3084" max="3084" width="7.5703125" style="260" customWidth="1"/>
    <col min="3085" max="3086" width="8.42578125" style="260" customWidth="1"/>
    <col min="3087" max="3087" width="6.7109375" style="260" customWidth="1"/>
    <col min="3088" max="3089" width="7.5703125" style="260" customWidth="1"/>
    <col min="3090" max="3091" width="8.42578125" style="260" customWidth="1"/>
    <col min="3092" max="3092" width="6.7109375" style="260" customWidth="1"/>
    <col min="3093" max="3094" width="7.5703125" style="260" customWidth="1"/>
    <col min="3095" max="3096" width="8.42578125" style="260" customWidth="1"/>
    <col min="3097" max="3097" width="6.7109375" style="260" customWidth="1"/>
    <col min="3098" max="3098" width="7.5703125" style="260" customWidth="1"/>
    <col min="3099" max="3338" width="6.28515625" style="260"/>
    <col min="3339" max="3339" width="43.5703125" style="260" customWidth="1"/>
    <col min="3340" max="3340" width="7.5703125" style="260" customWidth="1"/>
    <col min="3341" max="3342" width="8.42578125" style="260" customWidth="1"/>
    <col min="3343" max="3343" width="6.7109375" style="260" customWidth="1"/>
    <col min="3344" max="3345" width="7.5703125" style="260" customWidth="1"/>
    <col min="3346" max="3347" width="8.42578125" style="260" customWidth="1"/>
    <col min="3348" max="3348" width="6.7109375" style="260" customWidth="1"/>
    <col min="3349" max="3350" width="7.5703125" style="260" customWidth="1"/>
    <col min="3351" max="3352" width="8.42578125" style="260" customWidth="1"/>
    <col min="3353" max="3353" width="6.7109375" style="260" customWidth="1"/>
    <col min="3354" max="3354" width="7.5703125" style="260" customWidth="1"/>
    <col min="3355" max="3594" width="6.28515625" style="260"/>
    <col min="3595" max="3595" width="43.5703125" style="260" customWidth="1"/>
    <col min="3596" max="3596" width="7.5703125" style="260" customWidth="1"/>
    <col min="3597" max="3598" width="8.42578125" style="260" customWidth="1"/>
    <col min="3599" max="3599" width="6.7109375" style="260" customWidth="1"/>
    <col min="3600" max="3601" width="7.5703125" style="260" customWidth="1"/>
    <col min="3602" max="3603" width="8.42578125" style="260" customWidth="1"/>
    <col min="3604" max="3604" width="6.7109375" style="260" customWidth="1"/>
    <col min="3605" max="3606" width="7.5703125" style="260" customWidth="1"/>
    <col min="3607" max="3608" width="8.42578125" style="260" customWidth="1"/>
    <col min="3609" max="3609" width="6.7109375" style="260" customWidth="1"/>
    <col min="3610" max="3610" width="7.5703125" style="260" customWidth="1"/>
    <col min="3611" max="3850" width="6.28515625" style="260"/>
    <col min="3851" max="3851" width="43.5703125" style="260" customWidth="1"/>
    <col min="3852" max="3852" width="7.5703125" style="260" customWidth="1"/>
    <col min="3853" max="3854" width="8.42578125" style="260" customWidth="1"/>
    <col min="3855" max="3855" width="6.7109375" style="260" customWidth="1"/>
    <col min="3856" max="3857" width="7.5703125" style="260" customWidth="1"/>
    <col min="3858" max="3859" width="8.42578125" style="260" customWidth="1"/>
    <col min="3860" max="3860" width="6.7109375" style="260" customWidth="1"/>
    <col min="3861" max="3862" width="7.5703125" style="260" customWidth="1"/>
    <col min="3863" max="3864" width="8.42578125" style="260" customWidth="1"/>
    <col min="3865" max="3865" width="6.7109375" style="260" customWidth="1"/>
    <col min="3866" max="3866" width="7.5703125" style="260" customWidth="1"/>
    <col min="3867" max="4106" width="6.28515625" style="260"/>
    <col min="4107" max="4107" width="43.5703125" style="260" customWidth="1"/>
    <col min="4108" max="4108" width="7.5703125" style="260" customWidth="1"/>
    <col min="4109" max="4110" width="8.42578125" style="260" customWidth="1"/>
    <col min="4111" max="4111" width="6.7109375" style="260" customWidth="1"/>
    <col min="4112" max="4113" width="7.5703125" style="260" customWidth="1"/>
    <col min="4114" max="4115" width="8.42578125" style="260" customWidth="1"/>
    <col min="4116" max="4116" width="6.7109375" style="260" customWidth="1"/>
    <col min="4117" max="4118" width="7.5703125" style="260" customWidth="1"/>
    <col min="4119" max="4120" width="8.42578125" style="260" customWidth="1"/>
    <col min="4121" max="4121" width="6.7109375" style="260" customWidth="1"/>
    <col min="4122" max="4122" width="7.5703125" style="260" customWidth="1"/>
    <col min="4123" max="4362" width="6.28515625" style="260"/>
    <col min="4363" max="4363" width="43.5703125" style="260" customWidth="1"/>
    <col min="4364" max="4364" width="7.5703125" style="260" customWidth="1"/>
    <col min="4365" max="4366" width="8.42578125" style="260" customWidth="1"/>
    <col min="4367" max="4367" width="6.7109375" style="260" customWidth="1"/>
    <col min="4368" max="4369" width="7.5703125" style="260" customWidth="1"/>
    <col min="4370" max="4371" width="8.42578125" style="260" customWidth="1"/>
    <col min="4372" max="4372" width="6.7109375" style="260" customWidth="1"/>
    <col min="4373" max="4374" width="7.5703125" style="260" customWidth="1"/>
    <col min="4375" max="4376" width="8.42578125" style="260" customWidth="1"/>
    <col min="4377" max="4377" width="6.7109375" style="260" customWidth="1"/>
    <col min="4378" max="4378" width="7.5703125" style="260" customWidth="1"/>
    <col min="4379" max="4618" width="6.28515625" style="260"/>
    <col min="4619" max="4619" width="43.5703125" style="260" customWidth="1"/>
    <col min="4620" max="4620" width="7.5703125" style="260" customWidth="1"/>
    <col min="4621" max="4622" width="8.42578125" style="260" customWidth="1"/>
    <col min="4623" max="4623" width="6.7109375" style="260" customWidth="1"/>
    <col min="4624" max="4625" width="7.5703125" style="260" customWidth="1"/>
    <col min="4626" max="4627" width="8.42578125" style="260" customWidth="1"/>
    <col min="4628" max="4628" width="6.7109375" style="260" customWidth="1"/>
    <col min="4629" max="4630" width="7.5703125" style="260" customWidth="1"/>
    <col min="4631" max="4632" width="8.42578125" style="260" customWidth="1"/>
    <col min="4633" max="4633" width="6.7109375" style="260" customWidth="1"/>
    <col min="4634" max="4634" width="7.5703125" style="260" customWidth="1"/>
    <col min="4635" max="4874" width="6.28515625" style="260"/>
    <col min="4875" max="4875" width="43.5703125" style="260" customWidth="1"/>
    <col min="4876" max="4876" width="7.5703125" style="260" customWidth="1"/>
    <col min="4877" max="4878" width="8.42578125" style="260" customWidth="1"/>
    <col min="4879" max="4879" width="6.7109375" style="260" customWidth="1"/>
    <col min="4880" max="4881" width="7.5703125" style="260" customWidth="1"/>
    <col min="4882" max="4883" width="8.42578125" style="260" customWidth="1"/>
    <col min="4884" max="4884" width="6.7109375" style="260" customWidth="1"/>
    <col min="4885" max="4886" width="7.5703125" style="260" customWidth="1"/>
    <col min="4887" max="4888" width="8.42578125" style="260" customWidth="1"/>
    <col min="4889" max="4889" width="6.7109375" style="260" customWidth="1"/>
    <col min="4890" max="4890" width="7.5703125" style="260" customWidth="1"/>
    <col min="4891" max="5130" width="6.28515625" style="260"/>
    <col min="5131" max="5131" width="43.5703125" style="260" customWidth="1"/>
    <col min="5132" max="5132" width="7.5703125" style="260" customWidth="1"/>
    <col min="5133" max="5134" width="8.42578125" style="260" customWidth="1"/>
    <col min="5135" max="5135" width="6.7109375" style="260" customWidth="1"/>
    <col min="5136" max="5137" width="7.5703125" style="260" customWidth="1"/>
    <col min="5138" max="5139" width="8.42578125" style="260" customWidth="1"/>
    <col min="5140" max="5140" width="6.7109375" style="260" customWidth="1"/>
    <col min="5141" max="5142" width="7.5703125" style="260" customWidth="1"/>
    <col min="5143" max="5144" width="8.42578125" style="260" customWidth="1"/>
    <col min="5145" max="5145" width="6.7109375" style="260" customWidth="1"/>
    <col min="5146" max="5146" width="7.5703125" style="260" customWidth="1"/>
    <col min="5147" max="5386" width="6.28515625" style="260"/>
    <col min="5387" max="5387" width="43.5703125" style="260" customWidth="1"/>
    <col min="5388" max="5388" width="7.5703125" style="260" customWidth="1"/>
    <col min="5389" max="5390" width="8.42578125" style="260" customWidth="1"/>
    <col min="5391" max="5391" width="6.7109375" style="260" customWidth="1"/>
    <col min="5392" max="5393" width="7.5703125" style="260" customWidth="1"/>
    <col min="5394" max="5395" width="8.42578125" style="260" customWidth="1"/>
    <col min="5396" max="5396" width="6.7109375" style="260" customWidth="1"/>
    <col min="5397" max="5398" width="7.5703125" style="260" customWidth="1"/>
    <col min="5399" max="5400" width="8.42578125" style="260" customWidth="1"/>
    <col min="5401" max="5401" width="6.7109375" style="260" customWidth="1"/>
    <col min="5402" max="5402" width="7.5703125" style="260" customWidth="1"/>
    <col min="5403" max="5642" width="6.28515625" style="260"/>
    <col min="5643" max="5643" width="43.5703125" style="260" customWidth="1"/>
    <col min="5644" max="5644" width="7.5703125" style="260" customWidth="1"/>
    <col min="5645" max="5646" width="8.42578125" style="260" customWidth="1"/>
    <col min="5647" max="5647" width="6.7109375" style="260" customWidth="1"/>
    <col min="5648" max="5649" width="7.5703125" style="260" customWidth="1"/>
    <col min="5650" max="5651" width="8.42578125" style="260" customWidth="1"/>
    <col min="5652" max="5652" width="6.7109375" style="260" customWidth="1"/>
    <col min="5653" max="5654" width="7.5703125" style="260" customWidth="1"/>
    <col min="5655" max="5656" width="8.42578125" style="260" customWidth="1"/>
    <col min="5657" max="5657" width="6.7109375" style="260" customWidth="1"/>
    <col min="5658" max="5658" width="7.5703125" style="260" customWidth="1"/>
    <col min="5659" max="5898" width="6.28515625" style="260"/>
    <col min="5899" max="5899" width="43.5703125" style="260" customWidth="1"/>
    <col min="5900" max="5900" width="7.5703125" style="260" customWidth="1"/>
    <col min="5901" max="5902" width="8.42578125" style="260" customWidth="1"/>
    <col min="5903" max="5903" width="6.7109375" style="260" customWidth="1"/>
    <col min="5904" max="5905" width="7.5703125" style="260" customWidth="1"/>
    <col min="5906" max="5907" width="8.42578125" style="260" customWidth="1"/>
    <col min="5908" max="5908" width="6.7109375" style="260" customWidth="1"/>
    <col min="5909" max="5910" width="7.5703125" style="260" customWidth="1"/>
    <col min="5911" max="5912" width="8.42578125" style="260" customWidth="1"/>
    <col min="5913" max="5913" width="6.7109375" style="260" customWidth="1"/>
    <col min="5914" max="5914" width="7.5703125" style="260" customWidth="1"/>
    <col min="5915" max="6154" width="6.28515625" style="260"/>
    <col min="6155" max="6155" width="43.5703125" style="260" customWidth="1"/>
    <col min="6156" max="6156" width="7.5703125" style="260" customWidth="1"/>
    <col min="6157" max="6158" width="8.42578125" style="260" customWidth="1"/>
    <col min="6159" max="6159" width="6.7109375" style="260" customWidth="1"/>
    <col min="6160" max="6161" width="7.5703125" style="260" customWidth="1"/>
    <col min="6162" max="6163" width="8.42578125" style="260" customWidth="1"/>
    <col min="6164" max="6164" width="6.7109375" style="260" customWidth="1"/>
    <col min="6165" max="6166" width="7.5703125" style="260" customWidth="1"/>
    <col min="6167" max="6168" width="8.42578125" style="260" customWidth="1"/>
    <col min="6169" max="6169" width="6.7109375" style="260" customWidth="1"/>
    <col min="6170" max="6170" width="7.5703125" style="260" customWidth="1"/>
    <col min="6171" max="6410" width="6.28515625" style="260"/>
    <col min="6411" max="6411" width="43.5703125" style="260" customWidth="1"/>
    <col min="6412" max="6412" width="7.5703125" style="260" customWidth="1"/>
    <col min="6413" max="6414" width="8.42578125" style="260" customWidth="1"/>
    <col min="6415" max="6415" width="6.7109375" style="260" customWidth="1"/>
    <col min="6416" max="6417" width="7.5703125" style="260" customWidth="1"/>
    <col min="6418" max="6419" width="8.42578125" style="260" customWidth="1"/>
    <col min="6420" max="6420" width="6.7109375" style="260" customWidth="1"/>
    <col min="6421" max="6422" width="7.5703125" style="260" customWidth="1"/>
    <col min="6423" max="6424" width="8.42578125" style="260" customWidth="1"/>
    <col min="6425" max="6425" width="6.7109375" style="260" customWidth="1"/>
    <col min="6426" max="6426" width="7.5703125" style="260" customWidth="1"/>
    <col min="6427" max="6666" width="6.28515625" style="260"/>
    <col min="6667" max="6667" width="43.5703125" style="260" customWidth="1"/>
    <col min="6668" max="6668" width="7.5703125" style="260" customWidth="1"/>
    <col min="6669" max="6670" width="8.42578125" style="260" customWidth="1"/>
    <col min="6671" max="6671" width="6.7109375" style="260" customWidth="1"/>
    <col min="6672" max="6673" width="7.5703125" style="260" customWidth="1"/>
    <col min="6674" max="6675" width="8.42578125" style="260" customWidth="1"/>
    <col min="6676" max="6676" width="6.7109375" style="260" customWidth="1"/>
    <col min="6677" max="6678" width="7.5703125" style="260" customWidth="1"/>
    <col min="6679" max="6680" width="8.42578125" style="260" customWidth="1"/>
    <col min="6681" max="6681" width="6.7109375" style="260" customWidth="1"/>
    <col min="6682" max="6682" width="7.5703125" style="260" customWidth="1"/>
    <col min="6683" max="6922" width="6.28515625" style="260"/>
    <col min="6923" max="6923" width="43.5703125" style="260" customWidth="1"/>
    <col min="6924" max="6924" width="7.5703125" style="260" customWidth="1"/>
    <col min="6925" max="6926" width="8.42578125" style="260" customWidth="1"/>
    <col min="6927" max="6927" width="6.7109375" style="260" customWidth="1"/>
    <col min="6928" max="6929" width="7.5703125" style="260" customWidth="1"/>
    <col min="6930" max="6931" width="8.42578125" style="260" customWidth="1"/>
    <col min="6932" max="6932" width="6.7109375" style="260" customWidth="1"/>
    <col min="6933" max="6934" width="7.5703125" style="260" customWidth="1"/>
    <col min="6935" max="6936" width="8.42578125" style="260" customWidth="1"/>
    <col min="6937" max="6937" width="6.7109375" style="260" customWidth="1"/>
    <col min="6938" max="6938" width="7.5703125" style="260" customWidth="1"/>
    <col min="6939" max="7178" width="6.28515625" style="260"/>
    <col min="7179" max="7179" width="43.5703125" style="260" customWidth="1"/>
    <col min="7180" max="7180" width="7.5703125" style="260" customWidth="1"/>
    <col min="7181" max="7182" width="8.42578125" style="260" customWidth="1"/>
    <col min="7183" max="7183" width="6.7109375" style="260" customWidth="1"/>
    <col min="7184" max="7185" width="7.5703125" style="260" customWidth="1"/>
    <col min="7186" max="7187" width="8.42578125" style="260" customWidth="1"/>
    <col min="7188" max="7188" width="6.7109375" style="260" customWidth="1"/>
    <col min="7189" max="7190" width="7.5703125" style="260" customWidth="1"/>
    <col min="7191" max="7192" width="8.42578125" style="260" customWidth="1"/>
    <col min="7193" max="7193" width="6.7109375" style="260" customWidth="1"/>
    <col min="7194" max="7194" width="7.5703125" style="260" customWidth="1"/>
    <col min="7195" max="7434" width="6.28515625" style="260"/>
    <col min="7435" max="7435" width="43.5703125" style="260" customWidth="1"/>
    <col min="7436" max="7436" width="7.5703125" style="260" customWidth="1"/>
    <col min="7437" max="7438" width="8.42578125" style="260" customWidth="1"/>
    <col min="7439" max="7439" width="6.7109375" style="260" customWidth="1"/>
    <col min="7440" max="7441" width="7.5703125" style="260" customWidth="1"/>
    <col min="7442" max="7443" width="8.42578125" style="260" customWidth="1"/>
    <col min="7444" max="7444" width="6.7109375" style="260" customWidth="1"/>
    <col min="7445" max="7446" width="7.5703125" style="260" customWidth="1"/>
    <col min="7447" max="7448" width="8.42578125" style="260" customWidth="1"/>
    <col min="7449" max="7449" width="6.7109375" style="260" customWidth="1"/>
    <col min="7450" max="7450" width="7.5703125" style="260" customWidth="1"/>
    <col min="7451" max="7690" width="6.28515625" style="260"/>
    <col min="7691" max="7691" width="43.5703125" style="260" customWidth="1"/>
    <col min="7692" max="7692" width="7.5703125" style="260" customWidth="1"/>
    <col min="7693" max="7694" width="8.42578125" style="260" customWidth="1"/>
    <col min="7695" max="7695" width="6.7109375" style="260" customWidth="1"/>
    <col min="7696" max="7697" width="7.5703125" style="260" customWidth="1"/>
    <col min="7698" max="7699" width="8.42578125" style="260" customWidth="1"/>
    <col min="7700" max="7700" width="6.7109375" style="260" customWidth="1"/>
    <col min="7701" max="7702" width="7.5703125" style="260" customWidth="1"/>
    <col min="7703" max="7704" width="8.42578125" style="260" customWidth="1"/>
    <col min="7705" max="7705" width="6.7109375" style="260" customWidth="1"/>
    <col min="7706" max="7706" width="7.5703125" style="260" customWidth="1"/>
    <col min="7707" max="7946" width="6.28515625" style="260"/>
    <col min="7947" max="7947" width="43.5703125" style="260" customWidth="1"/>
    <col min="7948" max="7948" width="7.5703125" style="260" customWidth="1"/>
    <col min="7949" max="7950" width="8.42578125" style="260" customWidth="1"/>
    <col min="7951" max="7951" width="6.7109375" style="260" customWidth="1"/>
    <col min="7952" max="7953" width="7.5703125" style="260" customWidth="1"/>
    <col min="7954" max="7955" width="8.42578125" style="260" customWidth="1"/>
    <col min="7956" max="7956" width="6.7109375" style="260" customWidth="1"/>
    <col min="7957" max="7958" width="7.5703125" style="260" customWidth="1"/>
    <col min="7959" max="7960" width="8.42578125" style="260" customWidth="1"/>
    <col min="7961" max="7961" width="6.7109375" style="260" customWidth="1"/>
    <col min="7962" max="7962" width="7.5703125" style="260" customWidth="1"/>
    <col min="7963" max="8202" width="6.28515625" style="260"/>
    <col min="8203" max="8203" width="43.5703125" style="260" customWidth="1"/>
    <col min="8204" max="8204" width="7.5703125" style="260" customWidth="1"/>
    <col min="8205" max="8206" width="8.42578125" style="260" customWidth="1"/>
    <col min="8207" max="8207" width="6.7109375" style="260" customWidth="1"/>
    <col min="8208" max="8209" width="7.5703125" style="260" customWidth="1"/>
    <col min="8210" max="8211" width="8.42578125" style="260" customWidth="1"/>
    <col min="8212" max="8212" width="6.7109375" style="260" customWidth="1"/>
    <col min="8213" max="8214" width="7.5703125" style="260" customWidth="1"/>
    <col min="8215" max="8216" width="8.42578125" style="260" customWidth="1"/>
    <col min="8217" max="8217" width="6.7109375" style="260" customWidth="1"/>
    <col min="8218" max="8218" width="7.5703125" style="260" customWidth="1"/>
    <col min="8219" max="8458" width="6.28515625" style="260"/>
    <col min="8459" max="8459" width="43.5703125" style="260" customWidth="1"/>
    <col min="8460" max="8460" width="7.5703125" style="260" customWidth="1"/>
    <col min="8461" max="8462" width="8.42578125" style="260" customWidth="1"/>
    <col min="8463" max="8463" width="6.7109375" style="260" customWidth="1"/>
    <col min="8464" max="8465" width="7.5703125" style="260" customWidth="1"/>
    <col min="8466" max="8467" width="8.42578125" style="260" customWidth="1"/>
    <col min="8468" max="8468" width="6.7109375" style="260" customWidth="1"/>
    <col min="8469" max="8470" width="7.5703125" style="260" customWidth="1"/>
    <col min="8471" max="8472" width="8.42578125" style="260" customWidth="1"/>
    <col min="8473" max="8473" width="6.7109375" style="260" customWidth="1"/>
    <col min="8474" max="8474" width="7.5703125" style="260" customWidth="1"/>
    <col min="8475" max="8714" width="6.28515625" style="260"/>
    <col min="8715" max="8715" width="43.5703125" style="260" customWidth="1"/>
    <col min="8716" max="8716" width="7.5703125" style="260" customWidth="1"/>
    <col min="8717" max="8718" width="8.42578125" style="260" customWidth="1"/>
    <col min="8719" max="8719" width="6.7109375" style="260" customWidth="1"/>
    <col min="8720" max="8721" width="7.5703125" style="260" customWidth="1"/>
    <col min="8722" max="8723" width="8.42578125" style="260" customWidth="1"/>
    <col min="8724" max="8724" width="6.7109375" style="260" customWidth="1"/>
    <col min="8725" max="8726" width="7.5703125" style="260" customWidth="1"/>
    <col min="8727" max="8728" width="8.42578125" style="260" customWidth="1"/>
    <col min="8729" max="8729" width="6.7109375" style="260" customWidth="1"/>
    <col min="8730" max="8730" width="7.5703125" style="260" customWidth="1"/>
    <col min="8731" max="8970" width="6.28515625" style="260"/>
    <col min="8971" max="8971" width="43.5703125" style="260" customWidth="1"/>
    <col min="8972" max="8972" width="7.5703125" style="260" customWidth="1"/>
    <col min="8973" max="8974" width="8.42578125" style="260" customWidth="1"/>
    <col min="8975" max="8975" width="6.7109375" style="260" customWidth="1"/>
    <col min="8976" max="8977" width="7.5703125" style="260" customWidth="1"/>
    <col min="8978" max="8979" width="8.42578125" style="260" customWidth="1"/>
    <col min="8980" max="8980" width="6.7109375" style="260" customWidth="1"/>
    <col min="8981" max="8982" width="7.5703125" style="260" customWidth="1"/>
    <col min="8983" max="8984" width="8.42578125" style="260" customWidth="1"/>
    <col min="8985" max="8985" width="6.7109375" style="260" customWidth="1"/>
    <col min="8986" max="8986" width="7.5703125" style="260" customWidth="1"/>
    <col min="8987" max="9226" width="6.28515625" style="260"/>
    <col min="9227" max="9227" width="43.5703125" style="260" customWidth="1"/>
    <col min="9228" max="9228" width="7.5703125" style="260" customWidth="1"/>
    <col min="9229" max="9230" width="8.42578125" style="260" customWidth="1"/>
    <col min="9231" max="9231" width="6.7109375" style="260" customWidth="1"/>
    <col min="9232" max="9233" width="7.5703125" style="260" customWidth="1"/>
    <col min="9234" max="9235" width="8.42578125" style="260" customWidth="1"/>
    <col min="9236" max="9236" width="6.7109375" style="260" customWidth="1"/>
    <col min="9237" max="9238" width="7.5703125" style="260" customWidth="1"/>
    <col min="9239" max="9240" width="8.42578125" style="260" customWidth="1"/>
    <col min="9241" max="9241" width="6.7109375" style="260" customWidth="1"/>
    <col min="9242" max="9242" width="7.5703125" style="260" customWidth="1"/>
    <col min="9243" max="9482" width="6.28515625" style="260"/>
    <col min="9483" max="9483" width="43.5703125" style="260" customWidth="1"/>
    <col min="9484" max="9484" width="7.5703125" style="260" customWidth="1"/>
    <col min="9485" max="9486" width="8.42578125" style="260" customWidth="1"/>
    <col min="9487" max="9487" width="6.7109375" style="260" customWidth="1"/>
    <col min="9488" max="9489" width="7.5703125" style="260" customWidth="1"/>
    <col min="9490" max="9491" width="8.42578125" style="260" customWidth="1"/>
    <col min="9492" max="9492" width="6.7109375" style="260" customWidth="1"/>
    <col min="9493" max="9494" width="7.5703125" style="260" customWidth="1"/>
    <col min="9495" max="9496" width="8.42578125" style="260" customWidth="1"/>
    <col min="9497" max="9497" width="6.7109375" style="260" customWidth="1"/>
    <col min="9498" max="9498" width="7.5703125" style="260" customWidth="1"/>
    <col min="9499" max="9738" width="6.28515625" style="260"/>
    <col min="9739" max="9739" width="43.5703125" style="260" customWidth="1"/>
    <col min="9740" max="9740" width="7.5703125" style="260" customWidth="1"/>
    <col min="9741" max="9742" width="8.42578125" style="260" customWidth="1"/>
    <col min="9743" max="9743" width="6.7109375" style="260" customWidth="1"/>
    <col min="9744" max="9745" width="7.5703125" style="260" customWidth="1"/>
    <col min="9746" max="9747" width="8.42578125" style="260" customWidth="1"/>
    <col min="9748" max="9748" width="6.7109375" style="260" customWidth="1"/>
    <col min="9749" max="9750" width="7.5703125" style="260" customWidth="1"/>
    <col min="9751" max="9752" width="8.42578125" style="260" customWidth="1"/>
    <col min="9753" max="9753" width="6.7109375" style="260" customWidth="1"/>
    <col min="9754" max="9754" width="7.5703125" style="260" customWidth="1"/>
    <col min="9755" max="9994" width="6.28515625" style="260"/>
    <col min="9995" max="9995" width="43.5703125" style="260" customWidth="1"/>
    <col min="9996" max="9996" width="7.5703125" style="260" customWidth="1"/>
    <col min="9997" max="9998" width="8.42578125" style="260" customWidth="1"/>
    <col min="9999" max="9999" width="6.7109375" style="260" customWidth="1"/>
    <col min="10000" max="10001" width="7.5703125" style="260" customWidth="1"/>
    <col min="10002" max="10003" width="8.42578125" style="260" customWidth="1"/>
    <col min="10004" max="10004" width="6.7109375" style="260" customWidth="1"/>
    <col min="10005" max="10006" width="7.5703125" style="260" customWidth="1"/>
    <col min="10007" max="10008" width="8.42578125" style="260" customWidth="1"/>
    <col min="10009" max="10009" width="6.7109375" style="260" customWidth="1"/>
    <col min="10010" max="10010" width="7.5703125" style="260" customWidth="1"/>
    <col min="10011" max="10250" width="6.28515625" style="260"/>
    <col min="10251" max="10251" width="43.5703125" style="260" customWidth="1"/>
    <col min="10252" max="10252" width="7.5703125" style="260" customWidth="1"/>
    <col min="10253" max="10254" width="8.42578125" style="260" customWidth="1"/>
    <col min="10255" max="10255" width="6.7109375" style="260" customWidth="1"/>
    <col min="10256" max="10257" width="7.5703125" style="260" customWidth="1"/>
    <col min="10258" max="10259" width="8.42578125" style="260" customWidth="1"/>
    <col min="10260" max="10260" width="6.7109375" style="260" customWidth="1"/>
    <col min="10261" max="10262" width="7.5703125" style="260" customWidth="1"/>
    <col min="10263" max="10264" width="8.42578125" style="260" customWidth="1"/>
    <col min="10265" max="10265" width="6.7109375" style="260" customWidth="1"/>
    <col min="10266" max="10266" width="7.5703125" style="260" customWidth="1"/>
    <col min="10267" max="10506" width="6.28515625" style="260"/>
    <col min="10507" max="10507" width="43.5703125" style="260" customWidth="1"/>
    <col min="10508" max="10508" width="7.5703125" style="260" customWidth="1"/>
    <col min="10509" max="10510" width="8.42578125" style="260" customWidth="1"/>
    <col min="10511" max="10511" width="6.7109375" style="260" customWidth="1"/>
    <col min="10512" max="10513" width="7.5703125" style="260" customWidth="1"/>
    <col min="10514" max="10515" width="8.42578125" style="260" customWidth="1"/>
    <col min="10516" max="10516" width="6.7109375" style="260" customWidth="1"/>
    <col min="10517" max="10518" width="7.5703125" style="260" customWidth="1"/>
    <col min="10519" max="10520" width="8.42578125" style="260" customWidth="1"/>
    <col min="10521" max="10521" width="6.7109375" style="260" customWidth="1"/>
    <col min="10522" max="10522" width="7.5703125" style="260" customWidth="1"/>
    <col min="10523" max="10762" width="6.28515625" style="260"/>
    <col min="10763" max="10763" width="43.5703125" style="260" customWidth="1"/>
    <col min="10764" max="10764" width="7.5703125" style="260" customWidth="1"/>
    <col min="10765" max="10766" width="8.42578125" style="260" customWidth="1"/>
    <col min="10767" max="10767" width="6.7109375" style="260" customWidth="1"/>
    <col min="10768" max="10769" width="7.5703125" style="260" customWidth="1"/>
    <col min="10770" max="10771" width="8.42578125" style="260" customWidth="1"/>
    <col min="10772" max="10772" width="6.7109375" style="260" customWidth="1"/>
    <col min="10773" max="10774" width="7.5703125" style="260" customWidth="1"/>
    <col min="10775" max="10776" width="8.42578125" style="260" customWidth="1"/>
    <col min="10777" max="10777" width="6.7109375" style="260" customWidth="1"/>
    <col min="10778" max="10778" width="7.5703125" style="260" customWidth="1"/>
    <col min="10779" max="11018" width="6.28515625" style="260"/>
    <col min="11019" max="11019" width="43.5703125" style="260" customWidth="1"/>
    <col min="11020" max="11020" width="7.5703125" style="260" customWidth="1"/>
    <col min="11021" max="11022" width="8.42578125" style="260" customWidth="1"/>
    <col min="11023" max="11023" width="6.7109375" style="260" customWidth="1"/>
    <col min="11024" max="11025" width="7.5703125" style="260" customWidth="1"/>
    <col min="11026" max="11027" width="8.42578125" style="260" customWidth="1"/>
    <col min="11028" max="11028" width="6.7109375" style="260" customWidth="1"/>
    <col min="11029" max="11030" width="7.5703125" style="260" customWidth="1"/>
    <col min="11031" max="11032" width="8.42578125" style="260" customWidth="1"/>
    <col min="11033" max="11033" width="6.7109375" style="260" customWidth="1"/>
    <col min="11034" max="11034" width="7.5703125" style="260" customWidth="1"/>
    <col min="11035" max="11274" width="6.28515625" style="260"/>
    <col min="11275" max="11275" width="43.5703125" style="260" customWidth="1"/>
    <col min="11276" max="11276" width="7.5703125" style="260" customWidth="1"/>
    <col min="11277" max="11278" width="8.42578125" style="260" customWidth="1"/>
    <col min="11279" max="11279" width="6.7109375" style="260" customWidth="1"/>
    <col min="11280" max="11281" width="7.5703125" style="260" customWidth="1"/>
    <col min="11282" max="11283" width="8.42578125" style="260" customWidth="1"/>
    <col min="11284" max="11284" width="6.7109375" style="260" customWidth="1"/>
    <col min="11285" max="11286" width="7.5703125" style="260" customWidth="1"/>
    <col min="11287" max="11288" width="8.42578125" style="260" customWidth="1"/>
    <col min="11289" max="11289" width="6.7109375" style="260" customWidth="1"/>
    <col min="11290" max="11290" width="7.5703125" style="260" customWidth="1"/>
    <col min="11291" max="11530" width="6.28515625" style="260"/>
    <col min="11531" max="11531" width="43.5703125" style="260" customWidth="1"/>
    <col min="11532" max="11532" width="7.5703125" style="260" customWidth="1"/>
    <col min="11533" max="11534" width="8.42578125" style="260" customWidth="1"/>
    <col min="11535" max="11535" width="6.7109375" style="260" customWidth="1"/>
    <col min="11536" max="11537" width="7.5703125" style="260" customWidth="1"/>
    <col min="11538" max="11539" width="8.42578125" style="260" customWidth="1"/>
    <col min="11540" max="11540" width="6.7109375" style="260" customWidth="1"/>
    <col min="11541" max="11542" width="7.5703125" style="260" customWidth="1"/>
    <col min="11543" max="11544" width="8.42578125" style="260" customWidth="1"/>
    <col min="11545" max="11545" width="6.7109375" style="260" customWidth="1"/>
    <col min="11546" max="11546" width="7.5703125" style="260" customWidth="1"/>
    <col min="11547" max="11786" width="6.28515625" style="260"/>
    <col min="11787" max="11787" width="43.5703125" style="260" customWidth="1"/>
    <col min="11788" max="11788" width="7.5703125" style="260" customWidth="1"/>
    <col min="11789" max="11790" width="8.42578125" style="260" customWidth="1"/>
    <col min="11791" max="11791" width="6.7109375" style="260" customWidth="1"/>
    <col min="11792" max="11793" width="7.5703125" style="260" customWidth="1"/>
    <col min="11794" max="11795" width="8.42578125" style="260" customWidth="1"/>
    <col min="11796" max="11796" width="6.7109375" style="260" customWidth="1"/>
    <col min="11797" max="11798" width="7.5703125" style="260" customWidth="1"/>
    <col min="11799" max="11800" width="8.42578125" style="260" customWidth="1"/>
    <col min="11801" max="11801" width="6.7109375" style="260" customWidth="1"/>
    <col min="11802" max="11802" width="7.5703125" style="260" customWidth="1"/>
    <col min="11803" max="12042" width="6.28515625" style="260"/>
    <col min="12043" max="12043" width="43.5703125" style="260" customWidth="1"/>
    <col min="12044" max="12044" width="7.5703125" style="260" customWidth="1"/>
    <col min="12045" max="12046" width="8.42578125" style="260" customWidth="1"/>
    <col min="12047" max="12047" width="6.7109375" style="260" customWidth="1"/>
    <col min="12048" max="12049" width="7.5703125" style="260" customWidth="1"/>
    <col min="12050" max="12051" width="8.42578125" style="260" customWidth="1"/>
    <col min="12052" max="12052" width="6.7109375" style="260" customWidth="1"/>
    <col min="12053" max="12054" width="7.5703125" style="260" customWidth="1"/>
    <col min="12055" max="12056" width="8.42578125" style="260" customWidth="1"/>
    <col min="12057" max="12057" width="6.7109375" style="260" customWidth="1"/>
    <col min="12058" max="12058" width="7.5703125" style="260" customWidth="1"/>
    <col min="12059" max="12298" width="6.28515625" style="260"/>
    <col min="12299" max="12299" width="43.5703125" style="260" customWidth="1"/>
    <col min="12300" max="12300" width="7.5703125" style="260" customWidth="1"/>
    <col min="12301" max="12302" width="8.42578125" style="260" customWidth="1"/>
    <col min="12303" max="12303" width="6.7109375" style="260" customWidth="1"/>
    <col min="12304" max="12305" width="7.5703125" style="260" customWidth="1"/>
    <col min="12306" max="12307" width="8.42578125" style="260" customWidth="1"/>
    <col min="12308" max="12308" width="6.7109375" style="260" customWidth="1"/>
    <col min="12309" max="12310" width="7.5703125" style="260" customWidth="1"/>
    <col min="12311" max="12312" width="8.42578125" style="260" customWidth="1"/>
    <col min="12313" max="12313" width="6.7109375" style="260" customWidth="1"/>
    <col min="12314" max="12314" width="7.5703125" style="260" customWidth="1"/>
    <col min="12315" max="12554" width="6.28515625" style="260"/>
    <col min="12555" max="12555" width="43.5703125" style="260" customWidth="1"/>
    <col min="12556" max="12556" width="7.5703125" style="260" customWidth="1"/>
    <col min="12557" max="12558" width="8.42578125" style="260" customWidth="1"/>
    <col min="12559" max="12559" width="6.7109375" style="260" customWidth="1"/>
    <col min="12560" max="12561" width="7.5703125" style="260" customWidth="1"/>
    <col min="12562" max="12563" width="8.42578125" style="260" customWidth="1"/>
    <col min="12564" max="12564" width="6.7109375" style="260" customWidth="1"/>
    <col min="12565" max="12566" width="7.5703125" style="260" customWidth="1"/>
    <col min="12567" max="12568" width="8.42578125" style="260" customWidth="1"/>
    <col min="12569" max="12569" width="6.7109375" style="260" customWidth="1"/>
    <col min="12570" max="12570" width="7.5703125" style="260" customWidth="1"/>
    <col min="12571" max="12810" width="6.28515625" style="260"/>
    <col min="12811" max="12811" width="43.5703125" style="260" customWidth="1"/>
    <col min="12812" max="12812" width="7.5703125" style="260" customWidth="1"/>
    <col min="12813" max="12814" width="8.42578125" style="260" customWidth="1"/>
    <col min="12815" max="12815" width="6.7109375" style="260" customWidth="1"/>
    <col min="12816" max="12817" width="7.5703125" style="260" customWidth="1"/>
    <col min="12818" max="12819" width="8.42578125" style="260" customWidth="1"/>
    <col min="12820" max="12820" width="6.7109375" style="260" customWidth="1"/>
    <col min="12821" max="12822" width="7.5703125" style="260" customWidth="1"/>
    <col min="12823" max="12824" width="8.42578125" style="260" customWidth="1"/>
    <col min="12825" max="12825" width="6.7109375" style="260" customWidth="1"/>
    <col min="12826" max="12826" width="7.5703125" style="260" customWidth="1"/>
    <col min="12827" max="13066" width="6.28515625" style="260"/>
    <col min="13067" max="13067" width="43.5703125" style="260" customWidth="1"/>
    <col min="13068" max="13068" width="7.5703125" style="260" customWidth="1"/>
    <col min="13069" max="13070" width="8.42578125" style="260" customWidth="1"/>
    <col min="13071" max="13071" width="6.7109375" style="260" customWidth="1"/>
    <col min="13072" max="13073" width="7.5703125" style="260" customWidth="1"/>
    <col min="13074" max="13075" width="8.42578125" style="260" customWidth="1"/>
    <col min="13076" max="13076" width="6.7109375" style="260" customWidth="1"/>
    <col min="13077" max="13078" width="7.5703125" style="260" customWidth="1"/>
    <col min="13079" max="13080" width="8.42578125" style="260" customWidth="1"/>
    <col min="13081" max="13081" width="6.7109375" style="260" customWidth="1"/>
    <col min="13082" max="13082" width="7.5703125" style="260" customWidth="1"/>
    <col min="13083" max="13322" width="6.28515625" style="260"/>
    <col min="13323" max="13323" width="43.5703125" style="260" customWidth="1"/>
    <col min="13324" max="13324" width="7.5703125" style="260" customWidth="1"/>
    <col min="13325" max="13326" width="8.42578125" style="260" customWidth="1"/>
    <col min="13327" max="13327" width="6.7109375" style="260" customWidth="1"/>
    <col min="13328" max="13329" width="7.5703125" style="260" customWidth="1"/>
    <col min="13330" max="13331" width="8.42578125" style="260" customWidth="1"/>
    <col min="13332" max="13332" width="6.7109375" style="260" customWidth="1"/>
    <col min="13333" max="13334" width="7.5703125" style="260" customWidth="1"/>
    <col min="13335" max="13336" width="8.42578125" style="260" customWidth="1"/>
    <col min="13337" max="13337" width="6.7109375" style="260" customWidth="1"/>
    <col min="13338" max="13338" width="7.5703125" style="260" customWidth="1"/>
    <col min="13339" max="13578" width="6.28515625" style="260"/>
    <col min="13579" max="13579" width="43.5703125" style="260" customWidth="1"/>
    <col min="13580" max="13580" width="7.5703125" style="260" customWidth="1"/>
    <col min="13581" max="13582" width="8.42578125" style="260" customWidth="1"/>
    <col min="13583" max="13583" width="6.7109375" style="260" customWidth="1"/>
    <col min="13584" max="13585" width="7.5703125" style="260" customWidth="1"/>
    <col min="13586" max="13587" width="8.42578125" style="260" customWidth="1"/>
    <col min="13588" max="13588" width="6.7109375" style="260" customWidth="1"/>
    <col min="13589" max="13590" width="7.5703125" style="260" customWidth="1"/>
    <col min="13591" max="13592" width="8.42578125" style="260" customWidth="1"/>
    <col min="13593" max="13593" width="6.7109375" style="260" customWidth="1"/>
    <col min="13594" max="13594" width="7.5703125" style="260" customWidth="1"/>
    <col min="13595" max="13834" width="6.28515625" style="260"/>
    <col min="13835" max="13835" width="43.5703125" style="260" customWidth="1"/>
    <col min="13836" max="13836" width="7.5703125" style="260" customWidth="1"/>
    <col min="13837" max="13838" width="8.42578125" style="260" customWidth="1"/>
    <col min="13839" max="13839" width="6.7109375" style="260" customWidth="1"/>
    <col min="13840" max="13841" width="7.5703125" style="260" customWidth="1"/>
    <col min="13842" max="13843" width="8.42578125" style="260" customWidth="1"/>
    <col min="13844" max="13844" width="6.7109375" style="260" customWidth="1"/>
    <col min="13845" max="13846" width="7.5703125" style="260" customWidth="1"/>
    <col min="13847" max="13848" width="8.42578125" style="260" customWidth="1"/>
    <col min="13849" max="13849" width="6.7109375" style="260" customWidth="1"/>
    <col min="13850" max="13850" width="7.5703125" style="260" customWidth="1"/>
    <col min="13851" max="14090" width="6.28515625" style="260"/>
    <col min="14091" max="14091" width="43.5703125" style="260" customWidth="1"/>
    <col min="14092" max="14092" width="7.5703125" style="260" customWidth="1"/>
    <col min="14093" max="14094" width="8.42578125" style="260" customWidth="1"/>
    <col min="14095" max="14095" width="6.7109375" style="260" customWidth="1"/>
    <col min="14096" max="14097" width="7.5703125" style="260" customWidth="1"/>
    <col min="14098" max="14099" width="8.42578125" style="260" customWidth="1"/>
    <col min="14100" max="14100" width="6.7109375" style="260" customWidth="1"/>
    <col min="14101" max="14102" width="7.5703125" style="260" customWidth="1"/>
    <col min="14103" max="14104" width="8.42578125" style="260" customWidth="1"/>
    <col min="14105" max="14105" width="6.7109375" style="260" customWidth="1"/>
    <col min="14106" max="14106" width="7.5703125" style="260" customWidth="1"/>
    <col min="14107" max="14346" width="6.28515625" style="260"/>
    <col min="14347" max="14347" width="43.5703125" style="260" customWidth="1"/>
    <col min="14348" max="14348" width="7.5703125" style="260" customWidth="1"/>
    <col min="14349" max="14350" width="8.42578125" style="260" customWidth="1"/>
    <col min="14351" max="14351" width="6.7109375" style="260" customWidth="1"/>
    <col min="14352" max="14353" width="7.5703125" style="260" customWidth="1"/>
    <col min="14354" max="14355" width="8.42578125" style="260" customWidth="1"/>
    <col min="14356" max="14356" width="6.7109375" style="260" customWidth="1"/>
    <col min="14357" max="14358" width="7.5703125" style="260" customWidth="1"/>
    <col min="14359" max="14360" width="8.42578125" style="260" customWidth="1"/>
    <col min="14361" max="14361" width="6.7109375" style="260" customWidth="1"/>
    <col min="14362" max="14362" width="7.5703125" style="260" customWidth="1"/>
    <col min="14363" max="14602" width="6.28515625" style="260"/>
    <col min="14603" max="14603" width="43.5703125" style="260" customWidth="1"/>
    <col min="14604" max="14604" width="7.5703125" style="260" customWidth="1"/>
    <col min="14605" max="14606" width="8.42578125" style="260" customWidth="1"/>
    <col min="14607" max="14607" width="6.7109375" style="260" customWidth="1"/>
    <col min="14608" max="14609" width="7.5703125" style="260" customWidth="1"/>
    <col min="14610" max="14611" width="8.42578125" style="260" customWidth="1"/>
    <col min="14612" max="14612" width="6.7109375" style="260" customWidth="1"/>
    <col min="14613" max="14614" width="7.5703125" style="260" customWidth="1"/>
    <col min="14615" max="14616" width="8.42578125" style="260" customWidth="1"/>
    <col min="14617" max="14617" width="6.7109375" style="260" customWidth="1"/>
    <col min="14618" max="14618" width="7.5703125" style="260" customWidth="1"/>
    <col min="14619" max="14858" width="6.28515625" style="260"/>
    <col min="14859" max="14859" width="43.5703125" style="260" customWidth="1"/>
    <col min="14860" max="14860" width="7.5703125" style="260" customWidth="1"/>
    <col min="14861" max="14862" width="8.42578125" style="260" customWidth="1"/>
    <col min="14863" max="14863" width="6.7109375" style="260" customWidth="1"/>
    <col min="14864" max="14865" width="7.5703125" style="260" customWidth="1"/>
    <col min="14866" max="14867" width="8.42578125" style="260" customWidth="1"/>
    <col min="14868" max="14868" width="6.7109375" style="260" customWidth="1"/>
    <col min="14869" max="14870" width="7.5703125" style="260" customWidth="1"/>
    <col min="14871" max="14872" width="8.42578125" style="260" customWidth="1"/>
    <col min="14873" max="14873" width="6.7109375" style="260" customWidth="1"/>
    <col min="14874" max="14874" width="7.5703125" style="260" customWidth="1"/>
    <col min="14875" max="15114" width="6.28515625" style="260"/>
    <col min="15115" max="15115" width="43.5703125" style="260" customWidth="1"/>
    <col min="15116" max="15116" width="7.5703125" style="260" customWidth="1"/>
    <col min="15117" max="15118" width="8.42578125" style="260" customWidth="1"/>
    <col min="15119" max="15119" width="6.7109375" style="260" customWidth="1"/>
    <col min="15120" max="15121" width="7.5703125" style="260" customWidth="1"/>
    <col min="15122" max="15123" width="8.42578125" style="260" customWidth="1"/>
    <col min="15124" max="15124" width="6.7109375" style="260" customWidth="1"/>
    <col min="15125" max="15126" width="7.5703125" style="260" customWidth="1"/>
    <col min="15127" max="15128" width="8.42578125" style="260" customWidth="1"/>
    <col min="15129" max="15129" width="6.7109375" style="260" customWidth="1"/>
    <col min="15130" max="15130" width="7.5703125" style="260" customWidth="1"/>
    <col min="15131" max="15370" width="6.28515625" style="260"/>
    <col min="15371" max="15371" width="43.5703125" style="260" customWidth="1"/>
    <col min="15372" max="15372" width="7.5703125" style="260" customWidth="1"/>
    <col min="15373" max="15374" width="8.42578125" style="260" customWidth="1"/>
    <col min="15375" max="15375" width="6.7109375" style="260" customWidth="1"/>
    <col min="15376" max="15377" width="7.5703125" style="260" customWidth="1"/>
    <col min="15378" max="15379" width="8.42578125" style="260" customWidth="1"/>
    <col min="15380" max="15380" width="6.7109375" style="260" customWidth="1"/>
    <col min="15381" max="15382" width="7.5703125" style="260" customWidth="1"/>
    <col min="15383" max="15384" width="8.42578125" style="260" customWidth="1"/>
    <col min="15385" max="15385" width="6.7109375" style="260" customWidth="1"/>
    <col min="15386" max="15386" width="7.5703125" style="260" customWidth="1"/>
    <col min="15387" max="15626" width="6.28515625" style="260"/>
    <col min="15627" max="15627" width="43.5703125" style="260" customWidth="1"/>
    <col min="15628" max="15628" width="7.5703125" style="260" customWidth="1"/>
    <col min="15629" max="15630" width="8.42578125" style="260" customWidth="1"/>
    <col min="15631" max="15631" width="6.7109375" style="260" customWidth="1"/>
    <col min="15632" max="15633" width="7.5703125" style="260" customWidth="1"/>
    <col min="15634" max="15635" width="8.42578125" style="260" customWidth="1"/>
    <col min="15636" max="15636" width="6.7109375" style="260" customWidth="1"/>
    <col min="15637" max="15638" width="7.5703125" style="260" customWidth="1"/>
    <col min="15639" max="15640" width="8.42578125" style="260" customWidth="1"/>
    <col min="15641" max="15641" width="6.7109375" style="260" customWidth="1"/>
    <col min="15642" max="15642" width="7.5703125" style="260" customWidth="1"/>
    <col min="15643" max="15882" width="6.28515625" style="260"/>
    <col min="15883" max="15883" width="43.5703125" style="260" customWidth="1"/>
    <col min="15884" max="15884" width="7.5703125" style="260" customWidth="1"/>
    <col min="15885" max="15886" width="8.42578125" style="260" customWidth="1"/>
    <col min="15887" max="15887" width="6.7109375" style="260" customWidth="1"/>
    <col min="15888" max="15889" width="7.5703125" style="260" customWidth="1"/>
    <col min="15890" max="15891" width="8.42578125" style="260" customWidth="1"/>
    <col min="15892" max="15892" width="6.7109375" style="260" customWidth="1"/>
    <col min="15893" max="15894" width="7.5703125" style="260" customWidth="1"/>
    <col min="15895" max="15896" width="8.42578125" style="260" customWidth="1"/>
    <col min="15897" max="15897" width="6.7109375" style="260" customWidth="1"/>
    <col min="15898" max="15898" width="7.5703125" style="260" customWidth="1"/>
    <col min="15899" max="16138" width="6.28515625" style="260"/>
    <col min="16139" max="16139" width="43.5703125" style="260" customWidth="1"/>
    <col min="16140" max="16140" width="7.5703125" style="260" customWidth="1"/>
    <col min="16141" max="16142" width="8.42578125" style="260" customWidth="1"/>
    <col min="16143" max="16143" width="6.7109375" style="260" customWidth="1"/>
    <col min="16144" max="16145" width="7.5703125" style="260" customWidth="1"/>
    <col min="16146" max="16147" width="8.42578125" style="260" customWidth="1"/>
    <col min="16148" max="16148" width="6.7109375" style="260" customWidth="1"/>
    <col min="16149" max="16150" width="7.5703125" style="260" customWidth="1"/>
    <col min="16151" max="16152" width="8.42578125" style="260" customWidth="1"/>
    <col min="16153" max="16153" width="6.7109375" style="260" customWidth="1"/>
    <col min="16154" max="16154" width="7.5703125" style="260" customWidth="1"/>
    <col min="16155" max="16384" width="6.28515625" style="260"/>
  </cols>
  <sheetData>
    <row r="1" spans="1:25" ht="15.75" x14ac:dyDescent="0.25">
      <c r="A1" s="19" t="str">
        <f>CONCATENATE("Industry Table 6  Employment status by Industry (SIC 2007) and Gender, ",B$5,"-",V$5,", ",Info!B5)</f>
        <v>Industry Table 6  Employment status by Industry (SIC 2007) and Gender, 2015-2035, North East</v>
      </c>
    </row>
    <row r="2" spans="1:25" x14ac:dyDescent="0.2">
      <c r="A2" s="1" t="s">
        <v>514</v>
      </c>
    </row>
    <row r="4" spans="1:25" x14ac:dyDescent="0.2">
      <c r="A4" s="264"/>
      <c r="B4" s="315"/>
      <c r="C4" s="316"/>
      <c r="D4" s="315"/>
      <c r="E4" s="315"/>
      <c r="F4" s="315"/>
      <c r="G4" s="315"/>
      <c r="H4" s="315"/>
      <c r="I4" s="315"/>
      <c r="J4" s="315"/>
      <c r="K4" s="315"/>
      <c r="L4" s="315"/>
      <c r="M4" s="315"/>
      <c r="N4" s="315"/>
      <c r="O4" s="315"/>
      <c r="P4" s="315"/>
      <c r="Q4" s="315"/>
      <c r="R4" s="315"/>
      <c r="S4" s="315"/>
      <c r="T4" s="315"/>
      <c r="U4" s="315"/>
      <c r="V4" s="315"/>
      <c r="W4" s="315"/>
      <c r="X4" s="315"/>
      <c r="Y4" s="315" t="s">
        <v>36</v>
      </c>
    </row>
    <row r="5" spans="1:25" ht="15" x14ac:dyDescent="0.25">
      <c r="A5" s="265" t="str">
        <f>"Industry 1 : "&amp; name!B4</f>
        <v>Industry 1 : Agriculture</v>
      </c>
      <c r="B5" s="374">
        <v>2015</v>
      </c>
      <c r="C5" s="374"/>
      <c r="D5" s="374"/>
      <c r="E5" s="374"/>
      <c r="F5" s="317"/>
      <c r="G5" s="374">
        <v>2019</v>
      </c>
      <c r="H5" s="374"/>
      <c r="I5" s="374"/>
      <c r="J5" s="374"/>
      <c r="K5" s="318"/>
      <c r="L5" s="374">
        <v>2020</v>
      </c>
      <c r="M5" s="374"/>
      <c r="N5" s="374"/>
      <c r="O5" s="374"/>
      <c r="P5" s="318"/>
      <c r="Q5" s="374">
        <v>2025</v>
      </c>
      <c r="R5" s="374"/>
      <c r="S5" s="374"/>
      <c r="T5" s="374"/>
      <c r="U5" s="317"/>
      <c r="V5" s="374">
        <v>2035</v>
      </c>
      <c r="W5" s="374"/>
      <c r="X5" s="374"/>
      <c r="Y5" s="374"/>
    </row>
    <row r="6" spans="1:25" x14ac:dyDescent="0.2">
      <c r="A6" s="267"/>
      <c r="B6" s="268" t="str">
        <f>name!$J$5</f>
        <v>FT</v>
      </c>
      <c r="C6" s="268" t="str">
        <f>name!$J$6</f>
        <v>PT</v>
      </c>
      <c r="D6" s="268" t="str">
        <f>name!$J$4</f>
        <v>SE</v>
      </c>
      <c r="E6" s="268" t="s">
        <v>33</v>
      </c>
      <c r="F6" s="268"/>
      <c r="G6" s="268" t="str">
        <f>name!$J$5</f>
        <v>FT</v>
      </c>
      <c r="H6" s="268" t="str">
        <f>name!$J$6</f>
        <v>PT</v>
      </c>
      <c r="I6" s="268" t="str">
        <f>name!$J$4</f>
        <v>SE</v>
      </c>
      <c r="J6" s="268" t="s">
        <v>33</v>
      </c>
      <c r="K6" s="268"/>
      <c r="L6" s="268" t="str">
        <f>name!$J$5</f>
        <v>FT</v>
      </c>
      <c r="M6" s="268" t="str">
        <f>name!$J$6</f>
        <v>PT</v>
      </c>
      <c r="N6" s="268" t="str">
        <f>name!$J$4</f>
        <v>SE</v>
      </c>
      <c r="O6" s="268" t="s">
        <v>33</v>
      </c>
      <c r="P6" s="268"/>
      <c r="Q6" s="268" t="str">
        <f>name!$J$5</f>
        <v>FT</v>
      </c>
      <c r="R6" s="268" t="str">
        <f>name!$J$6</f>
        <v>PT</v>
      </c>
      <c r="S6" s="268" t="str">
        <f>name!$J$4</f>
        <v>SE</v>
      </c>
      <c r="T6" s="268" t="s">
        <v>33</v>
      </c>
      <c r="U6" s="268"/>
      <c r="V6" s="268" t="str">
        <f>name!$J$5</f>
        <v>FT</v>
      </c>
      <c r="W6" s="268" t="str">
        <f>name!$J$6</f>
        <v>PT</v>
      </c>
      <c r="X6" s="268" t="str">
        <f>name!$J$4</f>
        <v>SE</v>
      </c>
      <c r="Y6" s="268" t="s">
        <v>33</v>
      </c>
    </row>
    <row r="7" spans="1:25" x14ac:dyDescent="0.2">
      <c r="A7" s="269"/>
      <c r="C7" s="319"/>
      <c r="D7" s="319"/>
      <c r="E7" s="319"/>
      <c r="F7" s="319"/>
      <c r="G7" s="319"/>
      <c r="H7" s="319"/>
      <c r="I7" s="319"/>
      <c r="J7" s="319"/>
      <c r="K7" s="319"/>
      <c r="L7" s="319"/>
      <c r="M7" s="319"/>
      <c r="N7" s="319"/>
      <c r="O7" s="319"/>
      <c r="P7" s="319"/>
      <c r="Q7" s="319"/>
      <c r="R7" s="319"/>
      <c r="S7" s="319"/>
      <c r="T7" s="319"/>
      <c r="U7" s="319"/>
      <c r="V7" s="319"/>
      <c r="W7" s="319"/>
      <c r="X7" s="319"/>
      <c r="Y7" s="319"/>
    </row>
    <row r="8" spans="1:25" x14ac:dyDescent="0.2">
      <c r="A8" s="260" t="s">
        <v>365</v>
      </c>
      <c r="B8" s="300">
        <v>2.7745339150969352E-2</v>
      </c>
      <c r="C8" s="300">
        <v>1.5226100753725562E-2</v>
      </c>
      <c r="D8" s="300">
        <v>0</v>
      </c>
      <c r="E8" s="300">
        <f>SUM(B8:D8)</f>
        <v>4.2971439904694916E-2</v>
      </c>
      <c r="F8" s="300"/>
      <c r="G8" s="300">
        <v>0.43879352440701153</v>
      </c>
      <c r="H8" s="300">
        <v>1.5708598726102523E-2</v>
      </c>
      <c r="I8" s="300">
        <v>0.18047434536868726</v>
      </c>
      <c r="J8" s="300">
        <f>SUM(G8:I8)</f>
        <v>0.63497646850180134</v>
      </c>
      <c r="K8" s="300"/>
      <c r="L8" s="300">
        <v>3.6637314254425207E-2</v>
      </c>
      <c r="M8" s="300">
        <v>1.9539900936025617E-2</v>
      </c>
      <c r="N8" s="300">
        <v>0.53804512932528825</v>
      </c>
      <c r="O8" s="300">
        <f>SUM(L8:N8)</f>
        <v>0.59422234451573908</v>
      </c>
      <c r="P8" s="300"/>
      <c r="Q8" s="300">
        <v>3.7710031905701907E-2</v>
      </c>
      <c r="R8" s="300">
        <v>1.9553349877002267E-2</v>
      </c>
      <c r="S8" s="300">
        <v>0.56565047857087669</v>
      </c>
      <c r="T8" s="300">
        <f>SUM(Q8:S8)</f>
        <v>0.62291386035358087</v>
      </c>
      <c r="U8" s="300"/>
      <c r="V8" s="300">
        <v>3.8754310345762322E-2</v>
      </c>
      <c r="W8" s="300">
        <v>1.8853448276112145E-2</v>
      </c>
      <c r="X8" s="300">
        <v>0.59877155173344998</v>
      </c>
      <c r="Y8" s="300">
        <f>SUM(V8:X8)</f>
        <v>0.65637931035532449</v>
      </c>
    </row>
    <row r="9" spans="1:25" x14ac:dyDescent="0.2">
      <c r="A9" s="260" t="s">
        <v>364</v>
      </c>
      <c r="B9" s="300">
        <v>1.1771467671557807</v>
      </c>
      <c r="C9" s="300">
        <v>0.29267949226521495</v>
      </c>
      <c r="D9" s="300">
        <v>1.0462023006743066</v>
      </c>
      <c r="E9" s="300">
        <f t="shared" ref="E9:E10" si="0">SUM(B9:D9)</f>
        <v>2.5160285600953021</v>
      </c>
      <c r="F9" s="300"/>
      <c r="G9" s="300">
        <v>0.70479246284497921</v>
      </c>
      <c r="H9" s="300">
        <v>9.4251592356776447E-3</v>
      </c>
      <c r="I9" s="300">
        <v>0.62380590941754088</v>
      </c>
      <c r="J9" s="300">
        <f t="shared" ref="J9:J10" si="1">SUM(G9:I9)</f>
        <v>1.3380235314981976</v>
      </c>
      <c r="K9" s="300"/>
      <c r="L9" s="300">
        <v>0.49128893781892324</v>
      </c>
      <c r="M9" s="300">
        <v>1.0816730875269036E-2</v>
      </c>
      <c r="N9" s="300">
        <v>0.8056719867900658</v>
      </c>
      <c r="O9" s="300">
        <f t="shared" ref="O9:O10" si="2">SUM(L9:N9)</f>
        <v>1.3077776554842582</v>
      </c>
      <c r="P9" s="300"/>
      <c r="Q9" s="300">
        <v>0.52584544488413054</v>
      </c>
      <c r="R9" s="300">
        <v>1.1522509748498824E-2</v>
      </c>
      <c r="S9" s="300">
        <v>0.80971818501379078</v>
      </c>
      <c r="T9" s="300">
        <f t="shared" ref="T9:T10" si="3">SUM(Q9:S9)</f>
        <v>1.3470861396464202</v>
      </c>
      <c r="U9" s="300"/>
      <c r="V9" s="300">
        <v>0.586202586211931</v>
      </c>
      <c r="W9" s="300">
        <v>1.1870689655336483E-2</v>
      </c>
      <c r="X9" s="300">
        <v>0.77054741377741143</v>
      </c>
      <c r="Y9" s="300">
        <f t="shared" ref="Y9:Y10" si="4">SUM(V9:X9)</f>
        <v>1.3686206896446789</v>
      </c>
    </row>
    <row r="10" spans="1:25" x14ac:dyDescent="0.2">
      <c r="A10" s="264" t="s">
        <v>363</v>
      </c>
      <c r="B10" s="301">
        <f>SUM(B8:B9)</f>
        <v>1.2048921063067501</v>
      </c>
      <c r="C10" s="301">
        <f t="shared" ref="C10:D10" si="5">SUM(C8:C9)</f>
        <v>0.30790559301894049</v>
      </c>
      <c r="D10" s="301">
        <f t="shared" si="5"/>
        <v>1.0462023006743066</v>
      </c>
      <c r="E10" s="301">
        <f t="shared" si="0"/>
        <v>2.5589999999999975</v>
      </c>
      <c r="F10" s="301"/>
      <c r="G10" s="301">
        <f>SUM(G8:G9)</f>
        <v>1.1435859872519907</v>
      </c>
      <c r="H10" s="301">
        <f t="shared" ref="H10" si="6">SUM(H8:H9)</f>
        <v>2.5133757961780169E-2</v>
      </c>
      <c r="I10" s="301">
        <f t="shared" ref="I10" si="7">SUM(I8:I9)</f>
        <v>0.80428025478622811</v>
      </c>
      <c r="J10" s="301">
        <f t="shared" si="1"/>
        <v>1.972999999999999</v>
      </c>
      <c r="K10" s="301"/>
      <c r="L10" s="301">
        <f>SUM(L8:L9)</f>
        <v>0.52792625207334842</v>
      </c>
      <c r="M10" s="301">
        <f t="shared" ref="M10" si="8">SUM(M8:M9)</f>
        <v>3.0356631811294651E-2</v>
      </c>
      <c r="N10" s="301">
        <f t="shared" ref="N10" si="9">SUM(N8:N9)</f>
        <v>1.343717116115354</v>
      </c>
      <c r="O10" s="301">
        <f t="shared" si="2"/>
        <v>1.901999999999997</v>
      </c>
      <c r="P10" s="301"/>
      <c r="Q10" s="301">
        <f>SUM(Q8:Q9)</f>
        <v>0.56355547678983242</v>
      </c>
      <c r="R10" s="301">
        <f t="shared" ref="R10" si="10">SUM(R8:R9)</f>
        <v>3.1075859625501093E-2</v>
      </c>
      <c r="S10" s="301">
        <f t="shared" ref="S10" si="11">SUM(S8:S9)</f>
        <v>1.3753686635846676</v>
      </c>
      <c r="T10" s="301">
        <f t="shared" si="3"/>
        <v>1.9700000000000011</v>
      </c>
      <c r="U10" s="301"/>
      <c r="V10" s="301">
        <f>SUM(V8:V9)</f>
        <v>0.62495689655769326</v>
      </c>
      <c r="W10" s="301">
        <f t="shared" ref="W10" si="12">SUM(W8:W9)</f>
        <v>3.0724137931448629E-2</v>
      </c>
      <c r="X10" s="301">
        <f t="shared" ref="X10" si="13">SUM(X8:X9)</f>
        <v>1.3693189655108613</v>
      </c>
      <c r="Y10" s="301">
        <f t="shared" si="4"/>
        <v>2.025000000000003</v>
      </c>
    </row>
    <row r="12" spans="1:25" x14ac:dyDescent="0.2">
      <c r="A12" s="261"/>
    </row>
    <row r="13" spans="1:25" x14ac:dyDescent="0.2">
      <c r="C13" s="263"/>
    </row>
    <row r="14" spans="1:25" ht="15" x14ac:dyDescent="0.25">
      <c r="A14" s="265" t="str">
        <f>"Industry 2 : "&amp; name!B5</f>
        <v>Industry 2 : Mining and quarrying</v>
      </c>
      <c r="B14" s="374">
        <f>$B$5</f>
        <v>2015</v>
      </c>
      <c r="C14" s="374"/>
      <c r="D14" s="374"/>
      <c r="E14" s="374"/>
      <c r="F14" s="320"/>
      <c r="G14" s="374">
        <f>$G$5</f>
        <v>2019</v>
      </c>
      <c r="H14" s="374"/>
      <c r="I14" s="374"/>
      <c r="J14" s="374"/>
      <c r="K14" s="320"/>
      <c r="L14" s="374">
        <f>$L$5</f>
        <v>2020</v>
      </c>
      <c r="M14" s="374"/>
      <c r="N14" s="374"/>
      <c r="O14" s="374"/>
      <c r="P14" s="318"/>
      <c r="Q14" s="374">
        <f>$Q$5</f>
        <v>2025</v>
      </c>
      <c r="R14" s="374"/>
      <c r="S14" s="374"/>
      <c r="T14" s="374"/>
      <c r="U14" s="320"/>
      <c r="V14" s="374">
        <f>$V$5</f>
        <v>2035</v>
      </c>
      <c r="W14" s="374"/>
      <c r="X14" s="374"/>
      <c r="Y14" s="374"/>
    </row>
    <row r="15" spans="1:25" x14ac:dyDescent="0.2">
      <c r="A15" s="264"/>
      <c r="B15" s="268" t="str">
        <f>$B$6</f>
        <v>FT</v>
      </c>
      <c r="C15" s="268" t="str">
        <f>$C$6</f>
        <v>PT</v>
      </c>
      <c r="D15" s="268" t="str">
        <f>$D$6</f>
        <v>SE</v>
      </c>
      <c r="E15" s="268" t="str">
        <f>$E$6</f>
        <v>Total</v>
      </c>
      <c r="F15" s="268"/>
      <c r="G15" s="268" t="str">
        <f>$B$6</f>
        <v>FT</v>
      </c>
      <c r="H15" s="268" t="str">
        <f>$C$6</f>
        <v>PT</v>
      </c>
      <c r="I15" s="268" t="str">
        <f>$D$6</f>
        <v>SE</v>
      </c>
      <c r="J15" s="268" t="str">
        <f>$E$6</f>
        <v>Total</v>
      </c>
      <c r="K15" s="268"/>
      <c r="L15" s="268" t="str">
        <f>$L$6</f>
        <v>FT</v>
      </c>
      <c r="M15" s="268" t="str">
        <f>$M$6</f>
        <v>PT</v>
      </c>
      <c r="N15" s="268" t="str">
        <f>$N$6</f>
        <v>SE</v>
      </c>
      <c r="O15" s="268" t="str">
        <f>$O$6</f>
        <v>Total</v>
      </c>
      <c r="P15" s="268"/>
      <c r="Q15" s="268" t="str">
        <f>$L$6</f>
        <v>FT</v>
      </c>
      <c r="R15" s="268" t="str">
        <f>$M$6</f>
        <v>PT</v>
      </c>
      <c r="S15" s="268" t="str">
        <f>$N$6</f>
        <v>SE</v>
      </c>
      <c r="T15" s="268" t="str">
        <f>$O$6</f>
        <v>Total</v>
      </c>
      <c r="U15" s="268"/>
      <c r="V15" s="268" t="str">
        <f>$V$6</f>
        <v>FT</v>
      </c>
      <c r="W15" s="268" t="str">
        <f>$W$6</f>
        <v>PT</v>
      </c>
      <c r="X15" s="268" t="str">
        <f>$X$6</f>
        <v>SE</v>
      </c>
      <c r="Y15" s="268" t="str">
        <f>$Y$6</f>
        <v>Total</v>
      </c>
    </row>
    <row r="16" spans="1:25" x14ac:dyDescent="0.2">
      <c r="C16" s="319"/>
      <c r="D16" s="319"/>
      <c r="E16" s="319"/>
      <c r="F16" s="319"/>
      <c r="G16" s="319"/>
      <c r="H16" s="319"/>
      <c r="I16" s="319"/>
      <c r="J16" s="319"/>
      <c r="K16" s="319"/>
      <c r="L16" s="319"/>
      <c r="M16" s="319"/>
      <c r="N16" s="319"/>
      <c r="O16" s="319"/>
      <c r="P16" s="319"/>
      <c r="Q16" s="319"/>
      <c r="R16" s="319"/>
      <c r="S16" s="319"/>
      <c r="T16" s="319"/>
      <c r="U16" s="319"/>
      <c r="V16" s="319"/>
      <c r="W16" s="319"/>
      <c r="X16" s="319"/>
      <c r="Y16" s="319"/>
    </row>
    <row r="17" spans="1:25" x14ac:dyDescent="0.2">
      <c r="A17" s="260" t="s">
        <v>365</v>
      </c>
      <c r="B17" s="300">
        <v>1.2205466540898336E-2</v>
      </c>
      <c r="C17" s="300">
        <v>4.3939679547999565E-3</v>
      </c>
      <c r="D17" s="300">
        <v>1.2205466541023607E-4</v>
      </c>
      <c r="E17" s="300">
        <f>SUM(B17:D17)</f>
        <v>1.6721489161108528E-2</v>
      </c>
      <c r="F17" s="300"/>
      <c r="G17" s="300">
        <v>3.924657534215948E-2</v>
      </c>
      <c r="H17" s="300">
        <v>6.8027397260439397E-3</v>
      </c>
      <c r="I17" s="300">
        <v>2.6164383562165866E-4</v>
      </c>
      <c r="J17" s="300">
        <f>SUM(G17:I17)</f>
        <v>4.6310958903825084E-2</v>
      </c>
      <c r="K17" s="300"/>
      <c r="L17" s="300">
        <v>5.1315847597682124E-2</v>
      </c>
      <c r="M17" s="300">
        <v>1.8566537824510621E-2</v>
      </c>
      <c r="N17" s="300">
        <v>0</v>
      </c>
      <c r="O17" s="300">
        <f>SUM(L17:N17)</f>
        <v>6.9882385422192744E-2</v>
      </c>
      <c r="P17" s="300"/>
      <c r="Q17" s="300">
        <v>4.5499999999664885E-2</v>
      </c>
      <c r="R17" s="300">
        <v>1.6640000000511426E-2</v>
      </c>
      <c r="S17" s="300">
        <v>0</v>
      </c>
      <c r="T17" s="300">
        <f>SUM(Q17:S17)</f>
        <v>6.2140000000176311E-2</v>
      </c>
      <c r="U17" s="300"/>
      <c r="V17" s="300">
        <v>3.8590128755845284E-2</v>
      </c>
      <c r="W17" s="300">
        <v>1.5226037196247242E-2</v>
      </c>
      <c r="X17" s="300">
        <v>0</v>
      </c>
      <c r="Y17" s="300">
        <f>SUM(V17:X17)</f>
        <v>5.3816165952092529E-2</v>
      </c>
    </row>
    <row r="18" spans="1:25" x14ac:dyDescent="0.2">
      <c r="A18" s="260" t="s">
        <v>364</v>
      </c>
      <c r="B18" s="300">
        <v>0.24142412818102257</v>
      </c>
      <c r="C18" s="300">
        <v>8.5438265786902986E-4</v>
      </c>
      <c r="D18" s="300">
        <v>0</v>
      </c>
      <c r="E18" s="300">
        <f t="shared" ref="E18:E19" si="14">SUM(B18:D18)</f>
        <v>0.2422785108388916</v>
      </c>
      <c r="F18" s="300"/>
      <c r="G18" s="300">
        <v>0.33307260274001055</v>
      </c>
      <c r="H18" s="300">
        <v>2.6164383561638645E-3</v>
      </c>
      <c r="I18" s="300">
        <v>0</v>
      </c>
      <c r="J18" s="300">
        <f t="shared" ref="J18:J19" si="15">SUM(G18:I18)</f>
        <v>0.33568904109617442</v>
      </c>
      <c r="K18" s="300"/>
      <c r="L18" s="300">
        <v>0.37674599668712982</v>
      </c>
      <c r="M18" s="300">
        <v>2.0371617890677023E-2</v>
      </c>
      <c r="N18" s="300">
        <v>0</v>
      </c>
      <c r="O18" s="300">
        <f t="shared" ref="O18:O19" si="16">SUM(L18:N18)</f>
        <v>0.39711761457780687</v>
      </c>
      <c r="P18" s="300"/>
      <c r="Q18" s="300">
        <v>0.33487999999973533</v>
      </c>
      <c r="R18" s="300">
        <v>1.8980000000088891E-2</v>
      </c>
      <c r="S18" s="300">
        <v>0</v>
      </c>
      <c r="T18" s="300">
        <f t="shared" ref="T18:T19" si="17">SUM(Q18:S18)</f>
        <v>0.3538599999998242</v>
      </c>
      <c r="U18" s="300"/>
      <c r="V18" s="300">
        <v>0.29533261802495259</v>
      </c>
      <c r="W18" s="300">
        <v>1.7851216022955266E-2</v>
      </c>
      <c r="X18" s="300">
        <v>0</v>
      </c>
      <c r="Y18" s="300">
        <f t="shared" ref="Y18:Y19" si="18">SUM(V18:X18)</f>
        <v>0.31318383404790784</v>
      </c>
    </row>
    <row r="19" spans="1:25" x14ac:dyDescent="0.2">
      <c r="A19" s="264" t="s">
        <v>363</v>
      </c>
      <c r="B19" s="301">
        <f>SUM(B17:B18)</f>
        <v>0.25362959472192093</v>
      </c>
      <c r="C19" s="301">
        <f t="shared" ref="C19" si="19">SUM(C17:C18)</f>
        <v>5.2483506126689864E-3</v>
      </c>
      <c r="D19" s="301">
        <f t="shared" ref="D19" si="20">SUM(D17:D18)</f>
        <v>1.2205466541023607E-4</v>
      </c>
      <c r="E19" s="301">
        <f t="shared" si="14"/>
        <v>0.25900000000000012</v>
      </c>
      <c r="F19" s="301"/>
      <c r="G19" s="301">
        <f>SUM(G17:G18)</f>
        <v>0.37231917808217002</v>
      </c>
      <c r="H19" s="301">
        <f t="shared" ref="H19" si="21">SUM(H17:H18)</f>
        <v>9.4191780822078033E-3</v>
      </c>
      <c r="I19" s="301">
        <f t="shared" ref="I19" si="22">SUM(I17:I18)</f>
        <v>2.6164383562165866E-4</v>
      </c>
      <c r="J19" s="301">
        <f t="shared" si="15"/>
        <v>0.38199999999999951</v>
      </c>
      <c r="K19" s="301"/>
      <c r="L19" s="301">
        <f>SUM(L17:L18)</f>
        <v>0.42806184428481198</v>
      </c>
      <c r="M19" s="301">
        <f t="shared" ref="M19" si="23">SUM(M17:M18)</f>
        <v>3.8938155715187647E-2</v>
      </c>
      <c r="N19" s="301">
        <f t="shared" ref="N19" si="24">SUM(N17:N18)</f>
        <v>0</v>
      </c>
      <c r="O19" s="301">
        <f t="shared" si="16"/>
        <v>0.46699999999999964</v>
      </c>
      <c r="P19" s="301"/>
      <c r="Q19" s="301">
        <f>SUM(Q17:Q18)</f>
        <v>0.3803799999994002</v>
      </c>
      <c r="R19" s="301">
        <f t="shared" ref="R19" si="25">SUM(R17:R18)</f>
        <v>3.5620000000600317E-2</v>
      </c>
      <c r="S19" s="301">
        <f t="shared" ref="S19" si="26">SUM(S17:S18)</f>
        <v>0</v>
      </c>
      <c r="T19" s="301">
        <f t="shared" si="17"/>
        <v>0.41600000000000054</v>
      </c>
      <c r="U19" s="301"/>
      <c r="V19" s="301">
        <f>SUM(V17:V18)</f>
        <v>0.33392274678079786</v>
      </c>
      <c r="W19" s="301">
        <f t="shared" ref="W19" si="27">SUM(W17:W18)</f>
        <v>3.3077253219202504E-2</v>
      </c>
      <c r="X19" s="301">
        <f t="shared" ref="X19" si="28">SUM(X17:X18)</f>
        <v>0</v>
      </c>
      <c r="Y19" s="301">
        <f t="shared" si="18"/>
        <v>0.36700000000000038</v>
      </c>
    </row>
    <row r="20" spans="1:25" x14ac:dyDescent="0.2">
      <c r="A20" s="262"/>
    </row>
    <row r="21" spans="1:25" x14ac:dyDescent="0.2">
      <c r="A21" s="262"/>
    </row>
    <row r="22" spans="1:25" x14ac:dyDescent="0.2">
      <c r="A22" s="262"/>
    </row>
    <row r="23" spans="1:25" ht="15" x14ac:dyDescent="0.25">
      <c r="A23" s="265" t="str">
        <f>"Industry 3 : "&amp; name!B6</f>
        <v>Industry 3 : Food drink and tobacco</v>
      </c>
      <c r="B23" s="374">
        <f>$B$5</f>
        <v>2015</v>
      </c>
      <c r="C23" s="374"/>
      <c r="D23" s="374"/>
      <c r="E23" s="374"/>
      <c r="F23" s="320"/>
      <c r="G23" s="374">
        <f>$G$5</f>
        <v>2019</v>
      </c>
      <c r="H23" s="374"/>
      <c r="I23" s="374"/>
      <c r="J23" s="374"/>
      <c r="K23" s="320"/>
      <c r="L23" s="374">
        <f>$L$5</f>
        <v>2020</v>
      </c>
      <c r="M23" s="374"/>
      <c r="N23" s="374"/>
      <c r="O23" s="374"/>
      <c r="P23" s="318"/>
      <c r="Q23" s="374">
        <f>$Q$5</f>
        <v>2025</v>
      </c>
      <c r="R23" s="374"/>
      <c r="S23" s="374"/>
      <c r="T23" s="374"/>
      <c r="U23" s="320"/>
      <c r="V23" s="374">
        <f>$V$5</f>
        <v>2035</v>
      </c>
      <c r="W23" s="374"/>
      <c r="X23" s="374"/>
      <c r="Y23" s="374"/>
    </row>
    <row r="24" spans="1:25" x14ac:dyDescent="0.2">
      <c r="A24" s="264"/>
      <c r="B24" s="268" t="str">
        <f>$B$6</f>
        <v>FT</v>
      </c>
      <c r="C24" s="268" t="str">
        <f>$C$6</f>
        <v>PT</v>
      </c>
      <c r="D24" s="268" t="str">
        <f>$D$6</f>
        <v>SE</v>
      </c>
      <c r="E24" s="268" t="str">
        <f>$E$6</f>
        <v>Total</v>
      </c>
      <c r="F24" s="268"/>
      <c r="G24" s="268" t="str">
        <f>$B$6</f>
        <v>FT</v>
      </c>
      <c r="H24" s="268" t="str">
        <f>$C$6</f>
        <v>PT</v>
      </c>
      <c r="I24" s="268" t="str">
        <f>$D$6</f>
        <v>SE</v>
      </c>
      <c r="J24" s="268" t="str">
        <f>$E$6</f>
        <v>Total</v>
      </c>
      <c r="K24" s="268"/>
      <c r="L24" s="268" t="str">
        <f>$L$6</f>
        <v>FT</v>
      </c>
      <c r="M24" s="268" t="str">
        <f>$M$6</f>
        <v>PT</v>
      </c>
      <c r="N24" s="268" t="str">
        <f>$N$6</f>
        <v>SE</v>
      </c>
      <c r="O24" s="268" t="str">
        <f>$O$6</f>
        <v>Total</v>
      </c>
      <c r="P24" s="268"/>
      <c r="Q24" s="268" t="str">
        <f>$L$6</f>
        <v>FT</v>
      </c>
      <c r="R24" s="268" t="str">
        <f>$M$6</f>
        <v>PT</v>
      </c>
      <c r="S24" s="268" t="str">
        <f>$N$6</f>
        <v>SE</v>
      </c>
      <c r="T24" s="268" t="str">
        <f>$O$6</f>
        <v>Total</v>
      </c>
      <c r="U24" s="268"/>
      <c r="V24" s="268" t="str">
        <f>$V$6</f>
        <v>FT</v>
      </c>
      <c r="W24" s="268" t="str">
        <f>$W$6</f>
        <v>PT</v>
      </c>
      <c r="X24" s="268" t="str">
        <f>$X$6</f>
        <v>SE</v>
      </c>
      <c r="Y24" s="268" t="str">
        <f>$Y$6</f>
        <v>Total</v>
      </c>
    </row>
    <row r="25" spans="1:25" x14ac:dyDescent="0.2">
      <c r="C25" s="319"/>
      <c r="D25" s="319"/>
      <c r="E25" s="319"/>
      <c r="F25" s="319"/>
      <c r="G25" s="319"/>
      <c r="H25" s="319"/>
      <c r="I25" s="319"/>
      <c r="J25" s="319"/>
      <c r="K25" s="319"/>
      <c r="L25" s="319"/>
      <c r="M25" s="319"/>
      <c r="N25" s="319"/>
      <c r="O25" s="319"/>
      <c r="P25" s="319"/>
      <c r="Q25" s="319"/>
      <c r="R25" s="319"/>
      <c r="S25" s="319"/>
      <c r="T25" s="319"/>
      <c r="U25" s="319"/>
      <c r="V25" s="319"/>
      <c r="W25" s="319"/>
      <c r="X25" s="319"/>
      <c r="Y25" s="319"/>
    </row>
    <row r="26" spans="1:25" x14ac:dyDescent="0.2">
      <c r="A26" s="260" t="s">
        <v>365</v>
      </c>
      <c r="B26" s="300">
        <v>1.0491750802596496</v>
      </c>
      <c r="C26" s="300">
        <v>0.40438833393672169</v>
      </c>
      <c r="D26" s="300">
        <v>4.469175883074962E-2</v>
      </c>
      <c r="E26" s="300">
        <f>SUM(B26:D26)</f>
        <v>1.498255173027121</v>
      </c>
      <c r="F26" s="300"/>
      <c r="G26" s="300">
        <v>1.4317724850578863</v>
      </c>
      <c r="H26" s="300">
        <v>0.59868119285167876</v>
      </c>
      <c r="I26" s="300">
        <v>0</v>
      </c>
      <c r="J26" s="300">
        <f>SUM(G26:I26)</f>
        <v>2.030453677909565</v>
      </c>
      <c r="K26" s="300"/>
      <c r="L26" s="300">
        <v>1.3126716849812945</v>
      </c>
      <c r="M26" s="300">
        <v>0.44390040533594977</v>
      </c>
      <c r="N26" s="300">
        <v>3.8790966993952007E-2</v>
      </c>
      <c r="O26" s="300">
        <f>SUM(L26:N26)</f>
        <v>1.7953630573111961</v>
      </c>
      <c r="P26" s="300"/>
      <c r="Q26" s="300">
        <v>1.3646111703938513</v>
      </c>
      <c r="R26" s="300">
        <v>0.44402854099199118</v>
      </c>
      <c r="S26" s="300">
        <v>4.0200114819890026E-2</v>
      </c>
      <c r="T26" s="300">
        <f>SUM(Q26:S26)</f>
        <v>1.8488398262057326</v>
      </c>
      <c r="U26" s="300"/>
      <c r="V26" s="300">
        <v>1.4039901157445407</v>
      </c>
      <c r="W26" s="300">
        <v>0.42496392667139921</v>
      </c>
      <c r="X26" s="300">
        <v>4.0594660809595472E-2</v>
      </c>
      <c r="Y26" s="300">
        <f>SUM(V26:X26)</f>
        <v>1.8695487032255353</v>
      </c>
    </row>
    <row r="27" spans="1:25" x14ac:dyDescent="0.2">
      <c r="A27" s="260" t="s">
        <v>364</v>
      </c>
      <c r="B27" s="300">
        <v>2.3506423474872098</v>
      </c>
      <c r="C27" s="300">
        <v>0.1704774348907428</v>
      </c>
      <c r="D27" s="300">
        <v>2.162504459492617E-2</v>
      </c>
      <c r="E27" s="300">
        <f t="shared" ref="E27:E28" si="29">SUM(B27:D27)</f>
        <v>2.542744826972879</v>
      </c>
      <c r="F27" s="300"/>
      <c r="G27" s="300">
        <v>2.3782170179137103</v>
      </c>
      <c r="H27" s="300">
        <v>0.19809304175119921</v>
      </c>
      <c r="I27" s="300">
        <v>6.2362624255275874E-3</v>
      </c>
      <c r="J27" s="300">
        <f t="shared" ref="J27:J28" si="30">SUM(G27:I27)</f>
        <v>2.5825463220904368</v>
      </c>
      <c r="K27" s="300"/>
      <c r="L27" s="300">
        <v>2.4903068905757082</v>
      </c>
      <c r="M27" s="300">
        <v>0.13833005211309363</v>
      </c>
      <c r="N27" s="300">
        <v>0</v>
      </c>
      <c r="O27" s="300">
        <f t="shared" ref="O27:O28" si="31">SUM(L27:N27)</f>
        <v>2.6286369426888019</v>
      </c>
      <c r="P27" s="300"/>
      <c r="Q27" s="300">
        <v>2.468652505461943</v>
      </c>
      <c r="R27" s="300">
        <v>0.13850766833233269</v>
      </c>
      <c r="S27" s="300">
        <v>0</v>
      </c>
      <c r="T27" s="300">
        <f t="shared" ref="T27:T28" si="32">SUM(Q27:S27)</f>
        <v>2.6071601737942758</v>
      </c>
      <c r="U27" s="300"/>
      <c r="V27" s="300">
        <v>2.3259643490660751</v>
      </c>
      <c r="W27" s="300">
        <v>0.13348694770839373</v>
      </c>
      <c r="X27" s="300">
        <v>0</v>
      </c>
      <c r="Y27" s="300">
        <f t="shared" ref="Y27:Y28" si="33">SUM(V27:X27)</f>
        <v>2.4594512967744686</v>
      </c>
    </row>
    <row r="28" spans="1:25" x14ac:dyDescent="0.2">
      <c r="A28" s="264" t="s">
        <v>363</v>
      </c>
      <c r="B28" s="301">
        <f>SUM(B26:B27)</f>
        <v>3.3998174277468594</v>
      </c>
      <c r="C28" s="301">
        <f t="shared" ref="C28" si="34">SUM(C26:C27)</f>
        <v>0.57486576882746454</v>
      </c>
      <c r="D28" s="301">
        <f t="shared" ref="D28" si="35">SUM(D26:D27)</f>
        <v>6.6316803425675794E-2</v>
      </c>
      <c r="E28" s="301">
        <f t="shared" si="29"/>
        <v>4.0409999999999995</v>
      </c>
      <c r="F28" s="301"/>
      <c r="G28" s="301">
        <f>SUM(G26:G27)</f>
        <v>3.8099895029715967</v>
      </c>
      <c r="H28" s="301">
        <f t="shared" ref="H28" si="36">SUM(H26:H27)</f>
        <v>0.796774234602878</v>
      </c>
      <c r="I28" s="301">
        <f t="shared" ref="I28" si="37">SUM(I26:I27)</f>
        <v>6.2362624255275874E-3</v>
      </c>
      <c r="J28" s="301">
        <f t="shared" si="30"/>
        <v>4.6130000000000022</v>
      </c>
      <c r="K28" s="301"/>
      <c r="L28" s="301">
        <f>SUM(L26:L27)</f>
        <v>3.8029785755570025</v>
      </c>
      <c r="M28" s="301">
        <f t="shared" ref="M28" si="38">SUM(M26:M27)</f>
        <v>0.58223045744904334</v>
      </c>
      <c r="N28" s="301">
        <f t="shared" ref="N28" si="39">SUM(N26:N27)</f>
        <v>3.8790966993952007E-2</v>
      </c>
      <c r="O28" s="301">
        <f t="shared" si="31"/>
        <v>4.4239999999999977</v>
      </c>
      <c r="P28" s="301"/>
      <c r="Q28" s="301">
        <f>SUM(Q26:Q27)</f>
        <v>3.8332636758557941</v>
      </c>
      <c r="R28" s="301">
        <f t="shared" ref="R28" si="40">SUM(R26:R27)</f>
        <v>0.58253620932432382</v>
      </c>
      <c r="S28" s="301">
        <f t="shared" ref="S28" si="41">SUM(S26:S27)</f>
        <v>4.0200114819890026E-2</v>
      </c>
      <c r="T28" s="301">
        <f t="shared" si="32"/>
        <v>4.4560000000000075</v>
      </c>
      <c r="U28" s="301"/>
      <c r="V28" s="301">
        <f>SUM(V26:V27)</f>
        <v>3.729954464810616</v>
      </c>
      <c r="W28" s="301">
        <f t="shared" ref="W28" si="42">SUM(W26:W27)</f>
        <v>0.55845087437979291</v>
      </c>
      <c r="X28" s="301">
        <f t="shared" ref="X28" si="43">SUM(X26:X27)</f>
        <v>4.0594660809595472E-2</v>
      </c>
      <c r="Y28" s="301">
        <f t="shared" si="33"/>
        <v>4.3290000000000042</v>
      </c>
    </row>
    <row r="32" spans="1:25" ht="15" x14ac:dyDescent="0.25">
      <c r="A32" s="265" t="str">
        <f>"Industry 4 : "&amp; name!B7</f>
        <v>Industry 4 : Engineering</v>
      </c>
      <c r="B32" s="374">
        <f>$B$5</f>
        <v>2015</v>
      </c>
      <c r="C32" s="374"/>
      <c r="D32" s="374"/>
      <c r="E32" s="374"/>
      <c r="F32" s="320"/>
      <c r="G32" s="374">
        <f>$G$5</f>
        <v>2019</v>
      </c>
      <c r="H32" s="374"/>
      <c r="I32" s="374"/>
      <c r="J32" s="374"/>
      <c r="K32" s="320"/>
      <c r="L32" s="374">
        <f>$L$5</f>
        <v>2020</v>
      </c>
      <c r="M32" s="374"/>
      <c r="N32" s="374"/>
      <c r="O32" s="374"/>
      <c r="P32" s="318"/>
      <c r="Q32" s="374">
        <f>$Q$5</f>
        <v>2025</v>
      </c>
      <c r="R32" s="374"/>
      <c r="S32" s="374"/>
      <c r="T32" s="374"/>
      <c r="U32" s="320"/>
      <c r="V32" s="374">
        <f>$V$5</f>
        <v>2035</v>
      </c>
      <c r="W32" s="374"/>
      <c r="X32" s="374"/>
      <c r="Y32" s="374"/>
    </row>
    <row r="33" spans="1:25" x14ac:dyDescent="0.2">
      <c r="A33" s="264"/>
      <c r="B33" s="268" t="str">
        <f>$B$6</f>
        <v>FT</v>
      </c>
      <c r="C33" s="268" t="str">
        <f>$C$6</f>
        <v>PT</v>
      </c>
      <c r="D33" s="268" t="str">
        <f>$D$6</f>
        <v>SE</v>
      </c>
      <c r="E33" s="268" t="str">
        <f>$E$6</f>
        <v>Total</v>
      </c>
      <c r="F33" s="268"/>
      <c r="G33" s="268" t="str">
        <f>$B$6</f>
        <v>FT</v>
      </c>
      <c r="H33" s="268" t="str">
        <f>$C$6</f>
        <v>PT</v>
      </c>
      <c r="I33" s="268" t="str">
        <f>$D$6</f>
        <v>SE</v>
      </c>
      <c r="J33" s="268" t="str">
        <f>$E$6</f>
        <v>Total</v>
      </c>
      <c r="K33" s="268"/>
      <c r="L33" s="268" t="str">
        <f>$L$6</f>
        <v>FT</v>
      </c>
      <c r="M33" s="268" t="str">
        <f>$M$6</f>
        <v>PT</v>
      </c>
      <c r="N33" s="268" t="str">
        <f>$N$6</f>
        <v>SE</v>
      </c>
      <c r="O33" s="268" t="str">
        <f>$O$6</f>
        <v>Total</v>
      </c>
      <c r="P33" s="268"/>
      <c r="Q33" s="268" t="str">
        <f>$L$6</f>
        <v>FT</v>
      </c>
      <c r="R33" s="268" t="str">
        <f>$M$6</f>
        <v>PT</v>
      </c>
      <c r="S33" s="268" t="str">
        <f>$N$6</f>
        <v>SE</v>
      </c>
      <c r="T33" s="268" t="str">
        <f>$O$6</f>
        <v>Total</v>
      </c>
      <c r="U33" s="268"/>
      <c r="V33" s="268" t="str">
        <f>$V$6</f>
        <v>FT</v>
      </c>
      <c r="W33" s="268" t="str">
        <f>$W$6</f>
        <v>PT</v>
      </c>
      <c r="X33" s="268" t="str">
        <f>$X$6</f>
        <v>SE</v>
      </c>
      <c r="Y33" s="268" t="str">
        <f>$Y$6</f>
        <v>Total</v>
      </c>
    </row>
    <row r="34" spans="1:25" x14ac:dyDescent="0.2">
      <c r="C34" s="319"/>
      <c r="D34" s="319"/>
      <c r="E34" s="319"/>
      <c r="F34" s="319"/>
      <c r="G34" s="319"/>
      <c r="H34" s="319"/>
      <c r="I34" s="319"/>
      <c r="J34" s="319"/>
      <c r="K34" s="319"/>
      <c r="L34" s="319"/>
      <c r="M34" s="319"/>
      <c r="N34" s="319"/>
      <c r="O34" s="319"/>
      <c r="P34" s="319"/>
      <c r="Q34" s="319"/>
      <c r="R34" s="319"/>
      <c r="S34" s="319"/>
      <c r="T34" s="319"/>
      <c r="U34" s="319"/>
      <c r="V34" s="319"/>
      <c r="W34" s="319"/>
      <c r="X34" s="319"/>
      <c r="Y34" s="319"/>
    </row>
    <row r="35" spans="1:25" x14ac:dyDescent="0.2">
      <c r="A35" s="260" t="s">
        <v>365</v>
      </c>
      <c r="B35" s="300">
        <v>2.1002450131098964</v>
      </c>
      <c r="C35" s="300">
        <v>0.14672944612411484</v>
      </c>
      <c r="D35" s="300">
        <v>6.2719645598282261E-2</v>
      </c>
      <c r="E35" s="300">
        <f>SUM(B35:D35)</f>
        <v>2.3096941048322934</v>
      </c>
      <c r="F35" s="300"/>
      <c r="G35" s="300">
        <v>2.2082235933960748</v>
      </c>
      <c r="H35" s="300">
        <v>0.33095147809561021</v>
      </c>
      <c r="I35" s="300">
        <v>1.880406125564134E-3</v>
      </c>
      <c r="J35" s="300">
        <f>SUM(G35:I35)</f>
        <v>2.5410554776172489</v>
      </c>
      <c r="K35" s="300"/>
      <c r="L35" s="300">
        <v>2.1780382493826802</v>
      </c>
      <c r="M35" s="300">
        <v>0.23196942446120233</v>
      </c>
      <c r="N35" s="300">
        <v>0.11010815347599393</v>
      </c>
      <c r="O35" s="300">
        <f>SUM(L35:N35)</f>
        <v>2.5201158273198767</v>
      </c>
      <c r="P35" s="300"/>
      <c r="Q35" s="300">
        <v>2.2750696945604987</v>
      </c>
      <c r="R35" s="300">
        <v>0.25367057731289083</v>
      </c>
      <c r="S35" s="300">
        <v>0.1133552096644137</v>
      </c>
      <c r="T35" s="300">
        <f>SUM(Q35:S35)</f>
        <v>2.6420954815378033</v>
      </c>
      <c r="U35" s="300"/>
      <c r="V35" s="300">
        <v>2.0467247254892298</v>
      </c>
      <c r="W35" s="300">
        <v>0.2409314653543746</v>
      </c>
      <c r="X35" s="300">
        <v>0.10615297235912499</v>
      </c>
      <c r="Y35" s="300">
        <f>SUM(V35:X35)</f>
        <v>2.3938091632027292</v>
      </c>
    </row>
    <row r="36" spans="1:25" x14ac:dyDescent="0.2">
      <c r="A36" s="260" t="s">
        <v>364</v>
      </c>
      <c r="B36" s="300">
        <v>9.0350814235537324</v>
      </c>
      <c r="C36" s="300">
        <v>0.11105405137910543</v>
      </c>
      <c r="D36" s="300">
        <v>0.16917042023485562</v>
      </c>
      <c r="E36" s="300">
        <f t="shared" ref="E36:E37" si="44">SUM(B36:D36)</f>
        <v>9.3153058951676933</v>
      </c>
      <c r="F36" s="300"/>
      <c r="G36" s="300">
        <v>8.1659770012018136</v>
      </c>
      <c r="H36" s="300">
        <v>0.14855208391802088</v>
      </c>
      <c r="I36" s="300">
        <v>0.3184154372629211</v>
      </c>
      <c r="J36" s="300">
        <f t="shared" ref="J36:J37" si="45">SUM(G36:I36)</f>
        <v>8.6329445223827559</v>
      </c>
      <c r="K36" s="300"/>
      <c r="L36" s="300">
        <v>7.6599396882668671</v>
      </c>
      <c r="M36" s="300">
        <v>0.13608872901756422</v>
      </c>
      <c r="N36" s="300">
        <v>1.8557553956828102E-3</v>
      </c>
      <c r="O36" s="300">
        <f t="shared" ref="O36:O37" si="46">SUM(L36:N36)</f>
        <v>7.7978841726801145</v>
      </c>
      <c r="P36" s="300"/>
      <c r="Q36" s="300">
        <v>7.7516581483853608</v>
      </c>
      <c r="R36" s="300">
        <v>0.15440817748774008</v>
      </c>
      <c r="S36" s="300">
        <v>1.8381925891045171E-3</v>
      </c>
      <c r="T36" s="300">
        <f t="shared" ref="T36:T37" si="47">SUM(Q36:S36)</f>
        <v>7.9079045184622059</v>
      </c>
      <c r="U36" s="300"/>
      <c r="V36" s="300">
        <v>6.8945759182050885</v>
      </c>
      <c r="W36" s="300">
        <v>0.15982582355242303</v>
      </c>
      <c r="X36" s="300">
        <v>1.7890950397362808E-3</v>
      </c>
      <c r="Y36" s="300">
        <f t="shared" ref="Y36:Y37" si="48">SUM(V36:X36)</f>
        <v>7.0561908367972483</v>
      </c>
    </row>
    <row r="37" spans="1:25" x14ac:dyDescent="0.2">
      <c r="A37" s="264" t="s">
        <v>363</v>
      </c>
      <c r="B37" s="301">
        <f>SUM(B35:B36)</f>
        <v>11.135326436663629</v>
      </c>
      <c r="C37" s="301">
        <f t="shared" ref="C37" si="49">SUM(C35:C36)</f>
        <v>0.25778349750322027</v>
      </c>
      <c r="D37" s="301">
        <f t="shared" ref="D37" si="50">SUM(D35:D36)</f>
        <v>0.23189006583313787</v>
      </c>
      <c r="E37" s="301">
        <f t="shared" si="44"/>
        <v>11.624999999999988</v>
      </c>
      <c r="F37" s="301"/>
      <c r="G37" s="301">
        <f>SUM(G35:G36)</f>
        <v>10.374200594597887</v>
      </c>
      <c r="H37" s="301">
        <f t="shared" ref="H37" si="51">SUM(H35:H36)</f>
        <v>0.47950356201363109</v>
      </c>
      <c r="I37" s="301">
        <f t="shared" ref="I37" si="52">SUM(I35:I36)</f>
        <v>0.32029584338848521</v>
      </c>
      <c r="J37" s="301">
        <f t="shared" si="45"/>
        <v>11.174000000000005</v>
      </c>
      <c r="K37" s="301"/>
      <c r="L37" s="301">
        <f>SUM(L35:L36)</f>
        <v>9.8379779376495478</v>
      </c>
      <c r="M37" s="301">
        <f t="shared" ref="M37" si="53">SUM(M35:M36)</f>
        <v>0.36805815347876658</v>
      </c>
      <c r="N37" s="301">
        <f t="shared" ref="N37" si="54">SUM(N35:N36)</f>
        <v>0.11196390887167673</v>
      </c>
      <c r="O37" s="301">
        <f t="shared" si="46"/>
        <v>10.317999999999991</v>
      </c>
      <c r="P37" s="301"/>
      <c r="Q37" s="301">
        <f>SUM(Q35:Q36)</f>
        <v>10.02672784294586</v>
      </c>
      <c r="R37" s="301">
        <f t="shared" ref="R37" si="55">SUM(R35:R36)</f>
        <v>0.40807875480063094</v>
      </c>
      <c r="S37" s="301">
        <f t="shared" ref="S37" si="56">SUM(S35:S36)</f>
        <v>0.11519340225351822</v>
      </c>
      <c r="T37" s="301">
        <f t="shared" si="47"/>
        <v>10.55000000000001</v>
      </c>
      <c r="U37" s="301"/>
      <c r="V37" s="301">
        <f>SUM(V35:V36)</f>
        <v>8.9413006436943192</v>
      </c>
      <c r="W37" s="301">
        <f t="shared" ref="W37" si="57">SUM(W35:W36)</f>
        <v>0.40075728890679763</v>
      </c>
      <c r="X37" s="301">
        <f t="shared" ref="X37" si="58">SUM(X35:X36)</f>
        <v>0.10794206739886127</v>
      </c>
      <c r="Y37" s="301">
        <f t="shared" si="48"/>
        <v>9.449999999999978</v>
      </c>
    </row>
    <row r="38" spans="1:25" x14ac:dyDescent="0.2">
      <c r="C38" s="263"/>
    </row>
    <row r="39" spans="1:25" x14ac:dyDescent="0.2">
      <c r="C39" s="263"/>
    </row>
    <row r="40" spans="1:25" x14ac:dyDescent="0.2">
      <c r="A40" s="261"/>
    </row>
    <row r="41" spans="1:25" ht="15" x14ac:dyDescent="0.25">
      <c r="A41" s="265" t="str">
        <f>"Industry 5 : "&amp; name!B8</f>
        <v>Industry 5 : Rest of manufacturing</v>
      </c>
      <c r="B41" s="374">
        <f>$B$5</f>
        <v>2015</v>
      </c>
      <c r="C41" s="374"/>
      <c r="D41" s="374"/>
      <c r="E41" s="374"/>
      <c r="F41" s="320"/>
      <c r="G41" s="374">
        <f>$G$5</f>
        <v>2019</v>
      </c>
      <c r="H41" s="374"/>
      <c r="I41" s="374"/>
      <c r="J41" s="374"/>
      <c r="K41" s="320"/>
      <c r="L41" s="374">
        <f>$L$5</f>
        <v>2020</v>
      </c>
      <c r="M41" s="374"/>
      <c r="N41" s="374"/>
      <c r="O41" s="374"/>
      <c r="P41" s="318"/>
      <c r="Q41" s="374">
        <f>$Q$5</f>
        <v>2025</v>
      </c>
      <c r="R41" s="374"/>
      <c r="S41" s="374"/>
      <c r="T41" s="374"/>
      <c r="U41" s="320"/>
      <c r="V41" s="374">
        <f>$V$5</f>
        <v>2035</v>
      </c>
      <c r="W41" s="374"/>
      <c r="X41" s="374"/>
      <c r="Y41" s="374"/>
    </row>
    <row r="42" spans="1:25" x14ac:dyDescent="0.2">
      <c r="A42" s="264"/>
      <c r="B42" s="268" t="str">
        <f>$B$6</f>
        <v>FT</v>
      </c>
      <c r="C42" s="268" t="str">
        <f>$C$6</f>
        <v>PT</v>
      </c>
      <c r="D42" s="268" t="str">
        <f>$D$6</f>
        <v>SE</v>
      </c>
      <c r="E42" s="268" t="str">
        <f>$E$6</f>
        <v>Total</v>
      </c>
      <c r="F42" s="268"/>
      <c r="G42" s="268" t="str">
        <f>$B$6</f>
        <v>FT</v>
      </c>
      <c r="H42" s="268" t="str">
        <f>$C$6</f>
        <v>PT</v>
      </c>
      <c r="I42" s="268" t="str">
        <f>$D$6</f>
        <v>SE</v>
      </c>
      <c r="J42" s="268" t="str">
        <f>$E$6</f>
        <v>Total</v>
      </c>
      <c r="K42" s="268"/>
      <c r="L42" s="268" t="str">
        <f>$L$6</f>
        <v>FT</v>
      </c>
      <c r="M42" s="268" t="str">
        <f>$M$6</f>
        <v>PT</v>
      </c>
      <c r="N42" s="268" t="str">
        <f>$N$6</f>
        <v>SE</v>
      </c>
      <c r="O42" s="268" t="str">
        <f>$O$6</f>
        <v>Total</v>
      </c>
      <c r="P42" s="268"/>
      <c r="Q42" s="268" t="str">
        <f>$L$6</f>
        <v>FT</v>
      </c>
      <c r="R42" s="268" t="str">
        <f>$M$6</f>
        <v>PT</v>
      </c>
      <c r="S42" s="268" t="str">
        <f>$N$6</f>
        <v>SE</v>
      </c>
      <c r="T42" s="268" t="str">
        <f>$O$6</f>
        <v>Total</v>
      </c>
      <c r="U42" s="268"/>
      <c r="V42" s="268" t="str">
        <f>$V$6</f>
        <v>FT</v>
      </c>
      <c r="W42" s="268" t="str">
        <f>$W$6</f>
        <v>PT</v>
      </c>
      <c r="X42" s="268" t="str">
        <f>$X$6</f>
        <v>SE</v>
      </c>
      <c r="Y42" s="268" t="str">
        <f>$Y$6</f>
        <v>Total</v>
      </c>
    </row>
    <row r="43" spans="1:25" x14ac:dyDescent="0.2">
      <c r="C43" s="319"/>
      <c r="D43" s="319"/>
      <c r="E43" s="319"/>
      <c r="F43" s="319"/>
      <c r="G43" s="319"/>
      <c r="H43" s="319"/>
      <c r="I43" s="319"/>
      <c r="J43" s="319"/>
      <c r="K43" s="319"/>
      <c r="L43" s="319"/>
      <c r="M43" s="319"/>
      <c r="N43" s="319"/>
      <c r="O43" s="319"/>
      <c r="P43" s="319"/>
      <c r="Q43" s="319"/>
      <c r="R43" s="319"/>
      <c r="S43" s="319"/>
      <c r="T43" s="319"/>
      <c r="U43" s="319"/>
      <c r="V43" s="319"/>
      <c r="W43" s="319"/>
      <c r="X43" s="319"/>
      <c r="Y43" s="319"/>
    </row>
    <row r="44" spans="1:25" x14ac:dyDescent="0.2">
      <c r="A44" s="260" t="s">
        <v>365</v>
      </c>
      <c r="B44" s="300">
        <v>5.8680595881343356</v>
      </c>
      <c r="C44" s="300">
        <v>1.8807883295731762</v>
      </c>
      <c r="D44" s="300">
        <v>0.9625367791645153</v>
      </c>
      <c r="E44" s="300">
        <f>SUM(B44:D44)</f>
        <v>8.7113846968720274</v>
      </c>
      <c r="F44" s="300"/>
      <c r="G44" s="300">
        <v>6.2878243801030855</v>
      </c>
      <c r="H44" s="300">
        <v>1.9187688239440717</v>
      </c>
      <c r="I44" s="300">
        <v>2.1650423965856353E-3</v>
      </c>
      <c r="J44" s="300">
        <f>SUM(G44:I44)</f>
        <v>8.2087582464437432</v>
      </c>
      <c r="K44" s="300"/>
      <c r="L44" s="300">
        <v>5.7831417866688755</v>
      </c>
      <c r="M44" s="300">
        <v>1.2608752341602731</v>
      </c>
      <c r="N44" s="300">
        <v>0.42646449603964931</v>
      </c>
      <c r="O44" s="300">
        <f>SUM(L44:N44)</f>
        <v>7.4704815168687979</v>
      </c>
      <c r="P44" s="300"/>
      <c r="Q44" s="300">
        <v>5.615081702575548</v>
      </c>
      <c r="R44" s="300">
        <v>1.2171214070212384</v>
      </c>
      <c r="S44" s="300">
        <v>0.3817883081280688</v>
      </c>
      <c r="T44" s="300">
        <f>SUM(Q44:S44)</f>
        <v>7.2139914177248556</v>
      </c>
      <c r="U44" s="300"/>
      <c r="V44" s="300">
        <v>5.217491060978424</v>
      </c>
      <c r="W44" s="300">
        <v>1.1206349772487392</v>
      </c>
      <c r="X44" s="300">
        <v>0.3382320241551407</v>
      </c>
      <c r="Y44" s="300">
        <f>SUM(V44:X44)</f>
        <v>6.6763580623823033</v>
      </c>
    </row>
    <row r="45" spans="1:25" x14ac:dyDescent="0.2">
      <c r="A45" s="260" t="s">
        <v>364</v>
      </c>
      <c r="B45" s="300">
        <v>36.831437840697852</v>
      </c>
      <c r="C45" s="300">
        <v>0.64293615237462476</v>
      </c>
      <c r="D45" s="300">
        <v>2.1662413100554447</v>
      </c>
      <c r="E45" s="300">
        <f t="shared" ref="E45:E46" si="59">SUM(B45:D45)</f>
        <v>39.640615303127923</v>
      </c>
      <c r="F45" s="300"/>
      <c r="G45" s="300">
        <v>33.429337124054861</v>
      </c>
      <c r="H45" s="300">
        <v>0.8898324249915639</v>
      </c>
      <c r="I45" s="300">
        <v>1.0700722045098279</v>
      </c>
      <c r="J45" s="300">
        <f t="shared" ref="J45:J46" si="60">SUM(G45:I45)</f>
        <v>35.389241753556249</v>
      </c>
      <c r="K45" s="300"/>
      <c r="L45" s="300">
        <v>32.15313545279254</v>
      </c>
      <c r="M45" s="300">
        <v>0.78920441222347915</v>
      </c>
      <c r="N45" s="300">
        <v>2.1786181151833661E-3</v>
      </c>
      <c r="O45" s="300">
        <f t="shared" ref="O45:O46" si="61">SUM(L45:N45)</f>
        <v>32.944518483131198</v>
      </c>
      <c r="P45" s="300"/>
      <c r="Q45" s="300">
        <v>30.958814041302983</v>
      </c>
      <c r="R45" s="300">
        <v>0.75700350333576916</v>
      </c>
      <c r="S45" s="300">
        <v>2.1910376362994995E-3</v>
      </c>
      <c r="T45" s="300">
        <f t="shared" ref="T45:T46" si="62">SUM(Q45:S45)</f>
        <v>31.718008582275054</v>
      </c>
      <c r="U45" s="300"/>
      <c r="V45" s="300">
        <v>27.906073170313224</v>
      </c>
      <c r="W45" s="300">
        <v>0.69136170678798614</v>
      </c>
      <c r="X45" s="300">
        <v>2.2070605165034345E-3</v>
      </c>
      <c r="Y45" s="300">
        <f t="shared" ref="Y45:Y46" si="63">SUM(V45:X45)</f>
        <v>28.599641937617715</v>
      </c>
    </row>
    <row r="46" spans="1:25" x14ac:dyDescent="0.2">
      <c r="A46" s="264" t="s">
        <v>363</v>
      </c>
      <c r="B46" s="301">
        <f>SUM(B44:B45)</f>
        <v>42.699497428832188</v>
      </c>
      <c r="C46" s="301">
        <f t="shared" ref="C46" si="64">SUM(C44:C45)</f>
        <v>2.5237244819478009</v>
      </c>
      <c r="D46" s="301">
        <f t="shared" ref="D46" si="65">SUM(D44:D45)</f>
        <v>3.1287780892199599</v>
      </c>
      <c r="E46" s="301">
        <f t="shared" si="59"/>
        <v>48.351999999999947</v>
      </c>
      <c r="F46" s="301"/>
      <c r="G46" s="301">
        <f>SUM(G44:G45)</f>
        <v>39.717161504157943</v>
      </c>
      <c r="H46" s="301">
        <f t="shared" ref="H46" si="66">SUM(H44:H45)</f>
        <v>2.8086012489356356</v>
      </c>
      <c r="I46" s="301">
        <f t="shared" ref="I46" si="67">SUM(I44:I45)</f>
        <v>1.0722372469064134</v>
      </c>
      <c r="J46" s="301">
        <f t="shared" si="60"/>
        <v>43.597999999999992</v>
      </c>
      <c r="K46" s="301"/>
      <c r="L46" s="301">
        <f>SUM(L44:L45)</f>
        <v>37.936277239461418</v>
      </c>
      <c r="M46" s="301">
        <f t="shared" ref="M46" si="68">SUM(M44:M45)</f>
        <v>2.0500796463837521</v>
      </c>
      <c r="N46" s="301">
        <f t="shared" ref="N46" si="69">SUM(N44:N45)</f>
        <v>0.42864311415483269</v>
      </c>
      <c r="O46" s="301">
        <f t="shared" si="61"/>
        <v>40.414999999999999</v>
      </c>
      <c r="P46" s="301"/>
      <c r="Q46" s="301">
        <f>SUM(Q44:Q45)</f>
        <v>36.573895743878531</v>
      </c>
      <c r="R46" s="301">
        <f t="shared" ref="R46" si="70">SUM(R44:R45)</f>
        <v>1.9741249103570075</v>
      </c>
      <c r="S46" s="301">
        <f t="shared" ref="S46" si="71">SUM(S44:S45)</f>
        <v>0.38397934576436832</v>
      </c>
      <c r="T46" s="301">
        <f t="shared" si="62"/>
        <v>38.931999999999903</v>
      </c>
      <c r="U46" s="301"/>
      <c r="V46" s="301">
        <f>SUM(V44:V45)</f>
        <v>33.123564231291645</v>
      </c>
      <c r="W46" s="301">
        <f t="shared" ref="W46" si="72">SUM(W44:W45)</f>
        <v>1.8119966840367252</v>
      </c>
      <c r="X46" s="301">
        <f t="shared" ref="X46" si="73">SUM(X44:X45)</f>
        <v>0.34043908467164413</v>
      </c>
      <c r="Y46" s="301">
        <f t="shared" si="63"/>
        <v>35.276000000000018</v>
      </c>
    </row>
    <row r="47" spans="1:25" x14ac:dyDescent="0.2">
      <c r="C47" s="263"/>
    </row>
    <row r="48" spans="1:25" x14ac:dyDescent="0.2">
      <c r="C48" s="263"/>
    </row>
    <row r="49" spans="1:25" x14ac:dyDescent="0.2">
      <c r="C49" s="263"/>
    </row>
    <row r="50" spans="1:25" ht="15" x14ac:dyDescent="0.25">
      <c r="A50" s="265" t="str">
        <f>"Industry 6 : "&amp; name!B9</f>
        <v>Industry 6 : Electricity and gas</v>
      </c>
      <c r="B50" s="374">
        <f>$B$5</f>
        <v>2015</v>
      </c>
      <c r="C50" s="374"/>
      <c r="D50" s="374"/>
      <c r="E50" s="374"/>
      <c r="F50" s="320"/>
      <c r="G50" s="374">
        <f>$G$5</f>
        <v>2019</v>
      </c>
      <c r="H50" s="374"/>
      <c r="I50" s="374"/>
      <c r="J50" s="374"/>
      <c r="K50" s="320"/>
      <c r="L50" s="374">
        <f>$L$5</f>
        <v>2020</v>
      </c>
      <c r="M50" s="374"/>
      <c r="N50" s="374"/>
      <c r="O50" s="374"/>
      <c r="P50" s="318"/>
      <c r="Q50" s="374">
        <f>$Q$5</f>
        <v>2025</v>
      </c>
      <c r="R50" s="374"/>
      <c r="S50" s="374"/>
      <c r="T50" s="374"/>
      <c r="U50" s="320"/>
      <c r="V50" s="374">
        <f>$V$5</f>
        <v>2035</v>
      </c>
      <c r="W50" s="374"/>
      <c r="X50" s="374"/>
      <c r="Y50" s="374"/>
    </row>
    <row r="51" spans="1:25" x14ac:dyDescent="0.2">
      <c r="A51" s="264"/>
      <c r="B51" s="268" t="str">
        <f>$B$6</f>
        <v>FT</v>
      </c>
      <c r="C51" s="268" t="str">
        <f>$C$6</f>
        <v>PT</v>
      </c>
      <c r="D51" s="268" t="str">
        <f>$D$6</f>
        <v>SE</v>
      </c>
      <c r="E51" s="268" t="str">
        <f>$E$6</f>
        <v>Total</v>
      </c>
      <c r="F51" s="268"/>
      <c r="G51" s="268" t="str">
        <f>$B$6</f>
        <v>FT</v>
      </c>
      <c r="H51" s="268" t="str">
        <f>$C$6</f>
        <v>PT</v>
      </c>
      <c r="I51" s="268" t="str">
        <f>$D$6</f>
        <v>SE</v>
      </c>
      <c r="J51" s="268" t="str">
        <f>$E$6</f>
        <v>Total</v>
      </c>
      <c r="K51" s="268"/>
      <c r="L51" s="268" t="str">
        <f>$L$6</f>
        <v>FT</v>
      </c>
      <c r="M51" s="268" t="str">
        <f>$M$6</f>
        <v>PT</v>
      </c>
      <c r="N51" s="268" t="str">
        <f>$N$6</f>
        <v>SE</v>
      </c>
      <c r="O51" s="268" t="str">
        <f>$O$6</f>
        <v>Total</v>
      </c>
      <c r="P51" s="268"/>
      <c r="Q51" s="268" t="str">
        <f>$L$6</f>
        <v>FT</v>
      </c>
      <c r="R51" s="268" t="str">
        <f>$M$6</f>
        <v>PT</v>
      </c>
      <c r="S51" s="268" t="str">
        <f>$N$6</f>
        <v>SE</v>
      </c>
      <c r="T51" s="268" t="str">
        <f>$O$6</f>
        <v>Total</v>
      </c>
      <c r="U51" s="268"/>
      <c r="V51" s="268" t="str">
        <f>$V$6</f>
        <v>FT</v>
      </c>
      <c r="W51" s="268" t="str">
        <f>$W$6</f>
        <v>PT</v>
      </c>
      <c r="X51" s="268" t="str">
        <f>$X$6</f>
        <v>SE</v>
      </c>
      <c r="Y51" s="268" t="str">
        <f>$Y$6</f>
        <v>Total</v>
      </c>
    </row>
    <row r="52" spans="1:25" x14ac:dyDescent="0.2">
      <c r="C52" s="319"/>
      <c r="D52" s="319"/>
      <c r="E52" s="319"/>
      <c r="F52" s="319"/>
      <c r="G52" s="319"/>
      <c r="H52" s="319"/>
      <c r="I52" s="319"/>
      <c r="J52" s="319"/>
      <c r="K52" s="319"/>
      <c r="L52" s="319"/>
      <c r="M52" s="319"/>
      <c r="N52" s="319"/>
      <c r="O52" s="319"/>
      <c r="P52" s="319"/>
      <c r="Q52" s="319"/>
      <c r="R52" s="319"/>
      <c r="S52" s="319"/>
      <c r="T52" s="319"/>
      <c r="U52" s="319"/>
      <c r="V52" s="319"/>
      <c r="W52" s="319"/>
      <c r="X52" s="319"/>
      <c r="Y52" s="319"/>
    </row>
    <row r="53" spans="1:25" x14ac:dyDescent="0.2">
      <c r="A53" s="260" t="s">
        <v>365</v>
      </c>
      <c r="B53" s="300">
        <v>0.70316007714776774</v>
      </c>
      <c r="C53" s="300">
        <v>0.22187729026490066</v>
      </c>
      <c r="D53" s="300">
        <v>6.5838958535066128E-4</v>
      </c>
      <c r="E53" s="300">
        <f>SUM(B53:D53)</f>
        <v>0.92569575699801909</v>
      </c>
      <c r="F53" s="300"/>
      <c r="G53" s="300">
        <v>1.4325750659312084</v>
      </c>
      <c r="H53" s="300">
        <v>0.37275319537757895</v>
      </c>
      <c r="I53" s="300">
        <v>5.6735646176842805E-4</v>
      </c>
      <c r="J53" s="300">
        <f>SUM(G53:I53)</f>
        <v>1.8058956177705558</v>
      </c>
      <c r="K53" s="300"/>
      <c r="L53" s="300">
        <v>1.3630556912530911</v>
      </c>
      <c r="M53" s="300">
        <v>0.35228871519657662</v>
      </c>
      <c r="N53" s="300">
        <v>0</v>
      </c>
      <c r="O53" s="300">
        <f>SUM(L53:N53)</f>
        <v>1.7153444064496677</v>
      </c>
      <c r="P53" s="300"/>
      <c r="Q53" s="300">
        <v>1.3578346081378228</v>
      </c>
      <c r="R53" s="300">
        <v>0.34729999007507045</v>
      </c>
      <c r="S53" s="300">
        <v>0</v>
      </c>
      <c r="T53" s="300">
        <f>SUM(Q53:S53)</f>
        <v>1.7051345982128931</v>
      </c>
      <c r="U53" s="300"/>
      <c r="V53" s="300">
        <v>1.4171734425155496</v>
      </c>
      <c r="W53" s="300">
        <v>0.35572311591633754</v>
      </c>
      <c r="X53" s="300">
        <v>0</v>
      </c>
      <c r="Y53" s="300">
        <f>SUM(V53:X53)</f>
        <v>1.7728965584318872</v>
      </c>
    </row>
    <row r="54" spans="1:25" x14ac:dyDescent="0.2">
      <c r="A54" s="260" t="s">
        <v>364</v>
      </c>
      <c r="B54" s="300">
        <v>1.7789686595881558</v>
      </c>
      <c r="C54" s="300">
        <v>2.5677193828492234E-2</v>
      </c>
      <c r="D54" s="300">
        <v>6.5838958533918533E-4</v>
      </c>
      <c r="E54" s="300">
        <f t="shared" ref="E54:E55" si="74">SUM(B54:D54)</f>
        <v>1.8053042430019872</v>
      </c>
      <c r="F54" s="300"/>
      <c r="G54" s="300">
        <v>3.7042703388124374</v>
      </c>
      <c r="H54" s="300">
        <v>8.2834043417003886E-2</v>
      </c>
      <c r="I54" s="300">
        <v>0</v>
      </c>
      <c r="J54" s="300">
        <f t="shared" ref="J54:J55" si="75">SUM(G54:I54)</f>
        <v>3.7871043822294412</v>
      </c>
      <c r="K54" s="300"/>
      <c r="L54" s="300">
        <v>3.6526477772340411</v>
      </c>
      <c r="M54" s="300">
        <v>4.9513922814165091E-2</v>
      </c>
      <c r="N54" s="300">
        <v>0.40749389350212412</v>
      </c>
      <c r="O54" s="300">
        <f t="shared" ref="O54:O55" si="76">SUM(L54:N54)</f>
        <v>4.1096555935503307</v>
      </c>
      <c r="P54" s="300"/>
      <c r="Q54" s="300">
        <v>3.582493493568506</v>
      </c>
      <c r="R54" s="300">
        <v>4.9614284294438149E-2</v>
      </c>
      <c r="S54" s="300">
        <v>0.40375762392415387</v>
      </c>
      <c r="T54" s="300">
        <f t="shared" ref="T54:T55" si="77">SUM(Q54:S54)</f>
        <v>4.0358654017870981</v>
      </c>
      <c r="U54" s="300"/>
      <c r="V54" s="300">
        <v>3.6224280003968645</v>
      </c>
      <c r="W54" s="300">
        <v>5.261499463759535E-2</v>
      </c>
      <c r="X54" s="300">
        <v>0.41806044653365837</v>
      </c>
      <c r="Y54" s="300">
        <f t="shared" ref="Y54:Y55" si="78">SUM(V54:X54)</f>
        <v>4.0931034415681182</v>
      </c>
    </row>
    <row r="55" spans="1:25" x14ac:dyDescent="0.2">
      <c r="A55" s="264" t="s">
        <v>363</v>
      </c>
      <c r="B55" s="301">
        <f>SUM(B53:B54)</f>
        <v>2.4821287367359233</v>
      </c>
      <c r="C55" s="301">
        <f t="shared" ref="C55" si="79">SUM(C53:C54)</f>
        <v>0.2475544840933929</v>
      </c>
      <c r="D55" s="301">
        <f t="shared" ref="D55" si="80">SUM(D53:D54)</f>
        <v>1.3167791706898465E-3</v>
      </c>
      <c r="E55" s="301">
        <f t="shared" si="74"/>
        <v>2.7310000000000061</v>
      </c>
      <c r="F55" s="301"/>
      <c r="G55" s="301">
        <f>SUM(G53:G54)</f>
        <v>5.1368454047436458</v>
      </c>
      <c r="H55" s="301">
        <f t="shared" ref="H55" si="81">SUM(H53:H54)</f>
        <v>0.45558723879458285</v>
      </c>
      <c r="I55" s="301">
        <f t="shared" ref="I55" si="82">SUM(I53:I54)</f>
        <v>5.6735646176842805E-4</v>
      </c>
      <c r="J55" s="301">
        <f t="shared" si="75"/>
        <v>5.5929999999999973</v>
      </c>
      <c r="K55" s="301"/>
      <c r="L55" s="301">
        <f>SUM(L53:L54)</f>
        <v>5.015703468487132</v>
      </c>
      <c r="M55" s="301">
        <f t="shared" ref="M55" si="83">SUM(M53:M54)</f>
        <v>0.40180263801074173</v>
      </c>
      <c r="N55" s="301">
        <f t="shared" ref="N55" si="84">SUM(N53:N54)</f>
        <v>0.40749389350212412</v>
      </c>
      <c r="O55" s="301">
        <f t="shared" si="76"/>
        <v>5.8249999999999984</v>
      </c>
      <c r="P55" s="301"/>
      <c r="Q55" s="301">
        <f>SUM(Q53:Q54)</f>
        <v>4.9403281017063287</v>
      </c>
      <c r="R55" s="301">
        <f t="shared" ref="R55" si="85">SUM(R53:R54)</f>
        <v>0.3969142743695086</v>
      </c>
      <c r="S55" s="301">
        <f t="shared" ref="S55" si="86">SUM(S53:S54)</f>
        <v>0.40375762392415387</v>
      </c>
      <c r="T55" s="301">
        <f t="shared" si="77"/>
        <v>5.7409999999999908</v>
      </c>
      <c r="U55" s="301"/>
      <c r="V55" s="301">
        <f>SUM(V53:V54)</f>
        <v>5.0396014429124136</v>
      </c>
      <c r="W55" s="301">
        <f t="shared" ref="W55" si="87">SUM(W53:W54)</f>
        <v>0.40833811055393288</v>
      </c>
      <c r="X55" s="301">
        <f t="shared" ref="X55" si="88">SUM(X53:X54)</f>
        <v>0.41806044653365837</v>
      </c>
      <c r="Y55" s="301">
        <f t="shared" si="78"/>
        <v>5.866000000000005</v>
      </c>
    </row>
    <row r="56" spans="1:25" x14ac:dyDescent="0.2">
      <c r="C56" s="263"/>
    </row>
    <row r="57" spans="1:25" x14ac:dyDescent="0.2">
      <c r="C57" s="263"/>
    </row>
    <row r="58" spans="1:25" x14ac:dyDescent="0.2">
      <c r="C58" s="263"/>
    </row>
    <row r="59" spans="1:25" ht="15" x14ac:dyDescent="0.25">
      <c r="A59" s="265" t="str">
        <f>"Industry 7 : "&amp; name!B10</f>
        <v>Industry 7 : Water and sewerage</v>
      </c>
      <c r="B59" s="374">
        <f>$B$5</f>
        <v>2015</v>
      </c>
      <c r="C59" s="374"/>
      <c r="D59" s="374"/>
      <c r="E59" s="374"/>
      <c r="F59" s="320"/>
      <c r="G59" s="374">
        <f>$G$5</f>
        <v>2019</v>
      </c>
      <c r="H59" s="374"/>
      <c r="I59" s="374"/>
      <c r="J59" s="374"/>
      <c r="K59" s="320"/>
      <c r="L59" s="374">
        <f>$L$5</f>
        <v>2020</v>
      </c>
      <c r="M59" s="374"/>
      <c r="N59" s="374"/>
      <c r="O59" s="374"/>
      <c r="P59" s="318"/>
      <c r="Q59" s="374">
        <f>$Q$5</f>
        <v>2025</v>
      </c>
      <c r="R59" s="374"/>
      <c r="S59" s="374"/>
      <c r="T59" s="374"/>
      <c r="U59" s="320"/>
      <c r="V59" s="374">
        <f>$V$5</f>
        <v>2035</v>
      </c>
      <c r="W59" s="374"/>
      <c r="X59" s="374"/>
      <c r="Y59" s="374"/>
    </row>
    <row r="60" spans="1:25" x14ac:dyDescent="0.2">
      <c r="A60" s="264"/>
      <c r="B60" s="268" t="str">
        <f>$B$6</f>
        <v>FT</v>
      </c>
      <c r="C60" s="268" t="str">
        <f>$C$6</f>
        <v>PT</v>
      </c>
      <c r="D60" s="268" t="str">
        <f>$D$6</f>
        <v>SE</v>
      </c>
      <c r="E60" s="268" t="str">
        <f>$E$6</f>
        <v>Total</v>
      </c>
      <c r="F60" s="268"/>
      <c r="G60" s="268" t="str">
        <f>$B$6</f>
        <v>FT</v>
      </c>
      <c r="H60" s="268" t="str">
        <f>$C$6</f>
        <v>PT</v>
      </c>
      <c r="I60" s="268" t="str">
        <f>$D$6</f>
        <v>SE</v>
      </c>
      <c r="J60" s="268" t="str">
        <f>$E$6</f>
        <v>Total</v>
      </c>
      <c r="K60" s="268"/>
      <c r="L60" s="268" t="str">
        <f>$L$6</f>
        <v>FT</v>
      </c>
      <c r="M60" s="268" t="str">
        <f>$M$6</f>
        <v>PT</v>
      </c>
      <c r="N60" s="268" t="str">
        <f>$N$6</f>
        <v>SE</v>
      </c>
      <c r="O60" s="268" t="str">
        <f>$O$6</f>
        <v>Total</v>
      </c>
      <c r="P60" s="268"/>
      <c r="Q60" s="268" t="str">
        <f>$L$6</f>
        <v>FT</v>
      </c>
      <c r="R60" s="268" t="str">
        <f>$M$6</f>
        <v>PT</v>
      </c>
      <c r="S60" s="268" t="str">
        <f>$N$6</f>
        <v>SE</v>
      </c>
      <c r="T60" s="268" t="str">
        <f>$O$6</f>
        <v>Total</v>
      </c>
      <c r="U60" s="268"/>
      <c r="V60" s="268" t="str">
        <f>$V$6</f>
        <v>FT</v>
      </c>
      <c r="W60" s="268" t="str">
        <f>$W$6</f>
        <v>PT</v>
      </c>
      <c r="X60" s="268" t="str">
        <f>$X$6</f>
        <v>SE</v>
      </c>
      <c r="Y60" s="268" t="str">
        <f>$Y$6</f>
        <v>Total</v>
      </c>
    </row>
    <row r="61" spans="1:25" x14ac:dyDescent="0.2">
      <c r="C61" s="319"/>
      <c r="D61" s="319"/>
      <c r="E61" s="319"/>
      <c r="F61" s="319"/>
      <c r="G61" s="319"/>
      <c r="H61" s="319"/>
      <c r="I61" s="319"/>
      <c r="J61" s="319"/>
      <c r="K61" s="319"/>
      <c r="L61" s="319"/>
      <c r="M61" s="319"/>
      <c r="N61" s="319"/>
      <c r="O61" s="319"/>
      <c r="P61" s="319"/>
      <c r="Q61" s="319"/>
      <c r="R61" s="319"/>
      <c r="S61" s="319"/>
      <c r="T61" s="319"/>
      <c r="U61" s="319"/>
      <c r="V61" s="319"/>
      <c r="W61" s="319"/>
      <c r="X61" s="319"/>
      <c r="Y61" s="319"/>
    </row>
    <row r="62" spans="1:25" x14ac:dyDescent="0.2">
      <c r="A62" s="260" t="s">
        <v>365</v>
      </c>
      <c r="B62" s="300">
        <v>0.56400599722738176</v>
      </c>
      <c r="C62" s="300">
        <v>0.30057019837111409</v>
      </c>
      <c r="D62" s="300">
        <v>0</v>
      </c>
      <c r="E62" s="300">
        <f>SUM(B62:D62)</f>
        <v>0.86457619559849586</v>
      </c>
      <c r="F62" s="300"/>
      <c r="G62" s="300">
        <v>0.68402526498710359</v>
      </c>
      <c r="H62" s="300">
        <v>0.33906229127464049</v>
      </c>
      <c r="I62" s="300">
        <v>0</v>
      </c>
      <c r="J62" s="300">
        <f>SUM(G62:I62)</f>
        <v>1.0230875562617441</v>
      </c>
      <c r="K62" s="300"/>
      <c r="L62" s="300">
        <v>0.56464636075756958</v>
      </c>
      <c r="M62" s="300">
        <v>0.35494725738579147</v>
      </c>
      <c r="N62" s="300">
        <v>3.7362869198227025E-2</v>
      </c>
      <c r="O62" s="300">
        <f>SUM(L62:N62)</f>
        <v>0.95695648734158811</v>
      </c>
      <c r="P62" s="300"/>
      <c r="Q62" s="300">
        <v>0.59310492396030212</v>
      </c>
      <c r="R62" s="300">
        <v>0.36296545501972782</v>
      </c>
      <c r="S62" s="300">
        <v>3.7357308584598493E-2</v>
      </c>
      <c r="T62" s="300">
        <f>SUM(Q62:S62)</f>
        <v>0.99342768756462851</v>
      </c>
      <c r="U62" s="300"/>
      <c r="V62" s="300">
        <v>0.64316384181317776</v>
      </c>
      <c r="W62" s="300">
        <v>0.37423728813831558</v>
      </c>
      <c r="X62" s="300">
        <v>3.7062146893481841E-2</v>
      </c>
      <c r="Y62" s="300">
        <f>SUM(V62:X62)</f>
        <v>1.0544632768449751</v>
      </c>
    </row>
    <row r="63" spans="1:25" x14ac:dyDescent="0.2">
      <c r="A63" s="260" t="s">
        <v>364</v>
      </c>
      <c r="B63" s="300">
        <v>1.9200668922070059</v>
      </c>
      <c r="C63" s="300">
        <v>5.6356912194497441E-2</v>
      </c>
      <c r="D63" s="300">
        <v>0</v>
      </c>
      <c r="E63" s="300">
        <f t="shared" ref="E63:E64" si="89">SUM(B63:D63)</f>
        <v>1.9764238044015032</v>
      </c>
      <c r="F63" s="300"/>
      <c r="G63" s="300">
        <v>2.0370971395418174</v>
      </c>
      <c r="H63" s="300">
        <v>6.5815304196436053E-2</v>
      </c>
      <c r="I63" s="300">
        <v>0</v>
      </c>
      <c r="J63" s="300">
        <f t="shared" ref="J63:J64" si="90">SUM(G63:I63)</f>
        <v>2.1029124437382536</v>
      </c>
      <c r="K63" s="300"/>
      <c r="L63" s="300">
        <v>2.1511671940967259</v>
      </c>
      <c r="M63" s="300">
        <v>4.8104694092871492E-2</v>
      </c>
      <c r="N63" s="300">
        <v>0.3857716244688193</v>
      </c>
      <c r="O63" s="300">
        <f t="shared" ref="O63:O64" si="91">SUM(L63:N63)</f>
        <v>2.5850435126584168</v>
      </c>
      <c r="P63" s="300"/>
      <c r="Q63" s="300">
        <v>2.1593446764534314</v>
      </c>
      <c r="R63" s="300">
        <v>4.9348543438934966E-2</v>
      </c>
      <c r="S63" s="300">
        <v>0.37587909254300561</v>
      </c>
      <c r="T63" s="300">
        <f t="shared" ref="T63:T64" si="92">SUM(Q63:S63)</f>
        <v>2.5845723124353719</v>
      </c>
      <c r="U63" s="300"/>
      <c r="V63" s="300">
        <v>2.145536723156126</v>
      </c>
      <c r="W63" s="300">
        <v>4.9265536723121416E-2</v>
      </c>
      <c r="X63" s="300">
        <v>0.35073446327577495</v>
      </c>
      <c r="Y63" s="300">
        <f t="shared" ref="Y63:Y64" si="93">SUM(V63:X63)</f>
        <v>2.5455367231550223</v>
      </c>
    </row>
    <row r="64" spans="1:25" x14ac:dyDescent="0.2">
      <c r="A64" s="264" t="s">
        <v>363</v>
      </c>
      <c r="B64" s="301">
        <f>SUM(B62:B63)</f>
        <v>2.4840728894343878</v>
      </c>
      <c r="C64" s="301">
        <f t="shared" ref="C64" si="94">SUM(C62:C63)</f>
        <v>0.35692711056561155</v>
      </c>
      <c r="D64" s="301">
        <f t="shared" ref="D64" si="95">SUM(D62:D63)</f>
        <v>0</v>
      </c>
      <c r="E64" s="301">
        <f t="shared" si="89"/>
        <v>2.8409999999999993</v>
      </c>
      <c r="F64" s="301"/>
      <c r="G64" s="301">
        <f>SUM(G62:G63)</f>
        <v>2.7211224045289208</v>
      </c>
      <c r="H64" s="301">
        <f t="shared" ref="H64" si="96">SUM(H62:H63)</f>
        <v>0.40487759547107655</v>
      </c>
      <c r="I64" s="301">
        <f t="shared" ref="I64" si="97">SUM(I62:I63)</f>
        <v>0</v>
      </c>
      <c r="J64" s="301">
        <f t="shared" si="90"/>
        <v>3.1259999999999972</v>
      </c>
      <c r="K64" s="301"/>
      <c r="L64" s="301">
        <f>SUM(L62:L63)</f>
        <v>2.7158135548542957</v>
      </c>
      <c r="M64" s="301">
        <f t="shared" ref="M64" si="98">SUM(M62:M63)</f>
        <v>0.40305195147866296</v>
      </c>
      <c r="N64" s="301">
        <f t="shared" ref="N64" si="99">SUM(N62:N63)</f>
        <v>0.42313449366704631</v>
      </c>
      <c r="O64" s="301">
        <f t="shared" si="91"/>
        <v>3.5420000000000051</v>
      </c>
      <c r="P64" s="301"/>
      <c r="Q64" s="301">
        <f>SUM(Q62:Q63)</f>
        <v>2.7524496004137333</v>
      </c>
      <c r="R64" s="301">
        <f t="shared" ref="R64" si="100">SUM(R62:R63)</f>
        <v>0.41231399845866279</v>
      </c>
      <c r="S64" s="301">
        <f t="shared" ref="S64" si="101">SUM(S62:S63)</f>
        <v>0.41323640112760412</v>
      </c>
      <c r="T64" s="301">
        <f t="shared" si="92"/>
        <v>3.5779999999999998</v>
      </c>
      <c r="U64" s="301"/>
      <c r="V64" s="301">
        <f>SUM(V62:V63)</f>
        <v>2.7887005649693037</v>
      </c>
      <c r="W64" s="301">
        <f t="shared" ref="W64" si="102">SUM(W62:W63)</f>
        <v>0.42350282486143698</v>
      </c>
      <c r="X64" s="301">
        <f t="shared" ref="X64" si="103">SUM(X62:X63)</f>
        <v>0.38779661016925682</v>
      </c>
      <c r="Y64" s="301">
        <f t="shared" si="93"/>
        <v>3.5999999999999974</v>
      </c>
    </row>
    <row r="68" spans="1:25" ht="15" x14ac:dyDescent="0.25">
      <c r="A68" s="265" t="str">
        <f>"Industry 8 : "&amp; name!B11</f>
        <v>Industry 8 : Construction</v>
      </c>
      <c r="B68" s="374">
        <f>$B$5</f>
        <v>2015</v>
      </c>
      <c r="C68" s="374"/>
      <c r="D68" s="374"/>
      <c r="E68" s="374"/>
      <c r="F68" s="320"/>
      <c r="G68" s="374">
        <f>$G$5</f>
        <v>2019</v>
      </c>
      <c r="H68" s="374"/>
      <c r="I68" s="374"/>
      <c r="J68" s="374"/>
      <c r="K68" s="320"/>
      <c r="L68" s="374">
        <f>$L$5</f>
        <v>2020</v>
      </c>
      <c r="M68" s="374"/>
      <c r="N68" s="374"/>
      <c r="O68" s="374"/>
      <c r="P68" s="318"/>
      <c r="Q68" s="374">
        <f>$Q$5</f>
        <v>2025</v>
      </c>
      <c r="R68" s="374"/>
      <c r="S68" s="374"/>
      <c r="T68" s="374"/>
      <c r="U68" s="320"/>
      <c r="V68" s="374">
        <f>$V$5</f>
        <v>2035</v>
      </c>
      <c r="W68" s="374"/>
      <c r="X68" s="374"/>
      <c r="Y68" s="374"/>
    </row>
    <row r="69" spans="1:25" x14ac:dyDescent="0.2">
      <c r="A69" s="264"/>
      <c r="B69" s="268" t="str">
        <f>$B$6</f>
        <v>FT</v>
      </c>
      <c r="C69" s="268" t="str">
        <f>$C$6</f>
        <v>PT</v>
      </c>
      <c r="D69" s="268" t="str">
        <f>$D$6</f>
        <v>SE</v>
      </c>
      <c r="E69" s="268" t="str">
        <f>$E$6</f>
        <v>Total</v>
      </c>
      <c r="F69" s="268"/>
      <c r="G69" s="268" t="str">
        <f>$B$6</f>
        <v>FT</v>
      </c>
      <c r="H69" s="268" t="str">
        <f>$C$6</f>
        <v>PT</v>
      </c>
      <c r="I69" s="268" t="str">
        <f>$D$6</f>
        <v>SE</v>
      </c>
      <c r="J69" s="268" t="str">
        <f>$E$6</f>
        <v>Total</v>
      </c>
      <c r="K69" s="268"/>
      <c r="L69" s="268" t="str">
        <f>$L$6</f>
        <v>FT</v>
      </c>
      <c r="M69" s="268" t="str">
        <f>$M$6</f>
        <v>PT</v>
      </c>
      <c r="N69" s="268" t="str">
        <f>$N$6</f>
        <v>SE</v>
      </c>
      <c r="O69" s="268" t="str">
        <f>$O$6</f>
        <v>Total</v>
      </c>
      <c r="P69" s="268"/>
      <c r="Q69" s="268" t="str">
        <f>$L$6</f>
        <v>FT</v>
      </c>
      <c r="R69" s="268" t="str">
        <f>$M$6</f>
        <v>PT</v>
      </c>
      <c r="S69" s="268" t="str">
        <f>$N$6</f>
        <v>SE</v>
      </c>
      <c r="T69" s="268" t="str">
        <f>$O$6</f>
        <v>Total</v>
      </c>
      <c r="U69" s="268"/>
      <c r="V69" s="268" t="str">
        <f>$V$6</f>
        <v>FT</v>
      </c>
      <c r="W69" s="268" t="str">
        <f>$W$6</f>
        <v>PT</v>
      </c>
      <c r="X69" s="268" t="str">
        <f>$X$6</f>
        <v>SE</v>
      </c>
      <c r="Y69" s="268" t="str">
        <f>$Y$6</f>
        <v>Total</v>
      </c>
    </row>
    <row r="70" spans="1:25" x14ac:dyDescent="0.2">
      <c r="C70" s="319"/>
      <c r="D70" s="319"/>
      <c r="E70" s="319"/>
      <c r="F70" s="319"/>
      <c r="G70" s="319"/>
      <c r="H70" s="319"/>
      <c r="I70" s="319"/>
      <c r="J70" s="319"/>
      <c r="K70" s="319"/>
      <c r="L70" s="319"/>
      <c r="M70" s="319"/>
      <c r="N70" s="319"/>
      <c r="O70" s="319"/>
      <c r="P70" s="319"/>
      <c r="Q70" s="319"/>
      <c r="R70" s="319"/>
      <c r="S70" s="319"/>
      <c r="T70" s="319"/>
      <c r="U70" s="319"/>
      <c r="V70" s="319"/>
      <c r="W70" s="319"/>
      <c r="X70" s="319"/>
      <c r="Y70" s="319"/>
    </row>
    <row r="71" spans="1:25" x14ac:dyDescent="0.2">
      <c r="A71" s="260" t="s">
        <v>365</v>
      </c>
      <c r="B71" s="300">
        <v>2.1835009478773846</v>
      </c>
      <c r="C71" s="300">
        <v>0.9891842934291788</v>
      </c>
      <c r="D71" s="300">
        <v>1.1805839441422024</v>
      </c>
      <c r="E71" s="300">
        <f>SUM(B71:D71)</f>
        <v>4.3532691854487657</v>
      </c>
      <c r="F71" s="300"/>
      <c r="G71" s="300">
        <v>2.2530108565155755</v>
      </c>
      <c r="H71" s="300">
        <v>1.2502486687197478</v>
      </c>
      <c r="I71" s="300">
        <v>0.32968734778060826</v>
      </c>
      <c r="J71" s="300">
        <f>SUM(G71:I71)</f>
        <v>3.8329468730159317</v>
      </c>
      <c r="K71" s="300"/>
      <c r="L71" s="300">
        <v>2.2636792261974059</v>
      </c>
      <c r="M71" s="300">
        <v>1.3283733589901607</v>
      </c>
      <c r="N71" s="300">
        <v>0.41829817534505759</v>
      </c>
      <c r="O71" s="300">
        <f>SUM(L71:N71)</f>
        <v>4.0103507605326243</v>
      </c>
      <c r="P71" s="300"/>
      <c r="Q71" s="300">
        <v>2.2066570981255986</v>
      </c>
      <c r="R71" s="300">
        <v>1.3036114824903429</v>
      </c>
      <c r="S71" s="300">
        <v>0.4098710473454627</v>
      </c>
      <c r="T71" s="300">
        <f>SUM(Q71:S71)</f>
        <v>3.920139627961404</v>
      </c>
      <c r="U71" s="300"/>
      <c r="V71" s="300">
        <v>2.2356120865900202</v>
      </c>
      <c r="W71" s="300">
        <v>1.334984854239661</v>
      </c>
      <c r="X71" s="300">
        <v>0.426822846821866</v>
      </c>
      <c r="Y71" s="300">
        <f>SUM(V71:X71)</f>
        <v>3.9974197876515469</v>
      </c>
    </row>
    <row r="72" spans="1:25" x14ac:dyDescent="0.2">
      <c r="A72" s="260" t="s">
        <v>364</v>
      </c>
      <c r="B72" s="300">
        <v>17.430671776964328</v>
      </c>
      <c r="C72" s="300">
        <v>0.64500823992072842</v>
      </c>
      <c r="D72" s="300">
        <v>6.3200507976661742</v>
      </c>
      <c r="E72" s="300">
        <f t="shared" ref="E72:E73" si="104">SUM(B72:D72)</f>
        <v>24.395730814551229</v>
      </c>
      <c r="F72" s="300"/>
      <c r="G72" s="300">
        <v>17.007624520023203</v>
      </c>
      <c r="H72" s="300">
        <v>0.7508563054674442</v>
      </c>
      <c r="I72" s="300">
        <v>10.526572301493424</v>
      </c>
      <c r="J72" s="300">
        <f t="shared" ref="J72:J73" si="105">SUM(G72:I72)</f>
        <v>28.285053126984071</v>
      </c>
      <c r="K72" s="300"/>
      <c r="L72" s="300">
        <v>16.901902145825961</v>
      </c>
      <c r="M72" s="300">
        <v>0.81136566711915337</v>
      </c>
      <c r="N72" s="300">
        <v>8.8913814265222584</v>
      </c>
      <c r="O72" s="300">
        <f t="shared" ref="O72:O73" si="106">SUM(L72:N72)</f>
        <v>26.604649239467374</v>
      </c>
      <c r="P72" s="300"/>
      <c r="Q72" s="300">
        <v>16.198103790557248</v>
      </c>
      <c r="R72" s="300">
        <v>0.80290414894059114</v>
      </c>
      <c r="S72" s="300">
        <v>8.7158524325407658</v>
      </c>
      <c r="T72" s="300">
        <f t="shared" ref="T72:T73" si="107">SUM(Q72:S72)</f>
        <v>25.716860372038603</v>
      </c>
      <c r="U72" s="300"/>
      <c r="V72" s="300">
        <v>15.67765081792081</v>
      </c>
      <c r="W72" s="300">
        <v>0.83104136842442156</v>
      </c>
      <c r="X72" s="300">
        <v>8.9038880260032371</v>
      </c>
      <c r="Y72" s="300">
        <f t="shared" ref="Y72:Y73" si="108">SUM(V72:X72)</f>
        <v>25.41258021234847</v>
      </c>
    </row>
    <row r="73" spans="1:25" x14ac:dyDescent="0.2">
      <c r="A73" s="264" t="s">
        <v>363</v>
      </c>
      <c r="B73" s="301">
        <f>SUM(B71:B72)</f>
        <v>19.614172724841712</v>
      </c>
      <c r="C73" s="301">
        <f t="shared" ref="C73" si="109">SUM(C71:C72)</f>
        <v>1.6341925333499072</v>
      </c>
      <c r="D73" s="301">
        <f t="shared" ref="D73" si="110">SUM(D71:D72)</f>
        <v>7.5006347418083763</v>
      </c>
      <c r="E73" s="301">
        <f t="shared" si="104"/>
        <v>28.748999999999995</v>
      </c>
      <c r="F73" s="301"/>
      <c r="G73" s="301">
        <f>SUM(G71:G72)</f>
        <v>19.260635376538779</v>
      </c>
      <c r="H73" s="301">
        <f t="shared" ref="H73" si="111">SUM(H71:H72)</f>
        <v>2.001104974187192</v>
      </c>
      <c r="I73" s="301">
        <f t="shared" ref="I73" si="112">SUM(I71:I72)</f>
        <v>10.856259649274032</v>
      </c>
      <c r="J73" s="301">
        <f t="shared" si="105"/>
        <v>32.118000000000002</v>
      </c>
      <c r="K73" s="301"/>
      <c r="L73" s="301">
        <f>SUM(L71:L72)</f>
        <v>19.165581372023368</v>
      </c>
      <c r="M73" s="301">
        <f t="shared" ref="M73" si="113">SUM(M71:M72)</f>
        <v>2.1397390261093143</v>
      </c>
      <c r="N73" s="301">
        <f t="shared" ref="N73" si="114">SUM(N71:N72)</f>
        <v>9.309679601867316</v>
      </c>
      <c r="O73" s="301">
        <f t="shared" si="106"/>
        <v>30.614999999999998</v>
      </c>
      <c r="P73" s="301"/>
      <c r="Q73" s="301">
        <f>SUM(Q71:Q72)</f>
        <v>18.404760888682848</v>
      </c>
      <c r="R73" s="301">
        <f t="shared" ref="R73" si="115">SUM(R71:R72)</f>
        <v>2.1065156314309341</v>
      </c>
      <c r="S73" s="301">
        <f t="shared" ref="S73" si="116">SUM(S71:S72)</f>
        <v>9.1257234798862292</v>
      </c>
      <c r="T73" s="301">
        <f t="shared" si="107"/>
        <v>29.637000000000011</v>
      </c>
      <c r="U73" s="301"/>
      <c r="V73" s="301">
        <f>SUM(V71:V72)</f>
        <v>17.91326290451083</v>
      </c>
      <c r="W73" s="301">
        <f t="shared" ref="W73" si="117">SUM(W71:W72)</f>
        <v>2.1660262226640823</v>
      </c>
      <c r="X73" s="301">
        <f t="shared" ref="X73" si="118">SUM(X71:X72)</f>
        <v>9.3307108728251027</v>
      </c>
      <c r="Y73" s="301">
        <f t="shared" si="108"/>
        <v>29.410000000000018</v>
      </c>
    </row>
    <row r="74" spans="1:25" x14ac:dyDescent="0.2">
      <c r="C74" s="263"/>
    </row>
    <row r="75" spans="1:25" x14ac:dyDescent="0.2">
      <c r="C75" s="263"/>
    </row>
    <row r="76" spans="1:25" x14ac:dyDescent="0.2">
      <c r="C76" s="263"/>
    </row>
    <row r="77" spans="1:25" ht="15" x14ac:dyDescent="0.25">
      <c r="A77" s="265" t="str">
        <f>"Industry 9 : "&amp; name!B12</f>
        <v>Industry 9 : Wholesale and retail trade</v>
      </c>
      <c r="B77" s="374">
        <f>$B$5</f>
        <v>2015</v>
      </c>
      <c r="C77" s="374"/>
      <c r="D77" s="374"/>
      <c r="E77" s="374"/>
      <c r="F77" s="320"/>
      <c r="G77" s="374">
        <f>$G$5</f>
        <v>2019</v>
      </c>
      <c r="H77" s="374"/>
      <c r="I77" s="374"/>
      <c r="J77" s="374"/>
      <c r="K77" s="320"/>
      <c r="L77" s="374">
        <f>$L$5</f>
        <v>2020</v>
      </c>
      <c r="M77" s="374"/>
      <c r="N77" s="374"/>
      <c r="O77" s="374"/>
      <c r="P77" s="318"/>
      <c r="Q77" s="374">
        <f>$Q$5</f>
        <v>2025</v>
      </c>
      <c r="R77" s="374"/>
      <c r="S77" s="374"/>
      <c r="T77" s="374"/>
      <c r="U77" s="320"/>
      <c r="V77" s="374">
        <f>$V$5</f>
        <v>2035</v>
      </c>
      <c r="W77" s="374"/>
      <c r="X77" s="374"/>
      <c r="Y77" s="374"/>
    </row>
    <row r="78" spans="1:25" x14ac:dyDescent="0.2">
      <c r="A78" s="264"/>
      <c r="B78" s="268" t="str">
        <f>$B$6</f>
        <v>FT</v>
      </c>
      <c r="C78" s="268" t="str">
        <f>$C$6</f>
        <v>PT</v>
      </c>
      <c r="D78" s="268" t="str">
        <f>$D$6</f>
        <v>SE</v>
      </c>
      <c r="E78" s="268" t="str">
        <f>$E$6</f>
        <v>Total</v>
      </c>
      <c r="F78" s="268"/>
      <c r="G78" s="268" t="str">
        <f>$B$6</f>
        <v>FT</v>
      </c>
      <c r="H78" s="268" t="str">
        <f>$C$6</f>
        <v>PT</v>
      </c>
      <c r="I78" s="268" t="str">
        <f>$D$6</f>
        <v>SE</v>
      </c>
      <c r="J78" s="268" t="str">
        <f>$E$6</f>
        <v>Total</v>
      </c>
      <c r="K78" s="268"/>
      <c r="L78" s="268" t="str">
        <f>$L$6</f>
        <v>FT</v>
      </c>
      <c r="M78" s="268" t="str">
        <f>$M$6</f>
        <v>PT</v>
      </c>
      <c r="N78" s="268" t="str">
        <f>$N$6</f>
        <v>SE</v>
      </c>
      <c r="O78" s="268" t="str">
        <f>$O$6</f>
        <v>Total</v>
      </c>
      <c r="P78" s="268"/>
      <c r="Q78" s="268" t="str">
        <f>$L$6</f>
        <v>FT</v>
      </c>
      <c r="R78" s="268" t="str">
        <f>$M$6</f>
        <v>PT</v>
      </c>
      <c r="S78" s="268" t="str">
        <f>$N$6</f>
        <v>SE</v>
      </c>
      <c r="T78" s="268" t="str">
        <f>$O$6</f>
        <v>Total</v>
      </c>
      <c r="U78" s="268"/>
      <c r="V78" s="268" t="str">
        <f>$V$6</f>
        <v>FT</v>
      </c>
      <c r="W78" s="268" t="str">
        <f>$W$6</f>
        <v>PT</v>
      </c>
      <c r="X78" s="268" t="str">
        <f>$X$6</f>
        <v>SE</v>
      </c>
      <c r="Y78" s="268" t="str">
        <f>$Y$6</f>
        <v>Total</v>
      </c>
    </row>
    <row r="79" spans="1:25" x14ac:dyDescent="0.2">
      <c r="C79" s="319"/>
      <c r="D79" s="319"/>
      <c r="E79" s="319"/>
      <c r="F79" s="319"/>
      <c r="G79" s="319"/>
      <c r="H79" s="319"/>
      <c r="I79" s="319"/>
      <c r="J79" s="319"/>
      <c r="K79" s="319"/>
      <c r="L79" s="319"/>
      <c r="M79" s="319"/>
      <c r="N79" s="319"/>
      <c r="O79" s="319"/>
      <c r="P79" s="319"/>
      <c r="Q79" s="319"/>
      <c r="R79" s="319"/>
      <c r="S79" s="319"/>
      <c r="T79" s="319"/>
      <c r="U79" s="319"/>
      <c r="V79" s="319"/>
      <c r="W79" s="319"/>
      <c r="X79" s="319"/>
      <c r="Y79" s="319"/>
    </row>
    <row r="80" spans="1:25" x14ac:dyDescent="0.2">
      <c r="A80" s="260" t="s">
        <v>365</v>
      </c>
      <c r="B80" s="300">
        <v>14.304233516197883</v>
      </c>
      <c r="C80" s="300">
        <v>21.93130886451684</v>
      </c>
      <c r="D80" s="300">
        <v>2.1426478665335811</v>
      </c>
      <c r="E80" s="300">
        <f>SUM(B80:D80)</f>
        <v>38.378190247248298</v>
      </c>
      <c r="F80" s="300"/>
      <c r="G80" s="300">
        <v>12.43156774102056</v>
      </c>
      <c r="H80" s="300">
        <v>19.518624602724934</v>
      </c>
      <c r="I80" s="300">
        <v>2.3294422176470451</v>
      </c>
      <c r="J80" s="300">
        <f>SUM(G80:I80)</f>
        <v>34.279634561392534</v>
      </c>
      <c r="K80" s="300"/>
      <c r="L80" s="300">
        <v>13.071030744072969</v>
      </c>
      <c r="M80" s="300">
        <v>20.694354467622173</v>
      </c>
      <c r="N80" s="300">
        <v>1.6138536164347403</v>
      </c>
      <c r="O80" s="300">
        <f>SUM(L80:N80)</f>
        <v>35.379238828129878</v>
      </c>
      <c r="P80" s="300"/>
      <c r="Q80" s="300">
        <v>13.342373657143767</v>
      </c>
      <c r="R80" s="300">
        <v>19.657895973988008</v>
      </c>
      <c r="S80" s="300">
        <v>1.6482425377882155</v>
      </c>
      <c r="T80" s="300">
        <f>SUM(Q80:S80)</f>
        <v>34.648512168919986</v>
      </c>
      <c r="U80" s="300"/>
      <c r="V80" s="300">
        <v>14.200165451134438</v>
      </c>
      <c r="W80" s="300">
        <v>18.171936621674043</v>
      </c>
      <c r="X80" s="300">
        <v>1.7609770473833699</v>
      </c>
      <c r="Y80" s="300">
        <f>SUM(V80:X80)</f>
        <v>34.133079120191852</v>
      </c>
    </row>
    <row r="81" spans="1:25" x14ac:dyDescent="0.2">
      <c r="A81" s="260" t="s">
        <v>364</v>
      </c>
      <c r="B81" s="300">
        <v>20.315681533735074</v>
      </c>
      <c r="C81" s="300">
        <v>10.673979503231505</v>
      </c>
      <c r="D81" s="300">
        <v>5.2501487157850919</v>
      </c>
      <c r="E81" s="300">
        <f t="shared" ref="E81:E82" si="119">SUM(B81:D81)</f>
        <v>36.239809752751675</v>
      </c>
      <c r="F81" s="300"/>
      <c r="G81" s="300">
        <v>25.355942675310832</v>
      </c>
      <c r="H81" s="300">
        <v>8.1262555899418327</v>
      </c>
      <c r="I81" s="300">
        <v>4.133167173354769</v>
      </c>
      <c r="J81" s="300">
        <f t="shared" ref="J81:J82" si="120">SUM(G81:I81)</f>
        <v>37.615365438607434</v>
      </c>
      <c r="K81" s="300"/>
      <c r="L81" s="300">
        <v>24.348984736206816</v>
      </c>
      <c r="M81" s="300">
        <v>9.1361529769825101</v>
      </c>
      <c r="N81" s="300">
        <v>3.1926234586807238</v>
      </c>
      <c r="O81" s="300">
        <f t="shared" ref="O81:O82" si="121">SUM(L81:N81)</f>
        <v>36.677761171870046</v>
      </c>
      <c r="P81" s="300"/>
      <c r="Q81" s="300">
        <v>24.543592130592927</v>
      </c>
      <c r="R81" s="300">
        <v>9.0242227662591752</v>
      </c>
      <c r="S81" s="300">
        <v>3.206672934227885</v>
      </c>
      <c r="T81" s="300">
        <f t="shared" ref="T81:T82" si="122">SUM(Q81:S81)</f>
        <v>36.774487831079981</v>
      </c>
      <c r="U81" s="300"/>
      <c r="V81" s="300">
        <v>25.267180342214285</v>
      </c>
      <c r="W81" s="300">
        <v>9.0375782605929107</v>
      </c>
      <c r="X81" s="300">
        <v>3.2791622770009967</v>
      </c>
      <c r="Y81" s="300">
        <f t="shared" ref="Y81:Y82" si="123">SUM(V81:X81)</f>
        <v>37.583920879808197</v>
      </c>
    </row>
    <row r="82" spans="1:25" x14ac:dyDescent="0.2">
      <c r="A82" s="264" t="s">
        <v>363</v>
      </c>
      <c r="B82" s="301">
        <f>SUM(B80:B81)</f>
        <v>34.619915049932956</v>
      </c>
      <c r="C82" s="301">
        <f t="shared" ref="C82" si="124">SUM(C80:C81)</f>
        <v>32.605288367748344</v>
      </c>
      <c r="D82" s="301">
        <f t="shared" ref="D82" si="125">SUM(D80:D81)</f>
        <v>7.392796582318673</v>
      </c>
      <c r="E82" s="301">
        <f t="shared" si="119"/>
        <v>74.617999999999967</v>
      </c>
      <c r="F82" s="301"/>
      <c r="G82" s="301">
        <f>SUM(G80:G81)</f>
        <v>37.787510416331394</v>
      </c>
      <c r="H82" s="301">
        <f t="shared" ref="H82" si="126">SUM(H80:H81)</f>
        <v>27.644880192666768</v>
      </c>
      <c r="I82" s="301">
        <f t="shared" ref="I82" si="127">SUM(I80:I81)</f>
        <v>6.4626093910018145</v>
      </c>
      <c r="J82" s="301">
        <f t="shared" si="120"/>
        <v>71.894999999999982</v>
      </c>
      <c r="K82" s="301"/>
      <c r="L82" s="301">
        <f>SUM(L80:L81)</f>
        <v>37.420015480279787</v>
      </c>
      <c r="M82" s="301">
        <f t="shared" ref="M82" si="128">SUM(M80:M81)</f>
        <v>29.830507444604685</v>
      </c>
      <c r="N82" s="301">
        <f t="shared" ref="N82" si="129">SUM(N80:N81)</f>
        <v>4.8064770751154642</v>
      </c>
      <c r="O82" s="301">
        <f t="shared" si="121"/>
        <v>72.056999999999945</v>
      </c>
      <c r="P82" s="301"/>
      <c r="Q82" s="301">
        <f>SUM(Q80:Q81)</f>
        <v>37.885965787736694</v>
      </c>
      <c r="R82" s="301">
        <f t="shared" ref="R82" si="130">SUM(R80:R81)</f>
        <v>28.682118740247184</v>
      </c>
      <c r="S82" s="301">
        <f t="shared" ref="S82" si="131">SUM(S80:S81)</f>
        <v>4.854915472016101</v>
      </c>
      <c r="T82" s="301">
        <f t="shared" si="122"/>
        <v>71.422999999999973</v>
      </c>
      <c r="U82" s="301"/>
      <c r="V82" s="301">
        <f>SUM(V80:V81)</f>
        <v>39.467345793348727</v>
      </c>
      <c r="W82" s="301">
        <f t="shared" ref="W82" si="132">SUM(W80:W81)</f>
        <v>27.209514882266951</v>
      </c>
      <c r="X82" s="301">
        <f t="shared" ref="X82" si="133">SUM(X80:X81)</f>
        <v>5.0401393243843664</v>
      </c>
      <c r="Y82" s="301">
        <f t="shared" si="123"/>
        <v>71.717000000000041</v>
      </c>
    </row>
    <row r="83" spans="1:25" x14ac:dyDescent="0.2">
      <c r="A83" s="266"/>
      <c r="B83" s="320"/>
      <c r="C83" s="320"/>
      <c r="D83" s="320"/>
      <c r="E83" s="320"/>
      <c r="F83" s="320"/>
      <c r="G83" s="320"/>
      <c r="H83" s="320"/>
      <c r="I83" s="320"/>
      <c r="J83" s="320"/>
      <c r="K83" s="320"/>
      <c r="L83" s="320"/>
      <c r="M83" s="320"/>
      <c r="N83" s="320"/>
      <c r="O83" s="320"/>
      <c r="P83" s="320"/>
      <c r="Q83" s="320"/>
      <c r="R83" s="320"/>
      <c r="S83" s="320"/>
      <c r="T83" s="320"/>
      <c r="U83" s="320"/>
      <c r="V83" s="320"/>
      <c r="W83" s="320"/>
      <c r="X83" s="320"/>
      <c r="Y83" s="320"/>
    </row>
    <row r="84" spans="1:25" x14ac:dyDescent="0.2">
      <c r="C84" s="263"/>
    </row>
    <row r="85" spans="1:25" x14ac:dyDescent="0.2">
      <c r="A85" s="261"/>
    </row>
    <row r="86" spans="1:25" ht="15" x14ac:dyDescent="0.25">
      <c r="A86" s="265" t="str">
        <f>"Industry 10 : "&amp; name!B13</f>
        <v>Industry 10 : Transport and storage</v>
      </c>
      <c r="B86" s="374">
        <f>$B$5</f>
        <v>2015</v>
      </c>
      <c r="C86" s="374"/>
      <c r="D86" s="374"/>
      <c r="E86" s="374"/>
      <c r="F86" s="320"/>
      <c r="G86" s="374">
        <f>$G$5</f>
        <v>2019</v>
      </c>
      <c r="H86" s="374"/>
      <c r="I86" s="374"/>
      <c r="J86" s="374"/>
      <c r="K86" s="320"/>
      <c r="L86" s="374">
        <f>$L$5</f>
        <v>2020</v>
      </c>
      <c r="M86" s="374"/>
      <c r="N86" s="374"/>
      <c r="O86" s="374"/>
      <c r="P86" s="318"/>
      <c r="Q86" s="374">
        <f>$Q$5</f>
        <v>2025</v>
      </c>
      <c r="R86" s="374"/>
      <c r="S86" s="374"/>
      <c r="T86" s="374"/>
      <c r="U86" s="320"/>
      <c r="V86" s="374">
        <f>$V$5</f>
        <v>2035</v>
      </c>
      <c r="W86" s="374"/>
      <c r="X86" s="374"/>
      <c r="Y86" s="374"/>
    </row>
    <row r="87" spans="1:25" x14ac:dyDescent="0.2">
      <c r="A87" s="264"/>
      <c r="B87" s="268" t="str">
        <f>$B$6</f>
        <v>FT</v>
      </c>
      <c r="C87" s="268" t="str">
        <f>$C$6</f>
        <v>PT</v>
      </c>
      <c r="D87" s="268" t="str">
        <f>$D$6</f>
        <v>SE</v>
      </c>
      <c r="E87" s="268" t="str">
        <f>$E$6</f>
        <v>Total</v>
      </c>
      <c r="F87" s="268"/>
      <c r="G87" s="268" t="str">
        <f>$B$6</f>
        <v>FT</v>
      </c>
      <c r="H87" s="268" t="str">
        <f>$C$6</f>
        <v>PT</v>
      </c>
      <c r="I87" s="268" t="str">
        <f>$D$6</f>
        <v>SE</v>
      </c>
      <c r="J87" s="268" t="str">
        <f>$E$6</f>
        <v>Total</v>
      </c>
      <c r="K87" s="268"/>
      <c r="L87" s="268" t="str">
        <f>$L$6</f>
        <v>FT</v>
      </c>
      <c r="M87" s="268" t="str">
        <f>$M$6</f>
        <v>PT</v>
      </c>
      <c r="N87" s="268" t="str">
        <f>$N$6</f>
        <v>SE</v>
      </c>
      <c r="O87" s="268" t="str">
        <f>$O$6</f>
        <v>Total</v>
      </c>
      <c r="P87" s="268"/>
      <c r="Q87" s="268" t="str">
        <f>$L$6</f>
        <v>FT</v>
      </c>
      <c r="R87" s="268" t="str">
        <f>$M$6</f>
        <v>PT</v>
      </c>
      <c r="S87" s="268" t="str">
        <f>$N$6</f>
        <v>SE</v>
      </c>
      <c r="T87" s="268" t="str">
        <f>$O$6</f>
        <v>Total</v>
      </c>
      <c r="U87" s="268"/>
      <c r="V87" s="268" t="str">
        <f>$V$6</f>
        <v>FT</v>
      </c>
      <c r="W87" s="268" t="str">
        <f>$W$6</f>
        <v>PT</v>
      </c>
      <c r="X87" s="268" t="str">
        <f>$X$6</f>
        <v>SE</v>
      </c>
      <c r="Y87" s="268" t="str">
        <f>$Y$6</f>
        <v>Total</v>
      </c>
    </row>
    <row r="88" spans="1:25" x14ac:dyDescent="0.2">
      <c r="C88" s="319"/>
      <c r="D88" s="319"/>
      <c r="E88" s="319"/>
      <c r="F88" s="319"/>
      <c r="G88" s="319"/>
      <c r="H88" s="319"/>
      <c r="I88" s="319"/>
      <c r="J88" s="319"/>
      <c r="K88" s="319"/>
      <c r="L88" s="319"/>
      <c r="M88" s="319"/>
      <c r="N88" s="319"/>
      <c r="O88" s="319"/>
      <c r="P88" s="319"/>
      <c r="Q88" s="319"/>
      <c r="R88" s="319"/>
      <c r="S88" s="319"/>
      <c r="T88" s="319"/>
      <c r="U88" s="319"/>
      <c r="V88" s="319"/>
      <c r="W88" s="319"/>
      <c r="X88" s="319"/>
      <c r="Y88" s="319"/>
    </row>
    <row r="89" spans="1:25" x14ac:dyDescent="0.2">
      <c r="A89" s="260" t="s">
        <v>365</v>
      </c>
      <c r="B89" s="300">
        <v>2.5054450757239266</v>
      </c>
      <c r="C89" s="300">
        <v>1.9524889520405293</v>
      </c>
      <c r="D89" s="300">
        <v>0.25494002525602955</v>
      </c>
      <c r="E89" s="300">
        <f>SUM(B89:D89)</f>
        <v>4.7128740530204851</v>
      </c>
      <c r="F89" s="300"/>
      <c r="G89" s="300">
        <v>2.890223818868805</v>
      </c>
      <c r="H89" s="300">
        <v>2.0940607573398649</v>
      </c>
      <c r="I89" s="300">
        <v>0.3502760046442962</v>
      </c>
      <c r="J89" s="300">
        <f>SUM(G89:I89)</f>
        <v>5.3345605808529664</v>
      </c>
      <c r="K89" s="300"/>
      <c r="L89" s="300">
        <v>3.2759948275092232</v>
      </c>
      <c r="M89" s="300">
        <v>2.2197580737551084</v>
      </c>
      <c r="N89" s="300">
        <v>1.4683172212541051</v>
      </c>
      <c r="O89" s="300">
        <f>SUM(L89:N89)</f>
        <v>6.9640701225184376</v>
      </c>
      <c r="P89" s="300"/>
      <c r="Q89" s="300">
        <v>3.4895324686399931</v>
      </c>
      <c r="R89" s="300">
        <v>2.3909017590690165</v>
      </c>
      <c r="S89" s="300">
        <v>1.5028270970785975</v>
      </c>
      <c r="T89" s="300">
        <f>SUM(Q89:S89)</f>
        <v>7.3832613247876075</v>
      </c>
      <c r="U89" s="300"/>
      <c r="V89" s="300">
        <v>3.6290230314125922</v>
      </c>
      <c r="W89" s="300">
        <v>2.5743479188422289</v>
      </c>
      <c r="X89" s="300">
        <v>1.4957130014825011</v>
      </c>
      <c r="Y89" s="300">
        <f>SUM(V89:X89)</f>
        <v>7.6990839517373217</v>
      </c>
    </row>
    <row r="90" spans="1:25" x14ac:dyDescent="0.2">
      <c r="A90" s="260" t="s">
        <v>364</v>
      </c>
      <c r="B90" s="300">
        <v>13.100840435589383</v>
      </c>
      <c r="C90" s="300">
        <v>1.7234824810776721</v>
      </c>
      <c r="D90" s="300">
        <v>2.7428030303124245</v>
      </c>
      <c r="E90" s="300">
        <f t="shared" ref="E90:E91" si="134">SUM(B90:D90)</f>
        <v>17.56712594697948</v>
      </c>
      <c r="F90" s="300"/>
      <c r="G90" s="300">
        <v>15.000659254977633</v>
      </c>
      <c r="H90" s="300">
        <v>1.9064128977395574</v>
      </c>
      <c r="I90" s="300">
        <v>4.3413672664298009</v>
      </c>
      <c r="J90" s="300">
        <f t="shared" ref="J90:J91" si="135">SUM(G90:I90)</f>
        <v>21.24843941914699</v>
      </c>
      <c r="K90" s="300"/>
      <c r="L90" s="300">
        <v>14.731652267851452</v>
      </c>
      <c r="M90" s="300">
        <v>2.0913757058911329</v>
      </c>
      <c r="N90" s="300">
        <v>3.6369019037389503</v>
      </c>
      <c r="O90" s="300">
        <f t="shared" ref="O90:O91" si="136">SUM(L90:N90)</f>
        <v>20.459929877481535</v>
      </c>
      <c r="P90" s="300"/>
      <c r="Q90" s="300">
        <v>14.92009947008399</v>
      </c>
      <c r="R90" s="300">
        <v>2.135385540407428</v>
      </c>
      <c r="S90" s="300">
        <v>3.8042536647210099</v>
      </c>
      <c r="T90" s="300">
        <f t="shared" ref="T90:T91" si="137">SUM(Q90:S90)</f>
        <v>20.859738675212427</v>
      </c>
      <c r="U90" s="300"/>
      <c r="V90" s="300">
        <v>14.404279703007049</v>
      </c>
      <c r="W90" s="300">
        <v>2.1869977407642018</v>
      </c>
      <c r="X90" s="300">
        <v>3.9906386044914246</v>
      </c>
      <c r="Y90" s="300">
        <f t="shared" ref="Y90:Y91" si="138">SUM(V90:X90)</f>
        <v>20.581916048262677</v>
      </c>
    </row>
    <row r="91" spans="1:25" x14ac:dyDescent="0.2">
      <c r="A91" s="264" t="s">
        <v>363</v>
      </c>
      <c r="B91" s="301">
        <f>SUM(B89:B90)</f>
        <v>15.60628551131331</v>
      </c>
      <c r="C91" s="301">
        <f t="shared" ref="C91" si="139">SUM(C89:C90)</f>
        <v>3.6759714331182014</v>
      </c>
      <c r="D91" s="301">
        <f t="shared" ref="D91" si="140">SUM(D89:D90)</f>
        <v>2.9977430555684541</v>
      </c>
      <c r="E91" s="301">
        <f t="shared" si="134"/>
        <v>22.279999999999962</v>
      </c>
      <c r="F91" s="301"/>
      <c r="G91" s="301">
        <f>SUM(G89:G90)</f>
        <v>17.890883073846439</v>
      </c>
      <c r="H91" s="301">
        <f t="shared" ref="H91" si="141">SUM(H89:H90)</f>
        <v>4.0004736550794222</v>
      </c>
      <c r="I91" s="301">
        <f t="shared" ref="I91" si="142">SUM(I89:I90)</f>
        <v>4.6916432710740974</v>
      </c>
      <c r="J91" s="301">
        <f t="shared" si="135"/>
        <v>26.582999999999956</v>
      </c>
      <c r="K91" s="301"/>
      <c r="L91" s="301">
        <f>SUM(L89:L90)</f>
        <v>18.007647095360674</v>
      </c>
      <c r="M91" s="301">
        <f t="shared" ref="M91" si="143">SUM(M89:M90)</f>
        <v>4.3111337796462408</v>
      </c>
      <c r="N91" s="301">
        <f t="shared" ref="N91" si="144">SUM(N89:N90)</f>
        <v>5.1052191249930559</v>
      </c>
      <c r="O91" s="301">
        <f t="shared" si="136"/>
        <v>27.423999999999971</v>
      </c>
      <c r="P91" s="301"/>
      <c r="Q91" s="301">
        <f>SUM(Q89:Q90)</f>
        <v>18.409631938723983</v>
      </c>
      <c r="R91" s="301">
        <f t="shared" ref="R91" si="145">SUM(R89:R90)</f>
        <v>4.5262872994764445</v>
      </c>
      <c r="S91" s="301">
        <f t="shared" ref="S91" si="146">SUM(S89:S90)</f>
        <v>5.3070807617996074</v>
      </c>
      <c r="T91" s="301">
        <f t="shared" si="137"/>
        <v>28.243000000000034</v>
      </c>
      <c r="U91" s="301"/>
      <c r="V91" s="301">
        <f>SUM(V89:V90)</f>
        <v>18.033302734419642</v>
      </c>
      <c r="W91" s="301">
        <f t="shared" ref="W91" si="147">SUM(W89:W90)</f>
        <v>4.7613456596064303</v>
      </c>
      <c r="X91" s="301">
        <f t="shared" ref="X91" si="148">SUM(X89:X90)</f>
        <v>5.4863516059739261</v>
      </c>
      <c r="Y91" s="301">
        <f t="shared" si="138"/>
        <v>28.280999999999999</v>
      </c>
    </row>
    <row r="92" spans="1:25" x14ac:dyDescent="0.2">
      <c r="C92" s="263"/>
    </row>
    <row r="93" spans="1:25" x14ac:dyDescent="0.2">
      <c r="C93" s="263"/>
    </row>
    <row r="94" spans="1:25" x14ac:dyDescent="0.2">
      <c r="C94" s="263"/>
    </row>
    <row r="95" spans="1:25" ht="15" x14ac:dyDescent="0.25">
      <c r="A95" s="265" t="str">
        <f>"Industry 11 : "&amp; name!B14</f>
        <v>Industry 11 : Accommodation and food</v>
      </c>
      <c r="B95" s="374">
        <f>$B$5</f>
        <v>2015</v>
      </c>
      <c r="C95" s="374"/>
      <c r="D95" s="374"/>
      <c r="E95" s="374"/>
      <c r="F95" s="320"/>
      <c r="G95" s="374">
        <f>$G$5</f>
        <v>2019</v>
      </c>
      <c r="H95" s="374"/>
      <c r="I95" s="374"/>
      <c r="J95" s="374"/>
      <c r="K95" s="320"/>
      <c r="L95" s="374">
        <f>$L$5</f>
        <v>2020</v>
      </c>
      <c r="M95" s="374"/>
      <c r="N95" s="374"/>
      <c r="O95" s="374"/>
      <c r="P95" s="318"/>
      <c r="Q95" s="374">
        <f>$Q$5</f>
        <v>2025</v>
      </c>
      <c r="R95" s="374"/>
      <c r="S95" s="374"/>
      <c r="T95" s="374"/>
      <c r="U95" s="320"/>
      <c r="V95" s="374">
        <f>$V$5</f>
        <v>2035</v>
      </c>
      <c r="W95" s="374"/>
      <c r="X95" s="374"/>
      <c r="Y95" s="374"/>
    </row>
    <row r="96" spans="1:25" x14ac:dyDescent="0.2">
      <c r="A96" s="264"/>
      <c r="B96" s="268" t="str">
        <f>$B$6</f>
        <v>FT</v>
      </c>
      <c r="C96" s="268" t="str">
        <f>$C$6</f>
        <v>PT</v>
      </c>
      <c r="D96" s="268" t="str">
        <f>$D$6</f>
        <v>SE</v>
      </c>
      <c r="E96" s="268" t="str">
        <f>$E$6</f>
        <v>Total</v>
      </c>
      <c r="F96" s="268"/>
      <c r="G96" s="268" t="str">
        <f>$B$6</f>
        <v>FT</v>
      </c>
      <c r="H96" s="268" t="str">
        <f>$C$6</f>
        <v>PT</v>
      </c>
      <c r="I96" s="268" t="str">
        <f>$D$6</f>
        <v>SE</v>
      </c>
      <c r="J96" s="268" t="str">
        <f>$E$6</f>
        <v>Total</v>
      </c>
      <c r="K96" s="268"/>
      <c r="L96" s="268" t="str">
        <f>$L$6</f>
        <v>FT</v>
      </c>
      <c r="M96" s="268" t="str">
        <f>$M$6</f>
        <v>PT</v>
      </c>
      <c r="N96" s="268" t="str">
        <f>$N$6</f>
        <v>SE</v>
      </c>
      <c r="O96" s="268" t="str">
        <f>$O$6</f>
        <v>Total</v>
      </c>
      <c r="P96" s="268"/>
      <c r="Q96" s="268" t="str">
        <f>$L$6</f>
        <v>FT</v>
      </c>
      <c r="R96" s="268" t="str">
        <f>$M$6</f>
        <v>PT</v>
      </c>
      <c r="S96" s="268" t="str">
        <f>$N$6</f>
        <v>SE</v>
      </c>
      <c r="T96" s="268" t="str">
        <f>$O$6</f>
        <v>Total</v>
      </c>
      <c r="U96" s="268"/>
      <c r="V96" s="268" t="str">
        <f>$V$6</f>
        <v>FT</v>
      </c>
      <c r="W96" s="268" t="str">
        <f>$W$6</f>
        <v>PT</v>
      </c>
      <c r="X96" s="268" t="str">
        <f>$X$6</f>
        <v>SE</v>
      </c>
      <c r="Y96" s="268" t="str">
        <f>$Y$6</f>
        <v>Total</v>
      </c>
    </row>
    <row r="97" spans="1:25" x14ac:dyDescent="0.2">
      <c r="C97" s="319"/>
      <c r="D97" s="319"/>
      <c r="E97" s="319"/>
      <c r="F97" s="319"/>
      <c r="G97" s="319"/>
      <c r="H97" s="319"/>
      <c r="I97" s="319"/>
      <c r="J97" s="319"/>
      <c r="K97" s="319"/>
      <c r="L97" s="319"/>
      <c r="M97" s="319"/>
      <c r="N97" s="319"/>
      <c r="O97" s="319"/>
      <c r="P97" s="319"/>
      <c r="Q97" s="319"/>
      <c r="R97" s="319"/>
      <c r="S97" s="319"/>
      <c r="T97" s="319"/>
      <c r="U97" s="319"/>
      <c r="V97" s="319"/>
      <c r="W97" s="319"/>
      <c r="X97" s="319"/>
      <c r="Y97" s="319"/>
    </row>
    <row r="98" spans="1:25" x14ac:dyDescent="0.2">
      <c r="A98" s="260" t="s">
        <v>365</v>
      </c>
      <c r="B98" s="300">
        <v>4.8232077108379006</v>
      </c>
      <c r="C98" s="300">
        <v>13.391163444254705</v>
      </c>
      <c r="D98" s="300">
        <v>1.5627840290524651</v>
      </c>
      <c r="E98" s="300">
        <f>SUM(B98:D98)</f>
        <v>19.777155184145073</v>
      </c>
      <c r="F98" s="300"/>
      <c r="G98" s="300">
        <v>6.1302921602074996</v>
      </c>
      <c r="H98" s="300">
        <v>10.111743788328166</v>
      </c>
      <c r="I98" s="300">
        <v>1.8304401841149545</v>
      </c>
      <c r="J98" s="300">
        <f>SUM(G98:I98)</f>
        <v>18.072476132650621</v>
      </c>
      <c r="K98" s="300"/>
      <c r="L98" s="300">
        <v>6.9387382766123418</v>
      </c>
      <c r="M98" s="300">
        <v>10.961131723019335</v>
      </c>
      <c r="N98" s="300">
        <v>1.5246522197379959</v>
      </c>
      <c r="O98" s="300">
        <f>SUM(L98:N98)</f>
        <v>19.42452221936967</v>
      </c>
      <c r="P98" s="300"/>
      <c r="Q98" s="300">
        <v>7.1136749663071521</v>
      </c>
      <c r="R98" s="300">
        <v>11.205257538634569</v>
      </c>
      <c r="S98" s="300">
        <v>1.5620089693816923</v>
      </c>
      <c r="T98" s="300">
        <f>SUM(Q98:S98)</f>
        <v>19.880941474323414</v>
      </c>
      <c r="U98" s="300"/>
      <c r="V98" s="300">
        <v>8.0395472482222079</v>
      </c>
      <c r="W98" s="300">
        <v>12.468913240973652</v>
      </c>
      <c r="X98" s="300">
        <v>1.7758968393188865</v>
      </c>
      <c r="Y98" s="300">
        <f>SUM(V98:X98)</f>
        <v>22.284357328514748</v>
      </c>
    </row>
    <row r="99" spans="1:25" x14ac:dyDescent="0.2">
      <c r="A99" s="260" t="s">
        <v>364</v>
      </c>
      <c r="B99" s="300">
        <v>6.6013754361586452</v>
      </c>
      <c r="C99" s="300">
        <v>5.1638144864909332</v>
      </c>
      <c r="D99" s="300">
        <v>1.576654893205333</v>
      </c>
      <c r="E99" s="300">
        <f t="shared" ref="E99:E100" si="149">SUM(B99:D99)</f>
        <v>13.341844815854913</v>
      </c>
      <c r="F99" s="300"/>
      <c r="G99" s="300">
        <v>6.8864929875045009</v>
      </c>
      <c r="H99" s="300">
        <v>7.3839935318221288</v>
      </c>
      <c r="I99" s="300">
        <v>2.5620373480227605</v>
      </c>
      <c r="J99" s="300">
        <f t="shared" ref="J99:J100" si="150">SUM(G99:I99)</f>
        <v>16.832523867349391</v>
      </c>
      <c r="K99" s="300"/>
      <c r="L99" s="300">
        <v>6.9884154932491303</v>
      </c>
      <c r="M99" s="300">
        <v>6.6951007513956275</v>
      </c>
      <c r="N99" s="300">
        <v>0.82296153598562261</v>
      </c>
      <c r="O99" s="300">
        <f t="shared" ref="O99:O100" si="151">SUM(L99:N99)</f>
        <v>14.50647778063038</v>
      </c>
      <c r="P99" s="300"/>
      <c r="Q99" s="300">
        <v>7.2032238372618727</v>
      </c>
      <c r="R99" s="300">
        <v>6.8530367879105878</v>
      </c>
      <c r="S99" s="300">
        <v>0.8437979005041093</v>
      </c>
      <c r="T99" s="300">
        <f t="shared" ref="T99:T100" si="152">SUM(Q99:S99)</f>
        <v>14.900058525676569</v>
      </c>
      <c r="U99" s="300"/>
      <c r="V99" s="300">
        <v>8.2185790350017989</v>
      </c>
      <c r="W99" s="300">
        <v>7.6332963372944151</v>
      </c>
      <c r="X99" s="300">
        <v>0.95776729918897052</v>
      </c>
      <c r="Y99" s="300">
        <f t="shared" ref="Y99:Y100" si="153">SUM(V99:X99)</f>
        <v>16.809642671485182</v>
      </c>
    </row>
    <row r="100" spans="1:25" x14ac:dyDescent="0.2">
      <c r="A100" s="264" t="s">
        <v>363</v>
      </c>
      <c r="B100" s="301">
        <f>SUM(B98:B99)</f>
        <v>11.424583146996547</v>
      </c>
      <c r="C100" s="301">
        <f t="shared" ref="C100" si="154">SUM(C98:C99)</f>
        <v>18.554977930745636</v>
      </c>
      <c r="D100" s="301">
        <f t="shared" ref="D100" si="155">SUM(D98:D99)</f>
        <v>3.1394389222577983</v>
      </c>
      <c r="E100" s="301">
        <f t="shared" si="149"/>
        <v>33.118999999999978</v>
      </c>
      <c r="F100" s="301"/>
      <c r="G100" s="301">
        <f>SUM(G98:G99)</f>
        <v>13.016785147712</v>
      </c>
      <c r="H100" s="301">
        <f t="shared" ref="H100" si="156">SUM(H98:H99)</f>
        <v>17.495737320150294</v>
      </c>
      <c r="I100" s="301">
        <f t="shared" ref="I100" si="157">SUM(I98:I99)</f>
        <v>4.3924775321377147</v>
      </c>
      <c r="J100" s="301">
        <f t="shared" si="150"/>
        <v>34.905000000000008</v>
      </c>
      <c r="K100" s="301"/>
      <c r="L100" s="301">
        <f>SUM(L98:L99)</f>
        <v>13.927153769861473</v>
      </c>
      <c r="M100" s="301">
        <f t="shared" ref="M100" si="158">SUM(M98:M99)</f>
        <v>17.656232474414963</v>
      </c>
      <c r="N100" s="301">
        <f t="shared" ref="N100" si="159">SUM(N98:N99)</f>
        <v>2.3476137557236187</v>
      </c>
      <c r="O100" s="301">
        <f t="shared" si="151"/>
        <v>33.931000000000054</v>
      </c>
      <c r="P100" s="301"/>
      <c r="Q100" s="301">
        <f>SUM(Q98:Q99)</f>
        <v>14.316898803569025</v>
      </c>
      <c r="R100" s="301">
        <f t="shared" ref="R100" si="160">SUM(R98:R99)</f>
        <v>18.058294326545159</v>
      </c>
      <c r="S100" s="301">
        <f t="shared" ref="S100" si="161">SUM(S98:S99)</f>
        <v>2.4058068698858017</v>
      </c>
      <c r="T100" s="301">
        <f t="shared" si="152"/>
        <v>34.780999999999985</v>
      </c>
      <c r="U100" s="301"/>
      <c r="V100" s="301">
        <f>SUM(V98:V99)</f>
        <v>16.258126283224009</v>
      </c>
      <c r="W100" s="301">
        <f t="shared" ref="W100" si="162">SUM(W98:W99)</f>
        <v>20.102209578268067</v>
      </c>
      <c r="X100" s="301">
        <f t="shared" ref="X100" si="163">SUM(X98:X99)</f>
        <v>2.7336641385078568</v>
      </c>
      <c r="Y100" s="301">
        <f t="shared" si="153"/>
        <v>39.09399999999993</v>
      </c>
    </row>
    <row r="101" spans="1:25" x14ac:dyDescent="0.2">
      <c r="C101" s="263"/>
    </row>
    <row r="102" spans="1:25" x14ac:dyDescent="0.2">
      <c r="C102" s="263"/>
    </row>
    <row r="103" spans="1:25" x14ac:dyDescent="0.2">
      <c r="C103" s="263"/>
    </row>
    <row r="104" spans="1:25" ht="15" x14ac:dyDescent="0.25">
      <c r="A104" s="265" t="str">
        <f>"Industry 12 : "&amp; name!B15</f>
        <v>Industry 12 : Media</v>
      </c>
      <c r="B104" s="374">
        <f>$B$5</f>
        <v>2015</v>
      </c>
      <c r="C104" s="374"/>
      <c r="D104" s="374"/>
      <c r="E104" s="374"/>
      <c r="F104" s="320"/>
      <c r="G104" s="374">
        <f>$G$5</f>
        <v>2019</v>
      </c>
      <c r="H104" s="374"/>
      <c r="I104" s="374"/>
      <c r="J104" s="374"/>
      <c r="K104" s="320"/>
      <c r="L104" s="374">
        <f>$L$5</f>
        <v>2020</v>
      </c>
      <c r="M104" s="374"/>
      <c r="N104" s="374"/>
      <c r="O104" s="374"/>
      <c r="P104" s="318"/>
      <c r="Q104" s="374">
        <f>$Q$5</f>
        <v>2025</v>
      </c>
      <c r="R104" s="374"/>
      <c r="S104" s="374"/>
      <c r="T104" s="374"/>
      <c r="U104" s="320"/>
      <c r="V104" s="374">
        <f>$V$5</f>
        <v>2035</v>
      </c>
      <c r="W104" s="374"/>
      <c r="X104" s="374"/>
      <c r="Y104" s="374"/>
    </row>
    <row r="105" spans="1:25" x14ac:dyDescent="0.2">
      <c r="A105" s="264"/>
      <c r="B105" s="268" t="str">
        <f>$B$6</f>
        <v>FT</v>
      </c>
      <c r="C105" s="268" t="str">
        <f>$C$6</f>
        <v>PT</v>
      </c>
      <c r="D105" s="268" t="str">
        <f>$D$6</f>
        <v>SE</v>
      </c>
      <c r="E105" s="268" t="str">
        <f>$E$6</f>
        <v>Total</v>
      </c>
      <c r="F105" s="268"/>
      <c r="G105" s="268" t="str">
        <f>$B$6</f>
        <v>FT</v>
      </c>
      <c r="H105" s="268" t="str">
        <f>$C$6</f>
        <v>PT</v>
      </c>
      <c r="I105" s="268" t="str">
        <f>$D$6</f>
        <v>SE</v>
      </c>
      <c r="J105" s="268" t="str">
        <f>$E$6</f>
        <v>Total</v>
      </c>
      <c r="K105" s="268"/>
      <c r="L105" s="268" t="str">
        <f>$L$6</f>
        <v>FT</v>
      </c>
      <c r="M105" s="268" t="str">
        <f>$M$6</f>
        <v>PT</v>
      </c>
      <c r="N105" s="268" t="str">
        <f>$N$6</f>
        <v>SE</v>
      </c>
      <c r="O105" s="268" t="str">
        <f>$O$6</f>
        <v>Total</v>
      </c>
      <c r="P105" s="268"/>
      <c r="Q105" s="268" t="str">
        <f>$L$6</f>
        <v>FT</v>
      </c>
      <c r="R105" s="268" t="str">
        <f>$M$6</f>
        <v>PT</v>
      </c>
      <c r="S105" s="268" t="str">
        <f>$N$6</f>
        <v>SE</v>
      </c>
      <c r="T105" s="268" t="str">
        <f>$O$6</f>
        <v>Total</v>
      </c>
      <c r="U105" s="268"/>
      <c r="V105" s="268" t="str">
        <f>$V$6</f>
        <v>FT</v>
      </c>
      <c r="W105" s="268" t="str">
        <f>$W$6</f>
        <v>PT</v>
      </c>
      <c r="X105" s="268" t="str">
        <f>$X$6</f>
        <v>SE</v>
      </c>
      <c r="Y105" s="268" t="str">
        <f>$Y$6</f>
        <v>Total</v>
      </c>
    </row>
    <row r="106" spans="1:25" x14ac:dyDescent="0.2">
      <c r="C106" s="319"/>
      <c r="D106" s="319"/>
      <c r="E106" s="319"/>
      <c r="F106" s="319"/>
      <c r="G106" s="319"/>
      <c r="H106" s="319"/>
      <c r="I106" s="319"/>
      <c r="J106" s="319"/>
      <c r="K106" s="319"/>
      <c r="L106" s="319"/>
      <c r="M106" s="319"/>
      <c r="N106" s="319"/>
      <c r="O106" s="319"/>
      <c r="P106" s="319"/>
      <c r="Q106" s="319"/>
      <c r="R106" s="319"/>
      <c r="S106" s="319"/>
      <c r="T106" s="319"/>
      <c r="U106" s="319"/>
      <c r="V106" s="319"/>
      <c r="W106" s="319"/>
      <c r="X106" s="319"/>
      <c r="Y106" s="319"/>
    </row>
    <row r="107" spans="1:25" x14ac:dyDescent="0.2">
      <c r="A107" s="260" t="s">
        <v>365</v>
      </c>
      <c r="B107" s="300">
        <v>0.52275373801382918</v>
      </c>
      <c r="C107" s="300">
        <v>0.20536753993802223</v>
      </c>
      <c r="D107" s="300">
        <v>0.49360268370859056</v>
      </c>
      <c r="E107" s="300">
        <f>SUM(B107:D107)</f>
        <v>1.2217239616604421</v>
      </c>
      <c r="F107" s="300"/>
      <c r="G107" s="300">
        <v>0.45225196850125726</v>
      </c>
      <c r="H107" s="300">
        <v>0.29670866141745061</v>
      </c>
      <c r="I107" s="300">
        <v>0</v>
      </c>
      <c r="J107" s="300">
        <f>SUM(G107:I107)</f>
        <v>0.74896062991870793</v>
      </c>
      <c r="K107" s="300"/>
      <c r="L107" s="300">
        <v>0.37018010117988265</v>
      </c>
      <c r="M107" s="300">
        <v>0.16929960652123624</v>
      </c>
      <c r="N107" s="300">
        <v>1.0301229904403655</v>
      </c>
      <c r="O107" s="300">
        <f>SUM(L107:N107)</f>
        <v>1.5696026981414843</v>
      </c>
      <c r="P107" s="300"/>
      <c r="Q107" s="300">
        <v>0.3624118252580007</v>
      </c>
      <c r="R107" s="300">
        <v>0.16806564501849358</v>
      </c>
      <c r="S107" s="300">
        <v>0.99963369164553684</v>
      </c>
      <c r="T107" s="300">
        <f>SUM(Q107:S107)</f>
        <v>1.5301111619220311</v>
      </c>
      <c r="U107" s="300"/>
      <c r="V107" s="300">
        <v>0.37611616388939267</v>
      </c>
      <c r="W107" s="300">
        <v>0.17326699684739405</v>
      </c>
      <c r="X107" s="300">
        <v>0.98498874381262524</v>
      </c>
      <c r="Y107" s="300">
        <f>SUM(V107:X107)</f>
        <v>1.534371904549412</v>
      </c>
    </row>
    <row r="108" spans="1:25" x14ac:dyDescent="0.2">
      <c r="A108" s="260" t="s">
        <v>364</v>
      </c>
      <c r="B108" s="300">
        <v>0.71862261980325004</v>
      </c>
      <c r="C108" s="300">
        <v>0.23517367412337742</v>
      </c>
      <c r="D108" s="300">
        <v>0.38747974441293437</v>
      </c>
      <c r="E108" s="300">
        <f t="shared" ref="E108:E109" si="164">SUM(B108:D108)</f>
        <v>1.3412760383395619</v>
      </c>
      <c r="F108" s="300"/>
      <c r="G108" s="300">
        <v>0.93325984251741878</v>
      </c>
      <c r="H108" s="300">
        <v>0.2352755905539079</v>
      </c>
      <c r="I108" s="300">
        <v>1.0705039370099658</v>
      </c>
      <c r="J108" s="300">
        <f t="shared" ref="J108:J109" si="165">SUM(G108:I108)</f>
        <v>2.2390393700812927</v>
      </c>
      <c r="K108" s="300"/>
      <c r="L108" s="300">
        <v>0.90770635188251014</v>
      </c>
      <c r="M108" s="300">
        <v>0.21911275997822077</v>
      </c>
      <c r="N108" s="300">
        <v>0.19957818999778648</v>
      </c>
      <c r="O108" s="300">
        <f t="shared" ref="O108:O109" si="166">SUM(L108:N108)</f>
        <v>1.3263973018585173</v>
      </c>
      <c r="P108" s="300"/>
      <c r="Q108" s="300">
        <v>0.88510247027289457</v>
      </c>
      <c r="R108" s="300">
        <v>0.22484457913920958</v>
      </c>
      <c r="S108" s="300">
        <v>0.19694178866586198</v>
      </c>
      <c r="T108" s="300">
        <f t="shared" ref="T108:T109" si="167">SUM(Q108:S108)</f>
        <v>1.3068888380779662</v>
      </c>
      <c r="U108" s="300"/>
      <c r="V108" s="300">
        <v>0.90209365150412735</v>
      </c>
      <c r="W108" s="300">
        <v>0.24705988293225112</v>
      </c>
      <c r="X108" s="300">
        <v>0.2044745610142063</v>
      </c>
      <c r="Y108" s="300">
        <f t="shared" ref="Y108:Y109" si="168">SUM(V108:X108)</f>
        <v>1.3536280954505846</v>
      </c>
    </row>
    <row r="109" spans="1:25" x14ac:dyDescent="0.2">
      <c r="A109" s="264" t="s">
        <v>363</v>
      </c>
      <c r="B109" s="301">
        <f>SUM(B107:B108)</f>
        <v>1.2413763578170793</v>
      </c>
      <c r="C109" s="301">
        <f t="shared" ref="C109" si="169">SUM(C107:C108)</f>
        <v>0.44054121406139968</v>
      </c>
      <c r="D109" s="301">
        <f t="shared" ref="D109" si="170">SUM(D107:D108)</f>
        <v>0.88108242812152493</v>
      </c>
      <c r="E109" s="301">
        <f t="shared" si="164"/>
        <v>2.5630000000000042</v>
      </c>
      <c r="F109" s="301"/>
      <c r="G109" s="301">
        <f>SUM(G107:G108)</f>
        <v>1.3855118110186759</v>
      </c>
      <c r="H109" s="301">
        <f t="shared" ref="H109" si="171">SUM(H107:H108)</f>
        <v>0.53198425197135846</v>
      </c>
      <c r="I109" s="301">
        <f t="shared" ref="I109" si="172">SUM(I107:I108)</f>
        <v>1.0705039370099658</v>
      </c>
      <c r="J109" s="301">
        <f t="shared" si="165"/>
        <v>2.9880000000000004</v>
      </c>
      <c r="K109" s="301"/>
      <c r="L109" s="301">
        <f>SUM(L107:L108)</f>
        <v>1.2778864530623928</v>
      </c>
      <c r="M109" s="301">
        <f t="shared" ref="M109" si="173">SUM(M107:M108)</f>
        <v>0.38841236649945698</v>
      </c>
      <c r="N109" s="301">
        <f t="shared" ref="N109" si="174">SUM(N107:N108)</f>
        <v>1.2297011804381519</v>
      </c>
      <c r="O109" s="301">
        <f t="shared" si="166"/>
        <v>2.8960000000000017</v>
      </c>
      <c r="P109" s="301"/>
      <c r="Q109" s="301">
        <f>SUM(Q107:Q108)</f>
        <v>1.2475142955308953</v>
      </c>
      <c r="R109" s="301">
        <f t="shared" ref="R109" si="175">SUM(R107:R108)</f>
        <v>0.39291022415770316</v>
      </c>
      <c r="S109" s="301">
        <f t="shared" ref="S109" si="176">SUM(S107:S108)</f>
        <v>1.1965754803113988</v>
      </c>
      <c r="T109" s="301">
        <f t="shared" si="167"/>
        <v>2.8369999999999971</v>
      </c>
      <c r="U109" s="301"/>
      <c r="V109" s="301">
        <f>SUM(V107:V108)</f>
        <v>1.27820981539352</v>
      </c>
      <c r="W109" s="301">
        <f t="shared" ref="W109" si="177">SUM(W107:W108)</f>
        <v>0.42032687977964517</v>
      </c>
      <c r="X109" s="301">
        <f t="shared" ref="X109" si="178">SUM(X107:X108)</f>
        <v>1.1894633048268315</v>
      </c>
      <c r="Y109" s="301">
        <f t="shared" si="168"/>
        <v>2.8879999999999963</v>
      </c>
    </row>
    <row r="110" spans="1:25" x14ac:dyDescent="0.2">
      <c r="C110" s="263"/>
    </row>
    <row r="111" spans="1:25" x14ac:dyDescent="0.2">
      <c r="C111" s="263"/>
    </row>
    <row r="112" spans="1:25" x14ac:dyDescent="0.2">
      <c r="A112" s="262"/>
    </row>
    <row r="113" spans="1:25" ht="15" x14ac:dyDescent="0.25">
      <c r="A113" s="265" t="str">
        <f>"Industry 13 : "&amp; name!B16</f>
        <v>Industry 13 : Information technology</v>
      </c>
      <c r="B113" s="374">
        <f>$B$5</f>
        <v>2015</v>
      </c>
      <c r="C113" s="374"/>
      <c r="D113" s="374"/>
      <c r="E113" s="374"/>
      <c r="F113" s="320"/>
      <c r="G113" s="374">
        <f>$G$5</f>
        <v>2019</v>
      </c>
      <c r="H113" s="374"/>
      <c r="I113" s="374"/>
      <c r="J113" s="374"/>
      <c r="K113" s="320"/>
      <c r="L113" s="374">
        <f>$L$5</f>
        <v>2020</v>
      </c>
      <c r="M113" s="374"/>
      <c r="N113" s="374"/>
      <c r="O113" s="374"/>
      <c r="P113" s="318"/>
      <c r="Q113" s="374">
        <f>$Q$5</f>
        <v>2025</v>
      </c>
      <c r="R113" s="374"/>
      <c r="S113" s="374"/>
      <c r="T113" s="374"/>
      <c r="U113" s="320"/>
      <c r="V113" s="374">
        <f>$V$5</f>
        <v>2035</v>
      </c>
      <c r="W113" s="374"/>
      <c r="X113" s="374"/>
      <c r="Y113" s="374"/>
    </row>
    <row r="114" spans="1:25" x14ac:dyDescent="0.2">
      <c r="A114" s="264"/>
      <c r="B114" s="268" t="str">
        <f>$B$6</f>
        <v>FT</v>
      </c>
      <c r="C114" s="268" t="str">
        <f>$C$6</f>
        <v>PT</v>
      </c>
      <c r="D114" s="268" t="str">
        <f>$D$6</f>
        <v>SE</v>
      </c>
      <c r="E114" s="268" t="str">
        <f>$E$6</f>
        <v>Total</v>
      </c>
      <c r="F114" s="268"/>
      <c r="G114" s="268" t="str">
        <f>$B$6</f>
        <v>FT</v>
      </c>
      <c r="H114" s="268" t="str">
        <f>$C$6</f>
        <v>PT</v>
      </c>
      <c r="I114" s="268" t="str">
        <f>$D$6</f>
        <v>SE</v>
      </c>
      <c r="J114" s="268" t="str">
        <f>$E$6</f>
        <v>Total</v>
      </c>
      <c r="K114" s="268"/>
      <c r="L114" s="268" t="str">
        <f>$L$6</f>
        <v>FT</v>
      </c>
      <c r="M114" s="268" t="str">
        <f>$M$6</f>
        <v>PT</v>
      </c>
      <c r="N114" s="268" t="str">
        <f>$N$6</f>
        <v>SE</v>
      </c>
      <c r="O114" s="268" t="str">
        <f>$O$6</f>
        <v>Total</v>
      </c>
      <c r="P114" s="268"/>
      <c r="Q114" s="268" t="str">
        <f>$L$6</f>
        <v>FT</v>
      </c>
      <c r="R114" s="268" t="str">
        <f>$M$6</f>
        <v>PT</v>
      </c>
      <c r="S114" s="268" t="str">
        <f>$N$6</f>
        <v>SE</v>
      </c>
      <c r="T114" s="268" t="str">
        <f>$O$6</f>
        <v>Total</v>
      </c>
      <c r="U114" s="268"/>
      <c r="V114" s="268" t="str">
        <f>$V$6</f>
        <v>FT</v>
      </c>
      <c r="W114" s="268" t="str">
        <f>$W$6</f>
        <v>PT</v>
      </c>
      <c r="X114" s="268" t="str">
        <f>$X$6</f>
        <v>SE</v>
      </c>
      <c r="Y114" s="268" t="str">
        <f>$Y$6</f>
        <v>Total</v>
      </c>
    </row>
    <row r="115" spans="1:25" x14ac:dyDescent="0.2">
      <c r="C115" s="319"/>
      <c r="D115" s="319"/>
      <c r="E115" s="319"/>
      <c r="F115" s="319"/>
      <c r="G115" s="319"/>
      <c r="H115" s="319"/>
      <c r="I115" s="319"/>
      <c r="J115" s="319"/>
      <c r="K115" s="319"/>
      <c r="L115" s="319"/>
      <c r="M115" s="319"/>
      <c r="N115" s="319"/>
      <c r="O115" s="319"/>
      <c r="P115" s="319"/>
      <c r="Q115" s="319"/>
      <c r="R115" s="319"/>
      <c r="S115" s="319"/>
      <c r="T115" s="319"/>
      <c r="U115" s="319"/>
      <c r="V115" s="319"/>
      <c r="W115" s="319"/>
      <c r="X115" s="319"/>
      <c r="Y115" s="319"/>
    </row>
    <row r="116" spans="1:25" x14ac:dyDescent="0.2">
      <c r="A116" s="260" t="s">
        <v>365</v>
      </c>
      <c r="B116" s="300">
        <v>1.9495414642799436</v>
      </c>
      <c r="C116" s="300">
        <v>0.83084789932297876</v>
      </c>
      <c r="D116" s="300">
        <v>0.26998773267545367</v>
      </c>
      <c r="E116" s="300">
        <f>SUM(B116:D116)</f>
        <v>3.0503770962783761</v>
      </c>
      <c r="F116" s="300"/>
      <c r="G116" s="300">
        <v>1.1149872247882351</v>
      </c>
      <c r="H116" s="300">
        <v>0.53633134004716188</v>
      </c>
      <c r="I116" s="300">
        <v>0</v>
      </c>
      <c r="J116" s="300">
        <f>SUM(G116:I116)</f>
        <v>1.651318564835397</v>
      </c>
      <c r="K116" s="300"/>
      <c r="L116" s="300">
        <v>1.0672129931328747</v>
      </c>
      <c r="M116" s="300">
        <v>0.19715670265343821</v>
      </c>
      <c r="N116" s="300">
        <v>0.23034806673273958</v>
      </c>
      <c r="O116" s="300">
        <f>SUM(L116:N116)</f>
        <v>1.4947177625190524</v>
      </c>
      <c r="P116" s="300"/>
      <c r="Q116" s="300">
        <v>1.1854092772425664</v>
      </c>
      <c r="R116" s="300">
        <v>0.21114552319188484</v>
      </c>
      <c r="S116" s="300">
        <v>0.25407918014131092</v>
      </c>
      <c r="T116" s="300">
        <f>SUM(Q116:S116)</f>
        <v>1.6506339805757622</v>
      </c>
      <c r="U116" s="300"/>
      <c r="V116" s="300">
        <v>1.3550440548622085</v>
      </c>
      <c r="W116" s="300">
        <v>0.22346954934886337</v>
      </c>
      <c r="X116" s="300">
        <v>0.27928221838175965</v>
      </c>
      <c r="Y116" s="300">
        <f>SUM(V116:X116)</f>
        <v>1.8577958225928315</v>
      </c>
    </row>
    <row r="117" spans="1:25" x14ac:dyDescent="0.2">
      <c r="A117" s="260" t="s">
        <v>364</v>
      </c>
      <c r="B117" s="300">
        <v>4.7759377060551147</v>
      </c>
      <c r="C117" s="300">
        <v>0.41769402588460774</v>
      </c>
      <c r="D117" s="300">
        <v>0.2929911717819158</v>
      </c>
      <c r="E117" s="300">
        <f t="shared" ref="E117:E118" si="179">SUM(B117:D117)</f>
        <v>5.4866229037216376</v>
      </c>
      <c r="F117" s="300"/>
      <c r="G117" s="300">
        <v>4.2533963033318161</v>
      </c>
      <c r="H117" s="300">
        <v>0.26232400108906551</v>
      </c>
      <c r="I117" s="300">
        <v>0.32096113074372351</v>
      </c>
      <c r="J117" s="300">
        <f t="shared" ref="J117:J118" si="180">SUM(G117:I117)</f>
        <v>4.8366814351646052</v>
      </c>
      <c r="K117" s="300"/>
      <c r="L117" s="300">
        <v>3.7508454170655319</v>
      </c>
      <c r="M117" s="300">
        <v>0.27438194308343755</v>
      </c>
      <c r="N117" s="300">
        <v>0.1170548773319733</v>
      </c>
      <c r="O117" s="300">
        <f t="shared" ref="O117:O118" si="181">SUM(L117:N117)</f>
        <v>4.1422822374809432</v>
      </c>
      <c r="P117" s="300"/>
      <c r="Q117" s="300">
        <v>4.042148759448593</v>
      </c>
      <c r="R117" s="300">
        <v>0.30031542610063489</v>
      </c>
      <c r="S117" s="300">
        <v>0.129901833875013</v>
      </c>
      <c r="T117" s="300">
        <f t="shared" ref="T117:T118" si="182">SUM(Q117:S117)</f>
        <v>4.4723660194242409</v>
      </c>
      <c r="U117" s="300"/>
      <c r="V117" s="300">
        <v>4.3818417022559961</v>
      </c>
      <c r="W117" s="300">
        <v>0.33159291602414365</v>
      </c>
      <c r="X117" s="300">
        <v>0.14576955912701806</v>
      </c>
      <c r="Y117" s="300">
        <f t="shared" ref="Y117:Y118" si="183">SUM(V117:X117)</f>
        <v>4.8592041774071575</v>
      </c>
    </row>
    <row r="118" spans="1:25" x14ac:dyDescent="0.2">
      <c r="A118" s="264" t="s">
        <v>363</v>
      </c>
      <c r="B118" s="301">
        <f>SUM(B116:B117)</f>
        <v>6.725479170335058</v>
      </c>
      <c r="C118" s="301">
        <f t="shared" ref="C118" si="184">SUM(C116:C117)</f>
        <v>1.2485419252075864</v>
      </c>
      <c r="D118" s="301">
        <f t="shared" ref="D118" si="185">SUM(D116:D117)</f>
        <v>0.56297890445736942</v>
      </c>
      <c r="E118" s="301">
        <f t="shared" si="179"/>
        <v>8.5370000000000132</v>
      </c>
      <c r="F118" s="301"/>
      <c r="G118" s="301">
        <f>SUM(G116:G117)</f>
        <v>5.3683835281200514</v>
      </c>
      <c r="H118" s="301">
        <f t="shared" ref="H118" si="186">SUM(H116:H117)</f>
        <v>0.79865534113622738</v>
      </c>
      <c r="I118" s="301">
        <f t="shared" ref="I118" si="187">SUM(I116:I117)</f>
        <v>0.32096113074372351</v>
      </c>
      <c r="J118" s="301">
        <f t="shared" si="180"/>
        <v>6.4880000000000031</v>
      </c>
      <c r="K118" s="301"/>
      <c r="L118" s="301">
        <f>SUM(L116:L117)</f>
        <v>4.8180584101984065</v>
      </c>
      <c r="M118" s="301">
        <f t="shared" ref="M118" si="188">SUM(M116:M117)</f>
        <v>0.47153864573687576</v>
      </c>
      <c r="N118" s="301">
        <f t="shared" ref="N118" si="189">SUM(N116:N117)</f>
        <v>0.34740294406471289</v>
      </c>
      <c r="O118" s="301">
        <f t="shared" si="181"/>
        <v>5.6369999999999951</v>
      </c>
      <c r="P118" s="301"/>
      <c r="Q118" s="301">
        <f>SUM(Q116:Q117)</f>
        <v>5.2275580366911596</v>
      </c>
      <c r="R118" s="301">
        <f t="shared" ref="R118" si="190">SUM(R116:R117)</f>
        <v>0.51146094929251973</v>
      </c>
      <c r="S118" s="301">
        <f t="shared" ref="S118" si="191">SUM(S116:S117)</f>
        <v>0.3839810140163239</v>
      </c>
      <c r="T118" s="301">
        <f t="shared" si="182"/>
        <v>6.1230000000000029</v>
      </c>
      <c r="U118" s="301"/>
      <c r="V118" s="301">
        <f>SUM(V116:V117)</f>
        <v>5.7368857571182046</v>
      </c>
      <c r="W118" s="301">
        <f t="shared" ref="W118" si="192">SUM(W116:W117)</f>
        <v>0.55506246537300696</v>
      </c>
      <c r="X118" s="301">
        <f t="shared" ref="X118" si="193">SUM(X116:X117)</f>
        <v>0.42505177750877771</v>
      </c>
      <c r="Y118" s="301">
        <f t="shared" si="183"/>
        <v>6.7169999999999899</v>
      </c>
    </row>
    <row r="119" spans="1:25" x14ac:dyDescent="0.2">
      <c r="A119" s="262"/>
    </row>
    <row r="120" spans="1:25" x14ac:dyDescent="0.2">
      <c r="A120" s="261"/>
    </row>
    <row r="121" spans="1:25" x14ac:dyDescent="0.2">
      <c r="C121" s="263"/>
    </row>
    <row r="122" spans="1:25" ht="15" x14ac:dyDescent="0.25">
      <c r="A122" s="265" t="str">
        <f>"Industry 14 : "&amp; name!B17</f>
        <v>Industry 14 : Finance and insurance</v>
      </c>
      <c r="B122" s="374">
        <f>$B$5</f>
        <v>2015</v>
      </c>
      <c r="C122" s="374"/>
      <c r="D122" s="374"/>
      <c r="E122" s="374"/>
      <c r="F122" s="320"/>
      <c r="G122" s="374">
        <f>$G$5</f>
        <v>2019</v>
      </c>
      <c r="H122" s="374"/>
      <c r="I122" s="374"/>
      <c r="J122" s="374"/>
      <c r="K122" s="320"/>
      <c r="L122" s="374">
        <f>$L$5</f>
        <v>2020</v>
      </c>
      <c r="M122" s="374"/>
      <c r="N122" s="374"/>
      <c r="O122" s="374"/>
      <c r="P122" s="318"/>
      <c r="Q122" s="374">
        <f>$Q$5</f>
        <v>2025</v>
      </c>
      <c r="R122" s="374"/>
      <c r="S122" s="374"/>
      <c r="T122" s="374"/>
      <c r="U122" s="320"/>
      <c r="V122" s="374">
        <f>$V$5</f>
        <v>2035</v>
      </c>
      <c r="W122" s="374"/>
      <c r="X122" s="374"/>
      <c r="Y122" s="374"/>
    </row>
    <row r="123" spans="1:25" x14ac:dyDescent="0.2">
      <c r="A123" s="264"/>
      <c r="B123" s="268" t="str">
        <f>$B$6</f>
        <v>FT</v>
      </c>
      <c r="C123" s="268" t="str">
        <f>$C$6</f>
        <v>PT</v>
      </c>
      <c r="D123" s="268" t="str">
        <f>$D$6</f>
        <v>SE</v>
      </c>
      <c r="E123" s="268" t="str">
        <f>$E$6</f>
        <v>Total</v>
      </c>
      <c r="F123" s="268"/>
      <c r="G123" s="268" t="str">
        <f>$B$6</f>
        <v>FT</v>
      </c>
      <c r="H123" s="268" t="str">
        <f>$C$6</f>
        <v>PT</v>
      </c>
      <c r="I123" s="268" t="str">
        <f>$D$6</f>
        <v>SE</v>
      </c>
      <c r="J123" s="268" t="str">
        <f>$E$6</f>
        <v>Total</v>
      </c>
      <c r="K123" s="268"/>
      <c r="L123" s="268" t="str">
        <f>$L$6</f>
        <v>FT</v>
      </c>
      <c r="M123" s="268" t="str">
        <f>$M$6</f>
        <v>PT</v>
      </c>
      <c r="N123" s="268" t="str">
        <f>$N$6</f>
        <v>SE</v>
      </c>
      <c r="O123" s="268" t="str">
        <f>$O$6</f>
        <v>Total</v>
      </c>
      <c r="P123" s="268"/>
      <c r="Q123" s="268" t="str">
        <f>$L$6</f>
        <v>FT</v>
      </c>
      <c r="R123" s="268" t="str">
        <f>$M$6</f>
        <v>PT</v>
      </c>
      <c r="S123" s="268" t="str">
        <f>$N$6</f>
        <v>SE</v>
      </c>
      <c r="T123" s="268" t="str">
        <f>$O$6</f>
        <v>Total</v>
      </c>
      <c r="U123" s="268"/>
      <c r="V123" s="268" t="str">
        <f>$V$6</f>
        <v>FT</v>
      </c>
      <c r="W123" s="268" t="str">
        <f>$W$6</f>
        <v>PT</v>
      </c>
      <c r="X123" s="268" t="str">
        <f>$X$6</f>
        <v>SE</v>
      </c>
      <c r="Y123" s="268" t="str">
        <f>$Y$6</f>
        <v>Total</v>
      </c>
    </row>
    <row r="124" spans="1:25" x14ac:dyDescent="0.2">
      <c r="C124" s="319"/>
      <c r="D124" s="319"/>
      <c r="E124" s="319"/>
      <c r="F124" s="319"/>
      <c r="G124" s="319"/>
      <c r="H124" s="319"/>
      <c r="I124" s="319"/>
      <c r="J124" s="319"/>
      <c r="K124" s="319"/>
      <c r="L124" s="319"/>
      <c r="M124" s="319"/>
      <c r="N124" s="319"/>
      <c r="O124" s="319"/>
      <c r="P124" s="319"/>
      <c r="Q124" s="319"/>
      <c r="R124" s="319"/>
      <c r="S124" s="319"/>
      <c r="T124" s="319"/>
      <c r="U124" s="319"/>
      <c r="V124" s="319"/>
      <c r="W124" s="319"/>
      <c r="X124" s="319"/>
      <c r="Y124" s="319"/>
    </row>
    <row r="125" spans="1:25" x14ac:dyDescent="0.2">
      <c r="A125" s="260" t="s">
        <v>365</v>
      </c>
      <c r="B125" s="300">
        <v>3.1804649394179054</v>
      </c>
      <c r="C125" s="300">
        <v>1.3228988880099533</v>
      </c>
      <c r="D125" s="300">
        <v>0</v>
      </c>
      <c r="E125" s="300">
        <f>SUM(B125:D125)</f>
        <v>4.5033638274278589</v>
      </c>
      <c r="F125" s="300"/>
      <c r="G125" s="300">
        <v>3.2819643216592338</v>
      </c>
      <c r="H125" s="300">
        <v>1.177730238000914</v>
      </c>
      <c r="I125" s="300">
        <v>0</v>
      </c>
      <c r="J125" s="300">
        <f>SUM(G125:I125)</f>
        <v>4.4596945596601483</v>
      </c>
      <c r="K125" s="300"/>
      <c r="L125" s="300">
        <v>3.1404534546176248</v>
      </c>
      <c r="M125" s="300">
        <v>1.1551371020242933</v>
      </c>
      <c r="N125" s="300">
        <v>0</v>
      </c>
      <c r="O125" s="300">
        <f>SUM(L125:N125)</f>
        <v>4.2955905566419181</v>
      </c>
      <c r="P125" s="300"/>
      <c r="Q125" s="300">
        <v>3.2318045962655373</v>
      </c>
      <c r="R125" s="300">
        <v>1.1760464648990037</v>
      </c>
      <c r="S125" s="300">
        <v>0</v>
      </c>
      <c r="T125" s="300">
        <f>SUM(Q125:S125)</f>
        <v>4.407851061164541</v>
      </c>
      <c r="U125" s="300"/>
      <c r="V125" s="300">
        <v>3.2148961483702805</v>
      </c>
      <c r="W125" s="300">
        <v>1.1589933578347056</v>
      </c>
      <c r="X125" s="300">
        <v>0</v>
      </c>
      <c r="Y125" s="300">
        <f>SUM(V125:X125)</f>
        <v>4.3738895062049856</v>
      </c>
    </row>
    <row r="126" spans="1:25" x14ac:dyDescent="0.2">
      <c r="A126" s="260" t="s">
        <v>364</v>
      </c>
      <c r="B126" s="300">
        <v>3.5105637968436101</v>
      </c>
      <c r="C126" s="300">
        <v>0.11873545034268031</v>
      </c>
      <c r="D126" s="300">
        <v>1.226336925385846</v>
      </c>
      <c r="E126" s="300">
        <f t="shared" ref="E126:E127" si="194">SUM(B126:D126)</f>
        <v>4.8556361725721366</v>
      </c>
      <c r="F126" s="300"/>
      <c r="G126" s="300">
        <v>3.6726094309967503</v>
      </c>
      <c r="H126" s="300">
        <v>0.13839608585466004</v>
      </c>
      <c r="I126" s="300">
        <v>0.19429992348843891</v>
      </c>
      <c r="J126" s="300">
        <f t="shared" ref="J126:J127" si="195">SUM(G126:I126)</f>
        <v>4.0053054403398489</v>
      </c>
      <c r="K126" s="300"/>
      <c r="L126" s="300">
        <v>3.3476529347998953</v>
      </c>
      <c r="M126" s="300">
        <v>0.17163023608484698</v>
      </c>
      <c r="N126" s="300">
        <v>0.15712627247334862</v>
      </c>
      <c r="O126" s="300">
        <f t="shared" ref="O126:O127" si="196">SUM(L126:N126)</f>
        <v>3.6764094433580912</v>
      </c>
      <c r="P126" s="300"/>
      <c r="Q126" s="300">
        <v>3.4593043660133529</v>
      </c>
      <c r="R126" s="300">
        <v>0.18447787684367378</v>
      </c>
      <c r="S126" s="300">
        <v>0.17036669597842741</v>
      </c>
      <c r="T126" s="300">
        <f t="shared" ref="T126:T127" si="197">SUM(Q126:S126)</f>
        <v>3.8141489388354541</v>
      </c>
      <c r="U126" s="300"/>
      <c r="V126" s="300">
        <v>3.4529985379021841</v>
      </c>
      <c r="W126" s="300">
        <v>0.19699118556037262</v>
      </c>
      <c r="X126" s="300">
        <v>0.17712077033245896</v>
      </c>
      <c r="Y126" s="300">
        <f t="shared" ref="Y126:Y127" si="198">SUM(V126:X126)</f>
        <v>3.8271104937950158</v>
      </c>
    </row>
    <row r="127" spans="1:25" x14ac:dyDescent="0.2">
      <c r="A127" s="264" t="s">
        <v>363</v>
      </c>
      <c r="B127" s="301">
        <f>SUM(B125:B126)</f>
        <v>6.6910287362615151</v>
      </c>
      <c r="C127" s="301">
        <f t="shared" ref="C127" si="199">SUM(C125:C126)</f>
        <v>1.4416343383526335</v>
      </c>
      <c r="D127" s="301">
        <f t="shared" ref="D127" si="200">SUM(D125:D126)</f>
        <v>1.226336925385846</v>
      </c>
      <c r="E127" s="301">
        <f t="shared" si="194"/>
        <v>9.3589999999999947</v>
      </c>
      <c r="F127" s="301"/>
      <c r="G127" s="301">
        <f>SUM(G125:G126)</f>
        <v>6.9545737526559837</v>
      </c>
      <c r="H127" s="301">
        <f t="shared" ref="H127" si="201">SUM(H125:H126)</f>
        <v>1.316126323855574</v>
      </c>
      <c r="I127" s="301">
        <f t="shared" ref="I127" si="202">SUM(I125:I126)</f>
        <v>0.19429992348843891</v>
      </c>
      <c r="J127" s="301">
        <f t="shared" si="195"/>
        <v>8.4649999999999963</v>
      </c>
      <c r="K127" s="301"/>
      <c r="L127" s="301">
        <f>SUM(L125:L126)</f>
        <v>6.4881063894175206</v>
      </c>
      <c r="M127" s="301">
        <f t="shared" ref="M127" si="203">SUM(M125:M126)</f>
        <v>1.3267673381091403</v>
      </c>
      <c r="N127" s="301">
        <f t="shared" ref="N127" si="204">SUM(N125:N126)</f>
        <v>0.15712627247334862</v>
      </c>
      <c r="O127" s="301">
        <f t="shared" si="196"/>
        <v>7.9720000000000093</v>
      </c>
      <c r="P127" s="301"/>
      <c r="Q127" s="301">
        <f>SUM(Q125:Q126)</f>
        <v>6.6911089622788902</v>
      </c>
      <c r="R127" s="301">
        <f t="shared" ref="R127" si="205">SUM(R125:R126)</f>
        <v>1.3605243417426776</v>
      </c>
      <c r="S127" s="301">
        <f t="shared" ref="S127" si="206">SUM(S125:S126)</f>
        <v>0.17036669597842741</v>
      </c>
      <c r="T127" s="301">
        <f t="shared" si="197"/>
        <v>8.221999999999996</v>
      </c>
      <c r="U127" s="301"/>
      <c r="V127" s="301">
        <f>SUM(V125:V126)</f>
        <v>6.6678946862724651</v>
      </c>
      <c r="W127" s="301">
        <f t="shared" ref="W127" si="207">SUM(W125:W126)</f>
        <v>1.3559845433950781</v>
      </c>
      <c r="X127" s="301">
        <f t="shared" ref="X127" si="208">SUM(X125:X126)</f>
        <v>0.17712077033245896</v>
      </c>
      <c r="Y127" s="301">
        <f t="shared" si="198"/>
        <v>8.2010000000000023</v>
      </c>
    </row>
    <row r="131" spans="1:25" ht="15" x14ac:dyDescent="0.25">
      <c r="A131" s="265" t="str">
        <f>"Industry 15 : "&amp; name!B18</f>
        <v>Industry 15 : Real estate</v>
      </c>
      <c r="B131" s="374">
        <f>$B$5</f>
        <v>2015</v>
      </c>
      <c r="C131" s="374"/>
      <c r="D131" s="374"/>
      <c r="E131" s="374"/>
      <c r="F131" s="320"/>
      <c r="G131" s="374">
        <f>$G$5</f>
        <v>2019</v>
      </c>
      <c r="H131" s="374"/>
      <c r="I131" s="374"/>
      <c r="J131" s="374"/>
      <c r="K131" s="320"/>
      <c r="L131" s="374">
        <f>$L$5</f>
        <v>2020</v>
      </c>
      <c r="M131" s="374"/>
      <c r="N131" s="374"/>
      <c r="O131" s="374"/>
      <c r="P131" s="318"/>
      <c r="Q131" s="374">
        <f>$Q$5</f>
        <v>2025</v>
      </c>
      <c r="R131" s="374"/>
      <c r="S131" s="374"/>
      <c r="T131" s="374"/>
      <c r="U131" s="320"/>
      <c r="V131" s="374">
        <f>$V$5</f>
        <v>2035</v>
      </c>
      <c r="W131" s="374"/>
      <c r="X131" s="374"/>
      <c r="Y131" s="374"/>
    </row>
    <row r="132" spans="1:25" x14ac:dyDescent="0.2">
      <c r="A132" s="264"/>
      <c r="B132" s="268" t="str">
        <f>$B$6</f>
        <v>FT</v>
      </c>
      <c r="C132" s="268" t="str">
        <f>$C$6</f>
        <v>PT</v>
      </c>
      <c r="D132" s="268" t="str">
        <f>$D$6</f>
        <v>SE</v>
      </c>
      <c r="E132" s="268" t="str">
        <f>$E$6</f>
        <v>Total</v>
      </c>
      <c r="F132" s="268"/>
      <c r="G132" s="268" t="str">
        <f>$B$6</f>
        <v>FT</v>
      </c>
      <c r="H132" s="268" t="str">
        <f>$C$6</f>
        <v>PT</v>
      </c>
      <c r="I132" s="268" t="str">
        <f>$D$6</f>
        <v>SE</v>
      </c>
      <c r="J132" s="268" t="str">
        <f>$E$6</f>
        <v>Total</v>
      </c>
      <c r="K132" s="268"/>
      <c r="L132" s="268" t="str">
        <f>$L$6</f>
        <v>FT</v>
      </c>
      <c r="M132" s="268" t="str">
        <f>$M$6</f>
        <v>PT</v>
      </c>
      <c r="N132" s="268" t="str">
        <f>$N$6</f>
        <v>SE</v>
      </c>
      <c r="O132" s="268" t="str">
        <f>$O$6</f>
        <v>Total</v>
      </c>
      <c r="P132" s="268"/>
      <c r="Q132" s="268" t="str">
        <f>$L$6</f>
        <v>FT</v>
      </c>
      <c r="R132" s="268" t="str">
        <f>$M$6</f>
        <v>PT</v>
      </c>
      <c r="S132" s="268" t="str">
        <f>$N$6</f>
        <v>SE</v>
      </c>
      <c r="T132" s="268" t="str">
        <f>$O$6</f>
        <v>Total</v>
      </c>
      <c r="U132" s="268"/>
      <c r="V132" s="268" t="str">
        <f>$V$6</f>
        <v>FT</v>
      </c>
      <c r="W132" s="268" t="str">
        <f>$W$6</f>
        <v>PT</v>
      </c>
      <c r="X132" s="268" t="str">
        <f>$X$6</f>
        <v>SE</v>
      </c>
      <c r="Y132" s="268" t="str">
        <f>$Y$6</f>
        <v>Total</v>
      </c>
    </row>
    <row r="133" spans="1:25" x14ac:dyDescent="0.2">
      <c r="C133" s="319"/>
      <c r="D133" s="319"/>
      <c r="E133" s="319"/>
      <c r="F133" s="319"/>
      <c r="G133" s="319"/>
      <c r="H133" s="319"/>
      <c r="I133" s="319"/>
      <c r="J133" s="319"/>
      <c r="K133" s="319"/>
      <c r="L133" s="319"/>
      <c r="M133" s="319"/>
      <c r="N133" s="319"/>
      <c r="O133" s="319"/>
      <c r="P133" s="319"/>
      <c r="Q133" s="319"/>
      <c r="R133" s="319"/>
      <c r="S133" s="319"/>
      <c r="T133" s="319"/>
      <c r="U133" s="319"/>
      <c r="V133" s="319"/>
      <c r="W133" s="319"/>
      <c r="X133" s="319"/>
      <c r="Y133" s="319"/>
    </row>
    <row r="134" spans="1:25" x14ac:dyDescent="0.2">
      <c r="A134" s="260" t="s">
        <v>365</v>
      </c>
      <c r="B134" s="300">
        <v>1.9641346961824657</v>
      </c>
      <c r="C134" s="300">
        <v>1.2439382169439006</v>
      </c>
      <c r="D134" s="300">
        <v>0.22534514480710419</v>
      </c>
      <c r="E134" s="300">
        <f>SUM(B134:D134)</f>
        <v>3.4334180579334701</v>
      </c>
      <c r="F134" s="300"/>
      <c r="G134" s="300">
        <v>2.6331593713036114</v>
      </c>
      <c r="H134" s="300">
        <v>1.1291288190444735</v>
      </c>
      <c r="I134" s="300">
        <v>0.37453309832383758</v>
      </c>
      <c r="J134" s="300">
        <f>SUM(G134:I134)</f>
        <v>4.1368212886719222</v>
      </c>
      <c r="K134" s="300"/>
      <c r="L134" s="300">
        <v>2.0637376978471549</v>
      </c>
      <c r="M134" s="300">
        <v>1.0709381931872479</v>
      </c>
      <c r="N134" s="300">
        <v>0.5484313556533098</v>
      </c>
      <c r="O134" s="300">
        <f>SUM(L134:N134)</f>
        <v>3.6831072466877126</v>
      </c>
      <c r="P134" s="300"/>
      <c r="Q134" s="300">
        <v>2.1203809524044535</v>
      </c>
      <c r="R134" s="300">
        <v>1.016015873042444</v>
      </c>
      <c r="S134" s="300">
        <v>0.55199999998800109</v>
      </c>
      <c r="T134" s="300">
        <f>SUM(Q134:S134)</f>
        <v>3.6883968254348987</v>
      </c>
      <c r="U134" s="300"/>
      <c r="V134" s="300">
        <v>2.6044285512032141</v>
      </c>
      <c r="W134" s="300">
        <v>1.0668609708953867</v>
      </c>
      <c r="X134" s="300">
        <v>0.63760022645321357</v>
      </c>
      <c r="Y134" s="300">
        <f>SUM(V134:X134)</f>
        <v>4.3088897485518141</v>
      </c>
    </row>
    <row r="135" spans="1:25" x14ac:dyDescent="0.2">
      <c r="A135" s="260" t="s">
        <v>364</v>
      </c>
      <c r="B135" s="300">
        <v>3.1923895513810967</v>
      </c>
      <c r="C135" s="300">
        <v>0.13702305508238186</v>
      </c>
      <c r="D135" s="300">
        <v>0.50516933560305932</v>
      </c>
      <c r="E135" s="300">
        <f t="shared" ref="E135:E136" si="209">SUM(B135:D135)</f>
        <v>3.8345819420665377</v>
      </c>
      <c r="F135" s="300"/>
      <c r="G135" s="300">
        <v>2.3577890716790026</v>
      </c>
      <c r="H135" s="300">
        <v>0.47848815119647253</v>
      </c>
      <c r="I135" s="300">
        <v>0.55590148845260823</v>
      </c>
      <c r="J135" s="300">
        <f t="shared" ref="J135:J136" si="210">SUM(G135:I135)</f>
        <v>3.3921787113280835</v>
      </c>
      <c r="K135" s="300"/>
      <c r="L135" s="300">
        <v>2.561415419405829</v>
      </c>
      <c r="M135" s="300">
        <v>0.53711219984809422</v>
      </c>
      <c r="N135" s="300">
        <v>3.6513405836153927E-4</v>
      </c>
      <c r="O135" s="300">
        <f t="shared" ref="O135:O136" si="211">SUM(L135:N135)</f>
        <v>3.0988927533122848</v>
      </c>
      <c r="P135" s="300"/>
      <c r="Q135" s="300">
        <v>2.539126984093393</v>
      </c>
      <c r="R135" s="300">
        <v>0.53411111110665266</v>
      </c>
      <c r="S135" s="300">
        <v>3.6507936506705615E-4</v>
      </c>
      <c r="T135" s="300">
        <f t="shared" ref="T135:T136" si="212">SUM(Q135:S135)</f>
        <v>3.0736031745651125</v>
      </c>
      <c r="U135" s="300"/>
      <c r="V135" s="300">
        <v>2.9112019625349834</v>
      </c>
      <c r="W135" s="300">
        <v>0.62353823654729312</v>
      </c>
      <c r="X135" s="300">
        <v>3.7005236589613858E-4</v>
      </c>
      <c r="Y135" s="300">
        <f t="shared" ref="Y135:Y136" si="213">SUM(V135:X135)</f>
        <v>3.5351102514481729</v>
      </c>
    </row>
    <row r="136" spans="1:25" x14ac:dyDescent="0.2">
      <c r="A136" s="264" t="s">
        <v>363</v>
      </c>
      <c r="B136" s="301">
        <f>SUM(B134:B135)</f>
        <v>5.1565242475635626</v>
      </c>
      <c r="C136" s="301">
        <f t="shared" ref="C136" si="214">SUM(C134:C135)</f>
        <v>1.3809612720262825</v>
      </c>
      <c r="D136" s="301">
        <f t="shared" ref="D136" si="215">SUM(D134:D135)</f>
        <v>0.73051448041016354</v>
      </c>
      <c r="E136" s="301">
        <f t="shared" si="209"/>
        <v>7.2680000000000087</v>
      </c>
      <c r="F136" s="301"/>
      <c r="G136" s="301">
        <f>SUM(G134:G135)</f>
        <v>4.9909484429826136</v>
      </c>
      <c r="H136" s="301">
        <f t="shared" ref="H136" si="216">SUM(H134:H135)</f>
        <v>1.607616970240946</v>
      </c>
      <c r="I136" s="301">
        <f t="shared" ref="I136" si="217">SUM(I134:I135)</f>
        <v>0.93043458677644586</v>
      </c>
      <c r="J136" s="301">
        <f t="shared" si="210"/>
        <v>7.5290000000000052</v>
      </c>
      <c r="K136" s="301"/>
      <c r="L136" s="301">
        <f>SUM(L134:L135)</f>
        <v>4.6251531172529834</v>
      </c>
      <c r="M136" s="301">
        <f t="shared" ref="M136" si="218">SUM(M134:M135)</f>
        <v>1.608050393035342</v>
      </c>
      <c r="N136" s="301">
        <f t="shared" ref="N136" si="219">SUM(N134:N135)</f>
        <v>0.54879648971167139</v>
      </c>
      <c r="O136" s="301">
        <f t="shared" si="211"/>
        <v>6.7819999999999965</v>
      </c>
      <c r="P136" s="301"/>
      <c r="Q136" s="301">
        <f>SUM(Q134:Q135)</f>
        <v>4.659507936497846</v>
      </c>
      <c r="R136" s="301">
        <f t="shared" ref="R136" si="220">SUM(R134:R135)</f>
        <v>1.5501269841490966</v>
      </c>
      <c r="S136" s="301">
        <f t="shared" ref="S136" si="221">SUM(S134:S135)</f>
        <v>0.55236507935306811</v>
      </c>
      <c r="T136" s="301">
        <f t="shared" si="212"/>
        <v>6.7620000000000111</v>
      </c>
      <c r="U136" s="301"/>
      <c r="V136" s="301">
        <f>SUM(V134:V135)</f>
        <v>5.5156305137381976</v>
      </c>
      <c r="W136" s="301">
        <f t="shared" ref="W136" si="222">SUM(W134:W135)</f>
        <v>1.6903992074426797</v>
      </c>
      <c r="X136" s="301">
        <f t="shared" ref="X136" si="223">SUM(X134:X135)</f>
        <v>0.63797027881910973</v>
      </c>
      <c r="Y136" s="301">
        <f t="shared" si="213"/>
        <v>7.843999999999987</v>
      </c>
    </row>
    <row r="137" spans="1:25" x14ac:dyDescent="0.2">
      <c r="C137" s="263"/>
    </row>
    <row r="138" spans="1:25" x14ac:dyDescent="0.2">
      <c r="A138" s="261"/>
    </row>
    <row r="139" spans="1:25" x14ac:dyDescent="0.2">
      <c r="C139" s="263"/>
    </row>
    <row r="140" spans="1:25" ht="15" x14ac:dyDescent="0.25">
      <c r="A140" s="265" t="str">
        <f>"Industry 16 : "&amp; name!B19</f>
        <v>Industry 16 : Professional services</v>
      </c>
      <c r="B140" s="374">
        <f>$B$5</f>
        <v>2015</v>
      </c>
      <c r="C140" s="374"/>
      <c r="D140" s="374"/>
      <c r="E140" s="374"/>
      <c r="F140" s="320"/>
      <c r="G140" s="374">
        <f>$G$5</f>
        <v>2019</v>
      </c>
      <c r="H140" s="374"/>
      <c r="I140" s="374"/>
      <c r="J140" s="374"/>
      <c r="K140" s="320"/>
      <c r="L140" s="374">
        <f>$L$5</f>
        <v>2020</v>
      </c>
      <c r="M140" s="374"/>
      <c r="N140" s="374"/>
      <c r="O140" s="374"/>
      <c r="P140" s="318"/>
      <c r="Q140" s="374">
        <f>$Q$5</f>
        <v>2025</v>
      </c>
      <c r="R140" s="374"/>
      <c r="S140" s="374"/>
      <c r="T140" s="374"/>
      <c r="U140" s="320"/>
      <c r="V140" s="374">
        <f>$V$5</f>
        <v>2035</v>
      </c>
      <c r="W140" s="374"/>
      <c r="X140" s="374"/>
      <c r="Y140" s="374"/>
    </row>
    <row r="141" spans="1:25" x14ac:dyDescent="0.2">
      <c r="A141" s="264"/>
      <c r="B141" s="268" t="str">
        <f>$B$6</f>
        <v>FT</v>
      </c>
      <c r="C141" s="268" t="str">
        <f>$C$6</f>
        <v>PT</v>
      </c>
      <c r="D141" s="268" t="str">
        <f>$D$6</f>
        <v>SE</v>
      </c>
      <c r="E141" s="268" t="str">
        <f>$E$6</f>
        <v>Total</v>
      </c>
      <c r="F141" s="268"/>
      <c r="G141" s="268" t="str">
        <f>$B$6</f>
        <v>FT</v>
      </c>
      <c r="H141" s="268" t="str">
        <f>$C$6</f>
        <v>PT</v>
      </c>
      <c r="I141" s="268" t="str">
        <f>$D$6</f>
        <v>SE</v>
      </c>
      <c r="J141" s="268" t="str">
        <f>$E$6</f>
        <v>Total</v>
      </c>
      <c r="K141" s="268"/>
      <c r="L141" s="268" t="str">
        <f>$L$6</f>
        <v>FT</v>
      </c>
      <c r="M141" s="268" t="str">
        <f>$M$6</f>
        <v>PT</v>
      </c>
      <c r="N141" s="268" t="str">
        <f>$N$6</f>
        <v>SE</v>
      </c>
      <c r="O141" s="268" t="str">
        <f>$O$6</f>
        <v>Total</v>
      </c>
      <c r="P141" s="268"/>
      <c r="Q141" s="268" t="str">
        <f>$L$6</f>
        <v>FT</v>
      </c>
      <c r="R141" s="268" t="str">
        <f>$M$6</f>
        <v>PT</v>
      </c>
      <c r="S141" s="268" t="str">
        <f>$N$6</f>
        <v>SE</v>
      </c>
      <c r="T141" s="268" t="str">
        <f>$O$6</f>
        <v>Total</v>
      </c>
      <c r="U141" s="268"/>
      <c r="V141" s="268" t="str">
        <f>$V$6</f>
        <v>FT</v>
      </c>
      <c r="W141" s="268" t="str">
        <f>$W$6</f>
        <v>PT</v>
      </c>
      <c r="X141" s="268" t="str">
        <f>$X$6</f>
        <v>SE</v>
      </c>
      <c r="Y141" s="268" t="str">
        <f>$Y$6</f>
        <v>Total</v>
      </c>
    </row>
    <row r="142" spans="1:25" x14ac:dyDescent="0.2">
      <c r="C142" s="319"/>
      <c r="D142" s="319"/>
      <c r="E142" s="319"/>
      <c r="F142" s="319"/>
      <c r="G142" s="319"/>
      <c r="H142" s="319"/>
      <c r="I142" s="319"/>
      <c r="J142" s="319"/>
      <c r="K142" s="319"/>
      <c r="L142" s="319"/>
      <c r="M142" s="319"/>
      <c r="N142" s="319"/>
      <c r="O142" s="319"/>
      <c r="P142" s="319"/>
      <c r="Q142" s="319"/>
      <c r="R142" s="319"/>
      <c r="S142" s="319"/>
      <c r="T142" s="319"/>
      <c r="U142" s="319"/>
      <c r="V142" s="319"/>
      <c r="W142" s="319"/>
      <c r="X142" s="319"/>
      <c r="Y142" s="319"/>
    </row>
    <row r="143" spans="1:25" x14ac:dyDescent="0.2">
      <c r="A143" s="260" t="s">
        <v>365</v>
      </c>
      <c r="B143" s="300">
        <v>5.2036730883997615</v>
      </c>
      <c r="C143" s="300">
        <v>2.7977042513295705</v>
      </c>
      <c r="D143" s="300">
        <v>1.4836071286481383</v>
      </c>
      <c r="E143" s="300">
        <f>SUM(B143:D143)</f>
        <v>9.4849844683774709</v>
      </c>
      <c r="F143" s="300"/>
      <c r="G143" s="300">
        <v>4.8524619252938832</v>
      </c>
      <c r="H143" s="300">
        <v>3.0235143678436325</v>
      </c>
      <c r="I143" s="300">
        <v>1.81695977014439</v>
      </c>
      <c r="J143" s="300">
        <f>SUM(G143:I143)</f>
        <v>9.6929360632819055</v>
      </c>
      <c r="K143" s="300"/>
      <c r="L143" s="300">
        <v>5.7990755600681245</v>
      </c>
      <c r="M143" s="300">
        <v>2.8686847234783306</v>
      </c>
      <c r="N143" s="300">
        <v>0.53392026326261111</v>
      </c>
      <c r="O143" s="300">
        <f>SUM(L143:N143)</f>
        <v>9.201680546809067</v>
      </c>
      <c r="P143" s="300"/>
      <c r="Q143" s="300">
        <v>6.084502839475924</v>
      </c>
      <c r="R143" s="300">
        <v>3.0329258843243347</v>
      </c>
      <c r="S143" s="300">
        <v>0.60108801913848686</v>
      </c>
      <c r="T143" s="300">
        <f>SUM(Q143:S143)</f>
        <v>9.7185167429387462</v>
      </c>
      <c r="U143" s="300"/>
      <c r="V143" s="300">
        <v>6.5784474595001772</v>
      </c>
      <c r="W143" s="300">
        <v>3.2799349486732332</v>
      </c>
      <c r="X143" s="300">
        <v>0.71324569026345119</v>
      </c>
      <c r="Y143" s="300">
        <f>SUM(V143:X143)</f>
        <v>10.571628098436861</v>
      </c>
    </row>
    <row r="144" spans="1:25" x14ac:dyDescent="0.2">
      <c r="A144" s="260" t="s">
        <v>364</v>
      </c>
      <c r="B144" s="300">
        <v>12.408321833845314</v>
      </c>
      <c r="C144" s="300">
        <v>0.85922949025267825</v>
      </c>
      <c r="D144" s="300">
        <v>2.6114642075245538</v>
      </c>
      <c r="E144" s="300">
        <f t="shared" ref="E144:E145" si="224">SUM(B144:D144)</f>
        <v>15.879015531622546</v>
      </c>
      <c r="F144" s="300"/>
      <c r="G144" s="300">
        <v>8.9088699711946884</v>
      </c>
      <c r="H144" s="300">
        <v>0.81095761494606167</v>
      </c>
      <c r="I144" s="300">
        <v>2.686236350577337</v>
      </c>
      <c r="J144" s="300">
        <f t="shared" ref="J144:J145" si="225">SUM(G144:I144)</f>
        <v>12.406063936718088</v>
      </c>
      <c r="K144" s="300"/>
      <c r="L144" s="300">
        <v>9.7599584861905964</v>
      </c>
      <c r="M144" s="300">
        <v>1.4413248955862061</v>
      </c>
      <c r="N144" s="300">
        <v>2.6910360714141635</v>
      </c>
      <c r="O144" s="300">
        <f t="shared" ref="O144:O145" si="226">SUM(L144:N144)</f>
        <v>13.892319453190966</v>
      </c>
      <c r="P144" s="300"/>
      <c r="Q144" s="300">
        <v>9.8333680739390417</v>
      </c>
      <c r="R144" s="300">
        <v>1.5133544303571571</v>
      </c>
      <c r="S144" s="300">
        <v>2.8457607527650577</v>
      </c>
      <c r="T144" s="300">
        <f t="shared" ref="T144:T145" si="227">SUM(Q144:S144)</f>
        <v>14.192483257061257</v>
      </c>
      <c r="U144" s="300"/>
      <c r="V144" s="300">
        <v>10.218654417424204</v>
      </c>
      <c r="W144" s="300">
        <v>1.6630235559433886</v>
      </c>
      <c r="X144" s="300">
        <v>3.1216939281955671</v>
      </c>
      <c r="Y144" s="300">
        <f t="shared" ref="Y144:Y145" si="228">SUM(V144:X144)</f>
        <v>15.00337190156316</v>
      </c>
    </row>
    <row r="145" spans="1:25" x14ac:dyDescent="0.2">
      <c r="A145" s="264" t="s">
        <v>363</v>
      </c>
      <c r="B145" s="301">
        <f>SUM(B143:B144)</f>
        <v>17.611994922245074</v>
      </c>
      <c r="C145" s="301">
        <f t="shared" ref="C145" si="229">SUM(C143:C144)</f>
        <v>3.6569337415822485</v>
      </c>
      <c r="D145" s="301">
        <f t="shared" ref="D145" si="230">SUM(D143:D144)</f>
        <v>4.0950713361726923</v>
      </c>
      <c r="E145" s="301">
        <f t="shared" si="224"/>
        <v>25.364000000000019</v>
      </c>
      <c r="F145" s="301"/>
      <c r="G145" s="301">
        <f>SUM(G143:G144)</f>
        <v>13.761331896488571</v>
      </c>
      <c r="H145" s="301">
        <f t="shared" ref="H145" si="231">SUM(H143:H144)</f>
        <v>3.8344719827896943</v>
      </c>
      <c r="I145" s="301">
        <f t="shared" ref="I145" si="232">SUM(I143:I144)</f>
        <v>4.5031961207217268</v>
      </c>
      <c r="J145" s="301">
        <f t="shared" si="225"/>
        <v>22.09899999999999</v>
      </c>
      <c r="K145" s="301"/>
      <c r="L145" s="301">
        <f>SUM(L143:L144)</f>
        <v>15.55903404625872</v>
      </c>
      <c r="M145" s="301">
        <f t="shared" ref="M145" si="233">SUM(M143:M144)</f>
        <v>4.3100096190645365</v>
      </c>
      <c r="N145" s="301">
        <f t="shared" ref="N145" si="234">SUM(N143:N144)</f>
        <v>3.2249563346767744</v>
      </c>
      <c r="O145" s="301">
        <f t="shared" si="226"/>
        <v>23.094000000000033</v>
      </c>
      <c r="P145" s="301"/>
      <c r="Q145" s="301">
        <f>SUM(Q143:Q144)</f>
        <v>15.917870913414966</v>
      </c>
      <c r="R145" s="301">
        <f t="shared" ref="R145" si="235">SUM(R143:R144)</f>
        <v>4.5462803146814919</v>
      </c>
      <c r="S145" s="301">
        <f t="shared" ref="S145" si="236">SUM(S143:S144)</f>
        <v>3.4468487719035448</v>
      </c>
      <c r="T145" s="301">
        <f t="shared" si="227"/>
        <v>23.911000000000001</v>
      </c>
      <c r="U145" s="301"/>
      <c r="V145" s="301">
        <f>SUM(V143:V144)</f>
        <v>16.79710187692438</v>
      </c>
      <c r="W145" s="301">
        <f t="shared" ref="W145" si="237">SUM(W143:W144)</f>
        <v>4.9429585046166213</v>
      </c>
      <c r="X145" s="301">
        <f t="shared" ref="X145" si="238">SUM(X143:X144)</f>
        <v>3.8349396184590185</v>
      </c>
      <c r="Y145" s="301">
        <f t="shared" si="228"/>
        <v>25.575000000000017</v>
      </c>
    </row>
    <row r="146" spans="1:25" x14ac:dyDescent="0.2">
      <c r="C146" s="263"/>
    </row>
    <row r="147" spans="1:25" x14ac:dyDescent="0.2">
      <c r="A147" s="261"/>
    </row>
    <row r="148" spans="1:25" x14ac:dyDescent="0.2">
      <c r="C148" s="263"/>
    </row>
    <row r="149" spans="1:25" ht="15" x14ac:dyDescent="0.25">
      <c r="A149" s="265" t="str">
        <f>"Industry 17 : "&amp; name!B20</f>
        <v>Industry 17 : Support services</v>
      </c>
      <c r="B149" s="374">
        <f>$B$5</f>
        <v>2015</v>
      </c>
      <c r="C149" s="374"/>
      <c r="D149" s="374"/>
      <c r="E149" s="374"/>
      <c r="F149" s="320"/>
      <c r="G149" s="374">
        <f>$G$5</f>
        <v>2019</v>
      </c>
      <c r="H149" s="374"/>
      <c r="I149" s="374"/>
      <c r="J149" s="374"/>
      <c r="K149" s="320"/>
      <c r="L149" s="374">
        <f>$L$5</f>
        <v>2020</v>
      </c>
      <c r="M149" s="374"/>
      <c r="N149" s="374"/>
      <c r="O149" s="374"/>
      <c r="P149" s="318"/>
      <c r="Q149" s="374">
        <f>$Q$5</f>
        <v>2025</v>
      </c>
      <c r="R149" s="374"/>
      <c r="S149" s="374"/>
      <c r="T149" s="374"/>
      <c r="U149" s="320"/>
      <c r="V149" s="374">
        <f>$V$5</f>
        <v>2035</v>
      </c>
      <c r="W149" s="374"/>
      <c r="X149" s="374"/>
      <c r="Y149" s="374"/>
    </row>
    <row r="150" spans="1:25" x14ac:dyDescent="0.2">
      <c r="A150" s="264"/>
      <c r="B150" s="268" t="str">
        <f>$B$6</f>
        <v>FT</v>
      </c>
      <c r="C150" s="268" t="str">
        <f>$C$6</f>
        <v>PT</v>
      </c>
      <c r="D150" s="268" t="str">
        <f>$D$6</f>
        <v>SE</v>
      </c>
      <c r="E150" s="268" t="str">
        <f>$E$6</f>
        <v>Total</v>
      </c>
      <c r="F150" s="268"/>
      <c r="G150" s="268" t="str">
        <f>$B$6</f>
        <v>FT</v>
      </c>
      <c r="H150" s="268" t="str">
        <f>$C$6</f>
        <v>PT</v>
      </c>
      <c r="I150" s="268" t="str">
        <f>$D$6</f>
        <v>SE</v>
      </c>
      <c r="J150" s="268" t="str">
        <f>$E$6</f>
        <v>Total</v>
      </c>
      <c r="K150" s="268"/>
      <c r="L150" s="268" t="str">
        <f>$L$6</f>
        <v>FT</v>
      </c>
      <c r="M150" s="268" t="str">
        <f>$M$6</f>
        <v>PT</v>
      </c>
      <c r="N150" s="268" t="str">
        <f>$N$6</f>
        <v>SE</v>
      </c>
      <c r="O150" s="268" t="str">
        <f>$O$6</f>
        <v>Total</v>
      </c>
      <c r="P150" s="268"/>
      <c r="Q150" s="268" t="str">
        <f>$L$6</f>
        <v>FT</v>
      </c>
      <c r="R150" s="268" t="str">
        <f>$M$6</f>
        <v>PT</v>
      </c>
      <c r="S150" s="268" t="str">
        <f>$N$6</f>
        <v>SE</v>
      </c>
      <c r="T150" s="268" t="str">
        <f>$O$6</f>
        <v>Total</v>
      </c>
      <c r="U150" s="268"/>
      <c r="V150" s="268" t="str">
        <f>$V$6</f>
        <v>FT</v>
      </c>
      <c r="W150" s="268" t="str">
        <f>$W$6</f>
        <v>PT</v>
      </c>
      <c r="X150" s="268" t="str">
        <f>$X$6</f>
        <v>SE</v>
      </c>
      <c r="Y150" s="268" t="str">
        <f>$Y$6</f>
        <v>Total</v>
      </c>
    </row>
    <row r="151" spans="1:25" x14ac:dyDescent="0.2">
      <c r="A151" s="262"/>
      <c r="C151" s="319"/>
      <c r="D151" s="319"/>
      <c r="E151" s="319"/>
      <c r="F151" s="319"/>
      <c r="G151" s="319"/>
      <c r="H151" s="319"/>
      <c r="I151" s="319"/>
      <c r="J151" s="319"/>
      <c r="K151" s="319"/>
      <c r="L151" s="319"/>
      <c r="M151" s="319"/>
      <c r="N151" s="319"/>
      <c r="O151" s="319"/>
      <c r="P151" s="319"/>
      <c r="Q151" s="319"/>
      <c r="R151" s="319"/>
      <c r="S151" s="319"/>
      <c r="T151" s="319"/>
      <c r="U151" s="319"/>
      <c r="V151" s="319"/>
      <c r="W151" s="319"/>
      <c r="X151" s="319"/>
      <c r="Y151" s="319"/>
    </row>
    <row r="152" spans="1:25" x14ac:dyDescent="0.2">
      <c r="A152" s="260" t="s">
        <v>365</v>
      </c>
      <c r="B152" s="300">
        <v>7.7932643397768473</v>
      </c>
      <c r="C152" s="300">
        <v>7.0137733695443272</v>
      </c>
      <c r="D152" s="300">
        <v>1.6198603911471228</v>
      </c>
      <c r="E152" s="300">
        <f>SUM(B152:D152)</f>
        <v>16.4268981004683</v>
      </c>
      <c r="F152" s="300"/>
      <c r="G152" s="300">
        <v>6.8820080293118471</v>
      </c>
      <c r="H152" s="300">
        <v>6.3897437536376218</v>
      </c>
      <c r="I152" s="300">
        <v>0.80724880008568189</v>
      </c>
      <c r="J152" s="300">
        <f>SUM(G152:I152)</f>
        <v>14.079000583035151</v>
      </c>
      <c r="K152" s="300"/>
      <c r="L152" s="300">
        <v>7.2531371271050693</v>
      </c>
      <c r="M152" s="300">
        <v>6.5337346589222447</v>
      </c>
      <c r="N152" s="300">
        <v>0.90759718887989926</v>
      </c>
      <c r="O152" s="300">
        <f>SUM(L152:N152)</f>
        <v>14.694468974907213</v>
      </c>
      <c r="P152" s="300"/>
      <c r="Q152" s="300">
        <v>7.5709001403095879</v>
      </c>
      <c r="R152" s="300">
        <v>6.5741019782621928</v>
      </c>
      <c r="S152" s="300">
        <v>0.91480868589643627</v>
      </c>
      <c r="T152" s="300">
        <f>SUM(Q152:S152)</f>
        <v>15.059810804468217</v>
      </c>
      <c r="U152" s="300"/>
      <c r="V152" s="300">
        <v>8.112195352489886</v>
      </c>
      <c r="W152" s="300">
        <v>6.6546465765389327</v>
      </c>
      <c r="X152" s="300">
        <v>0.96776353089006573</v>
      </c>
      <c r="Y152" s="300">
        <f>SUM(V152:X152)</f>
        <v>15.734605459918884</v>
      </c>
    </row>
    <row r="153" spans="1:25" x14ac:dyDescent="0.2">
      <c r="A153" s="260" t="s">
        <v>364</v>
      </c>
      <c r="B153" s="300">
        <v>13.401897258331759</v>
      </c>
      <c r="C153" s="300">
        <v>4.3079730514157486</v>
      </c>
      <c r="D153" s="300">
        <v>1.0312315897842408</v>
      </c>
      <c r="E153" s="300">
        <f t="shared" ref="E153:E154" si="239">SUM(B153:D153)</f>
        <v>18.741101899531749</v>
      </c>
      <c r="F153" s="300"/>
      <c r="G153" s="300">
        <v>14.842232315110769</v>
      </c>
      <c r="H153" s="300">
        <v>3.955478737772288</v>
      </c>
      <c r="I153" s="300">
        <v>3.1332883640816913</v>
      </c>
      <c r="J153" s="300">
        <f t="shared" ref="J153:J154" si="240">SUM(G153:I153)</f>
        <v>21.930999416964745</v>
      </c>
      <c r="K153" s="300"/>
      <c r="L153" s="300">
        <v>14.569407953420523</v>
      </c>
      <c r="M153" s="300">
        <v>4.0465886184509703</v>
      </c>
      <c r="N153" s="300">
        <v>1.8795344532213301</v>
      </c>
      <c r="O153" s="300">
        <f t="shared" ref="O153:O154" si="241">SUM(L153:N153)</f>
        <v>20.49553102509282</v>
      </c>
      <c r="P153" s="300"/>
      <c r="Q153" s="300">
        <v>14.939047979581442</v>
      </c>
      <c r="R153" s="300">
        <v>4.1406704846525759</v>
      </c>
      <c r="S153" s="300">
        <v>1.8974707312977794</v>
      </c>
      <c r="T153" s="300">
        <f t="shared" ref="T153:T154" si="242">SUM(Q153:S153)</f>
        <v>20.9771891955318</v>
      </c>
      <c r="U153" s="300"/>
      <c r="V153" s="300">
        <v>15.657249519215629</v>
      </c>
      <c r="W153" s="300">
        <v>4.3005831622753261</v>
      </c>
      <c r="X153" s="300">
        <v>1.9945618585901319</v>
      </c>
      <c r="Y153" s="300">
        <f t="shared" ref="Y153:Y154" si="243">SUM(V153:X153)</f>
        <v>21.952394540081087</v>
      </c>
    </row>
    <row r="154" spans="1:25" x14ac:dyDescent="0.2">
      <c r="A154" s="264" t="s">
        <v>363</v>
      </c>
      <c r="B154" s="301">
        <f>SUM(B152:B153)</f>
        <v>21.195161598108605</v>
      </c>
      <c r="C154" s="301">
        <f t="shared" ref="C154" si="244">SUM(C152:C153)</f>
        <v>11.321746420960075</v>
      </c>
      <c r="D154" s="301">
        <f t="shared" ref="D154" si="245">SUM(D152:D153)</f>
        <v>2.6510919809313638</v>
      </c>
      <c r="E154" s="301">
        <f t="shared" si="239"/>
        <v>35.168000000000042</v>
      </c>
      <c r="F154" s="301"/>
      <c r="G154" s="301">
        <f>SUM(G152:G153)</f>
        <v>21.724240344422615</v>
      </c>
      <c r="H154" s="301">
        <f t="shared" ref="H154" si="246">SUM(H152:H153)</f>
        <v>10.34522249140991</v>
      </c>
      <c r="I154" s="301">
        <f t="shared" ref="I154" si="247">SUM(I152:I153)</f>
        <v>3.940537164167373</v>
      </c>
      <c r="J154" s="301">
        <f t="shared" si="240"/>
        <v>36.009999999999899</v>
      </c>
      <c r="K154" s="301"/>
      <c r="L154" s="301">
        <f>SUM(L152:L153)</f>
        <v>21.822545080525593</v>
      </c>
      <c r="M154" s="301">
        <f t="shared" ref="M154" si="248">SUM(M152:M153)</f>
        <v>10.580323277373214</v>
      </c>
      <c r="N154" s="301">
        <f t="shared" ref="N154" si="249">SUM(N152:N153)</f>
        <v>2.7871316421012295</v>
      </c>
      <c r="O154" s="301">
        <f t="shared" si="241"/>
        <v>35.19000000000004</v>
      </c>
      <c r="P154" s="301"/>
      <c r="Q154" s="301">
        <f>SUM(Q152:Q153)</f>
        <v>22.509948119891028</v>
      </c>
      <c r="R154" s="301">
        <f t="shared" ref="R154" si="250">SUM(R152:R153)</f>
        <v>10.71477246291477</v>
      </c>
      <c r="S154" s="301">
        <f t="shared" ref="S154" si="251">SUM(S152:S153)</f>
        <v>2.8122794171942158</v>
      </c>
      <c r="T154" s="301">
        <f t="shared" si="242"/>
        <v>36.03700000000002</v>
      </c>
      <c r="U154" s="301"/>
      <c r="V154" s="301">
        <f>SUM(V152:V153)</f>
        <v>23.769444871705517</v>
      </c>
      <c r="W154" s="301">
        <f t="shared" ref="W154" si="252">SUM(W152:W153)</f>
        <v>10.955229738814259</v>
      </c>
      <c r="X154" s="301">
        <f t="shared" ref="X154" si="253">SUM(X152:X153)</f>
        <v>2.9623253894801977</v>
      </c>
      <c r="Y154" s="301">
        <f t="shared" si="243"/>
        <v>37.686999999999976</v>
      </c>
    </row>
    <row r="155" spans="1:25" x14ac:dyDescent="0.2">
      <c r="C155" s="263"/>
    </row>
    <row r="156" spans="1:25" x14ac:dyDescent="0.2">
      <c r="A156" s="261"/>
    </row>
    <row r="157" spans="1:25" x14ac:dyDescent="0.2">
      <c r="C157" s="263"/>
    </row>
    <row r="158" spans="1:25" ht="15" x14ac:dyDescent="0.25">
      <c r="A158" s="265" t="str">
        <f>"Industry 18 : "&amp; name!B21</f>
        <v>Industry 18 : Public admin. and defence</v>
      </c>
      <c r="B158" s="374">
        <f>$B$5</f>
        <v>2015</v>
      </c>
      <c r="C158" s="374"/>
      <c r="D158" s="374"/>
      <c r="E158" s="374"/>
      <c r="F158" s="320"/>
      <c r="G158" s="374">
        <f>$G$5</f>
        <v>2019</v>
      </c>
      <c r="H158" s="374"/>
      <c r="I158" s="374"/>
      <c r="J158" s="374"/>
      <c r="K158" s="320"/>
      <c r="L158" s="374">
        <f>$L$5</f>
        <v>2020</v>
      </c>
      <c r="M158" s="374"/>
      <c r="N158" s="374"/>
      <c r="O158" s="374"/>
      <c r="P158" s="318"/>
      <c r="Q158" s="374">
        <f>$Q$5</f>
        <v>2025</v>
      </c>
      <c r="R158" s="374"/>
      <c r="S158" s="374"/>
      <c r="T158" s="374"/>
      <c r="U158" s="320"/>
      <c r="V158" s="374">
        <f>$V$5</f>
        <v>2035</v>
      </c>
      <c r="W158" s="374"/>
      <c r="X158" s="374"/>
      <c r="Y158" s="374"/>
    </row>
    <row r="159" spans="1:25" x14ac:dyDescent="0.2">
      <c r="A159" s="264"/>
      <c r="B159" s="268" t="str">
        <f>$B$6</f>
        <v>FT</v>
      </c>
      <c r="C159" s="268" t="str">
        <f>$C$6</f>
        <v>PT</v>
      </c>
      <c r="D159" s="268" t="str">
        <f>$D$6</f>
        <v>SE</v>
      </c>
      <c r="E159" s="268" t="str">
        <f>$E$6</f>
        <v>Total</v>
      </c>
      <c r="F159" s="268"/>
      <c r="G159" s="268" t="str">
        <f>$B$6</f>
        <v>FT</v>
      </c>
      <c r="H159" s="268" t="str">
        <f>$C$6</f>
        <v>PT</v>
      </c>
      <c r="I159" s="268" t="str">
        <f>$D$6</f>
        <v>SE</v>
      </c>
      <c r="J159" s="268" t="str">
        <f>$E$6</f>
        <v>Total</v>
      </c>
      <c r="K159" s="268"/>
      <c r="L159" s="268" t="str">
        <f>$L$6</f>
        <v>FT</v>
      </c>
      <c r="M159" s="268" t="str">
        <f>$M$6</f>
        <v>PT</v>
      </c>
      <c r="N159" s="268" t="str">
        <f>$N$6</f>
        <v>SE</v>
      </c>
      <c r="O159" s="268" t="str">
        <f>$O$6</f>
        <v>Total</v>
      </c>
      <c r="P159" s="268"/>
      <c r="Q159" s="268" t="str">
        <f>$L$6</f>
        <v>FT</v>
      </c>
      <c r="R159" s="268" t="str">
        <f>$M$6</f>
        <v>PT</v>
      </c>
      <c r="S159" s="268" t="str">
        <f>$N$6</f>
        <v>SE</v>
      </c>
      <c r="T159" s="268" t="str">
        <f>$O$6</f>
        <v>Total</v>
      </c>
      <c r="U159" s="268"/>
      <c r="V159" s="268" t="str">
        <f>$V$6</f>
        <v>FT</v>
      </c>
      <c r="W159" s="268" t="str">
        <f>$W$6</f>
        <v>PT</v>
      </c>
      <c r="X159" s="268" t="str">
        <f>$X$6</f>
        <v>SE</v>
      </c>
      <c r="Y159" s="268" t="str">
        <f>$Y$6</f>
        <v>Total</v>
      </c>
    </row>
    <row r="160" spans="1:25" x14ac:dyDescent="0.2">
      <c r="A160" s="262"/>
      <c r="C160" s="319"/>
      <c r="D160" s="319"/>
      <c r="E160" s="319"/>
      <c r="F160" s="319"/>
      <c r="G160" s="319"/>
      <c r="H160" s="319"/>
      <c r="I160" s="319"/>
      <c r="J160" s="319"/>
      <c r="K160" s="319"/>
      <c r="L160" s="319"/>
      <c r="M160" s="319"/>
      <c r="N160" s="319"/>
      <c r="O160" s="319"/>
      <c r="P160" s="319"/>
      <c r="Q160" s="319"/>
      <c r="R160" s="319"/>
      <c r="S160" s="319"/>
      <c r="T160" s="319"/>
      <c r="U160" s="319"/>
      <c r="V160" s="319"/>
      <c r="W160" s="319"/>
      <c r="X160" s="319"/>
      <c r="Y160" s="319"/>
    </row>
    <row r="161" spans="1:25" x14ac:dyDescent="0.2">
      <c r="A161" s="260" t="s">
        <v>365</v>
      </c>
      <c r="B161" s="300">
        <v>9.2570736161552709</v>
      </c>
      <c r="C161" s="300">
        <v>8.7254694180326577</v>
      </c>
      <c r="D161" s="300">
        <v>0.31044234930695835</v>
      </c>
      <c r="E161" s="300">
        <f>SUM(B161:D161)</f>
        <v>18.292985383494884</v>
      </c>
      <c r="F161" s="300"/>
      <c r="G161" s="300">
        <v>9.9859728506974736</v>
      </c>
      <c r="H161" s="300">
        <v>8.4352941176755234</v>
      </c>
      <c r="I161" s="300">
        <v>9.0497737558049199E-2</v>
      </c>
      <c r="J161" s="300">
        <f>SUM(G161:I161)</f>
        <v>18.511764705931046</v>
      </c>
      <c r="K161" s="300"/>
      <c r="L161" s="300">
        <v>9.8230459626689921</v>
      </c>
      <c r="M161" s="300">
        <v>8.3066345400944765</v>
      </c>
      <c r="N161" s="300">
        <v>1.1406713953765177</v>
      </c>
      <c r="O161" s="300">
        <f>SUM(L161:N161)</f>
        <v>19.270351898139989</v>
      </c>
      <c r="P161" s="300"/>
      <c r="Q161" s="300">
        <v>9.5111681794278695</v>
      </c>
      <c r="R161" s="300">
        <v>8.059342162644608</v>
      </c>
      <c r="S161" s="300">
        <v>1.1053927386514506</v>
      </c>
      <c r="T161" s="300">
        <f>SUM(Q161:S161)</f>
        <v>18.675903080723927</v>
      </c>
      <c r="U161" s="300"/>
      <c r="V161" s="300">
        <v>9.6321158721571258</v>
      </c>
      <c r="W161" s="300">
        <v>8.1654484092960935</v>
      </c>
      <c r="X161" s="300">
        <v>1.128884156609856</v>
      </c>
      <c r="Y161" s="300">
        <f>SUM(V161:X161)</f>
        <v>18.926448438063076</v>
      </c>
    </row>
    <row r="162" spans="1:25" x14ac:dyDescent="0.2">
      <c r="A162" s="260" t="s">
        <v>364</v>
      </c>
      <c r="B162" s="300">
        <v>10.108184173856666</v>
      </c>
      <c r="C162" s="300">
        <v>1.6283494322343863</v>
      </c>
      <c r="D162" s="300">
        <v>0.54248101041415142</v>
      </c>
      <c r="E162" s="300">
        <f t="shared" ref="E162:E163" si="254">SUM(B162:D162)</f>
        <v>12.279014616505204</v>
      </c>
      <c r="F162" s="300"/>
      <c r="G162" s="300">
        <v>10.659276018062121</v>
      </c>
      <c r="H162" s="300">
        <v>1.6239819004417577</v>
      </c>
      <c r="I162" s="300">
        <v>0.20497737556507661</v>
      </c>
      <c r="J162" s="300">
        <f t="shared" ref="J162:J163" si="255">SUM(G162:I162)</f>
        <v>12.488235294068955</v>
      </c>
      <c r="K162" s="300"/>
      <c r="L162" s="300">
        <v>10.730112878007395</v>
      </c>
      <c r="M162" s="300">
        <v>1.6065352238526376</v>
      </c>
      <c r="N162" s="300">
        <v>0</v>
      </c>
      <c r="O162" s="300">
        <f t="shared" ref="O162:O163" si="256">SUM(L162:N162)</f>
        <v>12.336648101860032</v>
      </c>
      <c r="P162" s="300"/>
      <c r="Q162" s="300">
        <v>10.179638025913105</v>
      </c>
      <c r="R162" s="300">
        <v>1.6394588933629328</v>
      </c>
      <c r="S162" s="300">
        <v>0</v>
      </c>
      <c r="T162" s="300">
        <f t="shared" ref="T162:T163" si="257">SUM(Q162:S162)</f>
        <v>11.819096919276038</v>
      </c>
      <c r="U162" s="300"/>
      <c r="V162" s="300">
        <v>9.889201600061023</v>
      </c>
      <c r="W162" s="300">
        <v>1.8313499618758857</v>
      </c>
      <c r="X162" s="300">
        <v>0</v>
      </c>
      <c r="Y162" s="300">
        <f t="shared" ref="Y162:Y163" si="258">SUM(V162:X162)</f>
        <v>11.720551561936908</v>
      </c>
    </row>
    <row r="163" spans="1:25" x14ac:dyDescent="0.2">
      <c r="A163" s="264" t="s">
        <v>363</v>
      </c>
      <c r="B163" s="301">
        <f>SUM(B161:B162)</f>
        <v>19.365257790011938</v>
      </c>
      <c r="C163" s="301">
        <f t="shared" ref="C163" si="259">SUM(C161:C162)</f>
        <v>10.353818850267045</v>
      </c>
      <c r="D163" s="301">
        <f t="shared" ref="D163" si="260">SUM(D161:D162)</f>
        <v>0.85292335972110978</v>
      </c>
      <c r="E163" s="301">
        <f t="shared" si="254"/>
        <v>30.572000000000095</v>
      </c>
      <c r="F163" s="301"/>
      <c r="G163" s="301">
        <f>SUM(G161:G162)</f>
        <v>20.645248868759595</v>
      </c>
      <c r="H163" s="301">
        <f t="shared" ref="H163" si="261">SUM(H161:H162)</f>
        <v>10.059276018117281</v>
      </c>
      <c r="I163" s="301">
        <f t="shared" ref="I163" si="262">SUM(I161:I162)</f>
        <v>0.2954751131231258</v>
      </c>
      <c r="J163" s="301">
        <f t="shared" si="255"/>
        <v>31</v>
      </c>
      <c r="K163" s="301"/>
      <c r="L163" s="301">
        <f>SUM(L161:L162)</f>
        <v>20.553158840676389</v>
      </c>
      <c r="M163" s="301">
        <f t="shared" ref="M163" si="263">SUM(M161:M162)</f>
        <v>9.9131697639471135</v>
      </c>
      <c r="N163" s="301">
        <f t="shared" ref="N163" si="264">SUM(N161:N162)</f>
        <v>1.1406713953765177</v>
      </c>
      <c r="O163" s="301">
        <f t="shared" si="256"/>
        <v>31.607000000000021</v>
      </c>
      <c r="P163" s="301"/>
      <c r="Q163" s="301">
        <f>SUM(Q161:Q162)</f>
        <v>19.690806205340976</v>
      </c>
      <c r="R163" s="301">
        <f t="shared" ref="R163" si="265">SUM(R161:R162)</f>
        <v>9.6988010560075413</v>
      </c>
      <c r="S163" s="301">
        <f t="shared" ref="S163" si="266">SUM(S161:S162)</f>
        <v>1.1053927386514506</v>
      </c>
      <c r="T163" s="301">
        <f t="shared" si="257"/>
        <v>30.494999999999965</v>
      </c>
      <c r="U163" s="301"/>
      <c r="V163" s="301">
        <f>SUM(V161:V162)</f>
        <v>19.521317472218151</v>
      </c>
      <c r="W163" s="301">
        <f t="shared" ref="W163" si="267">SUM(W161:W162)</f>
        <v>9.9967983711719786</v>
      </c>
      <c r="X163" s="301">
        <f t="shared" ref="X163" si="268">SUM(X161:X162)</f>
        <v>1.128884156609856</v>
      </c>
      <c r="Y163" s="301">
        <f t="shared" si="258"/>
        <v>30.646999999999984</v>
      </c>
    </row>
    <row r="167" spans="1:25" ht="15" x14ac:dyDescent="0.25">
      <c r="A167" s="265" t="str">
        <f>"Industry 19 : "&amp; name!B22</f>
        <v>Industry 19 : Education</v>
      </c>
      <c r="B167" s="374">
        <f>$B$5</f>
        <v>2015</v>
      </c>
      <c r="C167" s="374"/>
      <c r="D167" s="374"/>
      <c r="E167" s="374"/>
      <c r="F167" s="320"/>
      <c r="G167" s="374">
        <f>$G$5</f>
        <v>2019</v>
      </c>
      <c r="H167" s="374"/>
      <c r="I167" s="374"/>
      <c r="J167" s="374"/>
      <c r="K167" s="320"/>
      <c r="L167" s="374">
        <f>$L$5</f>
        <v>2020</v>
      </c>
      <c r="M167" s="374"/>
      <c r="N167" s="374"/>
      <c r="O167" s="374"/>
      <c r="P167" s="318"/>
      <c r="Q167" s="374">
        <f>$Q$5</f>
        <v>2025</v>
      </c>
      <c r="R167" s="374"/>
      <c r="S167" s="374"/>
      <c r="T167" s="374"/>
      <c r="U167" s="320"/>
      <c r="V167" s="374">
        <f>$V$5</f>
        <v>2035</v>
      </c>
      <c r="W167" s="374"/>
      <c r="X167" s="374"/>
      <c r="Y167" s="374"/>
    </row>
    <row r="168" spans="1:25" x14ac:dyDescent="0.2">
      <c r="A168" s="264"/>
      <c r="B168" s="268" t="str">
        <f>$B$6</f>
        <v>FT</v>
      </c>
      <c r="C168" s="268" t="str">
        <f>$C$6</f>
        <v>PT</v>
      </c>
      <c r="D168" s="268" t="str">
        <f>$D$6</f>
        <v>SE</v>
      </c>
      <c r="E168" s="268" t="str">
        <f>$E$6</f>
        <v>Total</v>
      </c>
      <c r="F168" s="268"/>
      <c r="G168" s="268" t="str">
        <f>$B$6</f>
        <v>FT</v>
      </c>
      <c r="H168" s="268" t="str">
        <f>$C$6</f>
        <v>PT</v>
      </c>
      <c r="I168" s="268" t="str">
        <f>$D$6</f>
        <v>SE</v>
      </c>
      <c r="J168" s="268" t="str">
        <f>$E$6</f>
        <v>Total</v>
      </c>
      <c r="K168" s="268"/>
      <c r="L168" s="268" t="str">
        <f>$L$6</f>
        <v>FT</v>
      </c>
      <c r="M168" s="268" t="str">
        <f>$M$6</f>
        <v>PT</v>
      </c>
      <c r="N168" s="268" t="str">
        <f>$N$6</f>
        <v>SE</v>
      </c>
      <c r="O168" s="268" t="str">
        <f>$O$6</f>
        <v>Total</v>
      </c>
      <c r="P168" s="268"/>
      <c r="Q168" s="268" t="str">
        <f>$L$6</f>
        <v>FT</v>
      </c>
      <c r="R168" s="268" t="str">
        <f>$M$6</f>
        <v>PT</v>
      </c>
      <c r="S168" s="268" t="str">
        <f>$N$6</f>
        <v>SE</v>
      </c>
      <c r="T168" s="268" t="str">
        <f>$O$6</f>
        <v>Total</v>
      </c>
      <c r="U168" s="268"/>
      <c r="V168" s="268" t="str">
        <f>$V$6</f>
        <v>FT</v>
      </c>
      <c r="W168" s="268" t="str">
        <f>$W$6</f>
        <v>PT</v>
      </c>
      <c r="X168" s="268" t="str">
        <f>$X$6</f>
        <v>SE</v>
      </c>
      <c r="Y168" s="268" t="str">
        <f>$Y$6</f>
        <v>Total</v>
      </c>
    </row>
    <row r="169" spans="1:25" x14ac:dyDescent="0.2">
      <c r="C169" s="319"/>
      <c r="D169" s="319"/>
      <c r="E169" s="319"/>
      <c r="F169" s="319"/>
      <c r="G169" s="319"/>
      <c r="H169" s="319"/>
      <c r="I169" s="319"/>
      <c r="J169" s="319"/>
      <c r="K169" s="319"/>
      <c r="L169" s="319"/>
      <c r="M169" s="319"/>
      <c r="N169" s="319"/>
      <c r="O169" s="319"/>
      <c r="P169" s="319"/>
      <c r="Q169" s="319"/>
      <c r="R169" s="319"/>
      <c r="S169" s="319"/>
      <c r="T169" s="319"/>
      <c r="U169" s="319"/>
      <c r="V169" s="319"/>
      <c r="W169" s="319"/>
      <c r="X169" s="319"/>
      <c r="Y169" s="319"/>
    </row>
    <row r="170" spans="1:25" x14ac:dyDescent="0.2">
      <c r="A170" s="260" t="s">
        <v>365</v>
      </c>
      <c r="B170" s="300">
        <v>13.444182812981619</v>
      </c>
      <c r="C170" s="300">
        <v>12.825740612202456</v>
      </c>
      <c r="D170" s="300">
        <v>2.2950895892839545</v>
      </c>
      <c r="E170" s="300">
        <f>SUM(B170:D170)</f>
        <v>28.565013014468029</v>
      </c>
      <c r="F170" s="300"/>
      <c r="G170" s="300">
        <v>14.376184460962296</v>
      </c>
      <c r="H170" s="300">
        <v>13.212874768370483</v>
      </c>
      <c r="I170" s="300">
        <v>3.0380343388975235</v>
      </c>
      <c r="J170" s="300">
        <f>SUM(G170:I170)</f>
        <v>30.627093568230304</v>
      </c>
      <c r="K170" s="300"/>
      <c r="L170" s="300">
        <v>15.808517819556295</v>
      </c>
      <c r="M170" s="300">
        <v>12.947367083955131</v>
      </c>
      <c r="N170" s="300">
        <v>1.4767761863835336</v>
      </c>
      <c r="O170" s="300">
        <f>SUM(L170:N170)</f>
        <v>30.232661089894961</v>
      </c>
      <c r="P170" s="300"/>
      <c r="Q170" s="300">
        <v>17.136522341496011</v>
      </c>
      <c r="R170" s="300">
        <v>13.434085692663581</v>
      </c>
      <c r="S170" s="300">
        <v>1.5838201225512467</v>
      </c>
      <c r="T170" s="300">
        <f>SUM(Q170:S170)</f>
        <v>32.154428156710836</v>
      </c>
      <c r="U170" s="300"/>
      <c r="V170" s="300">
        <v>18.490481845903492</v>
      </c>
      <c r="W170" s="300">
        <v>13.251203917344725</v>
      </c>
      <c r="X170" s="300">
        <v>1.6352462118561335</v>
      </c>
      <c r="Y170" s="300">
        <f>SUM(V170:X170)</f>
        <v>33.376931975104348</v>
      </c>
    </row>
    <row r="171" spans="1:25" x14ac:dyDescent="0.2">
      <c r="A171" s="260" t="s">
        <v>364</v>
      </c>
      <c r="B171" s="300">
        <v>11.946214634507223</v>
      </c>
      <c r="C171" s="300">
        <v>2.4125772893728481</v>
      </c>
      <c r="D171" s="300">
        <v>1.3041950616519336</v>
      </c>
      <c r="E171" s="300">
        <f t="shared" ref="E171" si="269">SUM(B171:D171)</f>
        <v>15.662986985532005</v>
      </c>
      <c r="F171" s="300"/>
      <c r="G171" s="300">
        <v>9.4638374104791811</v>
      </c>
      <c r="H171" s="300">
        <v>2.6726463442980841</v>
      </c>
      <c r="I171" s="300">
        <v>1.5744226769923821</v>
      </c>
      <c r="J171" s="300">
        <f t="shared" ref="J171:J172" si="270">SUM(G171:I171)</f>
        <v>13.710906431769647</v>
      </c>
      <c r="K171" s="300"/>
      <c r="L171" s="300">
        <v>8.9691465422950625</v>
      </c>
      <c r="M171" s="300">
        <v>2.1033747973595518</v>
      </c>
      <c r="N171" s="300">
        <v>1.6958175704504679</v>
      </c>
      <c r="O171" s="300">
        <f t="shared" ref="O171:O172" si="271">SUM(L171:N171)</f>
        <v>12.768338910105081</v>
      </c>
      <c r="P171" s="300"/>
      <c r="Q171" s="300">
        <v>9.3869110537497082</v>
      </c>
      <c r="R171" s="300">
        <v>2.2605432658932432</v>
      </c>
      <c r="S171" s="300">
        <v>1.8331175236461812</v>
      </c>
      <c r="T171" s="300">
        <f t="shared" ref="T171:T172" si="272">SUM(Q171:S171)</f>
        <v>13.480571843289134</v>
      </c>
      <c r="U171" s="300"/>
      <c r="V171" s="300">
        <v>9.4352186605726391</v>
      </c>
      <c r="W171" s="300">
        <v>2.3816019936192458</v>
      </c>
      <c r="X171" s="300">
        <v>1.9482473707038068</v>
      </c>
      <c r="Y171" s="300">
        <f t="shared" ref="Y171:Y172" si="273">SUM(V171:X171)</f>
        <v>13.765068024895692</v>
      </c>
    </row>
    <row r="172" spans="1:25" x14ac:dyDescent="0.2">
      <c r="A172" s="264" t="s">
        <v>363</v>
      </c>
      <c r="B172" s="301">
        <f>SUM(B170:B171)</f>
        <v>25.390397447488844</v>
      </c>
      <c r="C172" s="301">
        <f t="shared" ref="C172" si="274">SUM(C170:C171)</f>
        <v>15.238317901575304</v>
      </c>
      <c r="D172" s="301">
        <f t="shared" ref="D172" si="275">SUM(D170:D171)</f>
        <v>3.5992846509358882</v>
      </c>
      <c r="E172" s="301">
        <f>SUM(B172:D172)</f>
        <v>44.228000000000037</v>
      </c>
      <c r="F172" s="301"/>
      <c r="G172" s="301">
        <f>SUM(G170:G171)</f>
        <v>23.840021871441479</v>
      </c>
      <c r="H172" s="301">
        <f t="shared" ref="H172" si="276">SUM(H170:H171)</f>
        <v>15.885521112668567</v>
      </c>
      <c r="I172" s="301">
        <f t="shared" ref="I172" si="277">SUM(I170:I171)</f>
        <v>4.6124570158899054</v>
      </c>
      <c r="J172" s="301">
        <f t="shared" si="270"/>
        <v>44.337999999999951</v>
      </c>
      <c r="K172" s="301"/>
      <c r="L172" s="301">
        <f>SUM(L170:L171)</f>
        <v>24.777664361851357</v>
      </c>
      <c r="M172" s="301">
        <f t="shared" ref="M172" si="278">SUM(M170:M171)</f>
        <v>15.050741881314682</v>
      </c>
      <c r="N172" s="301">
        <f t="shared" ref="N172" si="279">SUM(N170:N171)</f>
        <v>3.1725937568340017</v>
      </c>
      <c r="O172" s="301">
        <f t="shared" si="271"/>
        <v>43.001000000000047</v>
      </c>
      <c r="P172" s="301"/>
      <c r="Q172" s="301">
        <f>SUM(Q170:Q171)</f>
        <v>26.523433395245718</v>
      </c>
      <c r="R172" s="301">
        <f t="shared" ref="R172" si="280">SUM(R170:R171)</f>
        <v>15.694628958556825</v>
      </c>
      <c r="S172" s="301">
        <f t="shared" ref="S172" si="281">SUM(S170:S171)</f>
        <v>3.4169376461974279</v>
      </c>
      <c r="T172" s="301">
        <f t="shared" si="272"/>
        <v>45.63499999999997</v>
      </c>
      <c r="U172" s="301"/>
      <c r="V172" s="301">
        <f>SUM(V170:V171)</f>
        <v>27.925700506476133</v>
      </c>
      <c r="W172" s="301">
        <f t="shared" ref="W172" si="282">SUM(W170:W171)</f>
        <v>15.63280591096397</v>
      </c>
      <c r="X172" s="301">
        <f t="shared" ref="X172" si="283">SUM(X170:X171)</f>
        <v>3.5834935825599405</v>
      </c>
      <c r="Y172" s="301">
        <f t="shared" si="273"/>
        <v>47.142000000000039</v>
      </c>
    </row>
    <row r="176" spans="1:25" ht="15" x14ac:dyDescent="0.25">
      <c r="A176" s="265" t="str">
        <f>"Industry 20 : "&amp; name!B23</f>
        <v>Industry 20 : Health and social work</v>
      </c>
      <c r="B176" s="374">
        <f>$B$5</f>
        <v>2015</v>
      </c>
      <c r="C176" s="374"/>
      <c r="D176" s="374"/>
      <c r="E176" s="374"/>
      <c r="F176" s="320"/>
      <c r="G176" s="374">
        <f>$G$5</f>
        <v>2019</v>
      </c>
      <c r="H176" s="374"/>
      <c r="I176" s="374"/>
      <c r="J176" s="374"/>
      <c r="K176" s="320"/>
      <c r="L176" s="374">
        <f>$L$5</f>
        <v>2020</v>
      </c>
      <c r="M176" s="374"/>
      <c r="N176" s="374"/>
      <c r="O176" s="374"/>
      <c r="P176" s="318"/>
      <c r="Q176" s="374">
        <f>$Q$5</f>
        <v>2025</v>
      </c>
      <c r="R176" s="374"/>
      <c r="S176" s="374"/>
      <c r="T176" s="374"/>
      <c r="U176" s="320"/>
      <c r="V176" s="374">
        <f>$V$5</f>
        <v>2035</v>
      </c>
      <c r="W176" s="374"/>
      <c r="X176" s="374"/>
      <c r="Y176" s="374"/>
    </row>
    <row r="177" spans="1:25" x14ac:dyDescent="0.2">
      <c r="A177" s="264"/>
      <c r="B177" s="268" t="str">
        <f>$B$6</f>
        <v>FT</v>
      </c>
      <c r="C177" s="268" t="str">
        <f>$C$6</f>
        <v>PT</v>
      </c>
      <c r="D177" s="268" t="str">
        <f>$D$6</f>
        <v>SE</v>
      </c>
      <c r="E177" s="268" t="str">
        <f>$E$6</f>
        <v>Total</v>
      </c>
      <c r="F177" s="268"/>
      <c r="G177" s="268" t="str">
        <f>$B$6</f>
        <v>FT</v>
      </c>
      <c r="H177" s="268" t="str">
        <f>$C$6</f>
        <v>PT</v>
      </c>
      <c r="I177" s="268" t="str">
        <f>$D$6</f>
        <v>SE</v>
      </c>
      <c r="J177" s="268" t="str">
        <f>$E$6</f>
        <v>Total</v>
      </c>
      <c r="K177" s="268"/>
      <c r="L177" s="268" t="str">
        <f>$L$6</f>
        <v>FT</v>
      </c>
      <c r="M177" s="268" t="str">
        <f>$M$6</f>
        <v>PT</v>
      </c>
      <c r="N177" s="268" t="str">
        <f>$N$6</f>
        <v>SE</v>
      </c>
      <c r="O177" s="268" t="str">
        <f>$O$6</f>
        <v>Total</v>
      </c>
      <c r="P177" s="268"/>
      <c r="Q177" s="268" t="str">
        <f>$L$6</f>
        <v>FT</v>
      </c>
      <c r="R177" s="268" t="str">
        <f>$M$6</f>
        <v>PT</v>
      </c>
      <c r="S177" s="268" t="str">
        <f>$N$6</f>
        <v>SE</v>
      </c>
      <c r="T177" s="268" t="str">
        <f>$O$6</f>
        <v>Total</v>
      </c>
      <c r="U177" s="268"/>
      <c r="V177" s="268" t="str">
        <f>$V$6</f>
        <v>FT</v>
      </c>
      <c r="W177" s="268" t="str">
        <f>$W$6</f>
        <v>PT</v>
      </c>
      <c r="X177" s="268" t="str">
        <f>$X$6</f>
        <v>SE</v>
      </c>
      <c r="Y177" s="268" t="str">
        <f>$Y$6</f>
        <v>Total</v>
      </c>
    </row>
    <row r="178" spans="1:25" x14ac:dyDescent="0.2">
      <c r="C178" s="319"/>
      <c r="D178" s="319"/>
      <c r="E178" s="319"/>
      <c r="F178" s="319"/>
      <c r="G178" s="319"/>
      <c r="H178" s="319"/>
      <c r="I178" s="319"/>
      <c r="J178" s="319"/>
      <c r="K178" s="319"/>
      <c r="L178" s="319"/>
      <c r="M178" s="319"/>
      <c r="N178" s="319"/>
      <c r="O178" s="319"/>
      <c r="P178" s="319"/>
      <c r="Q178" s="319"/>
      <c r="R178" s="319"/>
      <c r="S178" s="319"/>
      <c r="T178" s="319"/>
      <c r="U178" s="319"/>
      <c r="V178" s="319"/>
      <c r="W178" s="319"/>
      <c r="X178" s="319"/>
      <c r="Y178" s="319"/>
    </row>
    <row r="179" spans="1:25" x14ac:dyDescent="0.2">
      <c r="A179" s="260" t="s">
        <v>365</v>
      </c>
      <c r="B179" s="300">
        <v>29.574614675635974</v>
      </c>
      <c r="C179" s="300">
        <v>23.535102796476462</v>
      </c>
      <c r="D179" s="300">
        <v>2.8475934075489415</v>
      </c>
      <c r="E179" s="300">
        <f>SUM(B179:D179)</f>
        <v>55.957310879661378</v>
      </c>
      <c r="F179" s="300"/>
      <c r="G179" s="300">
        <v>25.706278140567896</v>
      </c>
      <c r="H179" s="300">
        <v>21.333955546391493</v>
      </c>
      <c r="I179" s="300">
        <v>3.673034665443176</v>
      </c>
      <c r="J179" s="300">
        <f>SUM(G179:I179)</f>
        <v>50.713268352402565</v>
      </c>
      <c r="K179" s="300"/>
      <c r="L179" s="300">
        <v>26.647275670808714</v>
      </c>
      <c r="M179" s="300">
        <v>23.907297352493913</v>
      </c>
      <c r="N179" s="300">
        <v>2.2527185545507407</v>
      </c>
      <c r="O179" s="300">
        <f>SUM(L179:N179)</f>
        <v>52.807291577853363</v>
      </c>
      <c r="P179" s="300"/>
      <c r="Q179" s="300">
        <v>28.644808710836511</v>
      </c>
      <c r="R179" s="300">
        <v>24.301969051780787</v>
      </c>
      <c r="S179" s="300">
        <v>2.4869397342748187</v>
      </c>
      <c r="T179" s="300">
        <f>SUM(Q179:S179)</f>
        <v>55.433717496892122</v>
      </c>
      <c r="U179" s="300"/>
      <c r="V179" s="300">
        <v>31.415565586897543</v>
      </c>
      <c r="W179" s="300">
        <v>23.811865461573998</v>
      </c>
      <c r="X179" s="300">
        <v>2.8017457661788367</v>
      </c>
      <c r="Y179" s="300">
        <f>SUM(V179:X179)</f>
        <v>58.029176814650384</v>
      </c>
    </row>
    <row r="180" spans="1:25" x14ac:dyDescent="0.2">
      <c r="A180" s="260" t="s">
        <v>364</v>
      </c>
      <c r="B180" s="300">
        <v>8.9836886462418519</v>
      </c>
      <c r="C180" s="300">
        <v>2.3977088357881686</v>
      </c>
      <c r="D180" s="300">
        <v>1.5912916383085876</v>
      </c>
      <c r="E180" s="300">
        <f t="shared" ref="E180:E181" si="284">SUM(B180:D180)</f>
        <v>12.972689120338609</v>
      </c>
      <c r="F180" s="300"/>
      <c r="G180" s="300">
        <v>8.7407444942515955</v>
      </c>
      <c r="H180" s="300">
        <v>2.8531798531833927</v>
      </c>
      <c r="I180" s="300">
        <v>0.29680730016242218</v>
      </c>
      <c r="J180" s="300">
        <f t="shared" ref="J180:J181" si="285">SUM(G180:I180)</f>
        <v>11.890731647597411</v>
      </c>
      <c r="K180" s="300"/>
      <c r="L180" s="300">
        <v>8.9477363326373833</v>
      </c>
      <c r="M180" s="300">
        <v>3.185374918578602</v>
      </c>
      <c r="N180" s="300">
        <v>0.89559717093067059</v>
      </c>
      <c r="O180" s="300">
        <f t="shared" ref="O180:O181" si="286">SUM(L180:N180)</f>
        <v>13.028708422146657</v>
      </c>
      <c r="P180" s="300"/>
      <c r="Q180" s="300">
        <v>9.4131514843017516</v>
      </c>
      <c r="R180" s="300">
        <v>3.3930655313655596</v>
      </c>
      <c r="S180" s="300">
        <v>0.90206548744052573</v>
      </c>
      <c r="T180" s="300">
        <f t="shared" ref="T180:T181" si="287">SUM(Q180:S180)</f>
        <v>13.708282503107837</v>
      </c>
      <c r="U180" s="300"/>
      <c r="V180" s="300">
        <v>9.9468582592217842</v>
      </c>
      <c r="W180" s="300">
        <v>3.6300448977606914</v>
      </c>
      <c r="X180" s="300">
        <v>0.8709200283671682</v>
      </c>
      <c r="Y180" s="300">
        <f t="shared" ref="Y180:Y181" si="288">SUM(V180:X180)</f>
        <v>14.447823185349643</v>
      </c>
    </row>
    <row r="181" spans="1:25" x14ac:dyDescent="0.2">
      <c r="A181" s="264" t="s">
        <v>363</v>
      </c>
      <c r="B181" s="301">
        <f>SUM(B179:B180)</f>
        <v>38.55830332187783</v>
      </c>
      <c r="C181" s="301">
        <f t="shared" ref="C181" si="289">SUM(C179:C180)</f>
        <v>25.932811632264631</v>
      </c>
      <c r="D181" s="301">
        <f t="shared" ref="D181" si="290">SUM(D179:D180)</f>
        <v>4.4388850458575293</v>
      </c>
      <c r="E181" s="301">
        <f t="shared" si="284"/>
        <v>68.929999999999993</v>
      </c>
      <c r="F181" s="301"/>
      <c r="G181" s="301">
        <f>SUM(G179:G180)</f>
        <v>34.44702263481949</v>
      </c>
      <c r="H181" s="301">
        <f t="shared" ref="H181" si="291">SUM(H179:H180)</f>
        <v>24.187135399574885</v>
      </c>
      <c r="I181" s="301">
        <f t="shared" ref="I181" si="292">SUM(I179:I180)</f>
        <v>3.9698419656055983</v>
      </c>
      <c r="J181" s="301">
        <f t="shared" si="285"/>
        <v>62.603999999999971</v>
      </c>
      <c r="K181" s="301"/>
      <c r="L181" s="301">
        <f>SUM(L179:L180)</f>
        <v>35.595012003446101</v>
      </c>
      <c r="M181" s="301">
        <f t="shared" ref="M181" si="293">SUM(M179:M180)</f>
        <v>27.092672271072516</v>
      </c>
      <c r="N181" s="301">
        <f t="shared" ref="N181" si="294">SUM(N179:N180)</f>
        <v>3.1483157254814111</v>
      </c>
      <c r="O181" s="301">
        <f t="shared" si="286"/>
        <v>65.836000000000027</v>
      </c>
      <c r="P181" s="301"/>
      <c r="Q181" s="301">
        <f>SUM(Q179:Q180)</f>
        <v>38.057960195138264</v>
      </c>
      <c r="R181" s="301">
        <f t="shared" ref="R181" si="295">SUM(R179:R180)</f>
        <v>27.695034583146345</v>
      </c>
      <c r="S181" s="301">
        <f t="shared" ref="S181" si="296">SUM(S179:S180)</f>
        <v>3.3890052217153444</v>
      </c>
      <c r="T181" s="301">
        <f t="shared" si="287"/>
        <v>69.141999999999953</v>
      </c>
      <c r="U181" s="301"/>
      <c r="V181" s="301">
        <f>SUM(V179:V180)</f>
        <v>41.362423846119327</v>
      </c>
      <c r="W181" s="301">
        <f t="shared" ref="W181" si="297">SUM(W179:W180)</f>
        <v>27.441910359334688</v>
      </c>
      <c r="X181" s="301">
        <f t="shared" ref="X181" si="298">SUM(X179:X180)</f>
        <v>3.6726657945460048</v>
      </c>
      <c r="Y181" s="301">
        <f t="shared" si="288"/>
        <v>72.477000000000018</v>
      </c>
    </row>
    <row r="182" spans="1:25" x14ac:dyDescent="0.2">
      <c r="C182" s="263"/>
    </row>
    <row r="183" spans="1:25" x14ac:dyDescent="0.2">
      <c r="A183" s="261"/>
    </row>
    <row r="184" spans="1:25" x14ac:dyDescent="0.2">
      <c r="C184" s="263"/>
    </row>
    <row r="185" spans="1:25" ht="15" x14ac:dyDescent="0.25">
      <c r="A185" s="265" t="str">
        <f>"Industry 21 : "&amp; name!B24</f>
        <v>Industry 21 : Arts and entertainment</v>
      </c>
      <c r="B185" s="374">
        <f>$B$5</f>
        <v>2015</v>
      </c>
      <c r="C185" s="374"/>
      <c r="D185" s="374"/>
      <c r="E185" s="374"/>
      <c r="F185" s="320"/>
      <c r="G185" s="374">
        <f>$G$5</f>
        <v>2019</v>
      </c>
      <c r="H185" s="374"/>
      <c r="I185" s="374"/>
      <c r="J185" s="374"/>
      <c r="K185" s="320"/>
      <c r="L185" s="374">
        <f>$L$5</f>
        <v>2020</v>
      </c>
      <c r="M185" s="374"/>
      <c r="N185" s="374"/>
      <c r="O185" s="374"/>
      <c r="P185" s="318"/>
      <c r="Q185" s="374">
        <f>$Q$5</f>
        <v>2025</v>
      </c>
      <c r="R185" s="374"/>
      <c r="S185" s="374"/>
      <c r="T185" s="374"/>
      <c r="U185" s="320"/>
      <c r="V185" s="374">
        <f>$V$5</f>
        <v>2035</v>
      </c>
      <c r="W185" s="374"/>
      <c r="X185" s="374"/>
      <c r="Y185" s="374"/>
    </row>
    <row r="186" spans="1:25" x14ac:dyDescent="0.2">
      <c r="A186" s="264"/>
      <c r="B186" s="268" t="str">
        <f>$B$6</f>
        <v>FT</v>
      </c>
      <c r="C186" s="268" t="str">
        <f>$C$6</f>
        <v>PT</v>
      </c>
      <c r="D186" s="268" t="str">
        <f>$D$6</f>
        <v>SE</v>
      </c>
      <c r="E186" s="268" t="str">
        <f>$E$6</f>
        <v>Total</v>
      </c>
      <c r="F186" s="268"/>
      <c r="G186" s="268" t="str">
        <f>$B$6</f>
        <v>FT</v>
      </c>
      <c r="H186" s="268" t="str">
        <f>$C$6</f>
        <v>PT</v>
      </c>
      <c r="I186" s="268" t="str">
        <f>$D$6</f>
        <v>SE</v>
      </c>
      <c r="J186" s="268" t="str">
        <f>$E$6</f>
        <v>Total</v>
      </c>
      <c r="K186" s="268"/>
      <c r="L186" s="268" t="str">
        <f>$L$6</f>
        <v>FT</v>
      </c>
      <c r="M186" s="268" t="str">
        <f>$M$6</f>
        <v>PT</v>
      </c>
      <c r="N186" s="268" t="str">
        <f>$N$6</f>
        <v>SE</v>
      </c>
      <c r="O186" s="268" t="str">
        <f>$O$6</f>
        <v>Total</v>
      </c>
      <c r="P186" s="268"/>
      <c r="Q186" s="268" t="str">
        <f>$L$6</f>
        <v>FT</v>
      </c>
      <c r="R186" s="268" t="str">
        <f>$M$6</f>
        <v>PT</v>
      </c>
      <c r="S186" s="268" t="str">
        <f>$N$6</f>
        <v>SE</v>
      </c>
      <c r="T186" s="268" t="str">
        <f>$O$6</f>
        <v>Total</v>
      </c>
      <c r="U186" s="268"/>
      <c r="V186" s="268" t="str">
        <f>$V$6</f>
        <v>FT</v>
      </c>
      <c r="W186" s="268" t="str">
        <f>$W$6</f>
        <v>PT</v>
      </c>
      <c r="X186" s="268" t="str">
        <f>$X$6</f>
        <v>SE</v>
      </c>
      <c r="Y186" s="268" t="str">
        <f>$Y$6</f>
        <v>Total</v>
      </c>
    </row>
    <row r="187" spans="1:25" x14ac:dyDescent="0.2">
      <c r="A187" s="262"/>
      <c r="C187" s="319"/>
      <c r="D187" s="319"/>
      <c r="E187" s="319"/>
      <c r="F187" s="319"/>
      <c r="G187" s="319"/>
      <c r="H187" s="319"/>
      <c r="I187" s="319"/>
      <c r="J187" s="319"/>
      <c r="K187" s="319"/>
      <c r="L187" s="319"/>
      <c r="M187" s="319"/>
      <c r="N187" s="319"/>
      <c r="O187" s="319"/>
      <c r="P187" s="319"/>
      <c r="Q187" s="319"/>
      <c r="R187" s="319"/>
      <c r="S187" s="319"/>
      <c r="T187" s="319"/>
      <c r="U187" s="319"/>
      <c r="V187" s="319"/>
      <c r="W187" s="319"/>
      <c r="X187" s="319"/>
      <c r="Y187" s="319"/>
    </row>
    <row r="188" spans="1:25" x14ac:dyDescent="0.2">
      <c r="A188" s="260" t="s">
        <v>365</v>
      </c>
      <c r="B188" s="300">
        <v>1.9349075987310806</v>
      </c>
      <c r="C188" s="300">
        <v>2.5986681942101084</v>
      </c>
      <c r="D188" s="300">
        <v>1.6046639710083883</v>
      </c>
      <c r="E188" s="300">
        <f>SUM(B188:D188)</f>
        <v>6.1382397639495778</v>
      </c>
      <c r="F188" s="300"/>
      <c r="G188" s="300">
        <v>2.2482473090309973</v>
      </c>
      <c r="H188" s="300">
        <v>2.5463103992548706</v>
      </c>
      <c r="I188" s="300">
        <v>1.8139268062138916</v>
      </c>
      <c r="J188" s="300">
        <f>SUM(G188:I188)</f>
        <v>6.6084845144997599</v>
      </c>
      <c r="K188" s="300"/>
      <c r="L188" s="300">
        <v>1.7793700088635132</v>
      </c>
      <c r="M188" s="300">
        <v>3.5278615794075816</v>
      </c>
      <c r="N188" s="300">
        <v>0.50524844719911044</v>
      </c>
      <c r="O188" s="300">
        <f>SUM(L188:N188)</f>
        <v>5.8124800354702053</v>
      </c>
      <c r="P188" s="300"/>
      <c r="Q188" s="300">
        <v>1.7843394682826481</v>
      </c>
      <c r="R188" s="300">
        <v>3.6524274028785171</v>
      </c>
      <c r="S188" s="300">
        <v>0.47954601224559812</v>
      </c>
      <c r="T188" s="300">
        <f>SUM(Q188:S188)</f>
        <v>5.9163128834067633</v>
      </c>
      <c r="U188" s="300"/>
      <c r="V188" s="300">
        <v>1.8136104353384606</v>
      </c>
      <c r="W188" s="300">
        <v>3.9527893966473178</v>
      </c>
      <c r="X188" s="300">
        <v>0.55844309592737229</v>
      </c>
      <c r="Y188" s="300">
        <f>SUM(V188:X188)</f>
        <v>6.3248429279131502</v>
      </c>
    </row>
    <row r="189" spans="1:25" x14ac:dyDescent="0.2">
      <c r="A189" s="260" t="s">
        <v>364</v>
      </c>
      <c r="B189" s="300">
        <v>2.1247613142712742</v>
      </c>
      <c r="C189" s="300">
        <v>2.124761314297074</v>
      </c>
      <c r="D189" s="300">
        <v>1.7552376074820668</v>
      </c>
      <c r="E189" s="300">
        <f t="shared" ref="E189:E190" si="299">SUM(B189:D189)</f>
        <v>6.0047602360504149</v>
      </c>
      <c r="F189" s="300"/>
      <c r="G189" s="300">
        <v>2.7665674100693756</v>
      </c>
      <c r="H189" s="300">
        <v>1.7082498923678369</v>
      </c>
      <c r="I189" s="300">
        <v>2.4026981830630216</v>
      </c>
      <c r="J189" s="300">
        <f t="shared" ref="J189:J190" si="300">SUM(G189:I189)</f>
        <v>6.8775154855002345</v>
      </c>
      <c r="K189" s="300"/>
      <c r="L189" s="300">
        <v>2.2290372670682941</v>
      </c>
      <c r="M189" s="300">
        <v>2.3791836734570939</v>
      </c>
      <c r="N189" s="300">
        <v>2.1942990240044056</v>
      </c>
      <c r="O189" s="300">
        <f t="shared" ref="O189:O190" si="301">SUM(L189:N189)</f>
        <v>6.802519964529794</v>
      </c>
      <c r="P189" s="300"/>
      <c r="Q189" s="300">
        <v>2.3197177913659606</v>
      </c>
      <c r="R189" s="300">
        <v>2.5468711655828491</v>
      </c>
      <c r="S189" s="300">
        <v>2.1200981596444146</v>
      </c>
      <c r="T189" s="300">
        <f t="shared" ref="T189:T190" si="302">SUM(Q189:S189)</f>
        <v>6.9866871165932247</v>
      </c>
      <c r="U189" s="300"/>
      <c r="V189" s="300">
        <v>2.5133738249097126</v>
      </c>
      <c r="W189" s="300">
        <v>2.8583169072796943</v>
      </c>
      <c r="X189" s="300">
        <v>2.3264663398974488</v>
      </c>
      <c r="Y189" s="300">
        <f t="shared" ref="Y189:Y190" si="303">SUM(V189:X189)</f>
        <v>7.6981570720868557</v>
      </c>
    </row>
    <row r="190" spans="1:25" x14ac:dyDescent="0.2">
      <c r="A190" s="264" t="s">
        <v>363</v>
      </c>
      <c r="B190" s="301">
        <f>SUM(B188:B189)</f>
        <v>4.0596689130023549</v>
      </c>
      <c r="C190" s="301">
        <f t="shared" ref="C190" si="304">SUM(C188:C189)</f>
        <v>4.7234295085071825</v>
      </c>
      <c r="D190" s="301">
        <f t="shared" ref="D190" si="305">SUM(D188:D189)</f>
        <v>3.3599015784904553</v>
      </c>
      <c r="E190" s="301">
        <f t="shared" si="299"/>
        <v>12.142999999999994</v>
      </c>
      <c r="F190" s="301"/>
      <c r="G190" s="301">
        <f>SUM(G188:G189)</f>
        <v>5.0148147191003734</v>
      </c>
      <c r="H190" s="301">
        <f t="shared" ref="H190" si="306">SUM(H188:H189)</f>
        <v>4.2545602916227079</v>
      </c>
      <c r="I190" s="301">
        <f t="shared" ref="I190" si="307">SUM(I188:I189)</f>
        <v>4.2166249892769132</v>
      </c>
      <c r="J190" s="301">
        <f t="shared" si="300"/>
        <v>13.485999999999994</v>
      </c>
      <c r="K190" s="301"/>
      <c r="L190" s="301">
        <f>SUM(L188:L189)</f>
        <v>4.0084072759318072</v>
      </c>
      <c r="M190" s="301">
        <f t="shared" ref="M190" si="308">SUM(M188:M189)</f>
        <v>5.9070452528646751</v>
      </c>
      <c r="N190" s="301">
        <f t="shared" ref="N190" si="309">SUM(N188:N189)</f>
        <v>2.6995474712035161</v>
      </c>
      <c r="O190" s="301">
        <f t="shared" si="301"/>
        <v>12.614999999999998</v>
      </c>
      <c r="P190" s="301"/>
      <c r="Q190" s="301">
        <f>SUM(Q188:Q189)</f>
        <v>4.1040572596486085</v>
      </c>
      <c r="R190" s="301">
        <f t="shared" ref="R190" si="310">SUM(R188:R189)</f>
        <v>6.1992985684613657</v>
      </c>
      <c r="S190" s="301">
        <f t="shared" ref="S190" si="311">SUM(S188:S189)</f>
        <v>2.599644171890013</v>
      </c>
      <c r="T190" s="301">
        <f t="shared" si="302"/>
        <v>12.902999999999988</v>
      </c>
      <c r="U190" s="301"/>
      <c r="V190" s="301">
        <f>SUM(V188:V189)</f>
        <v>4.3269842602481727</v>
      </c>
      <c r="W190" s="301">
        <f t="shared" ref="W190" si="312">SUM(W188:W189)</f>
        <v>6.8111063039270121</v>
      </c>
      <c r="X190" s="301">
        <f t="shared" ref="X190" si="313">SUM(X188:X189)</f>
        <v>2.8849094358248211</v>
      </c>
      <c r="Y190" s="301">
        <f t="shared" si="303"/>
        <v>14.023000000000007</v>
      </c>
    </row>
    <row r="194" spans="1:25" ht="15" x14ac:dyDescent="0.25">
      <c r="A194" s="265" t="str">
        <f>"Industry 22 : "&amp; name!B25</f>
        <v>Industry 22 : Other services</v>
      </c>
      <c r="B194" s="374">
        <f>$B$5</f>
        <v>2015</v>
      </c>
      <c r="C194" s="374"/>
      <c r="D194" s="374"/>
      <c r="E194" s="374"/>
      <c r="F194" s="320"/>
      <c r="G194" s="374">
        <f>$G$5</f>
        <v>2019</v>
      </c>
      <c r="H194" s="374"/>
      <c r="I194" s="374"/>
      <c r="J194" s="374"/>
      <c r="K194" s="320"/>
      <c r="L194" s="374">
        <f>$L$5</f>
        <v>2020</v>
      </c>
      <c r="M194" s="374"/>
      <c r="N194" s="374"/>
      <c r="O194" s="374"/>
      <c r="P194" s="318"/>
      <c r="Q194" s="374">
        <f>$Q$5</f>
        <v>2025</v>
      </c>
      <c r="R194" s="374"/>
      <c r="S194" s="374"/>
      <c r="T194" s="374"/>
      <c r="U194" s="320"/>
      <c r="V194" s="374">
        <f>$V$5</f>
        <v>2035</v>
      </c>
      <c r="W194" s="374"/>
      <c r="X194" s="374"/>
      <c r="Y194" s="374"/>
    </row>
    <row r="195" spans="1:25" x14ac:dyDescent="0.2">
      <c r="A195" s="264"/>
      <c r="B195" s="268" t="str">
        <f>$B$6</f>
        <v>FT</v>
      </c>
      <c r="C195" s="268" t="str">
        <f>$C$6</f>
        <v>PT</v>
      </c>
      <c r="D195" s="268" t="str">
        <f>$D$6</f>
        <v>SE</v>
      </c>
      <c r="E195" s="268" t="str">
        <f>$E$6</f>
        <v>Total</v>
      </c>
      <c r="F195" s="268"/>
      <c r="G195" s="268" t="str">
        <f>$B$6</f>
        <v>FT</v>
      </c>
      <c r="H195" s="268" t="str">
        <f>$C$6</f>
        <v>PT</v>
      </c>
      <c r="I195" s="268" t="str">
        <f>$D$6</f>
        <v>SE</v>
      </c>
      <c r="J195" s="268" t="str">
        <f>$E$6</f>
        <v>Total</v>
      </c>
      <c r="K195" s="268"/>
      <c r="L195" s="268" t="str">
        <f>$L$6</f>
        <v>FT</v>
      </c>
      <c r="M195" s="268" t="str">
        <f>$M$6</f>
        <v>PT</v>
      </c>
      <c r="N195" s="268" t="str">
        <f>$N$6</f>
        <v>SE</v>
      </c>
      <c r="O195" s="268" t="str">
        <f>$O$6</f>
        <v>Total</v>
      </c>
      <c r="P195" s="268"/>
      <c r="Q195" s="268" t="str">
        <f>$L$6</f>
        <v>FT</v>
      </c>
      <c r="R195" s="268" t="str">
        <f>$M$6</f>
        <v>PT</v>
      </c>
      <c r="S195" s="268" t="str">
        <f>$N$6</f>
        <v>SE</v>
      </c>
      <c r="T195" s="268" t="str">
        <f>$O$6</f>
        <v>Total</v>
      </c>
      <c r="U195" s="268"/>
      <c r="V195" s="268" t="str">
        <f>$V$6</f>
        <v>FT</v>
      </c>
      <c r="W195" s="268" t="str">
        <f>$W$6</f>
        <v>PT</v>
      </c>
      <c r="X195" s="268" t="str">
        <f>$X$6</f>
        <v>SE</v>
      </c>
      <c r="Y195" s="268" t="str">
        <f>$Y$6</f>
        <v>Total</v>
      </c>
    </row>
    <row r="196" spans="1:25" x14ac:dyDescent="0.2">
      <c r="C196" s="319"/>
      <c r="D196" s="319"/>
      <c r="E196" s="319"/>
      <c r="F196" s="319"/>
      <c r="G196" s="319"/>
      <c r="H196" s="319"/>
      <c r="I196" s="319"/>
      <c r="J196" s="319"/>
      <c r="K196" s="319"/>
      <c r="L196" s="319"/>
      <c r="M196" s="319"/>
      <c r="N196" s="319"/>
      <c r="O196" s="319"/>
      <c r="P196" s="319"/>
      <c r="Q196" s="319"/>
      <c r="R196" s="319"/>
      <c r="S196" s="319"/>
      <c r="T196" s="319"/>
      <c r="U196" s="319"/>
      <c r="V196" s="319"/>
      <c r="W196" s="319"/>
      <c r="X196" s="319"/>
      <c r="Y196" s="319"/>
    </row>
    <row r="197" spans="1:25" x14ac:dyDescent="0.2">
      <c r="A197" s="260" t="s">
        <v>365</v>
      </c>
      <c r="B197" s="300">
        <v>3.0138760077698974</v>
      </c>
      <c r="C197" s="300">
        <v>2.2964754118863242</v>
      </c>
      <c r="D197" s="300">
        <v>2.790973258568064</v>
      </c>
      <c r="E197" s="300">
        <f>SUM(B197:D197)</f>
        <v>8.1013246782242856</v>
      </c>
      <c r="F197" s="300"/>
      <c r="G197" s="300">
        <v>2.1541954272004236</v>
      </c>
      <c r="H197" s="300">
        <v>2.9482986554170321</v>
      </c>
      <c r="I197" s="300">
        <v>3.9337991202081364</v>
      </c>
      <c r="J197" s="300">
        <f>SUM(G197:I197)</f>
        <v>9.0362932028255933</v>
      </c>
      <c r="K197" s="300"/>
      <c r="L197" s="300">
        <v>2.0172235461525023</v>
      </c>
      <c r="M197" s="300">
        <v>1.9744051218358418</v>
      </c>
      <c r="N197" s="300">
        <v>4.9411668741219836</v>
      </c>
      <c r="O197" s="300">
        <f>SUM(L197:N197)</f>
        <v>8.9327955421103269</v>
      </c>
      <c r="P197" s="300"/>
      <c r="Q197" s="300">
        <v>1.5980773326156545</v>
      </c>
      <c r="R197" s="300">
        <v>1.5912592733624755</v>
      </c>
      <c r="S197" s="300">
        <v>4.0521998824092931</v>
      </c>
      <c r="T197" s="300">
        <f>SUM(Q197:S197)</f>
        <v>7.2415364883874229</v>
      </c>
      <c r="U197" s="300"/>
      <c r="V197" s="300">
        <v>1.4219077889768099</v>
      </c>
      <c r="W197" s="300">
        <v>1.4356442349786886</v>
      </c>
      <c r="X197" s="300">
        <v>3.7177505480251871</v>
      </c>
      <c r="Y197" s="300">
        <f>SUM(V197:X197)</f>
        <v>6.5753025719806857</v>
      </c>
    </row>
    <row r="198" spans="1:25" x14ac:dyDescent="0.2">
      <c r="A198" s="260" t="s">
        <v>364</v>
      </c>
      <c r="B198" s="300">
        <v>2.5410192047419593</v>
      </c>
      <c r="C198" s="300">
        <v>0.96014096850832598</v>
      </c>
      <c r="D198" s="300">
        <v>2.8025151485254396</v>
      </c>
      <c r="E198" s="300">
        <f t="shared" ref="E198:E199" si="314">SUM(B198:D198)</f>
        <v>6.3036753217757244</v>
      </c>
      <c r="F198" s="300"/>
      <c r="G198" s="300">
        <v>2.230754321805311</v>
      </c>
      <c r="H198" s="300">
        <v>0.58278505483727494</v>
      </c>
      <c r="I198" s="300">
        <v>0.75816742053183017</v>
      </c>
      <c r="J198" s="300">
        <f t="shared" ref="J198:J199" si="315">SUM(G198:I198)</f>
        <v>3.5717067971744161</v>
      </c>
      <c r="K198" s="300"/>
      <c r="L198" s="300">
        <v>3.2086065564066808</v>
      </c>
      <c r="M198" s="300">
        <v>1.234597901483008</v>
      </c>
      <c r="N198" s="300">
        <v>0</v>
      </c>
      <c r="O198" s="300">
        <f t="shared" ref="O198:O199" si="316">SUM(L198:N198)</f>
        <v>4.4432044578896885</v>
      </c>
      <c r="P198" s="300"/>
      <c r="Q198" s="300">
        <v>2.7094209907899311</v>
      </c>
      <c r="R198" s="300">
        <v>1.0060425208226591</v>
      </c>
      <c r="S198" s="300">
        <v>0</v>
      </c>
      <c r="T198" s="300">
        <f t="shared" ref="T198:T199" si="317">SUM(Q198:S198)</f>
        <v>3.7154635116125903</v>
      </c>
      <c r="U198" s="300"/>
      <c r="V198" s="300">
        <v>2.6459365044572798</v>
      </c>
      <c r="W198" s="300">
        <v>0.940760923562034</v>
      </c>
      <c r="X198" s="300">
        <v>0</v>
      </c>
      <c r="Y198" s="300">
        <f t="shared" ref="Y198:Y199" si="318">SUM(V198:X198)</f>
        <v>3.5866974280193138</v>
      </c>
    </row>
    <row r="199" spans="1:25" x14ac:dyDescent="0.2">
      <c r="A199" s="264" t="s">
        <v>363</v>
      </c>
      <c r="B199" s="301">
        <f>SUM(B197:B198)</f>
        <v>5.5548952125118571</v>
      </c>
      <c r="C199" s="301">
        <f t="shared" ref="C199" si="319">SUM(C197:C198)</f>
        <v>3.2566163803946502</v>
      </c>
      <c r="D199" s="301">
        <f t="shared" ref="D199" si="320">SUM(D197:D198)</f>
        <v>5.5934884070935036</v>
      </c>
      <c r="E199" s="301">
        <f t="shared" si="314"/>
        <v>14.405000000000012</v>
      </c>
      <c r="F199" s="301"/>
      <c r="G199" s="301">
        <f>SUM(G197:G198)</f>
        <v>4.3849497490057345</v>
      </c>
      <c r="H199" s="301">
        <f t="shared" ref="H199" si="321">SUM(H197:H198)</f>
        <v>3.5310837102543071</v>
      </c>
      <c r="I199" s="301">
        <f t="shared" ref="I199" si="322">SUM(I197:I198)</f>
        <v>4.6919665407399664</v>
      </c>
      <c r="J199" s="301">
        <f t="shared" si="315"/>
        <v>12.608000000000008</v>
      </c>
      <c r="K199" s="301"/>
      <c r="L199" s="301">
        <f>SUM(L197:L198)</f>
        <v>5.2258301025591827</v>
      </c>
      <c r="M199" s="301">
        <f t="shared" ref="M199" si="323">SUM(M197:M198)</f>
        <v>3.20900302331885</v>
      </c>
      <c r="N199" s="301">
        <f t="shared" ref="N199" si="324">SUM(N197:N198)</f>
        <v>4.9411668741219836</v>
      </c>
      <c r="O199" s="301">
        <f t="shared" si="316"/>
        <v>13.376000000000015</v>
      </c>
      <c r="P199" s="301"/>
      <c r="Q199" s="301">
        <f>SUM(Q197:Q198)</f>
        <v>4.3074983234055857</v>
      </c>
      <c r="R199" s="301">
        <f t="shared" ref="R199" si="325">SUM(R197:R198)</f>
        <v>2.5973017941851344</v>
      </c>
      <c r="S199" s="301">
        <f t="shared" ref="S199" si="326">SUM(S197:S198)</f>
        <v>4.0521998824092931</v>
      </c>
      <c r="T199" s="301">
        <f t="shared" si="317"/>
        <v>10.957000000000013</v>
      </c>
      <c r="U199" s="301"/>
      <c r="V199" s="301">
        <f>SUM(V197:V198)</f>
        <v>4.0678442934340895</v>
      </c>
      <c r="W199" s="301">
        <f t="shared" ref="W199" si="327">SUM(W197:W198)</f>
        <v>2.3764051585407229</v>
      </c>
      <c r="X199" s="301">
        <f t="shared" ref="X199" si="328">SUM(X197:X198)</f>
        <v>3.7177505480251871</v>
      </c>
      <c r="Y199" s="301">
        <f t="shared" si="318"/>
        <v>10.161999999999999</v>
      </c>
    </row>
    <row r="211" spans="1:3" x14ac:dyDescent="0.2">
      <c r="A211" s="261"/>
    </row>
    <row r="212" spans="1:3" x14ac:dyDescent="0.2">
      <c r="C212" s="263"/>
    </row>
    <row r="213" spans="1:3" x14ac:dyDescent="0.2">
      <c r="C213" s="263"/>
    </row>
    <row r="214" spans="1:3" x14ac:dyDescent="0.2">
      <c r="C214" s="263"/>
    </row>
    <row r="215" spans="1:3" x14ac:dyDescent="0.2">
      <c r="C215" s="263"/>
    </row>
    <row r="220" spans="1:3" x14ac:dyDescent="0.2">
      <c r="C220" s="263"/>
    </row>
    <row r="221" spans="1:3" x14ac:dyDescent="0.2">
      <c r="A221" s="262"/>
    </row>
    <row r="222" spans="1:3" x14ac:dyDescent="0.2">
      <c r="A222" s="261"/>
    </row>
    <row r="225" spans="1:3" x14ac:dyDescent="0.2">
      <c r="C225" s="263"/>
    </row>
    <row r="226" spans="1:3" x14ac:dyDescent="0.2">
      <c r="A226" s="261"/>
    </row>
    <row r="227" spans="1:3" x14ac:dyDescent="0.2">
      <c r="C227" s="263"/>
    </row>
    <row r="228" spans="1:3" x14ac:dyDescent="0.2">
      <c r="C228" s="263"/>
    </row>
    <row r="229" spans="1:3" x14ac:dyDescent="0.2">
      <c r="C229" s="263"/>
    </row>
    <row r="231" spans="1:3" x14ac:dyDescent="0.2">
      <c r="A231" s="261"/>
    </row>
    <row r="232" spans="1:3" x14ac:dyDescent="0.2">
      <c r="C232" s="263"/>
    </row>
    <row r="233" spans="1:3" x14ac:dyDescent="0.2">
      <c r="C233" s="263"/>
    </row>
    <row r="234" spans="1:3" x14ac:dyDescent="0.2">
      <c r="C234" s="263"/>
    </row>
    <row r="235" spans="1:3" x14ac:dyDescent="0.2">
      <c r="C235" s="263"/>
    </row>
    <row r="236" spans="1:3" x14ac:dyDescent="0.2">
      <c r="C236" s="263"/>
    </row>
    <row r="237" spans="1:3" x14ac:dyDescent="0.2">
      <c r="C237" s="263"/>
    </row>
    <row r="238" spans="1:3" x14ac:dyDescent="0.2">
      <c r="C238" s="263"/>
    </row>
    <row r="239" spans="1:3" x14ac:dyDescent="0.2">
      <c r="C239" s="263"/>
    </row>
    <row r="240" spans="1:3" x14ac:dyDescent="0.2">
      <c r="A240" s="261"/>
    </row>
    <row r="241" spans="1:3" x14ac:dyDescent="0.2">
      <c r="C241" s="263"/>
    </row>
    <row r="242" spans="1:3" x14ac:dyDescent="0.2">
      <c r="C242" s="263"/>
    </row>
    <row r="243" spans="1:3" x14ac:dyDescent="0.2">
      <c r="A243" s="261"/>
    </row>
    <row r="244" spans="1:3" x14ac:dyDescent="0.2">
      <c r="C244" s="263"/>
    </row>
    <row r="245" spans="1:3" x14ac:dyDescent="0.2">
      <c r="C245" s="263"/>
    </row>
    <row r="246" spans="1:3" x14ac:dyDescent="0.2">
      <c r="C246" s="263"/>
    </row>
    <row r="271" spans="1:3" x14ac:dyDescent="0.2">
      <c r="A271" s="261"/>
    </row>
    <row r="272" spans="1:3" x14ac:dyDescent="0.2">
      <c r="C272" s="263"/>
    </row>
    <row r="273" spans="1:3" x14ac:dyDescent="0.2">
      <c r="C273" s="263"/>
    </row>
    <row r="274" spans="1:3" x14ac:dyDescent="0.2">
      <c r="C274" s="263"/>
    </row>
    <row r="276" spans="1:3" x14ac:dyDescent="0.2">
      <c r="A276" s="261"/>
    </row>
    <row r="277" spans="1:3" x14ac:dyDescent="0.2">
      <c r="C277" s="263"/>
    </row>
    <row r="278" spans="1:3" x14ac:dyDescent="0.2">
      <c r="C278" s="263"/>
    </row>
    <row r="279" spans="1:3" x14ac:dyDescent="0.2">
      <c r="C279" s="263"/>
    </row>
    <row r="280" spans="1:3" x14ac:dyDescent="0.2">
      <c r="C280" s="263"/>
    </row>
    <row r="281" spans="1:3" x14ac:dyDescent="0.2">
      <c r="A281" s="261"/>
    </row>
    <row r="282" spans="1:3" x14ac:dyDescent="0.2">
      <c r="C282" s="263"/>
    </row>
    <row r="283" spans="1:3" x14ac:dyDescent="0.2">
      <c r="C283" s="263"/>
    </row>
    <row r="284" spans="1:3" x14ac:dyDescent="0.2">
      <c r="C284" s="263"/>
    </row>
    <row r="285" spans="1:3" x14ac:dyDescent="0.2">
      <c r="A285" s="262"/>
    </row>
    <row r="286" spans="1:3" x14ac:dyDescent="0.2">
      <c r="A286" s="261"/>
    </row>
    <row r="287" spans="1:3" x14ac:dyDescent="0.2">
      <c r="C287" s="263"/>
    </row>
    <row r="288" spans="1:3" x14ac:dyDescent="0.2">
      <c r="C288" s="263"/>
    </row>
    <row r="289" spans="1:3" x14ac:dyDescent="0.2">
      <c r="C289" s="263"/>
    </row>
    <row r="291" spans="1:3" x14ac:dyDescent="0.2">
      <c r="A291" s="261"/>
    </row>
    <row r="292" spans="1:3" x14ac:dyDescent="0.2">
      <c r="C292" s="263"/>
    </row>
    <row r="293" spans="1:3" x14ac:dyDescent="0.2">
      <c r="C293" s="263"/>
    </row>
    <row r="294" spans="1:3" x14ac:dyDescent="0.2">
      <c r="C294" s="263"/>
    </row>
    <row r="295" spans="1:3" x14ac:dyDescent="0.2">
      <c r="C295" s="263"/>
    </row>
    <row r="296" spans="1:3" x14ac:dyDescent="0.2">
      <c r="A296" s="261"/>
    </row>
    <row r="297" spans="1:3" x14ac:dyDescent="0.2">
      <c r="C297" s="263"/>
    </row>
    <row r="298" spans="1:3" x14ac:dyDescent="0.2">
      <c r="C298" s="263"/>
    </row>
    <row r="299" spans="1:3" x14ac:dyDescent="0.2">
      <c r="A299" s="261"/>
    </row>
    <row r="300" spans="1:3" x14ac:dyDescent="0.2">
      <c r="C300" s="263"/>
    </row>
    <row r="301" spans="1:3" x14ac:dyDescent="0.2">
      <c r="C301" s="263"/>
    </row>
    <row r="302" spans="1:3" x14ac:dyDescent="0.2">
      <c r="C302" s="263"/>
    </row>
    <row r="303" spans="1:3" x14ac:dyDescent="0.2">
      <c r="C303" s="263"/>
    </row>
    <row r="304" spans="1:3" x14ac:dyDescent="0.2">
      <c r="C304" s="263"/>
    </row>
    <row r="305" spans="1:3" x14ac:dyDescent="0.2">
      <c r="C305" s="263"/>
    </row>
    <row r="306" spans="1:3" x14ac:dyDescent="0.2">
      <c r="A306" s="261"/>
      <c r="C306" s="263"/>
    </row>
    <row r="307" spans="1:3" x14ac:dyDescent="0.2">
      <c r="C307" s="263"/>
    </row>
    <row r="308" spans="1:3" x14ac:dyDescent="0.2">
      <c r="C308" s="263"/>
    </row>
    <row r="309" spans="1:3" x14ac:dyDescent="0.2">
      <c r="C309" s="263"/>
    </row>
    <row r="310" spans="1:3" x14ac:dyDescent="0.2">
      <c r="A310" s="262"/>
    </row>
    <row r="311" spans="1:3" x14ac:dyDescent="0.2">
      <c r="A311" s="261"/>
    </row>
    <row r="312" spans="1:3" x14ac:dyDescent="0.2">
      <c r="C312" s="263"/>
    </row>
    <row r="313" spans="1:3" x14ac:dyDescent="0.2">
      <c r="C313" s="263"/>
    </row>
    <row r="314" spans="1:3" x14ac:dyDescent="0.2">
      <c r="C314" s="263"/>
    </row>
    <row r="316" spans="1:3" x14ac:dyDescent="0.2">
      <c r="A316" s="261"/>
    </row>
    <row r="317" spans="1:3" x14ac:dyDescent="0.2">
      <c r="C317" s="263"/>
    </row>
    <row r="318" spans="1:3" x14ac:dyDescent="0.2">
      <c r="C318" s="263"/>
    </row>
    <row r="319" spans="1:3" x14ac:dyDescent="0.2">
      <c r="C319" s="263"/>
    </row>
    <row r="320" spans="1:3" x14ac:dyDescent="0.2">
      <c r="A320" s="262"/>
    </row>
    <row r="321" spans="1:3" x14ac:dyDescent="0.2">
      <c r="A321" s="261"/>
    </row>
    <row r="322" spans="1:3" x14ac:dyDescent="0.2">
      <c r="C322" s="263"/>
    </row>
    <row r="323" spans="1:3" x14ac:dyDescent="0.2">
      <c r="C323" s="263"/>
    </row>
    <row r="324" spans="1:3" x14ac:dyDescent="0.2">
      <c r="C324" s="263"/>
    </row>
    <row r="326" spans="1:3" x14ac:dyDescent="0.2">
      <c r="A326" s="261"/>
    </row>
    <row r="327" spans="1:3" x14ac:dyDescent="0.2">
      <c r="A327" s="261"/>
    </row>
    <row r="328" spans="1:3" x14ac:dyDescent="0.2">
      <c r="C328" s="263"/>
    </row>
    <row r="329" spans="1:3" x14ac:dyDescent="0.2">
      <c r="C329" s="263"/>
    </row>
    <row r="330" spans="1:3" x14ac:dyDescent="0.2">
      <c r="C330" s="263"/>
    </row>
    <row r="332" spans="1:3" x14ac:dyDescent="0.2">
      <c r="A332" s="261"/>
    </row>
    <row r="333" spans="1:3" x14ac:dyDescent="0.2">
      <c r="C333" s="263"/>
    </row>
    <row r="334" spans="1:3" x14ac:dyDescent="0.2">
      <c r="C334" s="263"/>
    </row>
    <row r="335" spans="1:3" x14ac:dyDescent="0.2">
      <c r="C335" s="263"/>
    </row>
    <row r="336" spans="1:3" x14ac:dyDescent="0.2">
      <c r="C336" s="263"/>
    </row>
    <row r="337" spans="1:3" x14ac:dyDescent="0.2">
      <c r="A337" s="261"/>
    </row>
    <row r="338" spans="1:3" x14ac:dyDescent="0.2">
      <c r="C338" s="263"/>
    </row>
    <row r="339" spans="1:3" x14ac:dyDescent="0.2">
      <c r="C339" s="263"/>
    </row>
    <row r="340" spans="1:3" x14ac:dyDescent="0.2">
      <c r="C340" s="263"/>
    </row>
    <row r="341" spans="1:3" x14ac:dyDescent="0.2">
      <c r="A341" s="262"/>
    </row>
    <row r="342" spans="1:3" x14ac:dyDescent="0.2">
      <c r="A342" s="261"/>
    </row>
    <row r="343" spans="1:3" x14ac:dyDescent="0.2">
      <c r="C343" s="263"/>
    </row>
    <row r="344" spans="1:3" x14ac:dyDescent="0.2">
      <c r="C344" s="263"/>
    </row>
    <row r="345" spans="1:3" x14ac:dyDescent="0.2">
      <c r="C345" s="263"/>
    </row>
    <row r="347" spans="1:3" x14ac:dyDescent="0.2">
      <c r="A347" s="261"/>
    </row>
    <row r="348" spans="1:3" x14ac:dyDescent="0.2">
      <c r="C348" s="263"/>
    </row>
    <row r="349" spans="1:3" x14ac:dyDescent="0.2">
      <c r="C349" s="263"/>
    </row>
    <row r="350" spans="1:3" x14ac:dyDescent="0.2">
      <c r="C350" s="263"/>
    </row>
    <row r="351" spans="1:3" x14ac:dyDescent="0.2">
      <c r="C351" s="263"/>
    </row>
    <row r="352" spans="1:3" x14ac:dyDescent="0.2">
      <c r="A352" s="261"/>
    </row>
    <row r="353" spans="1:3" x14ac:dyDescent="0.2">
      <c r="C353" s="263"/>
    </row>
    <row r="354" spans="1:3" x14ac:dyDescent="0.2">
      <c r="C354" s="263"/>
    </row>
    <row r="355" spans="1:3" x14ac:dyDescent="0.2">
      <c r="A355" s="261"/>
    </row>
    <row r="356" spans="1:3" x14ac:dyDescent="0.2">
      <c r="C356" s="263"/>
    </row>
    <row r="357" spans="1:3" x14ac:dyDescent="0.2">
      <c r="C357" s="263"/>
    </row>
    <row r="358" spans="1:3" x14ac:dyDescent="0.2">
      <c r="C358" s="263"/>
    </row>
    <row r="359" spans="1:3" x14ac:dyDescent="0.2">
      <c r="C359" s="263"/>
    </row>
    <row r="361" spans="1:3" x14ac:dyDescent="0.2">
      <c r="A361" s="261"/>
    </row>
    <row r="362" spans="1:3" x14ac:dyDescent="0.2">
      <c r="C362" s="263"/>
    </row>
    <row r="363" spans="1:3" x14ac:dyDescent="0.2">
      <c r="C363" s="263"/>
    </row>
    <row r="364" spans="1:3" x14ac:dyDescent="0.2">
      <c r="C364" s="263"/>
    </row>
    <row r="365" spans="1:3" x14ac:dyDescent="0.2">
      <c r="A365" s="262"/>
    </row>
    <row r="366" spans="1:3" x14ac:dyDescent="0.2">
      <c r="A366" s="261"/>
    </row>
    <row r="367" spans="1:3" x14ac:dyDescent="0.2">
      <c r="C367" s="263"/>
    </row>
    <row r="368" spans="1:3" x14ac:dyDescent="0.2">
      <c r="C368" s="263"/>
    </row>
    <row r="369" spans="1:3" x14ac:dyDescent="0.2">
      <c r="C369" s="263"/>
    </row>
    <row r="371" spans="1:3" x14ac:dyDescent="0.2">
      <c r="A371" s="261"/>
    </row>
    <row r="372" spans="1:3" x14ac:dyDescent="0.2">
      <c r="C372" s="263"/>
    </row>
    <row r="373" spans="1:3" x14ac:dyDescent="0.2">
      <c r="C373" s="263"/>
    </row>
    <row r="374" spans="1:3" x14ac:dyDescent="0.2">
      <c r="C374" s="263"/>
    </row>
    <row r="376" spans="1:3" x14ac:dyDescent="0.2">
      <c r="A376" s="261"/>
    </row>
    <row r="377" spans="1:3" x14ac:dyDescent="0.2">
      <c r="C377" s="263"/>
    </row>
    <row r="378" spans="1:3" x14ac:dyDescent="0.2">
      <c r="C378" s="263"/>
    </row>
    <row r="379" spans="1:3" x14ac:dyDescent="0.2">
      <c r="C379" s="263"/>
    </row>
    <row r="380" spans="1:3" x14ac:dyDescent="0.2">
      <c r="C380" s="263"/>
    </row>
    <row r="381" spans="1:3" x14ac:dyDescent="0.2">
      <c r="A381" s="261"/>
    </row>
    <row r="382" spans="1:3" x14ac:dyDescent="0.2">
      <c r="C382" s="263"/>
    </row>
    <row r="383" spans="1:3" x14ac:dyDescent="0.2">
      <c r="A383" s="261"/>
    </row>
    <row r="384" spans="1:3" x14ac:dyDescent="0.2">
      <c r="C384" s="263"/>
    </row>
    <row r="385" spans="1:3" x14ac:dyDescent="0.2">
      <c r="C385" s="263"/>
    </row>
    <row r="386" spans="1:3" x14ac:dyDescent="0.2">
      <c r="C386" s="263"/>
    </row>
    <row r="388" spans="1:3" x14ac:dyDescent="0.2">
      <c r="A388" s="261"/>
    </row>
    <row r="389" spans="1:3" x14ac:dyDescent="0.2">
      <c r="C389" s="263"/>
    </row>
    <row r="390" spans="1:3" x14ac:dyDescent="0.2">
      <c r="C390" s="263"/>
    </row>
    <row r="391" spans="1:3" x14ac:dyDescent="0.2">
      <c r="C391" s="263"/>
    </row>
    <row r="392" spans="1:3" x14ac:dyDescent="0.2">
      <c r="C392" s="263"/>
    </row>
    <row r="393" spans="1:3" x14ac:dyDescent="0.2">
      <c r="A393" s="261"/>
    </row>
    <row r="394" spans="1:3" x14ac:dyDescent="0.2">
      <c r="C394" s="263"/>
    </row>
    <row r="395" spans="1:3" x14ac:dyDescent="0.2">
      <c r="C395" s="263"/>
    </row>
    <row r="396" spans="1:3" x14ac:dyDescent="0.2">
      <c r="C396" s="263"/>
    </row>
    <row r="397" spans="1:3" x14ac:dyDescent="0.2">
      <c r="A397" s="262"/>
    </row>
    <row r="398" spans="1:3" x14ac:dyDescent="0.2">
      <c r="A398" s="261"/>
    </row>
    <row r="399" spans="1:3" x14ac:dyDescent="0.2">
      <c r="C399" s="263"/>
    </row>
    <row r="400" spans="1:3" x14ac:dyDescent="0.2">
      <c r="C400" s="263"/>
    </row>
    <row r="401" spans="1:3" x14ac:dyDescent="0.2">
      <c r="C401" s="263"/>
    </row>
    <row r="403" spans="1:3" x14ac:dyDescent="0.2">
      <c r="A403" s="261"/>
    </row>
    <row r="404" spans="1:3" x14ac:dyDescent="0.2">
      <c r="C404" s="263"/>
    </row>
    <row r="405" spans="1:3" x14ac:dyDescent="0.2">
      <c r="C405" s="263"/>
    </row>
    <row r="406" spans="1:3" x14ac:dyDescent="0.2">
      <c r="C406" s="263"/>
    </row>
    <row r="407" spans="1:3" x14ac:dyDescent="0.2">
      <c r="C407" s="263"/>
    </row>
    <row r="408" spans="1:3" x14ac:dyDescent="0.2">
      <c r="A408" s="261"/>
    </row>
    <row r="409" spans="1:3" x14ac:dyDescent="0.2">
      <c r="C409" s="263"/>
    </row>
    <row r="410" spans="1:3" x14ac:dyDescent="0.2">
      <c r="C410" s="263"/>
    </row>
    <row r="411" spans="1:3" x14ac:dyDescent="0.2">
      <c r="A411" s="261"/>
    </row>
    <row r="412" spans="1:3" x14ac:dyDescent="0.2">
      <c r="C412" s="263"/>
    </row>
    <row r="413" spans="1:3" x14ac:dyDescent="0.2">
      <c r="C413" s="263"/>
    </row>
    <row r="414" spans="1:3" x14ac:dyDescent="0.2">
      <c r="C414" s="263"/>
    </row>
    <row r="415" spans="1:3" x14ac:dyDescent="0.2">
      <c r="C415" s="263"/>
    </row>
    <row r="416" spans="1:3" x14ac:dyDescent="0.2">
      <c r="C416" s="263"/>
    </row>
    <row r="417" spans="1:3" x14ac:dyDescent="0.2">
      <c r="C417" s="263"/>
    </row>
    <row r="418" spans="1:3" x14ac:dyDescent="0.2">
      <c r="A418" s="261"/>
      <c r="C418" s="263"/>
    </row>
    <row r="419" spans="1:3" x14ac:dyDescent="0.2">
      <c r="C419" s="263"/>
    </row>
    <row r="420" spans="1:3" x14ac:dyDescent="0.2">
      <c r="C420" s="263"/>
    </row>
    <row r="421" spans="1:3" x14ac:dyDescent="0.2">
      <c r="C421" s="263"/>
    </row>
    <row r="422" spans="1:3" x14ac:dyDescent="0.2">
      <c r="A422" s="262"/>
    </row>
    <row r="423" spans="1:3" x14ac:dyDescent="0.2">
      <c r="A423" s="261"/>
    </row>
    <row r="424" spans="1:3" x14ac:dyDescent="0.2">
      <c r="C424" s="263"/>
    </row>
    <row r="425" spans="1:3" x14ac:dyDescent="0.2">
      <c r="C425" s="263"/>
    </row>
    <row r="426" spans="1:3" x14ac:dyDescent="0.2">
      <c r="C426" s="263"/>
    </row>
    <row r="428" spans="1:3" x14ac:dyDescent="0.2">
      <c r="A428" s="261"/>
    </row>
    <row r="429" spans="1:3" x14ac:dyDescent="0.2">
      <c r="C429" s="263"/>
    </row>
    <row r="430" spans="1:3" x14ac:dyDescent="0.2">
      <c r="C430" s="263"/>
    </row>
    <row r="431" spans="1:3" x14ac:dyDescent="0.2">
      <c r="C431" s="263"/>
    </row>
    <row r="432" spans="1:3" x14ac:dyDescent="0.2">
      <c r="A432" s="262"/>
    </row>
    <row r="433" spans="1:3" x14ac:dyDescent="0.2">
      <c r="A433" s="261"/>
    </row>
    <row r="434" spans="1:3" x14ac:dyDescent="0.2">
      <c r="C434" s="263"/>
    </row>
    <row r="435" spans="1:3" x14ac:dyDescent="0.2">
      <c r="C435" s="263"/>
    </row>
    <row r="436" spans="1:3" x14ac:dyDescent="0.2">
      <c r="C436" s="263"/>
    </row>
    <row r="438" spans="1:3" x14ac:dyDescent="0.2">
      <c r="A438" s="261"/>
    </row>
    <row r="439" spans="1:3" x14ac:dyDescent="0.2">
      <c r="A439" s="261"/>
    </row>
    <row r="440" spans="1:3" x14ac:dyDescent="0.2">
      <c r="C440" s="263"/>
    </row>
    <row r="441" spans="1:3" x14ac:dyDescent="0.2">
      <c r="C441" s="263"/>
    </row>
    <row r="442" spans="1:3" x14ac:dyDescent="0.2">
      <c r="C442" s="263"/>
    </row>
    <row r="444" spans="1:3" x14ac:dyDescent="0.2">
      <c r="A444" s="261"/>
    </row>
    <row r="445" spans="1:3" x14ac:dyDescent="0.2">
      <c r="C445" s="263"/>
    </row>
    <row r="446" spans="1:3" x14ac:dyDescent="0.2">
      <c r="C446" s="263"/>
    </row>
    <row r="447" spans="1:3" x14ac:dyDescent="0.2">
      <c r="C447" s="263"/>
    </row>
    <row r="448" spans="1:3" x14ac:dyDescent="0.2">
      <c r="C448" s="263"/>
    </row>
    <row r="449" spans="1:3" x14ac:dyDescent="0.2">
      <c r="A449" s="261"/>
    </row>
    <row r="450" spans="1:3" x14ac:dyDescent="0.2">
      <c r="C450" s="263"/>
    </row>
    <row r="451" spans="1:3" x14ac:dyDescent="0.2">
      <c r="C451" s="263"/>
    </row>
    <row r="452" spans="1:3" x14ac:dyDescent="0.2">
      <c r="C452" s="263"/>
    </row>
    <row r="453" spans="1:3" x14ac:dyDescent="0.2">
      <c r="A453" s="262"/>
    </row>
    <row r="454" spans="1:3" x14ac:dyDescent="0.2">
      <c r="A454" s="261"/>
    </row>
    <row r="455" spans="1:3" x14ac:dyDescent="0.2">
      <c r="C455" s="263"/>
    </row>
    <row r="456" spans="1:3" x14ac:dyDescent="0.2">
      <c r="C456" s="263"/>
    </row>
    <row r="457" spans="1:3" x14ac:dyDescent="0.2">
      <c r="C457" s="263"/>
    </row>
    <row r="459" spans="1:3" x14ac:dyDescent="0.2">
      <c r="A459" s="261"/>
    </row>
    <row r="460" spans="1:3" x14ac:dyDescent="0.2">
      <c r="C460" s="263"/>
    </row>
    <row r="461" spans="1:3" x14ac:dyDescent="0.2">
      <c r="C461" s="263"/>
    </row>
    <row r="462" spans="1:3" x14ac:dyDescent="0.2">
      <c r="C462" s="263"/>
    </row>
    <row r="463" spans="1:3" x14ac:dyDescent="0.2">
      <c r="C463" s="263"/>
    </row>
    <row r="464" spans="1:3" x14ac:dyDescent="0.2">
      <c r="A464" s="261"/>
    </row>
    <row r="465" spans="1:25" x14ac:dyDescent="0.2">
      <c r="C465" s="263"/>
    </row>
    <row r="466" spans="1:25" x14ac:dyDescent="0.2">
      <c r="C466" s="263"/>
    </row>
    <row r="467" spans="1:25" x14ac:dyDescent="0.2">
      <c r="A467" s="261"/>
    </row>
    <row r="468" spans="1:25" x14ac:dyDescent="0.2">
      <c r="C468" s="263"/>
    </row>
    <row r="469" spans="1:25" x14ac:dyDescent="0.2">
      <c r="C469" s="263"/>
    </row>
    <row r="470" spans="1:25" x14ac:dyDescent="0.2">
      <c r="C470" s="263"/>
    </row>
    <row r="471" spans="1:25" x14ac:dyDescent="0.2">
      <c r="A471" s="261"/>
    </row>
    <row r="472" spans="1:25" x14ac:dyDescent="0.2">
      <c r="C472" s="263"/>
    </row>
    <row r="473" spans="1:25" x14ac:dyDescent="0.2">
      <c r="C473" s="263"/>
    </row>
    <row r="474" spans="1:25" x14ac:dyDescent="0.2">
      <c r="A474" s="264"/>
      <c r="B474" s="315"/>
      <c r="C474" s="315"/>
      <c r="D474" s="315"/>
      <c r="E474" s="315"/>
      <c r="F474" s="315"/>
      <c r="G474" s="315"/>
      <c r="H474" s="315"/>
      <c r="I474" s="315"/>
      <c r="J474" s="315"/>
      <c r="K474" s="315"/>
      <c r="L474" s="315"/>
      <c r="M474" s="315"/>
      <c r="N474" s="315"/>
      <c r="O474" s="315"/>
      <c r="P474" s="315"/>
      <c r="Q474" s="315"/>
      <c r="R474" s="315"/>
      <c r="S474" s="315"/>
      <c r="T474" s="315"/>
      <c r="U474" s="315"/>
      <c r="V474" s="315"/>
      <c r="W474" s="315"/>
      <c r="X474" s="315"/>
      <c r="Y474" s="315"/>
    </row>
    <row r="475" spans="1:25" x14ac:dyDescent="0.2">
      <c r="A475" s="262"/>
    </row>
    <row r="476" spans="1:25" x14ac:dyDescent="0.2">
      <c r="A476" s="261"/>
    </row>
    <row r="477" spans="1:25" x14ac:dyDescent="0.2">
      <c r="C477" s="263"/>
    </row>
    <row r="478" spans="1:25" x14ac:dyDescent="0.2">
      <c r="C478" s="263"/>
    </row>
    <row r="479" spans="1:25" x14ac:dyDescent="0.2">
      <c r="A479" s="264"/>
      <c r="B479" s="315"/>
      <c r="C479" s="315"/>
      <c r="D479" s="315"/>
      <c r="E479" s="315"/>
      <c r="F479" s="315"/>
      <c r="G479" s="315"/>
      <c r="H479" s="315"/>
      <c r="I479" s="315"/>
      <c r="J479" s="315"/>
      <c r="K479" s="315"/>
      <c r="L479" s="315"/>
      <c r="M479" s="315"/>
      <c r="N479" s="315"/>
      <c r="O479" s="315"/>
      <c r="P479" s="315"/>
      <c r="Q479" s="315"/>
      <c r="R479" s="315"/>
      <c r="S479" s="315"/>
      <c r="T479" s="315"/>
      <c r="U479" s="315"/>
      <c r="V479" s="315"/>
      <c r="W479" s="315"/>
      <c r="X479" s="315"/>
      <c r="Y479" s="315"/>
    </row>
    <row r="480" spans="1:25" x14ac:dyDescent="0.2">
      <c r="A480" s="262"/>
    </row>
    <row r="481" spans="1:3" x14ac:dyDescent="0.2">
      <c r="A481" s="261"/>
    </row>
    <row r="482" spans="1:3" x14ac:dyDescent="0.2">
      <c r="C482" s="263"/>
    </row>
    <row r="483" spans="1:3" x14ac:dyDescent="0.2">
      <c r="C483" s="263"/>
    </row>
    <row r="484" spans="1:3" x14ac:dyDescent="0.2">
      <c r="C484" s="263"/>
    </row>
    <row r="486" spans="1:3" x14ac:dyDescent="0.2">
      <c r="A486" s="261"/>
    </row>
    <row r="487" spans="1:3" x14ac:dyDescent="0.2">
      <c r="C487" s="263"/>
    </row>
    <row r="488" spans="1:3" x14ac:dyDescent="0.2">
      <c r="C488" s="263"/>
    </row>
    <row r="489" spans="1:3" x14ac:dyDescent="0.2">
      <c r="C489" s="263"/>
    </row>
    <row r="490" spans="1:3" x14ac:dyDescent="0.2">
      <c r="C490" s="263"/>
    </row>
    <row r="491" spans="1:3" x14ac:dyDescent="0.2">
      <c r="A491" s="261"/>
    </row>
    <row r="492" spans="1:3" x14ac:dyDescent="0.2">
      <c r="C492" s="263"/>
    </row>
    <row r="493" spans="1:3" x14ac:dyDescent="0.2">
      <c r="C493" s="263"/>
    </row>
    <row r="494" spans="1:3" x14ac:dyDescent="0.2">
      <c r="C494" s="263"/>
    </row>
    <row r="495" spans="1:3" x14ac:dyDescent="0.2">
      <c r="A495" s="261"/>
    </row>
    <row r="496" spans="1:3" x14ac:dyDescent="0.2">
      <c r="C496" s="263"/>
    </row>
    <row r="497" spans="1:3" x14ac:dyDescent="0.2">
      <c r="C497" s="263"/>
    </row>
    <row r="498" spans="1:3" x14ac:dyDescent="0.2">
      <c r="C498" s="263"/>
    </row>
    <row r="500" spans="1:3" x14ac:dyDescent="0.2">
      <c r="A500" s="261"/>
    </row>
    <row r="501" spans="1:3" x14ac:dyDescent="0.2">
      <c r="C501" s="263"/>
    </row>
    <row r="502" spans="1:3" x14ac:dyDescent="0.2">
      <c r="C502" s="263"/>
    </row>
    <row r="503" spans="1:3" x14ac:dyDescent="0.2">
      <c r="C503" s="263"/>
    </row>
    <row r="504" spans="1:3" x14ac:dyDescent="0.2">
      <c r="C504" s="263"/>
    </row>
    <row r="505" spans="1:3" x14ac:dyDescent="0.2">
      <c r="A505" s="261"/>
    </row>
    <row r="506" spans="1:3" x14ac:dyDescent="0.2">
      <c r="C506" s="263"/>
    </row>
    <row r="507" spans="1:3" x14ac:dyDescent="0.2">
      <c r="C507" s="263"/>
    </row>
    <row r="508" spans="1:3" x14ac:dyDescent="0.2">
      <c r="C508" s="263"/>
    </row>
    <row r="509" spans="1:3" x14ac:dyDescent="0.2">
      <c r="A509" s="262"/>
    </row>
    <row r="510" spans="1:3" x14ac:dyDescent="0.2">
      <c r="A510" s="261"/>
    </row>
    <row r="511" spans="1:3" x14ac:dyDescent="0.2">
      <c r="C511" s="263"/>
    </row>
    <row r="512" spans="1:3" x14ac:dyDescent="0.2">
      <c r="C512" s="263"/>
    </row>
    <row r="513" spans="1:3" x14ac:dyDescent="0.2">
      <c r="C513" s="263"/>
    </row>
    <row r="515" spans="1:3" x14ac:dyDescent="0.2">
      <c r="A515" s="261"/>
    </row>
    <row r="516" spans="1:3" x14ac:dyDescent="0.2">
      <c r="C516" s="263"/>
    </row>
    <row r="517" spans="1:3" x14ac:dyDescent="0.2">
      <c r="C517" s="263"/>
    </row>
    <row r="518" spans="1:3" x14ac:dyDescent="0.2">
      <c r="C518" s="263"/>
    </row>
    <row r="519" spans="1:3" x14ac:dyDescent="0.2">
      <c r="C519" s="263"/>
    </row>
    <row r="520" spans="1:3" x14ac:dyDescent="0.2">
      <c r="A520" s="261"/>
    </row>
    <row r="521" spans="1:3" x14ac:dyDescent="0.2">
      <c r="C521" s="263"/>
    </row>
    <row r="522" spans="1:3" x14ac:dyDescent="0.2">
      <c r="C522" s="263"/>
    </row>
    <row r="523" spans="1:3" x14ac:dyDescent="0.2">
      <c r="A523" s="261"/>
    </row>
    <row r="524" spans="1:3" x14ac:dyDescent="0.2">
      <c r="C524" s="263"/>
    </row>
    <row r="525" spans="1:3" x14ac:dyDescent="0.2">
      <c r="C525" s="263"/>
    </row>
    <row r="526" spans="1:3" x14ac:dyDescent="0.2">
      <c r="C526" s="263"/>
    </row>
    <row r="527" spans="1:3" x14ac:dyDescent="0.2">
      <c r="C527" s="263"/>
    </row>
    <row r="528" spans="1:3" x14ac:dyDescent="0.2">
      <c r="C528" s="263"/>
    </row>
    <row r="529" spans="1:3" x14ac:dyDescent="0.2">
      <c r="C529" s="263"/>
    </row>
    <row r="530" spans="1:3" x14ac:dyDescent="0.2">
      <c r="A530" s="261"/>
      <c r="C530" s="263"/>
    </row>
    <row r="531" spans="1:3" x14ac:dyDescent="0.2">
      <c r="C531" s="263"/>
    </row>
    <row r="532" spans="1:3" x14ac:dyDescent="0.2">
      <c r="C532" s="263"/>
    </row>
    <row r="533" spans="1:3" x14ac:dyDescent="0.2">
      <c r="C533" s="263"/>
    </row>
    <row r="534" spans="1:3" x14ac:dyDescent="0.2">
      <c r="A534" s="262"/>
    </row>
    <row r="535" spans="1:3" x14ac:dyDescent="0.2">
      <c r="A535" s="261"/>
    </row>
    <row r="536" spans="1:3" x14ac:dyDescent="0.2">
      <c r="C536" s="263"/>
    </row>
    <row r="537" spans="1:3" x14ac:dyDescent="0.2">
      <c r="C537" s="263"/>
    </row>
    <row r="538" spans="1:3" x14ac:dyDescent="0.2">
      <c r="C538" s="263"/>
    </row>
    <row r="540" spans="1:3" x14ac:dyDescent="0.2">
      <c r="A540" s="261"/>
    </row>
    <row r="541" spans="1:3" x14ac:dyDescent="0.2">
      <c r="C541" s="263"/>
    </row>
    <row r="542" spans="1:3" x14ac:dyDescent="0.2">
      <c r="C542" s="263"/>
    </row>
    <row r="543" spans="1:3" x14ac:dyDescent="0.2">
      <c r="C543" s="263"/>
    </row>
    <row r="544" spans="1:3" x14ac:dyDescent="0.2">
      <c r="A544" s="262"/>
    </row>
    <row r="545" spans="1:3" x14ac:dyDescent="0.2">
      <c r="A545" s="261"/>
    </row>
    <row r="546" spans="1:3" x14ac:dyDescent="0.2">
      <c r="C546" s="263"/>
    </row>
    <row r="547" spans="1:3" x14ac:dyDescent="0.2">
      <c r="C547" s="263"/>
    </row>
    <row r="548" spans="1:3" x14ac:dyDescent="0.2">
      <c r="C548" s="263"/>
    </row>
    <row r="550" spans="1:3" x14ac:dyDescent="0.2">
      <c r="A550" s="261"/>
    </row>
    <row r="551" spans="1:3" x14ac:dyDescent="0.2">
      <c r="A551" s="261"/>
    </row>
    <row r="552" spans="1:3" x14ac:dyDescent="0.2">
      <c r="C552" s="263"/>
    </row>
    <row r="553" spans="1:3" x14ac:dyDescent="0.2">
      <c r="C553" s="263"/>
    </row>
    <row r="554" spans="1:3" x14ac:dyDescent="0.2">
      <c r="C554" s="263"/>
    </row>
    <row r="556" spans="1:3" x14ac:dyDescent="0.2">
      <c r="A556" s="261"/>
    </row>
    <row r="557" spans="1:3" x14ac:dyDescent="0.2">
      <c r="C557" s="263"/>
    </row>
    <row r="558" spans="1:3" x14ac:dyDescent="0.2">
      <c r="C558" s="263"/>
    </row>
    <row r="559" spans="1:3" x14ac:dyDescent="0.2">
      <c r="C559" s="263"/>
    </row>
    <row r="560" spans="1:3" x14ac:dyDescent="0.2">
      <c r="C560" s="263"/>
    </row>
    <row r="561" spans="1:3" x14ac:dyDescent="0.2">
      <c r="A561" s="261"/>
    </row>
    <row r="562" spans="1:3" x14ac:dyDescent="0.2">
      <c r="C562" s="263"/>
    </row>
    <row r="563" spans="1:3" x14ac:dyDescent="0.2">
      <c r="C563" s="263"/>
    </row>
    <row r="564" spans="1:3" x14ac:dyDescent="0.2">
      <c r="C564" s="263"/>
    </row>
    <row r="565" spans="1:3" x14ac:dyDescent="0.2">
      <c r="A565" s="262"/>
    </row>
    <row r="566" spans="1:3" x14ac:dyDescent="0.2">
      <c r="A566" s="261"/>
    </row>
    <row r="567" spans="1:3" x14ac:dyDescent="0.2">
      <c r="C567" s="263"/>
    </row>
    <row r="568" spans="1:3" x14ac:dyDescent="0.2">
      <c r="C568" s="263"/>
    </row>
    <row r="569" spans="1:3" x14ac:dyDescent="0.2">
      <c r="C569" s="263"/>
    </row>
    <row r="571" spans="1:3" x14ac:dyDescent="0.2">
      <c r="A571" s="261"/>
    </row>
    <row r="572" spans="1:3" x14ac:dyDescent="0.2">
      <c r="C572" s="263"/>
    </row>
    <row r="573" spans="1:3" x14ac:dyDescent="0.2">
      <c r="C573" s="263"/>
    </row>
    <row r="574" spans="1:3" x14ac:dyDescent="0.2">
      <c r="C574" s="263"/>
    </row>
    <row r="575" spans="1:3" x14ac:dyDescent="0.2">
      <c r="C575" s="263"/>
    </row>
    <row r="576" spans="1:3" x14ac:dyDescent="0.2">
      <c r="A576" s="261"/>
    </row>
    <row r="577" spans="1:3" x14ac:dyDescent="0.2">
      <c r="C577" s="263"/>
    </row>
    <row r="578" spans="1:3" x14ac:dyDescent="0.2">
      <c r="C578" s="263"/>
    </row>
    <row r="579" spans="1:3" x14ac:dyDescent="0.2">
      <c r="A579" s="261"/>
    </row>
    <row r="580" spans="1:3" x14ac:dyDescent="0.2">
      <c r="C580" s="263"/>
    </row>
    <row r="581" spans="1:3" x14ac:dyDescent="0.2">
      <c r="C581" s="263"/>
    </row>
    <row r="582" spans="1:3" x14ac:dyDescent="0.2">
      <c r="C582" s="263"/>
    </row>
    <row r="583" spans="1:3" x14ac:dyDescent="0.2">
      <c r="C583" s="263"/>
    </row>
    <row r="585" spans="1:3" x14ac:dyDescent="0.2">
      <c r="A585" s="261"/>
    </row>
    <row r="586" spans="1:3" x14ac:dyDescent="0.2">
      <c r="C586" s="263"/>
    </row>
    <row r="587" spans="1:3" x14ac:dyDescent="0.2">
      <c r="C587" s="263"/>
    </row>
    <row r="588" spans="1:3" x14ac:dyDescent="0.2">
      <c r="C588" s="263"/>
    </row>
    <row r="589" spans="1:3" x14ac:dyDescent="0.2">
      <c r="A589" s="262"/>
    </row>
    <row r="590" spans="1:3" x14ac:dyDescent="0.2">
      <c r="A590" s="261"/>
    </row>
    <row r="591" spans="1:3" x14ac:dyDescent="0.2">
      <c r="C591" s="263"/>
    </row>
    <row r="592" spans="1:3" x14ac:dyDescent="0.2">
      <c r="C592" s="263"/>
    </row>
    <row r="593" spans="1:3" x14ac:dyDescent="0.2">
      <c r="C593" s="263"/>
    </row>
    <row r="595" spans="1:3" x14ac:dyDescent="0.2">
      <c r="A595" s="261"/>
    </row>
    <row r="596" spans="1:3" x14ac:dyDescent="0.2">
      <c r="C596" s="263"/>
    </row>
    <row r="597" spans="1:3" x14ac:dyDescent="0.2">
      <c r="C597" s="263"/>
    </row>
    <row r="598" spans="1:3" x14ac:dyDescent="0.2">
      <c r="C598" s="263"/>
    </row>
    <row r="600" spans="1:3" x14ac:dyDescent="0.2">
      <c r="A600" s="261"/>
    </row>
    <row r="601" spans="1:3" x14ac:dyDescent="0.2">
      <c r="C601" s="263"/>
    </row>
    <row r="602" spans="1:3" x14ac:dyDescent="0.2">
      <c r="C602" s="263"/>
    </row>
    <row r="603" spans="1:3" x14ac:dyDescent="0.2">
      <c r="C603" s="263"/>
    </row>
    <row r="604" spans="1:3" x14ac:dyDescent="0.2">
      <c r="C604" s="263"/>
    </row>
    <row r="605" spans="1:3" x14ac:dyDescent="0.2">
      <c r="A605" s="261"/>
    </row>
    <row r="606" spans="1:3" x14ac:dyDescent="0.2">
      <c r="C606" s="263"/>
    </row>
    <row r="607" spans="1:3" x14ac:dyDescent="0.2">
      <c r="A607" s="261"/>
    </row>
    <row r="608" spans="1:3" x14ac:dyDescent="0.2">
      <c r="C608" s="263"/>
    </row>
    <row r="609" spans="1:3" x14ac:dyDescent="0.2">
      <c r="C609" s="263"/>
    </row>
    <row r="610" spans="1:3" x14ac:dyDescent="0.2">
      <c r="C610" s="263"/>
    </row>
    <row r="612" spans="1:3" x14ac:dyDescent="0.2">
      <c r="A612" s="261"/>
    </row>
    <row r="613" spans="1:3" x14ac:dyDescent="0.2">
      <c r="C613" s="263"/>
    </row>
    <row r="614" spans="1:3" x14ac:dyDescent="0.2">
      <c r="C614" s="263"/>
    </row>
    <row r="615" spans="1:3" x14ac:dyDescent="0.2">
      <c r="C615" s="263"/>
    </row>
    <row r="616" spans="1:3" x14ac:dyDescent="0.2">
      <c r="C616" s="263"/>
    </row>
    <row r="617" spans="1:3" x14ac:dyDescent="0.2">
      <c r="A617" s="261"/>
    </row>
    <row r="618" spans="1:3" x14ac:dyDescent="0.2">
      <c r="C618" s="263"/>
    </row>
    <row r="619" spans="1:3" x14ac:dyDescent="0.2">
      <c r="C619" s="263"/>
    </row>
    <row r="620" spans="1:3" x14ac:dyDescent="0.2">
      <c r="C620" s="263"/>
    </row>
    <row r="621" spans="1:3" x14ac:dyDescent="0.2">
      <c r="A621" s="262"/>
    </row>
    <row r="622" spans="1:3" x14ac:dyDescent="0.2">
      <c r="A622" s="261"/>
    </row>
    <row r="623" spans="1:3" x14ac:dyDescent="0.2">
      <c r="C623" s="263"/>
    </row>
    <row r="624" spans="1:3" x14ac:dyDescent="0.2">
      <c r="C624" s="263"/>
    </row>
    <row r="625" spans="1:3" x14ac:dyDescent="0.2">
      <c r="C625" s="263"/>
    </row>
    <row r="627" spans="1:3" x14ac:dyDescent="0.2">
      <c r="A627" s="261"/>
    </row>
    <row r="628" spans="1:3" x14ac:dyDescent="0.2">
      <c r="C628" s="263"/>
    </row>
    <row r="629" spans="1:3" x14ac:dyDescent="0.2">
      <c r="C629" s="263"/>
    </row>
    <row r="630" spans="1:3" x14ac:dyDescent="0.2">
      <c r="C630" s="263"/>
    </row>
    <row r="631" spans="1:3" x14ac:dyDescent="0.2">
      <c r="C631" s="263"/>
    </row>
    <row r="632" spans="1:3" x14ac:dyDescent="0.2">
      <c r="A632" s="261"/>
    </row>
    <row r="633" spans="1:3" x14ac:dyDescent="0.2">
      <c r="C633" s="263"/>
    </row>
    <row r="634" spans="1:3" x14ac:dyDescent="0.2">
      <c r="C634" s="263"/>
    </row>
    <row r="635" spans="1:3" x14ac:dyDescent="0.2">
      <c r="A635" s="261"/>
    </row>
    <row r="636" spans="1:3" x14ac:dyDescent="0.2">
      <c r="C636" s="263"/>
    </row>
    <row r="637" spans="1:3" x14ac:dyDescent="0.2">
      <c r="C637" s="263"/>
    </row>
    <row r="638" spans="1:3" x14ac:dyDescent="0.2">
      <c r="C638" s="263"/>
    </row>
    <row r="639" spans="1:3" x14ac:dyDescent="0.2">
      <c r="C639" s="263"/>
    </row>
    <row r="640" spans="1:3" x14ac:dyDescent="0.2">
      <c r="C640" s="263"/>
    </row>
    <row r="641" spans="1:3" x14ac:dyDescent="0.2">
      <c r="C641" s="263"/>
    </row>
    <row r="642" spans="1:3" x14ac:dyDescent="0.2">
      <c r="A642" s="261"/>
      <c r="C642" s="263"/>
    </row>
    <row r="643" spans="1:3" x14ac:dyDescent="0.2">
      <c r="C643" s="263"/>
    </row>
    <row r="644" spans="1:3" x14ac:dyDescent="0.2">
      <c r="C644" s="263"/>
    </row>
    <row r="645" spans="1:3" x14ac:dyDescent="0.2">
      <c r="C645" s="263"/>
    </row>
    <row r="646" spans="1:3" x14ac:dyDescent="0.2">
      <c r="A646" s="262"/>
    </row>
    <row r="647" spans="1:3" x14ac:dyDescent="0.2">
      <c r="A647" s="261"/>
    </row>
    <row r="648" spans="1:3" x14ac:dyDescent="0.2">
      <c r="C648" s="263"/>
    </row>
    <row r="649" spans="1:3" x14ac:dyDescent="0.2">
      <c r="C649" s="263"/>
    </row>
    <row r="650" spans="1:3" x14ac:dyDescent="0.2">
      <c r="C650" s="263"/>
    </row>
    <row r="652" spans="1:3" x14ac:dyDescent="0.2">
      <c r="A652" s="261"/>
    </row>
    <row r="653" spans="1:3" x14ac:dyDescent="0.2">
      <c r="C653" s="263"/>
    </row>
    <row r="654" spans="1:3" x14ac:dyDescent="0.2">
      <c r="C654" s="263"/>
    </row>
    <row r="655" spans="1:3" x14ac:dyDescent="0.2">
      <c r="C655" s="263"/>
    </row>
    <row r="656" spans="1:3" x14ac:dyDescent="0.2">
      <c r="A656" s="262"/>
    </row>
    <row r="657" spans="1:3" x14ac:dyDescent="0.2">
      <c r="A657" s="261"/>
    </row>
    <row r="658" spans="1:3" x14ac:dyDescent="0.2">
      <c r="C658" s="263"/>
    </row>
    <row r="659" spans="1:3" x14ac:dyDescent="0.2">
      <c r="C659" s="263"/>
    </row>
    <row r="660" spans="1:3" x14ac:dyDescent="0.2">
      <c r="C660" s="263"/>
    </row>
    <row r="662" spans="1:3" x14ac:dyDescent="0.2">
      <c r="A662" s="261"/>
    </row>
    <row r="663" spans="1:3" x14ac:dyDescent="0.2">
      <c r="A663" s="261"/>
    </row>
    <row r="664" spans="1:3" x14ac:dyDescent="0.2">
      <c r="C664" s="263"/>
    </row>
    <row r="665" spans="1:3" x14ac:dyDescent="0.2">
      <c r="C665" s="263"/>
    </row>
    <row r="666" spans="1:3" x14ac:dyDescent="0.2">
      <c r="C666" s="263"/>
    </row>
    <row r="668" spans="1:3" x14ac:dyDescent="0.2">
      <c r="A668" s="261"/>
    </row>
    <row r="669" spans="1:3" x14ac:dyDescent="0.2">
      <c r="C669" s="263"/>
    </row>
    <row r="670" spans="1:3" x14ac:dyDescent="0.2">
      <c r="C670" s="263"/>
    </row>
    <row r="671" spans="1:3" x14ac:dyDescent="0.2">
      <c r="C671" s="263"/>
    </row>
    <row r="672" spans="1:3" x14ac:dyDescent="0.2">
      <c r="C672" s="263"/>
    </row>
    <row r="673" spans="1:3" x14ac:dyDescent="0.2">
      <c r="A673" s="261"/>
    </row>
    <row r="674" spans="1:3" x14ac:dyDescent="0.2">
      <c r="C674" s="263"/>
    </row>
    <row r="675" spans="1:3" x14ac:dyDescent="0.2">
      <c r="C675" s="263"/>
    </row>
    <row r="676" spans="1:3" x14ac:dyDescent="0.2">
      <c r="C676" s="263"/>
    </row>
    <row r="677" spans="1:3" x14ac:dyDescent="0.2">
      <c r="A677" s="262"/>
    </row>
    <row r="678" spans="1:3" x14ac:dyDescent="0.2">
      <c r="A678" s="261"/>
    </row>
    <row r="679" spans="1:3" x14ac:dyDescent="0.2">
      <c r="C679" s="263"/>
    </row>
    <row r="680" spans="1:3" x14ac:dyDescent="0.2">
      <c r="C680" s="263"/>
    </row>
    <row r="681" spans="1:3" x14ac:dyDescent="0.2">
      <c r="C681" s="263"/>
    </row>
    <row r="683" spans="1:3" x14ac:dyDescent="0.2">
      <c r="A683" s="261"/>
    </row>
    <row r="684" spans="1:3" x14ac:dyDescent="0.2">
      <c r="C684" s="263"/>
    </row>
    <row r="685" spans="1:3" x14ac:dyDescent="0.2">
      <c r="C685" s="263"/>
    </row>
    <row r="686" spans="1:3" x14ac:dyDescent="0.2">
      <c r="C686" s="263"/>
    </row>
    <row r="687" spans="1:3" x14ac:dyDescent="0.2">
      <c r="C687" s="263"/>
    </row>
    <row r="688" spans="1:3" x14ac:dyDescent="0.2">
      <c r="A688" s="261"/>
    </row>
    <row r="689" spans="1:3" x14ac:dyDescent="0.2">
      <c r="C689" s="263"/>
    </row>
    <row r="690" spans="1:3" x14ac:dyDescent="0.2">
      <c r="C690" s="263"/>
    </row>
    <row r="691" spans="1:3" x14ac:dyDescent="0.2">
      <c r="A691" s="261"/>
    </row>
    <row r="692" spans="1:3" x14ac:dyDescent="0.2">
      <c r="C692" s="263"/>
    </row>
    <row r="693" spans="1:3" x14ac:dyDescent="0.2">
      <c r="C693" s="263"/>
    </row>
    <row r="694" spans="1:3" x14ac:dyDescent="0.2">
      <c r="C694" s="263"/>
    </row>
  </sheetData>
  <mergeCells count="110">
    <mergeCell ref="L194:O194"/>
    <mergeCell ref="V194:Y194"/>
    <mergeCell ref="B158:E158"/>
    <mergeCell ref="L158:O158"/>
    <mergeCell ref="V158:Y158"/>
    <mergeCell ref="B185:E185"/>
    <mergeCell ref="L185:O185"/>
    <mergeCell ref="V185:Y185"/>
    <mergeCell ref="B167:E167"/>
    <mergeCell ref="L167:O167"/>
    <mergeCell ref="V167:Y167"/>
    <mergeCell ref="B176:E176"/>
    <mergeCell ref="L176:O176"/>
    <mergeCell ref="V176:Y176"/>
    <mergeCell ref="G158:J158"/>
    <mergeCell ref="G185:J185"/>
    <mergeCell ref="Q185:T185"/>
    <mergeCell ref="Q176:T176"/>
    <mergeCell ref="G194:J194"/>
    <mergeCell ref="Q194:T194"/>
    <mergeCell ref="Q158:T158"/>
    <mergeCell ref="G167:J167"/>
    <mergeCell ref="Q167:T167"/>
    <mergeCell ref="G176:J176"/>
    <mergeCell ref="B194:E194"/>
    <mergeCell ref="B122:E122"/>
    <mergeCell ref="L122:O122"/>
    <mergeCell ref="V122:Y122"/>
    <mergeCell ref="L104:O104"/>
    <mergeCell ref="V104:Y104"/>
    <mergeCell ref="B113:E113"/>
    <mergeCell ref="L113:O113"/>
    <mergeCell ref="V113:Y113"/>
    <mergeCell ref="G104:J104"/>
    <mergeCell ref="Q104:T104"/>
    <mergeCell ref="G113:J113"/>
    <mergeCell ref="Q113:T113"/>
    <mergeCell ref="G122:J122"/>
    <mergeCell ref="Q122:T122"/>
    <mergeCell ref="V140:Y140"/>
    <mergeCell ref="B131:E131"/>
    <mergeCell ref="L131:O131"/>
    <mergeCell ref="V131:Y131"/>
    <mergeCell ref="B149:E149"/>
    <mergeCell ref="L149:O149"/>
    <mergeCell ref="V149:Y149"/>
    <mergeCell ref="B140:E140"/>
    <mergeCell ref="L140:O140"/>
    <mergeCell ref="G131:J131"/>
    <mergeCell ref="Q131:T131"/>
    <mergeCell ref="G140:J140"/>
    <mergeCell ref="Q140:T140"/>
    <mergeCell ref="G149:J149"/>
    <mergeCell ref="Q149:T149"/>
    <mergeCell ref="V95:Y95"/>
    <mergeCell ref="B104:E104"/>
    <mergeCell ref="B77:E77"/>
    <mergeCell ref="L77:O77"/>
    <mergeCell ref="V77:Y77"/>
    <mergeCell ref="B86:E86"/>
    <mergeCell ref="L86:O86"/>
    <mergeCell ref="V86:Y86"/>
    <mergeCell ref="B95:E95"/>
    <mergeCell ref="L95:O95"/>
    <mergeCell ref="G95:J95"/>
    <mergeCell ref="Q95:T95"/>
    <mergeCell ref="G77:J77"/>
    <mergeCell ref="Q77:T77"/>
    <mergeCell ref="G86:J86"/>
    <mergeCell ref="Q86:T86"/>
    <mergeCell ref="B68:E68"/>
    <mergeCell ref="L68:O68"/>
    <mergeCell ref="V68:Y68"/>
    <mergeCell ref="L14:O14"/>
    <mergeCell ref="V14:Y14"/>
    <mergeCell ref="B23:E23"/>
    <mergeCell ref="L23:O23"/>
    <mergeCell ref="V23:Y23"/>
    <mergeCell ref="B41:E41"/>
    <mergeCell ref="L41:O41"/>
    <mergeCell ref="V41:Y41"/>
    <mergeCell ref="B50:E50"/>
    <mergeCell ref="L50:O50"/>
    <mergeCell ref="V50:Y50"/>
    <mergeCell ref="G14:J14"/>
    <mergeCell ref="Q14:T14"/>
    <mergeCell ref="G68:J68"/>
    <mergeCell ref="Q68:T68"/>
    <mergeCell ref="G41:J41"/>
    <mergeCell ref="Q41:T41"/>
    <mergeCell ref="G50:J50"/>
    <mergeCell ref="Q50:T50"/>
    <mergeCell ref="G59:J59"/>
    <mergeCell ref="Q59:T59"/>
    <mergeCell ref="B5:E5"/>
    <mergeCell ref="L5:O5"/>
    <mergeCell ref="V5:Y5"/>
    <mergeCell ref="B59:E59"/>
    <mergeCell ref="L59:O59"/>
    <mergeCell ref="V59:Y59"/>
    <mergeCell ref="B32:E32"/>
    <mergeCell ref="L32:O32"/>
    <mergeCell ref="V32:Y32"/>
    <mergeCell ref="B14:E14"/>
    <mergeCell ref="G5:J5"/>
    <mergeCell ref="Q5:T5"/>
    <mergeCell ref="G23:J23"/>
    <mergeCell ref="Q23:T23"/>
    <mergeCell ref="G32:J32"/>
    <mergeCell ref="Q32:T32"/>
  </mergeCells>
  <pageMargins left="0.7" right="0.7" top="0.75" bottom="0.75" header="0.3" footer="0.3"/>
  <pageSetup paperSize="9" scale="68" fitToHeight="0" orientation="landscape" r:id="rId1"/>
  <rowBreaks count="7" manualBreakCount="7">
    <brk id="40" max="24" man="1"/>
    <brk id="82" max="24" man="1"/>
    <brk id="112" max="24" man="1"/>
    <brk id="139" max="24" man="1"/>
    <brk id="166" max="24" man="1"/>
    <brk id="199" max="24" man="1"/>
    <brk id="304" max="24" man="1"/>
  </rowBreaks>
  <colBreaks count="1" manualBreakCount="1">
    <brk id="25" max="1048575" man="1"/>
  </colBreaks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3"/>
  <dimension ref="A1:P43"/>
  <sheetViews>
    <sheetView zoomScale="75" zoomScaleNormal="75" workbookViewId="0"/>
  </sheetViews>
  <sheetFormatPr defaultRowHeight="12.75" x14ac:dyDescent="0.2"/>
  <cols>
    <col min="1" max="1" width="11" style="81" bestFit="1" customWidth="1"/>
    <col min="2" max="9" width="9.140625" style="81"/>
    <col min="10" max="10" width="17.5703125" style="81" customWidth="1"/>
    <col min="11" max="11" width="8.28515625" style="81" customWidth="1"/>
    <col min="12" max="12" width="28.140625" customWidth="1"/>
    <col min="13" max="14" width="10.140625" customWidth="1"/>
  </cols>
  <sheetData>
    <row r="1" spans="1:16" ht="15.75" x14ac:dyDescent="0.25">
      <c r="A1" s="80" t="str">
        <f>CONCATENATE("Industry Figure 1  Growth in Employment by Industry Group (SIC 2007), ",M6," and ",N6,", ",Info!B5)</f>
        <v>Industry Figure 1  Growth in Employment by Industry Group (SIC 2007), 2015-2020 and 2020-2035, North East</v>
      </c>
    </row>
    <row r="2" spans="1:16" x14ac:dyDescent="0.2">
      <c r="A2" s="182" t="s">
        <v>515</v>
      </c>
    </row>
    <row r="3" spans="1:16" x14ac:dyDescent="0.2">
      <c r="L3" s="46" t="s">
        <v>441</v>
      </c>
    </row>
    <row r="5" spans="1:16" x14ac:dyDescent="0.2">
      <c r="L5" s="30" t="s">
        <v>406</v>
      </c>
    </row>
    <row r="6" spans="1:16" x14ac:dyDescent="0.2">
      <c r="L6" s="13"/>
      <c r="M6" s="16" t="str">
        <f>'Ind T4'!B87</f>
        <v>2015-2020</v>
      </c>
      <c r="N6" s="16" t="str">
        <f>'Ind T4'!C87</f>
        <v>2020-2035</v>
      </c>
      <c r="O6" s="16"/>
      <c r="P6" s="16"/>
    </row>
    <row r="7" spans="1:16" x14ac:dyDescent="0.2">
      <c r="L7" s="1" t="str">
        <f>'Ind T4'!A83</f>
        <v>All industries</v>
      </c>
      <c r="M7">
        <f>'Ind T4'!B122</f>
        <v>-0.44439610986766187</v>
      </c>
      <c r="N7">
        <f>'Ind T4'!C122</f>
        <v>0.1902652511108327</v>
      </c>
    </row>
    <row r="8" spans="1:16" x14ac:dyDescent="0.2">
      <c r="L8" s="13"/>
    </row>
    <row r="9" spans="1:16" x14ac:dyDescent="0.2">
      <c r="L9" s="13" t="str">
        <f>'Ind T4'!A81</f>
        <v>Health and social work</v>
      </c>
      <c r="M9">
        <f>'Ind T4'!B120</f>
        <v>-0.91428864386136066</v>
      </c>
      <c r="N9">
        <f>'Ind T4'!C120</f>
        <v>0.64273989089609351</v>
      </c>
    </row>
    <row r="10" spans="1:16" x14ac:dyDescent="0.2">
      <c r="L10" s="13" t="str">
        <f>'Ind T4'!A80</f>
        <v>Education</v>
      </c>
      <c r="M10">
        <f>'Ind T4'!B119</f>
        <v>-0.56111387121730028</v>
      </c>
      <c r="N10">
        <f>'Ind T4'!C119</f>
        <v>0.61482200035680723</v>
      </c>
    </row>
    <row r="11" spans="1:16" x14ac:dyDescent="0.2">
      <c r="L11" s="13" t="str">
        <f>'Ind T4'!A79</f>
        <v>Public admin. and defence</v>
      </c>
      <c r="M11">
        <f>'Ind T4'!B118</f>
        <v>0.66810307094815613</v>
      </c>
      <c r="N11">
        <f>'Ind T4'!C118</f>
        <v>-0.20541431369721641</v>
      </c>
    </row>
    <row r="12" spans="1:16" x14ac:dyDescent="0.2">
      <c r="L12" s="1" t="str">
        <f>CONCATENATE("[",'Ind T4'!A78,"]")</f>
        <v>[Non-marketed services]</v>
      </c>
      <c r="M12">
        <f>'Ind T4'!B117</f>
        <v>-0.46148600098521175</v>
      </c>
      <c r="N12">
        <f>'Ind T4'!C117</f>
        <v>0.45167180345637714</v>
      </c>
    </row>
    <row r="13" spans="1:16" x14ac:dyDescent="0.2">
      <c r="L13" s="13"/>
    </row>
    <row r="14" spans="1:16" x14ac:dyDescent="0.2">
      <c r="L14" s="13" t="str">
        <f>'Ind T4'!A76</f>
        <v>Other services</v>
      </c>
      <c r="M14" s="13">
        <f>'Ind T4'!B115</f>
        <v>-1.4713347556971401</v>
      </c>
      <c r="N14" s="13">
        <f>'Ind T4'!C115</f>
        <v>-1.8153652892971439</v>
      </c>
    </row>
    <row r="15" spans="1:16" x14ac:dyDescent="0.2">
      <c r="L15" s="13" t="str">
        <f>'Ind T4'!A75</f>
        <v>Arts and entertainment</v>
      </c>
      <c r="M15" s="13">
        <f>'Ind T4'!B114</f>
        <v>0.76558996799549472</v>
      </c>
      <c r="N15" s="13">
        <f>'Ind T4'!C114</f>
        <v>0.70790895696333234</v>
      </c>
    </row>
    <row r="16" spans="1:16" x14ac:dyDescent="0.2">
      <c r="L16" s="13" t="str">
        <f>'Ind T4'!A74</f>
        <v>Support services</v>
      </c>
      <c r="M16" s="13">
        <f>'Ind T4'!B113</f>
        <v>1.250824446137333E-2</v>
      </c>
      <c r="N16" s="13">
        <f>'Ind T4'!C113</f>
        <v>0.45806764410025735</v>
      </c>
    </row>
    <row r="17" spans="12:14" x14ac:dyDescent="0.2">
      <c r="L17" s="13" t="str">
        <f>'Ind T4'!A73</f>
        <v>Professional services</v>
      </c>
      <c r="M17" s="13">
        <f>'Ind T4'!B112</f>
        <v>-1.8576882983515675</v>
      </c>
      <c r="N17" s="13">
        <f>'Ind T4'!C112</f>
        <v>0.68260230370200681</v>
      </c>
    </row>
    <row r="18" spans="12:14" x14ac:dyDescent="0.2">
      <c r="L18" s="13" t="str">
        <f>'Ind T4'!A72</f>
        <v>Real estate</v>
      </c>
      <c r="M18" s="13">
        <f>'Ind T4'!B111</f>
        <v>-1.3746463837722933</v>
      </c>
      <c r="N18" s="13">
        <f>'Ind T4'!C111</f>
        <v>0.9745640091332497</v>
      </c>
    </row>
    <row r="19" spans="12:14" x14ac:dyDescent="0.2">
      <c r="L19" t="str">
        <f>'Ind T4'!A71</f>
        <v>Finance and insurance</v>
      </c>
      <c r="M19">
        <f>'Ind T4'!B110</f>
        <v>-3.1571485087396822</v>
      </c>
      <c r="N19">
        <f>'Ind T4'!C110</f>
        <v>0.18898298620708687</v>
      </c>
    </row>
    <row r="20" spans="12:14" x14ac:dyDescent="0.2">
      <c r="L20" t="str">
        <f>'Ind T4'!A70</f>
        <v>Information technology</v>
      </c>
      <c r="M20">
        <f>'Ind T4'!B109</f>
        <v>-7.9659464170241057</v>
      </c>
      <c r="N20">
        <f>'Ind T4'!C109</f>
        <v>1.1754522234323828</v>
      </c>
    </row>
    <row r="21" spans="12:14" x14ac:dyDescent="0.2">
      <c r="L21" t="str">
        <f>'Ind T4'!A69</f>
        <v>Media</v>
      </c>
      <c r="M21">
        <f>'Ind T4'!B108</f>
        <v>2.473127289150967</v>
      </c>
      <c r="N21">
        <f>'Ind T4'!C108</f>
        <v>-1.8439989577501148E-2</v>
      </c>
    </row>
    <row r="22" spans="12:14" x14ac:dyDescent="0.2">
      <c r="L22" s="1" t="str">
        <f>CONCATENATE("[",'Ind T4'!A68,"]")</f>
        <v>[Business and other services]</v>
      </c>
      <c r="M22">
        <f>'Ind T4'!B107</f>
        <v>-1.2952392760916642</v>
      </c>
      <c r="N22">
        <f>'Ind T4'!C107</f>
        <v>0.33508303269660367</v>
      </c>
    </row>
    <row r="23" spans="12:14" x14ac:dyDescent="0.2">
      <c r="L23" s="13"/>
    </row>
    <row r="24" spans="12:14" x14ac:dyDescent="0.2">
      <c r="L24" s="13" t="str">
        <f>'Ind T4'!A66</f>
        <v>Accommodation and food</v>
      </c>
      <c r="M24">
        <f>'Ind T4'!B105</f>
        <v>0.4856135990428001</v>
      </c>
      <c r="N24">
        <f>'Ind T4'!C105</f>
        <v>0.94873860508719599</v>
      </c>
    </row>
    <row r="25" spans="12:14" x14ac:dyDescent="0.2">
      <c r="L25" s="13" t="str">
        <f>'Ind T4'!A65</f>
        <v>Transport and storage</v>
      </c>
      <c r="M25">
        <f>'Ind T4'!B104</f>
        <v>4.2420930187336614</v>
      </c>
      <c r="N25">
        <f>'Ind T4'!C104</f>
        <v>0.20535495618057009</v>
      </c>
    </row>
    <row r="26" spans="12:14" x14ac:dyDescent="0.2">
      <c r="L26" s="13" t="str">
        <f>'Ind T4'!A64</f>
        <v>Wholesale and retail trade</v>
      </c>
      <c r="M26">
        <f>'Ind T4'!B103</f>
        <v>-0.69605210709524634</v>
      </c>
      <c r="N26">
        <f>'Ind T4'!C103</f>
        <v>-3.1526055855657376E-2</v>
      </c>
    </row>
    <row r="27" spans="12:14" x14ac:dyDescent="0.2">
      <c r="L27" s="1" t="str">
        <f>CONCATENATE("[",'Ind T4'!A63,"]")</f>
        <v>[Trade, accomod. and transport]</v>
      </c>
      <c r="M27">
        <f>'Ind T4'!B102</f>
        <v>0.51686864742230831</v>
      </c>
      <c r="N27">
        <f>'Ind T4'!C102</f>
        <v>0.27834332595311206</v>
      </c>
    </row>
    <row r="28" spans="12:14" x14ac:dyDescent="0.2">
      <c r="L28" s="13"/>
    </row>
    <row r="29" spans="12:14" x14ac:dyDescent="0.2">
      <c r="L29" s="1" t="str">
        <f>CONCATENATE("[",'Ind T4'!A61,"]")</f>
        <v>[Construction]</v>
      </c>
      <c r="M29">
        <f>'Ind T4'!B100</f>
        <v>1.2656848581371394</v>
      </c>
      <c r="N29">
        <f>'Ind T4'!C100</f>
        <v>-0.26734421291025878</v>
      </c>
    </row>
    <row r="30" spans="12:14" x14ac:dyDescent="0.2">
      <c r="L30" s="13"/>
    </row>
    <row r="31" spans="12:14" x14ac:dyDescent="0.2">
      <c r="L31" s="13" t="str">
        <f>'Ind T4'!A59</f>
        <v>Rest of manufacturing</v>
      </c>
      <c r="M31">
        <f>'Ind T4'!B98</f>
        <v>-3.5225917625843151</v>
      </c>
      <c r="N31">
        <f>'Ind T4'!C98</f>
        <v>-0.90255666362821785</v>
      </c>
    </row>
    <row r="32" spans="12:14" x14ac:dyDescent="0.2">
      <c r="L32" s="13" t="str">
        <f>'Ind T4'!A58</f>
        <v>Engineering</v>
      </c>
      <c r="M32">
        <f>'Ind T4'!B97</f>
        <v>-2.3571353240735005</v>
      </c>
      <c r="N32">
        <f>'Ind T4'!C97</f>
        <v>-0.58412201020501264</v>
      </c>
    </row>
    <row r="33" spans="12:14" x14ac:dyDescent="0.2">
      <c r="L33" s="13" t="str">
        <f>'Ind T4'!A57</f>
        <v>Food drink and tobacco</v>
      </c>
      <c r="M33">
        <f>'Ind T4'!B96</f>
        <v>1.8275403697670001</v>
      </c>
      <c r="N33">
        <f>'Ind T4'!C96</f>
        <v>-0.14461330577412168</v>
      </c>
    </row>
    <row r="34" spans="12:14" x14ac:dyDescent="0.2">
      <c r="L34" s="1" t="str">
        <f>CONCATENATE("[",'Ind T4'!A56,"]")</f>
        <v>[Manufacturing]</v>
      </c>
      <c r="M34">
        <f>'Ind T4'!B95</f>
        <v>-2.9356597593099942</v>
      </c>
      <c r="N34">
        <f>'Ind T4'!C95</f>
        <v>-0.77856367999591392</v>
      </c>
    </row>
    <row r="35" spans="12:14" x14ac:dyDescent="0.2">
      <c r="L35" s="13"/>
    </row>
    <row r="36" spans="12:14" x14ac:dyDescent="0.2">
      <c r="L36" s="13" t="str">
        <f>'Ind T4'!A54</f>
        <v>Water and sewerage</v>
      </c>
      <c r="M36">
        <f>'Ind T4'!B93</f>
        <v>4.5094265216973239</v>
      </c>
      <c r="N36">
        <f>'Ind T4'!C93</f>
        <v>0.10834068684364428</v>
      </c>
    </row>
    <row r="37" spans="12:14" x14ac:dyDescent="0.2">
      <c r="L37" s="13" t="str">
        <f>'Ind T4'!A53</f>
        <v>Electricity and gas</v>
      </c>
      <c r="M37">
        <f>'Ind T4'!B92</f>
        <v>16.357624389764737</v>
      </c>
      <c r="N37">
        <f>'Ind T4'!C92</f>
        <v>4.6770741458757037E-2</v>
      </c>
    </row>
    <row r="38" spans="12:14" x14ac:dyDescent="0.2">
      <c r="L38" s="13" t="str">
        <f>'Ind T4'!A52</f>
        <v>Mining and quarrying</v>
      </c>
      <c r="M38">
        <f>'Ind T4'!B91</f>
        <v>12.513186170685199</v>
      </c>
      <c r="N38">
        <f>'Ind T4'!C91</f>
        <v>-1.5936148180109688</v>
      </c>
    </row>
    <row r="39" spans="12:14" x14ac:dyDescent="0.2">
      <c r="L39" s="45" t="str">
        <f>'Ind T4'!A51</f>
        <v>Agriculture</v>
      </c>
      <c r="M39">
        <f>'Ind T4'!B90</f>
        <v>-5.761569320990767</v>
      </c>
      <c r="N39">
        <f>'Ind T4'!C90</f>
        <v>0.41863206905279338</v>
      </c>
    </row>
    <row r="40" spans="12:14" x14ac:dyDescent="0.2">
      <c r="L40" s="1" t="str">
        <f>CONCATENATE("[",'Ind T4'!A50,"]")</f>
        <v>[Primary sector and utilities]</v>
      </c>
      <c r="M40">
        <f>'Ind T4'!B89</f>
        <v>6.9428190332837092</v>
      </c>
      <c r="N40">
        <f>'Ind T4'!C89</f>
        <v>6.8968468615326906E-2</v>
      </c>
    </row>
    <row r="43" spans="12:14" x14ac:dyDescent="0.2">
      <c r="L43" t="str">
        <f>REPT(" ",11)</f>
        <v xml:space="preserve">           </v>
      </c>
    </row>
  </sheetData>
  <phoneticPr fontId="4" type="noConversion"/>
  <conditionalFormatting sqref="O18:P18 O25:P25 L6:P6 L8:P8 L13:P13 L23:P23 L28:N28 L30:N30">
    <cfRule type="cellIs" dxfId="12" priority="1" stopIfTrue="1" operator="equal">
      <formula>0</formula>
    </cfRule>
  </conditionalFormatting>
  <pageMargins left="0.55118110236220474" right="0.55118110236220474" top="0.98425196850393704" bottom="0.98425196850393704" header="0.51181102362204722" footer="0.51181102362204722"/>
  <pageSetup paperSize="9" scale="90" orientation="portrait" r:id="rId1"/>
  <headerFooter alignWithMargins="0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4"/>
  <dimension ref="A1:CR268"/>
  <sheetViews>
    <sheetView zoomScale="75" zoomScaleNormal="75" workbookViewId="0"/>
  </sheetViews>
  <sheetFormatPr defaultRowHeight="12.75" x14ac:dyDescent="0.2"/>
  <cols>
    <col min="1" max="1" width="17" style="81" customWidth="1"/>
    <col min="2" max="10" width="9.140625" style="81"/>
    <col min="11" max="11" width="24.5703125" style="81" customWidth="1"/>
    <col min="12" max="12" width="25.5703125" customWidth="1"/>
    <col min="13" max="13" width="5.42578125" bestFit="1" customWidth="1"/>
    <col min="14" max="14" width="5.140625" bestFit="1" customWidth="1"/>
    <col min="15" max="22" width="5.42578125" bestFit="1" customWidth="1"/>
    <col min="23" max="23" width="5.85546875" bestFit="1" customWidth="1"/>
    <col min="24" max="24" width="5.42578125" bestFit="1" customWidth="1"/>
    <col min="25" max="33" width="5.85546875" bestFit="1" customWidth="1"/>
    <col min="34" max="34" width="5.42578125" bestFit="1" customWidth="1"/>
    <col min="35" max="38" width="5.85546875" bestFit="1" customWidth="1"/>
    <col min="39" max="40" width="7.5703125" customWidth="1"/>
    <col min="41" max="41" width="6.85546875" customWidth="1"/>
    <col min="42" max="42" width="7.140625" customWidth="1"/>
    <col min="43" max="43" width="7.5703125" customWidth="1"/>
    <col min="44" max="44" width="7.140625" customWidth="1"/>
    <col min="45" max="47" width="7.5703125" customWidth="1"/>
    <col min="48" max="48" width="7.140625" customWidth="1"/>
    <col min="49" max="52" width="7.5703125" customWidth="1"/>
    <col min="53" max="53" width="6.85546875" customWidth="1"/>
    <col min="54" max="57" width="7.5703125" customWidth="1"/>
    <col min="58" max="58" width="7.140625" customWidth="1"/>
    <col min="59" max="59" width="7.5703125" customWidth="1"/>
    <col min="60" max="60" width="6.5703125" customWidth="1"/>
    <col min="61" max="63" width="7.5703125" customWidth="1"/>
    <col min="64" max="64" width="2.42578125" customWidth="1"/>
    <col min="65" max="65" width="6.28515625" customWidth="1"/>
    <col min="66" max="66" width="19.42578125" customWidth="1"/>
  </cols>
  <sheetData>
    <row r="1" spans="1:96" ht="15.75" x14ac:dyDescent="0.25">
      <c r="A1" s="80" t="str">
        <f>CONCATENATE("Industry Figure 2  Employment by Industry (SIC 2007), ",$M$2,"-",$O$2,", ",Info!B5)</f>
        <v>Industry Figure 2  Employment by Industry (SIC 2007), 2010-2035, North East</v>
      </c>
      <c r="L1" s="46"/>
    </row>
    <row r="2" spans="1:96" x14ac:dyDescent="0.2">
      <c r="A2" s="182" t="s">
        <v>515</v>
      </c>
      <c r="L2" s="16" t="s">
        <v>29</v>
      </c>
      <c r="M2" s="48">
        <f>M4</f>
        <v>2010</v>
      </c>
      <c r="N2" s="47" t="s">
        <v>28</v>
      </c>
      <c r="O2" s="48">
        <f>MAX(Q4:BQ4)</f>
        <v>2035</v>
      </c>
    </row>
    <row r="3" spans="1:96" x14ac:dyDescent="0.2">
      <c r="L3" s="16"/>
      <c r="M3" s="16"/>
      <c r="N3" s="47"/>
      <c r="O3" s="16"/>
    </row>
    <row r="4" spans="1:96" x14ac:dyDescent="0.2">
      <c r="L4" s="13"/>
      <c r="M4" s="48">
        <v>2010</v>
      </c>
      <c r="N4" s="48">
        <v>2011</v>
      </c>
      <c r="O4" s="48">
        <v>2012</v>
      </c>
      <c r="P4" s="48">
        <v>2013</v>
      </c>
      <c r="Q4" s="48">
        <v>2014</v>
      </c>
      <c r="R4" s="48">
        <v>2015</v>
      </c>
      <c r="S4" s="48">
        <v>2016</v>
      </c>
      <c r="T4" s="48">
        <v>2017</v>
      </c>
      <c r="U4" s="48">
        <v>2018</v>
      </c>
      <c r="V4" s="48">
        <v>2019</v>
      </c>
      <c r="W4" s="48">
        <v>2020</v>
      </c>
      <c r="X4" s="48">
        <v>2021</v>
      </c>
      <c r="Y4" s="48">
        <v>2022</v>
      </c>
      <c r="Z4" s="48">
        <v>2023</v>
      </c>
      <c r="AA4" s="48">
        <v>2024</v>
      </c>
      <c r="AB4" s="48">
        <v>2025</v>
      </c>
      <c r="AC4" s="48">
        <v>2026</v>
      </c>
      <c r="AD4" s="48">
        <v>2027</v>
      </c>
      <c r="AE4" s="48">
        <v>2028</v>
      </c>
      <c r="AF4" s="48">
        <v>2029</v>
      </c>
      <c r="AG4" s="48">
        <v>2030</v>
      </c>
      <c r="AH4" s="48">
        <v>2031</v>
      </c>
      <c r="AI4" s="48">
        <v>2032</v>
      </c>
      <c r="AJ4" s="48">
        <v>2033</v>
      </c>
      <c r="AK4" s="48">
        <v>2034</v>
      </c>
      <c r="AL4" s="48">
        <v>2035</v>
      </c>
      <c r="AM4" s="48">
        <f t="shared" ref="AM4" si="0">BP4</f>
        <v>0</v>
      </c>
      <c r="AN4" s="10"/>
      <c r="AO4" s="10"/>
      <c r="AP4" s="10"/>
      <c r="AQ4" s="48"/>
      <c r="AR4" s="48"/>
      <c r="AS4" s="48"/>
      <c r="AT4" s="48"/>
      <c r="AU4" s="48"/>
      <c r="AV4" s="48"/>
      <c r="AW4" s="48"/>
      <c r="AX4" s="48"/>
      <c r="AY4" s="48"/>
      <c r="AZ4" s="48"/>
      <c r="BA4" s="48"/>
      <c r="BB4" s="48"/>
      <c r="BC4" s="48"/>
      <c r="BD4" s="48"/>
      <c r="BE4" s="48"/>
      <c r="BF4" s="48"/>
      <c r="BG4" s="48"/>
      <c r="BH4" s="48"/>
      <c r="BI4" s="48"/>
      <c r="BJ4" s="48"/>
      <c r="BK4" s="48"/>
      <c r="BL4" s="48"/>
      <c r="BM4" s="48"/>
      <c r="BN4" s="48"/>
      <c r="BO4" s="48"/>
      <c r="BP4" s="48"/>
      <c r="BQ4" s="10"/>
      <c r="BS4" s="48"/>
      <c r="BT4" s="48"/>
      <c r="BU4" s="48"/>
      <c r="BV4" s="48"/>
      <c r="BW4" s="48"/>
      <c r="BX4" s="48"/>
      <c r="BY4" s="48"/>
      <c r="BZ4" s="48"/>
      <c r="CA4" s="48"/>
      <c r="CB4" s="48"/>
      <c r="CC4" s="48"/>
      <c r="CD4" s="48"/>
      <c r="CE4" s="48"/>
      <c r="CF4" s="48"/>
      <c r="CG4" s="48"/>
      <c r="CH4" s="48"/>
      <c r="CI4" s="48"/>
      <c r="CJ4" s="48"/>
      <c r="CK4" s="48"/>
      <c r="CL4" s="48"/>
      <c r="CM4" s="48"/>
      <c r="CN4" s="48"/>
      <c r="CO4" s="48"/>
      <c r="CP4" s="48"/>
      <c r="CQ4" s="48"/>
      <c r="CR4" s="48"/>
    </row>
    <row r="5" spans="1:96" x14ac:dyDescent="0.2">
      <c r="L5" s="1" t="str">
        <f>'Ind T4'!A7</f>
        <v>Primary sector and utilities</v>
      </c>
      <c r="M5" s="11">
        <f>SUM(M6:M9)</f>
        <v>10.827000000000012</v>
      </c>
      <c r="N5" s="11">
        <f t="shared" ref="N5:AL5" si="1">SUM(N6:N9)</f>
        <v>13.482000000000003</v>
      </c>
      <c r="O5" s="11">
        <f t="shared" si="1"/>
        <v>11.097999999999999</v>
      </c>
      <c r="P5" s="11">
        <f t="shared" si="1"/>
        <v>11.878</v>
      </c>
      <c r="Q5" s="11">
        <f t="shared" si="1"/>
        <v>11.508999999999997</v>
      </c>
      <c r="R5" s="11">
        <f t="shared" si="1"/>
        <v>8.3899999999999952</v>
      </c>
      <c r="S5" s="11">
        <f t="shared" si="1"/>
        <v>7.4920000000000044</v>
      </c>
      <c r="T5" s="11">
        <f t="shared" si="1"/>
        <v>11.110000000000001</v>
      </c>
      <c r="U5" s="11">
        <f t="shared" si="1"/>
        <v>12.263999999999998</v>
      </c>
      <c r="V5" s="11">
        <f t="shared" si="1"/>
        <v>11.074000000000003</v>
      </c>
      <c r="W5" s="11">
        <f t="shared" si="1"/>
        <v>11.735999999999995</v>
      </c>
      <c r="X5" s="11">
        <f t="shared" si="1"/>
        <v>11.663000000000009</v>
      </c>
      <c r="Y5" s="11">
        <f t="shared" si="1"/>
        <v>11.565000000000012</v>
      </c>
      <c r="Z5" s="11">
        <f t="shared" si="1"/>
        <v>11.567999999999989</v>
      </c>
      <c r="AA5" s="11">
        <f t="shared" si="1"/>
        <v>11.663000000000002</v>
      </c>
      <c r="AB5" s="11">
        <f t="shared" si="1"/>
        <v>11.704999999999995</v>
      </c>
      <c r="AC5" s="11">
        <f t="shared" si="1"/>
        <v>11.734999999999996</v>
      </c>
      <c r="AD5" s="11">
        <f t="shared" si="1"/>
        <v>11.754999999999992</v>
      </c>
      <c r="AE5" s="11">
        <f t="shared" si="1"/>
        <v>11.768999999999988</v>
      </c>
      <c r="AF5" s="11">
        <f t="shared" si="1"/>
        <v>11.777000000000012</v>
      </c>
      <c r="AG5" s="11">
        <f t="shared" si="1"/>
        <v>11.792000000000002</v>
      </c>
      <c r="AH5" s="11">
        <f t="shared" si="1"/>
        <v>11.804999999999993</v>
      </c>
      <c r="AI5" s="11">
        <f t="shared" si="1"/>
        <v>11.817999999999998</v>
      </c>
      <c r="AJ5" s="11">
        <f t="shared" si="1"/>
        <v>11.829999999999991</v>
      </c>
      <c r="AK5" s="11">
        <f t="shared" si="1"/>
        <v>11.844999999999995</v>
      </c>
      <c r="AL5" s="11">
        <f t="shared" si="1"/>
        <v>11.858000000000009</v>
      </c>
      <c r="AM5" s="11"/>
      <c r="AN5" s="11"/>
      <c r="AO5" s="11"/>
      <c r="AP5" s="11"/>
      <c r="AQ5" s="11"/>
      <c r="AR5" s="11"/>
      <c r="AS5" s="11"/>
      <c r="AT5" s="11"/>
      <c r="AU5" s="11"/>
      <c r="AV5" s="11"/>
      <c r="AW5" s="11"/>
      <c r="AX5" s="11"/>
      <c r="AY5" s="11"/>
      <c r="AZ5" s="11"/>
      <c r="BA5" s="11"/>
      <c r="BB5" s="11"/>
      <c r="BC5" s="11"/>
      <c r="BD5" s="11"/>
      <c r="BE5" s="11"/>
      <c r="BF5" s="11"/>
      <c r="BG5" s="11"/>
      <c r="BH5" s="11"/>
      <c r="BI5" s="11"/>
      <c r="BJ5" s="11"/>
      <c r="BK5" s="11"/>
      <c r="BL5" s="11"/>
      <c r="BM5" s="11"/>
      <c r="BN5" s="11"/>
      <c r="BO5" s="11"/>
      <c r="BP5" s="11"/>
      <c r="BQ5" s="11"/>
      <c r="BS5" s="11"/>
      <c r="BT5" s="11"/>
      <c r="BU5" s="11"/>
      <c r="BV5" s="11"/>
      <c r="BW5" s="11"/>
      <c r="BX5" s="11"/>
      <c r="BY5" s="11"/>
      <c r="BZ5" s="11"/>
      <c r="CA5" s="11"/>
      <c r="CB5" s="11"/>
      <c r="CC5" s="11"/>
      <c r="CD5" s="11"/>
      <c r="CE5" s="11"/>
      <c r="CF5" s="11"/>
      <c r="CG5" s="11"/>
      <c r="CH5" s="11"/>
      <c r="CI5" s="11"/>
      <c r="CJ5" s="11"/>
      <c r="CK5" s="11"/>
      <c r="CL5" s="11"/>
      <c r="CM5" s="11"/>
      <c r="CN5" s="11"/>
      <c r="CO5" s="11"/>
      <c r="CP5" s="11"/>
      <c r="CQ5" s="11"/>
      <c r="CR5" s="11"/>
    </row>
    <row r="6" spans="1:96" x14ac:dyDescent="0.2">
      <c r="L6" s="83" t="str">
        <f>'Ind T4'!A8</f>
        <v>Agriculture</v>
      </c>
      <c r="M6" s="11">
        <v>3.469000000000003</v>
      </c>
      <c r="N6" s="11">
        <v>6.1270000000000007</v>
      </c>
      <c r="O6" s="11">
        <v>2.1400000000000015</v>
      </c>
      <c r="P6" s="11">
        <v>3.1939999999999964</v>
      </c>
      <c r="Q6" s="11">
        <v>4.5760000000000023</v>
      </c>
      <c r="R6" s="11">
        <v>2.5589999999999962</v>
      </c>
      <c r="S6" s="11">
        <v>1.514999999999997</v>
      </c>
      <c r="T6" s="11">
        <v>2.8229999999999986</v>
      </c>
      <c r="U6" s="11">
        <v>3.818999999999992</v>
      </c>
      <c r="V6" s="11">
        <v>1.9729999999999996</v>
      </c>
      <c r="W6" s="11">
        <v>1.9019999999999981</v>
      </c>
      <c r="X6" s="11">
        <v>1.9169999999999989</v>
      </c>
      <c r="Y6" s="11">
        <v>1.9299999999999986</v>
      </c>
      <c r="Z6" s="11">
        <v>1.9519999999999997</v>
      </c>
      <c r="AA6" s="11">
        <v>1.965999999999998</v>
      </c>
      <c r="AB6" s="11">
        <v>1.9700000000000037</v>
      </c>
      <c r="AC6" s="11">
        <v>1.9750000000000025</v>
      </c>
      <c r="AD6" s="11">
        <v>1.9799999999999984</v>
      </c>
      <c r="AE6" s="11">
        <v>1.9850000000000008</v>
      </c>
      <c r="AF6" s="11">
        <v>1.9890000000000003</v>
      </c>
      <c r="AG6" s="11">
        <v>1.9960000000000029</v>
      </c>
      <c r="AH6" s="11">
        <v>2.0020000000000033</v>
      </c>
      <c r="AI6" s="11">
        <v>2.0080000000000009</v>
      </c>
      <c r="AJ6" s="11">
        <v>2.0140000000000033</v>
      </c>
      <c r="AK6" s="172">
        <v>2.0199999999999987</v>
      </c>
      <c r="AL6" s="11">
        <v>2.025000000000003</v>
      </c>
      <c r="AM6" s="11"/>
      <c r="AN6" s="11"/>
      <c r="AO6" s="11"/>
      <c r="AP6" s="11"/>
      <c r="AQ6" s="11"/>
      <c r="AR6" s="11"/>
      <c r="AS6" s="11"/>
      <c r="AT6" s="11"/>
      <c r="AU6" s="11"/>
      <c r="AV6" s="11"/>
      <c r="AW6" s="11"/>
      <c r="AX6" s="11"/>
      <c r="AY6" s="11"/>
      <c r="AZ6" s="11"/>
      <c r="BA6" s="11"/>
      <c r="BB6" s="11"/>
      <c r="BC6" s="11"/>
      <c r="BD6" s="11"/>
      <c r="BE6" s="11"/>
      <c r="BF6" s="11"/>
      <c r="BG6" s="11"/>
      <c r="BH6" s="11"/>
      <c r="BI6" s="11"/>
      <c r="BJ6" s="11"/>
      <c r="BK6" s="11"/>
      <c r="BL6" s="11"/>
      <c r="BM6" s="11"/>
      <c r="BN6" s="11"/>
      <c r="BO6" s="11"/>
      <c r="BP6" s="11"/>
      <c r="BQ6" s="11"/>
      <c r="BS6" s="11"/>
      <c r="BT6" s="11"/>
      <c r="BU6" s="11"/>
      <c r="BV6" s="11"/>
      <c r="BW6" s="11"/>
      <c r="BX6" s="11"/>
      <c r="BY6" s="11"/>
      <c r="BZ6" s="11"/>
      <c r="CA6" s="11"/>
      <c r="CB6" s="11"/>
      <c r="CC6" s="11"/>
      <c r="CD6" s="11"/>
      <c r="CE6" s="11"/>
      <c r="CF6" s="11"/>
      <c r="CG6" s="11"/>
      <c r="CH6" s="11"/>
      <c r="CI6" s="11"/>
      <c r="CJ6" s="11"/>
      <c r="CK6" s="11"/>
      <c r="CL6" s="11"/>
      <c r="CM6" s="11"/>
      <c r="CN6" s="11"/>
      <c r="CO6" s="11"/>
      <c r="CP6" s="11"/>
      <c r="CQ6" s="11"/>
      <c r="CR6" s="11"/>
    </row>
    <row r="7" spans="1:96" x14ac:dyDescent="0.2">
      <c r="L7" s="83" t="str">
        <f>'Ind T4'!A9</f>
        <v>Mining and quarrying</v>
      </c>
      <c r="M7" s="11">
        <v>0.70200000000000029</v>
      </c>
      <c r="N7" s="11">
        <v>0.61799999999999777</v>
      </c>
      <c r="O7" s="11">
        <v>0.52199999999999913</v>
      </c>
      <c r="P7" s="11">
        <v>0.49799999999999867</v>
      </c>
      <c r="Q7" s="11">
        <v>0.25500000000000023</v>
      </c>
      <c r="R7" s="11">
        <v>0.25900000000000067</v>
      </c>
      <c r="S7" s="11">
        <v>0.6389999999999989</v>
      </c>
      <c r="T7" s="11">
        <v>0.28600000000000059</v>
      </c>
      <c r="U7" s="11">
        <v>0.34900000000000031</v>
      </c>
      <c r="V7" s="11">
        <v>0.38199999999999923</v>
      </c>
      <c r="W7" s="11">
        <v>0.46699999999999953</v>
      </c>
      <c r="X7" s="11">
        <v>0.45500000000000079</v>
      </c>
      <c r="Y7" s="11">
        <v>0.45099999999999996</v>
      </c>
      <c r="Z7" s="11">
        <v>0.43899999999999884</v>
      </c>
      <c r="AA7" s="11">
        <v>0.42600000000000082</v>
      </c>
      <c r="AB7" s="11">
        <v>0.4160000000000007</v>
      </c>
      <c r="AC7" s="11">
        <v>0.41000000000000053</v>
      </c>
      <c r="AD7" s="11">
        <v>0.40300000000000014</v>
      </c>
      <c r="AE7" s="11">
        <v>0.39799999999999996</v>
      </c>
      <c r="AF7" s="11">
        <v>0.39199999999999952</v>
      </c>
      <c r="AG7" s="11">
        <v>0.3879999999999984</v>
      </c>
      <c r="AH7" s="11">
        <v>0.38300000000000006</v>
      </c>
      <c r="AI7" s="11">
        <v>0.37900000000000011</v>
      </c>
      <c r="AJ7" s="11">
        <v>0.37399999999999989</v>
      </c>
      <c r="AK7" s="172">
        <v>0.37099999999999944</v>
      </c>
      <c r="AL7" s="11">
        <v>0.36699999999999977</v>
      </c>
      <c r="AM7" s="11"/>
      <c r="AN7" s="11"/>
      <c r="AO7" s="11"/>
      <c r="AP7" s="11"/>
      <c r="AQ7" s="11"/>
      <c r="AR7" s="11"/>
      <c r="AS7" s="11"/>
      <c r="AT7" s="11"/>
      <c r="AU7" s="11"/>
      <c r="AV7" s="11"/>
      <c r="AW7" s="11"/>
      <c r="AX7" s="11"/>
      <c r="AY7" s="11"/>
      <c r="AZ7" s="11"/>
      <c r="BA7" s="11"/>
      <c r="BB7" s="11"/>
      <c r="BC7" s="11"/>
      <c r="BD7" s="11"/>
      <c r="BE7" s="11"/>
      <c r="BF7" s="11"/>
      <c r="BG7" s="11"/>
      <c r="BH7" s="11"/>
      <c r="BI7" s="11"/>
      <c r="BJ7" s="11"/>
      <c r="BK7" s="11"/>
      <c r="BL7" s="11"/>
      <c r="BM7" s="11"/>
      <c r="BN7" s="11"/>
      <c r="BO7" s="11"/>
      <c r="BP7" s="11"/>
      <c r="BQ7" s="11"/>
      <c r="BS7" s="11"/>
      <c r="BT7" s="11"/>
      <c r="BU7" s="11"/>
      <c r="BV7" s="11"/>
      <c r="BW7" s="11"/>
      <c r="BX7" s="11"/>
      <c r="BY7" s="11"/>
      <c r="BZ7" s="11"/>
      <c r="CA7" s="11"/>
      <c r="CB7" s="11"/>
      <c r="CC7" s="11"/>
      <c r="CD7" s="11"/>
      <c r="CE7" s="11"/>
      <c r="CF7" s="11"/>
      <c r="CG7" s="11"/>
      <c r="CH7" s="11"/>
      <c r="CI7" s="11"/>
      <c r="CJ7" s="11"/>
      <c r="CK7" s="11"/>
      <c r="CL7" s="11"/>
      <c r="CM7" s="11"/>
      <c r="CN7" s="11"/>
      <c r="CO7" s="11"/>
      <c r="CP7" s="11"/>
      <c r="CQ7" s="11"/>
      <c r="CR7" s="11"/>
    </row>
    <row r="8" spans="1:96" x14ac:dyDescent="0.2">
      <c r="L8" s="83" t="str">
        <f>'Ind T4'!A10</f>
        <v>Electricity and gas</v>
      </c>
      <c r="M8" s="11">
        <v>4.3660000000000077</v>
      </c>
      <c r="N8" s="11">
        <v>3.6390000000000033</v>
      </c>
      <c r="O8" s="11">
        <v>5.5129999999999919</v>
      </c>
      <c r="P8" s="11">
        <v>5.6320000000000006</v>
      </c>
      <c r="Q8" s="11">
        <v>3.9609999999999945</v>
      </c>
      <c r="R8" s="11">
        <v>2.7310000000000025</v>
      </c>
      <c r="S8" s="11">
        <v>2.6430000000000033</v>
      </c>
      <c r="T8" s="11">
        <v>4.3110000000000035</v>
      </c>
      <c r="U8" s="11">
        <v>3.4450000000000012</v>
      </c>
      <c r="V8" s="11">
        <v>5.5930000000000026</v>
      </c>
      <c r="W8" s="11">
        <v>5.8249999999999913</v>
      </c>
      <c r="X8" s="11">
        <v>5.8260000000000076</v>
      </c>
      <c r="Y8" s="11">
        <v>5.7470000000000008</v>
      </c>
      <c r="Z8" s="11">
        <v>5.7309999999999865</v>
      </c>
      <c r="AA8" s="11">
        <v>5.7379999999999987</v>
      </c>
      <c r="AB8" s="11">
        <v>5.740999999999989</v>
      </c>
      <c r="AC8" s="11">
        <v>5.7419999999999938</v>
      </c>
      <c r="AD8" s="11">
        <v>5.747999999999994</v>
      </c>
      <c r="AE8" s="11">
        <v>5.7549999999999857</v>
      </c>
      <c r="AF8" s="11">
        <v>5.7640000000000056</v>
      </c>
      <c r="AG8" s="11">
        <v>5.7779999999999969</v>
      </c>
      <c r="AH8" s="11">
        <v>5.793999999999988</v>
      </c>
      <c r="AI8" s="11">
        <v>5.8099999999999952</v>
      </c>
      <c r="AJ8" s="11">
        <v>5.827999999999987</v>
      </c>
      <c r="AK8" s="172">
        <v>5.8470000000000004</v>
      </c>
      <c r="AL8" s="11">
        <v>5.8660000000000023</v>
      </c>
      <c r="AM8" s="11"/>
      <c r="AN8" s="11"/>
      <c r="AO8" s="11"/>
      <c r="AP8" s="11"/>
      <c r="AQ8" s="11"/>
      <c r="AR8" s="11"/>
      <c r="AS8" s="11"/>
      <c r="AT8" s="11"/>
      <c r="AU8" s="11"/>
      <c r="AV8" s="11"/>
      <c r="AW8" s="11"/>
      <c r="AX8" s="11"/>
      <c r="AY8" s="11"/>
      <c r="AZ8" s="11"/>
      <c r="BA8" s="11"/>
      <c r="BB8" s="11"/>
      <c r="BC8" s="11"/>
      <c r="BD8" s="11"/>
      <c r="BE8" s="11"/>
      <c r="BF8" s="11"/>
      <c r="BG8" s="11"/>
      <c r="BH8" s="11"/>
      <c r="BI8" s="11"/>
      <c r="BJ8" s="11"/>
      <c r="BK8" s="11"/>
      <c r="BL8" s="11"/>
      <c r="BM8" s="11"/>
      <c r="BN8" s="11"/>
      <c r="BO8" s="11"/>
      <c r="BP8" s="11"/>
      <c r="BQ8" s="11"/>
      <c r="BS8" s="11"/>
      <c r="BT8" s="11"/>
      <c r="BU8" s="11"/>
      <c r="BV8" s="11"/>
      <c r="BW8" s="11"/>
      <c r="BX8" s="11"/>
      <c r="BY8" s="11"/>
      <c r="BZ8" s="11"/>
      <c r="CA8" s="11"/>
      <c r="CB8" s="11"/>
      <c r="CC8" s="11"/>
      <c r="CD8" s="11"/>
      <c r="CE8" s="11"/>
      <c r="CF8" s="11"/>
      <c r="CG8" s="11"/>
      <c r="CH8" s="11"/>
      <c r="CI8" s="11"/>
      <c r="CJ8" s="11"/>
      <c r="CK8" s="11"/>
      <c r="CL8" s="11"/>
      <c r="CM8" s="11"/>
      <c r="CN8" s="11"/>
      <c r="CO8" s="11"/>
      <c r="CP8" s="11"/>
      <c r="CQ8" s="11"/>
      <c r="CR8" s="11"/>
    </row>
    <row r="9" spans="1:96" x14ac:dyDescent="0.2">
      <c r="L9" s="83" t="str">
        <f>'Ind T4'!A11</f>
        <v>Water and sewerage</v>
      </c>
      <c r="M9" s="11">
        <v>2.2900000000000023</v>
      </c>
      <c r="N9" s="11">
        <v>3.0980000000000008</v>
      </c>
      <c r="O9" s="11">
        <v>2.9230000000000063</v>
      </c>
      <c r="P9" s="11">
        <v>2.554000000000006</v>
      </c>
      <c r="Q9" s="11">
        <v>2.7170000000000014</v>
      </c>
      <c r="R9" s="11">
        <v>2.8409999999999953</v>
      </c>
      <c r="S9" s="11">
        <v>2.6950000000000056</v>
      </c>
      <c r="T9" s="11">
        <v>3.6899999999999982</v>
      </c>
      <c r="U9" s="11">
        <v>4.6510000000000042</v>
      </c>
      <c r="V9" s="11">
        <v>3.1260000000000017</v>
      </c>
      <c r="W9" s="11">
        <v>3.5420000000000074</v>
      </c>
      <c r="X9" s="11">
        <v>3.4650000000000012</v>
      </c>
      <c r="Y9" s="11">
        <v>3.4370000000000118</v>
      </c>
      <c r="Z9" s="11">
        <v>3.4460000000000037</v>
      </c>
      <c r="AA9" s="11">
        <v>3.5330000000000044</v>
      </c>
      <c r="AB9" s="11">
        <v>3.5780000000000012</v>
      </c>
      <c r="AC9" s="11">
        <v>3.6079999999999992</v>
      </c>
      <c r="AD9" s="11">
        <v>3.6239999999999997</v>
      </c>
      <c r="AE9" s="11">
        <v>3.6310000000000007</v>
      </c>
      <c r="AF9" s="11">
        <v>3.6320000000000059</v>
      </c>
      <c r="AG9" s="11">
        <v>3.6300000000000017</v>
      </c>
      <c r="AH9" s="11">
        <v>3.6260000000000003</v>
      </c>
      <c r="AI9" s="11">
        <v>3.6210000000000018</v>
      </c>
      <c r="AJ9" s="11">
        <v>3.6140000000000012</v>
      </c>
      <c r="AK9" s="172">
        <v>3.6069999999999949</v>
      </c>
      <c r="AL9" s="11">
        <v>3.6000000000000028</v>
      </c>
      <c r="AM9" s="11"/>
      <c r="AN9" s="11"/>
      <c r="AO9" s="11"/>
      <c r="AP9" s="11"/>
      <c r="AQ9" s="11"/>
      <c r="AR9" s="11"/>
      <c r="AS9" s="11"/>
      <c r="AT9" s="11"/>
      <c r="AU9" s="11"/>
      <c r="AV9" s="11"/>
      <c r="AW9" s="11"/>
      <c r="AX9" s="11"/>
      <c r="AY9" s="11"/>
      <c r="AZ9" s="11"/>
      <c r="BA9" s="11"/>
      <c r="BB9" s="11"/>
      <c r="BC9" s="11"/>
      <c r="BD9" s="11"/>
      <c r="BE9" s="11"/>
      <c r="BF9" s="11"/>
      <c r="BG9" s="11"/>
      <c r="BH9" s="11"/>
      <c r="BI9" s="11"/>
      <c r="BJ9" s="11"/>
      <c r="BK9" s="11"/>
      <c r="BL9" s="11"/>
      <c r="BM9" s="11"/>
      <c r="BN9" s="11"/>
      <c r="BO9" s="11"/>
      <c r="BP9" s="11"/>
      <c r="BQ9" s="11"/>
      <c r="BS9" s="11"/>
      <c r="BT9" s="11"/>
      <c r="BU9" s="11"/>
      <c r="BV9" s="11"/>
      <c r="BW9" s="11"/>
      <c r="BX9" s="11"/>
      <c r="BY9" s="11"/>
      <c r="BZ9" s="11"/>
      <c r="CA9" s="11"/>
      <c r="CB9" s="11"/>
      <c r="CC9" s="11"/>
      <c r="CD9" s="11"/>
      <c r="CE9" s="11"/>
      <c r="CF9" s="11"/>
      <c r="CG9" s="11"/>
      <c r="CH9" s="11"/>
      <c r="CI9" s="11"/>
      <c r="CJ9" s="11"/>
      <c r="CK9" s="11"/>
      <c r="CL9" s="11"/>
      <c r="CM9" s="11"/>
      <c r="CN9" s="11"/>
      <c r="CO9" s="11"/>
      <c r="CP9" s="11"/>
      <c r="CQ9" s="11"/>
      <c r="CR9" s="11"/>
    </row>
    <row r="10" spans="1:96" x14ac:dyDescent="0.2">
      <c r="L10" s="13"/>
      <c r="AK10" s="172"/>
      <c r="AP10" s="11"/>
      <c r="BF10" s="11"/>
      <c r="BG10" s="11"/>
      <c r="BH10" s="11"/>
      <c r="BI10" s="11"/>
      <c r="BJ10" s="11"/>
      <c r="BK10" s="11"/>
      <c r="BL10" s="11"/>
      <c r="BM10" s="11"/>
      <c r="BN10" s="11"/>
      <c r="BO10" s="11"/>
      <c r="BP10" s="11"/>
      <c r="BQ10" s="11"/>
      <c r="BS10" s="11"/>
      <c r="BT10" s="11"/>
      <c r="BU10" s="11"/>
      <c r="BV10" s="11"/>
      <c r="BW10" s="11"/>
      <c r="BX10" s="11"/>
      <c r="BY10" s="11"/>
      <c r="BZ10" s="11"/>
      <c r="CA10" s="11"/>
      <c r="CB10" s="11"/>
      <c r="CC10" s="11"/>
      <c r="CD10" s="11"/>
      <c r="CE10" s="11"/>
      <c r="CF10" s="11"/>
      <c r="CG10" s="11"/>
      <c r="CH10" s="11"/>
      <c r="CI10" s="11"/>
      <c r="CJ10" s="11"/>
      <c r="CK10" s="11"/>
      <c r="CL10" s="11"/>
      <c r="CM10" s="11"/>
      <c r="CN10" s="11"/>
      <c r="CO10" s="11"/>
      <c r="CP10" s="11"/>
      <c r="CQ10" s="11"/>
      <c r="CR10" s="11"/>
    </row>
    <row r="11" spans="1:96" x14ac:dyDescent="0.2">
      <c r="L11" s="1" t="str">
        <f>'Ind T4'!A13</f>
        <v>Manufacturing</v>
      </c>
      <c r="M11" s="11">
        <f t="shared" ref="M11:Q11" si="2">SUM(M12:M14)</f>
        <v>58.747999999999962</v>
      </c>
      <c r="N11" s="11">
        <f t="shared" si="2"/>
        <v>59.800999999999959</v>
      </c>
      <c r="O11" s="11">
        <f t="shared" si="2"/>
        <v>59.235999999999983</v>
      </c>
      <c r="P11" s="11">
        <f t="shared" si="2"/>
        <v>61.00500000000001</v>
      </c>
      <c r="Q11" s="11">
        <f t="shared" si="2"/>
        <v>60.708999999999776</v>
      </c>
      <c r="R11" s="11">
        <f t="shared" ref="R11" si="3">SUM(R12:R14)</f>
        <v>64.017999999999873</v>
      </c>
      <c r="S11" s="11">
        <f t="shared" ref="S11" si="4">SUM(S12:S14)</f>
        <v>62.06999999999973</v>
      </c>
      <c r="T11" s="11">
        <f t="shared" ref="T11" si="5">SUM(T12:T14)</f>
        <v>67.900000000000034</v>
      </c>
      <c r="U11" s="11">
        <f t="shared" ref="U11" si="6">SUM(U12:U14)</f>
        <v>67.965999999999823</v>
      </c>
      <c r="V11" s="11">
        <f t="shared" ref="V11" si="7">SUM(V12:V14)</f>
        <v>59.384999999999913</v>
      </c>
      <c r="W11" s="11">
        <f t="shared" ref="W11" si="8">SUM(W12:W14)</f>
        <v>55.156999999999897</v>
      </c>
      <c r="X11" s="11">
        <f t="shared" ref="X11" si="9">SUM(X12:X14)</f>
        <v>55.766999999999932</v>
      </c>
      <c r="Y11" s="11">
        <f t="shared" ref="Y11" si="10">SUM(Y12:Y14)</f>
        <v>55.143000000000221</v>
      </c>
      <c r="Z11" s="11">
        <f t="shared" ref="Z11" si="11">SUM(Z12:Z14)</f>
        <v>54.805000000000092</v>
      </c>
      <c r="AA11" s="11">
        <f t="shared" ref="AA11" si="12">SUM(AA12:AA14)</f>
        <v>54.447000000000067</v>
      </c>
      <c r="AB11" s="11">
        <f t="shared" ref="AB11" si="13">SUM(AB12:AB14)</f>
        <v>53.937999999999917</v>
      </c>
      <c r="AC11" s="11">
        <f t="shared" ref="AC11" si="14">SUM(AC12:AC14)</f>
        <v>53.385999999999939</v>
      </c>
      <c r="AD11" s="11">
        <f>SUM(AD12:AD14)</f>
        <v>52.827000000000112</v>
      </c>
      <c r="AE11" s="11">
        <f t="shared" ref="AE11" si="15">SUM(AE12:AE14)</f>
        <v>52.286000000000058</v>
      </c>
      <c r="AF11" s="11">
        <f t="shared" ref="AF11" si="16">SUM(AF12:AF14)</f>
        <v>51.763000000000083</v>
      </c>
      <c r="AG11" s="11">
        <f t="shared" ref="AG11:AL11" si="17">SUM(AG12:AG14)</f>
        <v>51.300000000000011</v>
      </c>
      <c r="AH11" s="11">
        <f t="shared" si="17"/>
        <v>50.822000000000031</v>
      </c>
      <c r="AI11" s="11">
        <f t="shared" si="17"/>
        <v>50.359999999999985</v>
      </c>
      <c r="AJ11" s="11">
        <f t="shared" si="17"/>
        <v>49.910000000000153</v>
      </c>
      <c r="AK11" s="11">
        <f t="shared" si="17"/>
        <v>49.474000000000025</v>
      </c>
      <c r="AL11" s="11">
        <f t="shared" si="17"/>
        <v>49.054999999999957</v>
      </c>
      <c r="AM11" s="11"/>
      <c r="AN11" s="11"/>
      <c r="AO11" s="11"/>
      <c r="AP11" s="11"/>
      <c r="AQ11" s="11"/>
      <c r="AR11" s="11"/>
      <c r="AS11" s="11"/>
      <c r="AT11" s="11"/>
      <c r="AU11" s="11"/>
      <c r="AV11" s="11"/>
      <c r="AW11" s="11"/>
      <c r="AX11" s="11"/>
      <c r="AY11" s="11"/>
      <c r="AZ11" s="11"/>
      <c r="BA11" s="11"/>
      <c r="BB11" s="11"/>
      <c r="BC11" s="11"/>
      <c r="BD11" s="11"/>
      <c r="BE11" s="11"/>
      <c r="BF11" s="11"/>
      <c r="BG11" s="11"/>
      <c r="BH11" s="11"/>
      <c r="BI11" s="11"/>
      <c r="BJ11" s="11"/>
      <c r="BK11" s="11"/>
      <c r="BL11" s="11"/>
      <c r="BM11" s="11"/>
      <c r="BN11" s="11"/>
      <c r="BO11" s="11"/>
      <c r="BP11" s="11"/>
      <c r="BQ11" s="11"/>
      <c r="BS11" s="11"/>
      <c r="BT11" s="11"/>
      <c r="BU11" s="11"/>
      <c r="BV11" s="11"/>
      <c r="BW11" s="11"/>
      <c r="BX11" s="11"/>
      <c r="BY11" s="11"/>
      <c r="BZ11" s="11"/>
      <c r="CA11" s="11"/>
      <c r="CB11" s="11"/>
      <c r="CC11" s="11"/>
      <c r="CD11" s="11"/>
      <c r="CE11" s="11"/>
      <c r="CF11" s="11"/>
      <c r="CG11" s="11"/>
      <c r="CH11" s="11"/>
      <c r="CI11" s="11"/>
      <c r="CJ11" s="11"/>
      <c r="CK11" s="11"/>
      <c r="CL11" s="11"/>
      <c r="CM11" s="11"/>
      <c r="CN11" s="11"/>
      <c r="CO11" s="11"/>
      <c r="CP11" s="11"/>
      <c r="CQ11" s="11"/>
      <c r="CR11" s="11"/>
    </row>
    <row r="12" spans="1:96" x14ac:dyDescent="0.2">
      <c r="L12" s="83" t="str">
        <f>'Ind T4'!A14</f>
        <v>Food drink and tobacco</v>
      </c>
      <c r="M12" s="11">
        <v>5.8859999999999841</v>
      </c>
      <c r="N12" s="11">
        <v>5.1229999999999833</v>
      </c>
      <c r="O12" s="11">
        <v>4.8090000000000082</v>
      </c>
      <c r="P12" s="11">
        <v>4.3009999999999975</v>
      </c>
      <c r="Q12" s="11">
        <v>4.502999999999985</v>
      </c>
      <c r="R12" s="11">
        <v>4.0409999999999942</v>
      </c>
      <c r="S12" s="11">
        <v>4.626000000000003</v>
      </c>
      <c r="T12" s="11">
        <v>4.2979999999999965</v>
      </c>
      <c r="U12" s="11">
        <v>6.3509999999999902</v>
      </c>
      <c r="V12" s="11">
        <v>4.6129999999999987</v>
      </c>
      <c r="W12" s="11">
        <v>4.4239999999999942</v>
      </c>
      <c r="X12" s="11">
        <v>4.4290000000000074</v>
      </c>
      <c r="Y12" s="11">
        <v>4.4380000000000095</v>
      </c>
      <c r="Z12" s="11">
        <v>4.4720000000000004</v>
      </c>
      <c r="AA12" s="11">
        <v>4.4739999999999931</v>
      </c>
      <c r="AB12" s="11">
        <v>4.4560000000000102</v>
      </c>
      <c r="AC12" s="11">
        <v>4.4490000000000016</v>
      </c>
      <c r="AD12" s="11">
        <v>4.4389999999999938</v>
      </c>
      <c r="AE12" s="11">
        <v>4.426000000000001</v>
      </c>
      <c r="AF12" s="11">
        <v>4.4129999999999869</v>
      </c>
      <c r="AG12" s="11">
        <v>4.3999999999999968</v>
      </c>
      <c r="AH12" s="11">
        <v>4.3869999999999933</v>
      </c>
      <c r="AI12" s="11">
        <v>4.3740000000000059</v>
      </c>
      <c r="AJ12" s="11">
        <v>4.3589999999999982</v>
      </c>
      <c r="AK12" s="172">
        <v>4.3450000000000051</v>
      </c>
      <c r="AL12" s="11">
        <v>4.328999999999998</v>
      </c>
      <c r="AM12" s="11"/>
      <c r="AN12" s="11"/>
      <c r="AO12" s="11"/>
      <c r="AP12" s="11"/>
      <c r="AQ12" s="11"/>
      <c r="AR12" s="11"/>
      <c r="AS12" s="11"/>
      <c r="AT12" s="11"/>
      <c r="AU12" s="11"/>
      <c r="AV12" s="11"/>
      <c r="AW12" s="11"/>
      <c r="AX12" s="11"/>
      <c r="AY12" s="11"/>
      <c r="AZ12" s="11"/>
      <c r="BA12" s="11"/>
      <c r="BB12" s="11"/>
      <c r="BC12" s="11"/>
      <c r="BD12" s="11"/>
      <c r="BE12" s="11"/>
      <c r="BF12" s="11"/>
      <c r="BG12" s="11"/>
      <c r="BH12" s="11"/>
      <c r="BI12" s="11"/>
      <c r="BJ12" s="11"/>
      <c r="BK12" s="11"/>
      <c r="BL12" s="11"/>
      <c r="BM12" s="11"/>
      <c r="BN12" s="11"/>
      <c r="BO12" s="11"/>
      <c r="BP12" s="11"/>
      <c r="BQ12" s="11"/>
      <c r="BS12" s="11"/>
      <c r="BT12" s="11"/>
      <c r="BU12" s="11"/>
      <c r="BV12" s="11"/>
      <c r="BW12" s="11"/>
      <c r="BX12" s="11"/>
      <c r="BY12" s="11"/>
      <c r="BZ12" s="11"/>
      <c r="CA12" s="11"/>
      <c r="CB12" s="11"/>
      <c r="CC12" s="11"/>
      <c r="CD12" s="11"/>
      <c r="CE12" s="11"/>
      <c r="CF12" s="11"/>
      <c r="CG12" s="11"/>
      <c r="CH12" s="11"/>
      <c r="CI12" s="11"/>
      <c r="CJ12" s="11"/>
      <c r="CK12" s="11"/>
      <c r="CL12" s="11"/>
      <c r="CM12" s="11"/>
      <c r="CN12" s="11"/>
      <c r="CO12" s="11"/>
      <c r="CP12" s="11"/>
      <c r="CQ12" s="11"/>
      <c r="CR12" s="11"/>
    </row>
    <row r="13" spans="1:96" x14ac:dyDescent="0.2">
      <c r="L13" s="83" t="str">
        <f>'Ind T4'!A15</f>
        <v>Engineering</v>
      </c>
      <c r="M13" s="11">
        <v>11.901000000000019</v>
      </c>
      <c r="N13" s="11">
        <v>13.696999999999985</v>
      </c>
      <c r="O13" s="11">
        <v>13.873000000000003</v>
      </c>
      <c r="P13" s="11">
        <v>12.453000000000024</v>
      </c>
      <c r="Q13" s="11">
        <v>11.491999999999987</v>
      </c>
      <c r="R13" s="11">
        <v>11.625000000000009</v>
      </c>
      <c r="S13" s="11">
        <v>10.776999999999983</v>
      </c>
      <c r="T13" s="11">
        <v>11.606000000000011</v>
      </c>
      <c r="U13" s="11">
        <v>13.099999999999978</v>
      </c>
      <c r="V13" s="11">
        <v>11.173999999999978</v>
      </c>
      <c r="W13" s="11">
        <v>10.317999999999991</v>
      </c>
      <c r="X13" s="11">
        <v>10.682000000000018</v>
      </c>
      <c r="Y13" s="11">
        <v>10.586999999999994</v>
      </c>
      <c r="Z13" s="11">
        <v>10.596999999999971</v>
      </c>
      <c r="AA13" s="11">
        <v>10.570000000000013</v>
      </c>
      <c r="AB13" s="11">
        <v>10.549999999999999</v>
      </c>
      <c r="AC13" s="11">
        <v>10.430000000000003</v>
      </c>
      <c r="AD13" s="11">
        <v>10.309000000000026</v>
      </c>
      <c r="AE13" s="11">
        <v>10.18999999999998</v>
      </c>
      <c r="AF13" s="11">
        <v>10.07299999999999</v>
      </c>
      <c r="AG13" s="11">
        <v>9.9729999999999599</v>
      </c>
      <c r="AH13" s="11">
        <v>9.8680000000000074</v>
      </c>
      <c r="AI13" s="11">
        <v>9.7630000000000035</v>
      </c>
      <c r="AJ13" s="11">
        <v>9.6580000000000226</v>
      </c>
      <c r="AK13" s="172">
        <v>9.5530000000000133</v>
      </c>
      <c r="AL13" s="11">
        <v>9.4499999999999833</v>
      </c>
      <c r="AM13" s="11"/>
      <c r="AN13" s="11"/>
      <c r="AO13" s="11"/>
      <c r="AP13" s="11"/>
      <c r="AQ13" s="11"/>
      <c r="AR13" s="11"/>
      <c r="AS13" s="11"/>
      <c r="AT13" s="11"/>
      <c r="AU13" s="11"/>
      <c r="AV13" s="11"/>
      <c r="AW13" s="11"/>
      <c r="AX13" s="11"/>
      <c r="AY13" s="11"/>
      <c r="AZ13" s="11"/>
      <c r="BA13" s="11"/>
      <c r="BB13" s="11"/>
      <c r="BC13" s="11"/>
      <c r="BD13" s="11"/>
      <c r="BE13" s="11"/>
      <c r="BF13" s="11"/>
      <c r="BG13" s="11"/>
      <c r="BH13" s="11"/>
      <c r="BI13" s="11"/>
      <c r="BJ13" s="11"/>
      <c r="BK13" s="11"/>
      <c r="BL13" s="11"/>
      <c r="BM13" s="11"/>
      <c r="BN13" s="11"/>
      <c r="BO13" s="11"/>
      <c r="BP13" s="11"/>
      <c r="BQ13" s="11"/>
      <c r="BS13" s="11"/>
      <c r="BT13" s="11"/>
      <c r="BU13" s="11"/>
      <c r="BV13" s="11"/>
      <c r="BW13" s="11"/>
      <c r="BX13" s="11"/>
      <c r="BY13" s="11"/>
      <c r="BZ13" s="11"/>
      <c r="CA13" s="11"/>
      <c r="CB13" s="11"/>
      <c r="CC13" s="11"/>
      <c r="CD13" s="11"/>
      <c r="CE13" s="11"/>
      <c r="CF13" s="11"/>
      <c r="CG13" s="11"/>
      <c r="CH13" s="11"/>
      <c r="CI13" s="11"/>
      <c r="CJ13" s="11"/>
      <c r="CK13" s="11"/>
      <c r="CL13" s="11"/>
      <c r="CM13" s="11"/>
      <c r="CN13" s="11"/>
      <c r="CO13" s="11"/>
      <c r="CP13" s="11"/>
      <c r="CQ13" s="11"/>
      <c r="CR13" s="11"/>
    </row>
    <row r="14" spans="1:96" x14ac:dyDescent="0.2">
      <c r="L14" s="83" t="str">
        <f>'Ind T4'!A16</f>
        <v>Rest of manufacturing</v>
      </c>
      <c r="M14" s="11">
        <v>40.960999999999963</v>
      </c>
      <c r="N14" s="11">
        <v>40.980999999999995</v>
      </c>
      <c r="O14" s="11">
        <v>40.553999999999974</v>
      </c>
      <c r="P14" s="11">
        <v>44.250999999999991</v>
      </c>
      <c r="Q14" s="11">
        <v>44.7139999999998</v>
      </c>
      <c r="R14" s="11">
        <v>48.351999999999869</v>
      </c>
      <c r="S14" s="11">
        <v>46.666999999999746</v>
      </c>
      <c r="T14" s="11">
        <v>51.996000000000031</v>
      </c>
      <c r="U14" s="11">
        <v>48.514999999999858</v>
      </c>
      <c r="V14" s="11">
        <v>43.597999999999935</v>
      </c>
      <c r="W14" s="11">
        <v>40.414999999999914</v>
      </c>
      <c r="X14" s="11">
        <v>40.655999999999906</v>
      </c>
      <c r="Y14" s="11">
        <v>40.118000000000215</v>
      </c>
      <c r="Z14" s="11">
        <v>39.736000000000118</v>
      </c>
      <c r="AA14" s="11">
        <v>39.403000000000063</v>
      </c>
      <c r="AB14" s="11">
        <v>38.93199999999991</v>
      </c>
      <c r="AC14" s="11">
        <v>38.506999999999934</v>
      </c>
      <c r="AD14" s="11">
        <v>38.079000000000093</v>
      </c>
      <c r="AE14" s="11">
        <v>37.670000000000073</v>
      </c>
      <c r="AF14" s="11">
        <v>37.277000000000108</v>
      </c>
      <c r="AG14" s="11">
        <v>36.927000000000056</v>
      </c>
      <c r="AH14" s="11">
        <v>36.567000000000029</v>
      </c>
      <c r="AI14" s="11">
        <v>36.222999999999978</v>
      </c>
      <c r="AJ14" s="11">
        <v>35.893000000000129</v>
      </c>
      <c r="AK14" s="172">
        <v>35.576000000000008</v>
      </c>
      <c r="AL14" s="11">
        <v>35.275999999999975</v>
      </c>
      <c r="AM14" s="11"/>
      <c r="AN14" s="11"/>
      <c r="AO14" s="11"/>
      <c r="AP14" s="11"/>
      <c r="AQ14" s="11"/>
      <c r="AR14" s="11"/>
      <c r="AS14" s="11"/>
      <c r="AT14" s="11"/>
      <c r="AU14" s="11"/>
      <c r="AV14" s="11"/>
      <c r="AW14" s="11"/>
      <c r="AX14" s="11"/>
      <c r="AY14" s="11"/>
      <c r="AZ14" s="11"/>
      <c r="BA14" s="11"/>
      <c r="BB14" s="11"/>
      <c r="BC14" s="11"/>
      <c r="BD14" s="11"/>
      <c r="BE14" s="11"/>
      <c r="BF14" s="11"/>
      <c r="BG14" s="11"/>
      <c r="BH14" s="11"/>
      <c r="BI14" s="11"/>
      <c r="BJ14" s="11"/>
      <c r="BK14" s="11"/>
      <c r="BL14" s="11"/>
      <c r="BM14" s="11"/>
      <c r="BN14" s="11"/>
      <c r="BO14" s="11"/>
      <c r="BP14" s="11"/>
      <c r="BQ14" s="11"/>
      <c r="BS14" s="11"/>
      <c r="BT14" s="11"/>
      <c r="BU14" s="11"/>
      <c r="BV14" s="11"/>
      <c r="BW14" s="11"/>
      <c r="BX14" s="11"/>
      <c r="BY14" s="11"/>
      <c r="BZ14" s="11"/>
      <c r="CA14" s="11"/>
      <c r="CB14" s="11"/>
      <c r="CC14" s="11"/>
      <c r="CD14" s="11"/>
      <c r="CE14" s="11"/>
      <c r="CF14" s="11"/>
      <c r="CG14" s="11"/>
      <c r="CH14" s="11"/>
      <c r="CI14" s="11"/>
      <c r="CJ14" s="11"/>
      <c r="CK14" s="11"/>
      <c r="CL14" s="11"/>
      <c r="CM14" s="11"/>
      <c r="CN14" s="11"/>
      <c r="CO14" s="11"/>
      <c r="CP14" s="11"/>
      <c r="CQ14" s="11"/>
      <c r="CR14" s="11"/>
    </row>
    <row r="15" spans="1:96" x14ac:dyDescent="0.2">
      <c r="L15" s="13"/>
      <c r="AK15" s="172"/>
      <c r="AP15" s="11"/>
      <c r="BF15" s="11"/>
      <c r="BG15" s="11"/>
      <c r="BH15" s="11"/>
      <c r="BI15" s="11"/>
      <c r="BJ15" s="11"/>
      <c r="BK15" s="11"/>
      <c r="BL15" s="11"/>
      <c r="BM15" s="11"/>
      <c r="BN15" s="11"/>
      <c r="BO15" s="11"/>
      <c r="BP15" s="11"/>
      <c r="BQ15" s="11"/>
      <c r="BS15" s="11"/>
      <c r="BT15" s="11"/>
      <c r="BU15" s="11"/>
      <c r="BV15" s="11"/>
      <c r="BW15" s="11"/>
      <c r="BX15" s="11"/>
      <c r="BY15" s="11"/>
      <c r="BZ15" s="11"/>
      <c r="CA15" s="11"/>
      <c r="CB15" s="11"/>
      <c r="CC15" s="11"/>
      <c r="CD15" s="11"/>
      <c r="CE15" s="11"/>
      <c r="CF15" s="11"/>
      <c r="CG15" s="11"/>
      <c r="CH15" s="11"/>
      <c r="CI15" s="11"/>
      <c r="CJ15" s="11"/>
      <c r="CK15" s="11"/>
      <c r="CL15" s="11"/>
      <c r="CM15" s="11"/>
      <c r="CN15" s="11"/>
      <c r="CO15" s="11"/>
      <c r="CP15" s="11"/>
      <c r="CQ15" s="11"/>
      <c r="CR15" s="11"/>
    </row>
    <row r="16" spans="1:96" x14ac:dyDescent="0.2">
      <c r="L16" s="1" t="str">
        <f>'Ind T4'!A18</f>
        <v>Construction</v>
      </c>
      <c r="M16" s="11">
        <v>35.017000000000053</v>
      </c>
      <c r="N16" s="11">
        <v>32.852999999999987</v>
      </c>
      <c r="O16" s="11">
        <v>31.235999999999944</v>
      </c>
      <c r="P16" s="11">
        <v>30.245999999999967</v>
      </c>
      <c r="Q16" s="11">
        <v>28.798999999999953</v>
      </c>
      <c r="R16" s="11">
        <v>28.748999999999974</v>
      </c>
      <c r="S16" s="11">
        <v>27.629000000000016</v>
      </c>
      <c r="T16" s="11">
        <v>28.657000000000028</v>
      </c>
      <c r="U16" s="11">
        <v>32.411000000000037</v>
      </c>
      <c r="V16" s="11">
        <v>32.118000000000016</v>
      </c>
      <c r="W16" s="11">
        <v>30.615000000000023</v>
      </c>
      <c r="X16" s="11">
        <v>29.946000000000019</v>
      </c>
      <c r="Y16" s="11">
        <v>29.845000000000031</v>
      </c>
      <c r="Z16" s="11">
        <v>29.673999999999864</v>
      </c>
      <c r="AA16" s="11">
        <v>29.611000000000011</v>
      </c>
      <c r="AB16" s="11">
        <v>29.636999999999983</v>
      </c>
      <c r="AC16" s="11">
        <v>29.635000000000009</v>
      </c>
      <c r="AD16" s="11">
        <v>29.571999999999957</v>
      </c>
      <c r="AE16" s="11">
        <v>29.538000000000114</v>
      </c>
      <c r="AF16" s="11">
        <v>29.486999999999931</v>
      </c>
      <c r="AG16" s="11">
        <v>29.465000000000032</v>
      </c>
      <c r="AH16" s="11">
        <v>29.447999999999986</v>
      </c>
      <c r="AI16" s="11">
        <v>29.435000000000045</v>
      </c>
      <c r="AJ16" s="11">
        <v>29.426000000000016</v>
      </c>
      <c r="AK16" s="172">
        <v>29.417999999999978</v>
      </c>
      <c r="AL16" s="11">
        <v>29.409999999999986</v>
      </c>
      <c r="AM16" s="11"/>
      <c r="AN16" s="11"/>
      <c r="AO16" s="11"/>
      <c r="AP16" s="11"/>
      <c r="AQ16" s="11"/>
      <c r="AR16" s="11"/>
      <c r="AS16" s="11"/>
      <c r="AT16" s="11"/>
      <c r="AU16" s="11"/>
      <c r="AV16" s="11"/>
      <c r="AW16" s="11"/>
      <c r="AX16" s="11"/>
      <c r="AY16" s="11"/>
      <c r="AZ16" s="11"/>
      <c r="BA16" s="11"/>
      <c r="BB16" s="11"/>
      <c r="BC16" s="11"/>
      <c r="BD16" s="11"/>
      <c r="BE16" s="11"/>
      <c r="BF16" s="11"/>
      <c r="BG16" s="11"/>
      <c r="BH16" s="11"/>
      <c r="BI16" s="11"/>
      <c r="BJ16" s="11"/>
      <c r="BK16" s="11"/>
      <c r="BL16" s="11"/>
      <c r="BM16" s="11"/>
      <c r="BN16" s="11"/>
      <c r="BO16" s="11"/>
      <c r="BP16" s="11"/>
      <c r="BQ16" s="11"/>
      <c r="BS16" s="11"/>
      <c r="BT16" s="11"/>
      <c r="BU16" s="11"/>
      <c r="BV16" s="11"/>
      <c r="BW16" s="11"/>
      <c r="BX16" s="11"/>
      <c r="BY16" s="11"/>
      <c r="BZ16" s="11"/>
      <c r="CA16" s="11"/>
      <c r="CB16" s="11"/>
      <c r="CC16" s="11"/>
      <c r="CD16" s="11"/>
      <c r="CE16" s="11"/>
      <c r="CF16" s="11"/>
      <c r="CG16" s="11"/>
      <c r="CH16" s="11"/>
      <c r="CI16" s="11"/>
      <c r="CJ16" s="11"/>
      <c r="CK16" s="11"/>
      <c r="CL16" s="11"/>
      <c r="CM16" s="11"/>
      <c r="CN16" s="11"/>
      <c r="CO16" s="11"/>
      <c r="CP16" s="11"/>
      <c r="CQ16" s="11"/>
      <c r="CR16" s="11"/>
    </row>
    <row r="17" spans="12:96" x14ac:dyDescent="0.2">
      <c r="L17" s="13"/>
      <c r="AK17" s="172"/>
      <c r="AP17" s="11"/>
      <c r="BF17" s="11"/>
      <c r="BG17" s="11"/>
      <c r="BH17" s="11"/>
      <c r="BI17" s="11"/>
      <c r="BJ17" s="11"/>
      <c r="BK17" s="11"/>
      <c r="BL17" s="11"/>
      <c r="BM17" s="11"/>
      <c r="BN17" s="11"/>
      <c r="BO17" s="11"/>
      <c r="BP17" s="11"/>
      <c r="BQ17" s="11"/>
      <c r="BS17" s="11"/>
      <c r="BT17" s="11"/>
      <c r="BU17" s="11"/>
      <c r="BV17" s="11"/>
      <c r="BW17" s="11"/>
      <c r="BX17" s="11"/>
      <c r="BY17" s="11"/>
      <c r="BZ17" s="11"/>
      <c r="CA17" s="11"/>
      <c r="CB17" s="11"/>
      <c r="CC17" s="11"/>
      <c r="CD17" s="11"/>
      <c r="CE17" s="11"/>
      <c r="CF17" s="11"/>
      <c r="CG17" s="11"/>
      <c r="CH17" s="11"/>
      <c r="CI17" s="11"/>
      <c r="CJ17" s="11"/>
      <c r="CK17" s="11"/>
      <c r="CL17" s="11"/>
      <c r="CM17" s="11"/>
      <c r="CN17" s="11"/>
      <c r="CO17" s="11"/>
      <c r="CP17" s="11"/>
      <c r="CQ17" s="11"/>
      <c r="CR17" s="11"/>
    </row>
    <row r="18" spans="12:96" x14ac:dyDescent="0.2">
      <c r="L18" s="1" t="str">
        <f>'Ind T4'!A20</f>
        <v>Trade, accomod. and transport</v>
      </c>
      <c r="M18" s="11">
        <f>SUM(M19:M21)</f>
        <v>112.62199999999989</v>
      </c>
      <c r="N18" s="11">
        <f t="shared" ref="N18:AL18" si="18">SUM(N19:N21)</f>
        <v>119.81999999999998</v>
      </c>
      <c r="O18" s="11">
        <f t="shared" si="18"/>
        <v>111.46100000000017</v>
      </c>
      <c r="P18" s="11">
        <f t="shared" si="18"/>
        <v>119.06499999999986</v>
      </c>
      <c r="Q18" s="11">
        <f t="shared" si="18"/>
        <v>124.04499999999996</v>
      </c>
      <c r="R18" s="11">
        <f t="shared" si="18"/>
        <v>130.01699999999977</v>
      </c>
      <c r="S18" s="11">
        <f t="shared" si="18"/>
        <v>125.48299999999988</v>
      </c>
      <c r="T18" s="11">
        <f t="shared" si="18"/>
        <v>127.34000000000003</v>
      </c>
      <c r="U18" s="11">
        <f t="shared" si="18"/>
        <v>125.38700000000024</v>
      </c>
      <c r="V18" s="11">
        <f t="shared" si="18"/>
        <v>133.38300000000004</v>
      </c>
      <c r="W18" s="11">
        <f t="shared" si="18"/>
        <v>133.41199999999998</v>
      </c>
      <c r="X18" s="11">
        <f t="shared" si="18"/>
        <v>132.58899999999988</v>
      </c>
      <c r="Y18" s="11">
        <f t="shared" si="18"/>
        <v>132.55899999999997</v>
      </c>
      <c r="Z18" s="11">
        <f t="shared" si="18"/>
        <v>133.02900000000005</v>
      </c>
      <c r="AA18" s="11">
        <f t="shared" si="18"/>
        <v>133.75799999999978</v>
      </c>
      <c r="AB18" s="11">
        <f t="shared" si="18"/>
        <v>134.44699999999995</v>
      </c>
      <c r="AC18" s="11">
        <f t="shared" si="18"/>
        <v>134.98800000000003</v>
      </c>
      <c r="AD18" s="11">
        <f t="shared" si="18"/>
        <v>135.48099999999991</v>
      </c>
      <c r="AE18" s="11">
        <f t="shared" si="18"/>
        <v>135.95000000000007</v>
      </c>
      <c r="AF18" s="11">
        <f t="shared" si="18"/>
        <v>136.4070000000001</v>
      </c>
      <c r="AG18" s="11">
        <f t="shared" si="18"/>
        <v>136.87400000000017</v>
      </c>
      <c r="AH18" s="11">
        <f t="shared" si="18"/>
        <v>137.32900000000009</v>
      </c>
      <c r="AI18" s="11">
        <f t="shared" si="18"/>
        <v>137.76899999999989</v>
      </c>
      <c r="AJ18" s="11">
        <f t="shared" si="18"/>
        <v>138.23300000000006</v>
      </c>
      <c r="AK18" s="11">
        <f t="shared" si="18"/>
        <v>138.67200000000014</v>
      </c>
      <c r="AL18" s="11">
        <f t="shared" si="18"/>
        <v>139.0920000000001</v>
      </c>
      <c r="AM18" s="11"/>
      <c r="AN18" s="11"/>
      <c r="AO18" s="11"/>
      <c r="AP18" s="11"/>
      <c r="AQ18" s="11"/>
      <c r="AR18" s="11"/>
      <c r="AS18" s="11"/>
      <c r="AT18" s="11"/>
      <c r="AU18" s="11"/>
      <c r="AV18" s="11"/>
      <c r="AW18" s="11"/>
      <c r="AX18" s="11"/>
      <c r="AY18" s="11"/>
      <c r="AZ18" s="11"/>
      <c r="BA18" s="11"/>
      <c r="BB18" s="11"/>
      <c r="BC18" s="11"/>
      <c r="BD18" s="11"/>
      <c r="BE18" s="11"/>
      <c r="BF18" s="11"/>
      <c r="BG18" s="11"/>
      <c r="BH18" s="11"/>
      <c r="BI18" s="11"/>
      <c r="BJ18" s="11"/>
      <c r="BK18" s="11"/>
      <c r="BL18" s="11"/>
      <c r="BM18" s="11"/>
      <c r="BN18" s="11"/>
      <c r="BO18" s="11"/>
      <c r="BP18" s="11"/>
      <c r="BQ18" s="11"/>
      <c r="BS18" s="11"/>
      <c r="BT18" s="11"/>
      <c r="BU18" s="11"/>
      <c r="BV18" s="11"/>
      <c r="BW18" s="11"/>
      <c r="BX18" s="11"/>
      <c r="BY18" s="11"/>
      <c r="BZ18" s="11"/>
      <c r="CA18" s="11"/>
      <c r="CB18" s="11"/>
      <c r="CC18" s="11"/>
      <c r="CD18" s="11"/>
      <c r="CE18" s="11"/>
      <c r="CF18" s="11"/>
      <c r="CG18" s="11"/>
      <c r="CH18" s="11"/>
      <c r="CI18" s="11"/>
      <c r="CJ18" s="11"/>
      <c r="CK18" s="11"/>
      <c r="CL18" s="11"/>
      <c r="CM18" s="11"/>
      <c r="CN18" s="11"/>
      <c r="CO18" s="11"/>
      <c r="CP18" s="11"/>
      <c r="CQ18" s="11"/>
      <c r="CR18" s="11"/>
    </row>
    <row r="19" spans="12:96" x14ac:dyDescent="0.2">
      <c r="L19" s="83" t="str">
        <f>'Ind T4'!A21</f>
        <v>Wholesale and retail trade</v>
      </c>
      <c r="M19" s="11">
        <v>68.515000000000015</v>
      </c>
      <c r="N19" s="11">
        <v>67.419999999999916</v>
      </c>
      <c r="O19" s="11">
        <v>64.776000000000195</v>
      </c>
      <c r="P19" s="11">
        <v>66.855999999999867</v>
      </c>
      <c r="Q19" s="11">
        <v>75.68899999999995</v>
      </c>
      <c r="R19" s="11">
        <v>74.617999999999881</v>
      </c>
      <c r="S19" s="11">
        <v>70.554999999999936</v>
      </c>
      <c r="T19" s="11">
        <v>69.49200000000009</v>
      </c>
      <c r="U19" s="11">
        <v>66.981000000000122</v>
      </c>
      <c r="V19" s="11">
        <v>71.895000000000067</v>
      </c>
      <c r="W19" s="11">
        <v>72.056999999999917</v>
      </c>
      <c r="X19" s="11">
        <v>71.638999999999854</v>
      </c>
      <c r="Y19" s="11">
        <v>71.380999999999986</v>
      </c>
      <c r="Z19" s="11">
        <v>71.361000000000089</v>
      </c>
      <c r="AA19" s="11">
        <v>71.369999999999791</v>
      </c>
      <c r="AB19" s="11">
        <v>71.422999999999917</v>
      </c>
      <c r="AC19" s="11">
        <v>71.440999999999988</v>
      </c>
      <c r="AD19" s="11">
        <v>71.451999999999799</v>
      </c>
      <c r="AE19" s="11">
        <v>71.461000000000055</v>
      </c>
      <c r="AF19" s="11">
        <v>71.472000000000094</v>
      </c>
      <c r="AG19" s="11">
        <v>71.494000000000128</v>
      </c>
      <c r="AH19" s="11">
        <v>71.522000000000006</v>
      </c>
      <c r="AI19" s="11">
        <v>71.547999999999902</v>
      </c>
      <c r="AJ19" s="11">
        <v>71.611000000000047</v>
      </c>
      <c r="AK19" s="172">
        <v>71.667000000000073</v>
      </c>
      <c r="AL19" s="11">
        <v>71.717000000000127</v>
      </c>
      <c r="AM19" s="11"/>
      <c r="AN19" s="11"/>
      <c r="AO19" s="11"/>
      <c r="AP19" s="11"/>
      <c r="AQ19" s="11"/>
      <c r="AR19" s="11"/>
      <c r="AS19" s="11"/>
      <c r="AT19" s="11"/>
      <c r="AU19" s="11"/>
      <c r="AV19" s="11"/>
      <c r="AW19" s="11"/>
      <c r="AX19" s="11"/>
      <c r="AY19" s="11"/>
      <c r="AZ19" s="11"/>
      <c r="BA19" s="11"/>
      <c r="BB19" s="11"/>
      <c r="BC19" s="11"/>
      <c r="BD19" s="11"/>
      <c r="BE19" s="11"/>
      <c r="BF19" s="11"/>
      <c r="BG19" s="11"/>
      <c r="BH19" s="11"/>
      <c r="BI19" s="11"/>
      <c r="BJ19" s="11"/>
      <c r="BK19" s="11"/>
      <c r="BL19" s="11"/>
      <c r="BM19" s="11"/>
      <c r="BN19" s="11"/>
      <c r="BO19" s="11"/>
      <c r="BP19" s="11"/>
      <c r="BQ19" s="11"/>
      <c r="BS19" s="11"/>
      <c r="BT19" s="11"/>
      <c r="BU19" s="11"/>
      <c r="BV19" s="11"/>
      <c r="BW19" s="11"/>
      <c r="BX19" s="11"/>
      <c r="BY19" s="11"/>
      <c r="BZ19" s="11"/>
      <c r="CA19" s="11"/>
      <c r="CB19" s="11"/>
      <c r="CC19" s="11"/>
      <c r="CD19" s="11"/>
      <c r="CE19" s="11"/>
      <c r="CF19" s="11"/>
      <c r="CG19" s="11"/>
      <c r="CH19" s="11"/>
      <c r="CI19" s="11"/>
      <c r="CJ19" s="11"/>
      <c r="CK19" s="11"/>
      <c r="CL19" s="11"/>
      <c r="CM19" s="11"/>
      <c r="CN19" s="11"/>
      <c r="CO19" s="11"/>
      <c r="CP19" s="11"/>
      <c r="CQ19" s="11"/>
      <c r="CR19" s="11"/>
    </row>
    <row r="20" spans="12:96" x14ac:dyDescent="0.2">
      <c r="L20" s="83" t="str">
        <f>'Ind T4'!A22</f>
        <v>Transport and storage</v>
      </c>
      <c r="M20" s="11">
        <v>17.201999999999916</v>
      </c>
      <c r="N20" s="11">
        <v>23.583000000000037</v>
      </c>
      <c r="O20" s="11">
        <v>19.362999999999928</v>
      </c>
      <c r="P20" s="11">
        <v>21.732999999999993</v>
      </c>
      <c r="Q20" s="11">
        <v>21.475000000000005</v>
      </c>
      <c r="R20" s="11">
        <v>22.279999999999951</v>
      </c>
      <c r="S20" s="11">
        <v>23.06499999999993</v>
      </c>
      <c r="T20" s="11">
        <v>23.218999999999991</v>
      </c>
      <c r="U20" s="11">
        <v>29.123000000000072</v>
      </c>
      <c r="V20" s="11">
        <v>26.582999999999938</v>
      </c>
      <c r="W20" s="11">
        <v>27.424000000000007</v>
      </c>
      <c r="X20" s="11">
        <v>28.239000000000019</v>
      </c>
      <c r="Y20" s="11">
        <v>28.166999999999987</v>
      </c>
      <c r="Z20" s="11">
        <v>28.13199999999998</v>
      </c>
      <c r="AA20" s="11">
        <v>28.197999999999983</v>
      </c>
      <c r="AB20" s="11">
        <v>28.243000000000062</v>
      </c>
      <c r="AC20" s="11">
        <v>28.252000000000042</v>
      </c>
      <c r="AD20" s="11">
        <v>28.258000000000102</v>
      </c>
      <c r="AE20" s="11">
        <v>28.263000000000048</v>
      </c>
      <c r="AF20" s="11">
        <v>28.268000000000011</v>
      </c>
      <c r="AG20" s="11">
        <v>28.278000000000027</v>
      </c>
      <c r="AH20" s="11">
        <v>28.282000000000021</v>
      </c>
      <c r="AI20" s="11">
        <v>28.28499999999995</v>
      </c>
      <c r="AJ20" s="11">
        <v>28.284999999999986</v>
      </c>
      <c r="AK20" s="172">
        <v>28.283000000000012</v>
      </c>
      <c r="AL20" s="11">
        <v>28.280999999999995</v>
      </c>
      <c r="AM20" s="11"/>
      <c r="AN20" s="11"/>
      <c r="AO20" s="11"/>
      <c r="AP20" s="11"/>
      <c r="AQ20" s="11"/>
      <c r="AR20" s="11"/>
      <c r="AS20" s="11"/>
      <c r="AT20" s="11"/>
      <c r="AU20" s="11"/>
      <c r="AV20" s="11"/>
      <c r="AW20" s="11"/>
      <c r="AX20" s="11"/>
      <c r="AY20" s="11"/>
      <c r="AZ20" s="11"/>
      <c r="BA20" s="11"/>
      <c r="BB20" s="11"/>
      <c r="BC20" s="11"/>
      <c r="BD20" s="11"/>
      <c r="BE20" s="11"/>
      <c r="BF20" s="11"/>
      <c r="BG20" s="11"/>
      <c r="BH20" s="11"/>
      <c r="BI20" s="11"/>
      <c r="BJ20" s="11"/>
      <c r="BK20" s="11"/>
      <c r="BL20" s="11"/>
      <c r="BM20" s="11"/>
      <c r="BN20" s="11"/>
      <c r="BO20" s="11"/>
      <c r="BP20" s="11"/>
      <c r="BQ20" s="11"/>
      <c r="BS20" s="11"/>
      <c r="BT20" s="11"/>
      <c r="BU20" s="11"/>
      <c r="BV20" s="11"/>
      <c r="BW20" s="11"/>
      <c r="BX20" s="11"/>
      <c r="BY20" s="11"/>
      <c r="BZ20" s="11"/>
      <c r="CA20" s="11"/>
      <c r="CB20" s="11"/>
      <c r="CC20" s="11"/>
      <c r="CD20" s="11"/>
      <c r="CE20" s="11"/>
      <c r="CF20" s="11"/>
      <c r="CG20" s="11"/>
      <c r="CH20" s="11"/>
      <c r="CI20" s="11"/>
      <c r="CJ20" s="11"/>
      <c r="CK20" s="11"/>
      <c r="CL20" s="11"/>
      <c r="CM20" s="11"/>
      <c r="CN20" s="11"/>
      <c r="CO20" s="11"/>
      <c r="CP20" s="11"/>
      <c r="CQ20" s="11"/>
      <c r="CR20" s="11"/>
    </row>
    <row r="21" spans="12:96" x14ac:dyDescent="0.2">
      <c r="L21" s="83" t="str">
        <f>'Ind T4'!A23</f>
        <v>Accommodation and food</v>
      </c>
      <c r="M21" s="11">
        <v>26.904999999999959</v>
      </c>
      <c r="N21" s="11">
        <v>28.817000000000018</v>
      </c>
      <c r="O21" s="11">
        <v>27.322000000000049</v>
      </c>
      <c r="P21" s="11">
        <v>30.475999999999992</v>
      </c>
      <c r="Q21" s="11">
        <v>26.880999999999997</v>
      </c>
      <c r="R21" s="11">
        <v>33.11899999999995</v>
      </c>
      <c r="S21" s="11">
        <v>31.863000000000014</v>
      </c>
      <c r="T21" s="11">
        <v>34.628999999999941</v>
      </c>
      <c r="U21" s="11">
        <v>29.283000000000044</v>
      </c>
      <c r="V21" s="11">
        <v>34.905000000000037</v>
      </c>
      <c r="W21" s="11">
        <v>33.931000000000061</v>
      </c>
      <c r="X21" s="11">
        <v>32.71100000000002</v>
      </c>
      <c r="Y21" s="11">
        <v>33.010999999999981</v>
      </c>
      <c r="Z21" s="11">
        <v>33.535999999999973</v>
      </c>
      <c r="AA21" s="11">
        <v>34.190000000000005</v>
      </c>
      <c r="AB21" s="11">
        <v>34.780999999999956</v>
      </c>
      <c r="AC21" s="11">
        <v>35.294999999999995</v>
      </c>
      <c r="AD21" s="11">
        <v>35.771000000000015</v>
      </c>
      <c r="AE21" s="11">
        <v>36.225999999999971</v>
      </c>
      <c r="AF21" s="11">
        <v>36.666999999999973</v>
      </c>
      <c r="AG21" s="11">
        <v>37.102000000000004</v>
      </c>
      <c r="AH21" s="11">
        <v>37.525000000000055</v>
      </c>
      <c r="AI21" s="11">
        <v>37.936000000000043</v>
      </c>
      <c r="AJ21" s="11">
        <v>38.337000000000032</v>
      </c>
      <c r="AK21" s="172">
        <v>38.722000000000051</v>
      </c>
      <c r="AL21" s="11">
        <v>39.093999999999973</v>
      </c>
      <c r="AM21" s="11"/>
      <c r="AN21" s="11"/>
      <c r="AO21" s="11"/>
      <c r="AP21" s="11"/>
      <c r="AQ21" s="11"/>
      <c r="AR21" s="11"/>
      <c r="AS21" s="11"/>
      <c r="AT21" s="11"/>
      <c r="AU21" s="11"/>
      <c r="AV21" s="11"/>
      <c r="AW21" s="11"/>
      <c r="AX21" s="11"/>
      <c r="AY21" s="11"/>
      <c r="AZ21" s="11"/>
      <c r="BA21" s="11"/>
      <c r="BB21" s="11"/>
      <c r="BC21" s="11"/>
      <c r="BD21" s="11"/>
      <c r="BE21" s="11"/>
      <c r="BF21" s="11"/>
      <c r="BG21" s="11"/>
      <c r="BH21" s="11"/>
      <c r="BI21" s="11"/>
      <c r="BJ21" s="11"/>
      <c r="BK21" s="11"/>
      <c r="BL21" s="11"/>
      <c r="BM21" s="11"/>
      <c r="BN21" s="11"/>
      <c r="BO21" s="11"/>
      <c r="BP21" s="11"/>
      <c r="BQ21" s="11"/>
      <c r="BS21" s="11"/>
      <c r="BT21" s="11"/>
      <c r="BU21" s="11"/>
      <c r="BV21" s="11"/>
      <c r="BW21" s="11"/>
      <c r="BX21" s="11"/>
      <c r="BY21" s="11"/>
      <c r="BZ21" s="11"/>
      <c r="CA21" s="11"/>
      <c r="CB21" s="11"/>
      <c r="CC21" s="11"/>
      <c r="CD21" s="11"/>
      <c r="CE21" s="11"/>
      <c r="CF21" s="11"/>
      <c r="CG21" s="11"/>
      <c r="CH21" s="11"/>
      <c r="CI21" s="11"/>
      <c r="CJ21" s="11"/>
      <c r="CK21" s="11"/>
      <c r="CL21" s="11"/>
      <c r="CM21" s="11"/>
      <c r="CN21" s="11"/>
      <c r="CO21" s="11"/>
      <c r="CP21" s="11"/>
      <c r="CQ21" s="11"/>
      <c r="CR21" s="11"/>
    </row>
    <row r="22" spans="12:96" x14ac:dyDescent="0.2">
      <c r="L22" s="13"/>
      <c r="AK22" s="172"/>
      <c r="AP22" s="11"/>
      <c r="BF22" s="11"/>
      <c r="BG22" s="11"/>
      <c r="BH22" s="11"/>
      <c r="BI22" s="11"/>
      <c r="BJ22" s="11"/>
      <c r="BK22" s="11"/>
      <c r="BL22" s="11"/>
      <c r="BM22" s="11"/>
      <c r="BN22" s="11"/>
      <c r="BO22" s="11"/>
      <c r="BP22" s="11"/>
      <c r="BQ22" s="11"/>
      <c r="BR22" s="11"/>
      <c r="BS22" s="11"/>
      <c r="BT22" s="11"/>
    </row>
    <row r="23" spans="12:96" x14ac:dyDescent="0.2">
      <c r="L23" s="1" t="str">
        <f>'Ind T4'!A25</f>
        <v>Business and other services</v>
      </c>
      <c r="M23" s="11">
        <f>SUM(M24:M31)</f>
        <v>99.966000000000122</v>
      </c>
      <c r="N23" s="11">
        <f t="shared" ref="N23:AL23" si="19">SUM(N24:N31)</f>
        <v>98.121000000000151</v>
      </c>
      <c r="O23" s="11">
        <f t="shared" si="19"/>
        <v>99.336000000000197</v>
      </c>
      <c r="P23" s="11">
        <f t="shared" si="19"/>
        <v>101.69899999999996</v>
      </c>
      <c r="Q23" s="11">
        <f t="shared" si="19"/>
        <v>105.67799999999987</v>
      </c>
      <c r="R23" s="11">
        <f t="shared" si="19"/>
        <v>114.80700000000002</v>
      </c>
      <c r="S23" s="11">
        <f t="shared" si="19"/>
        <v>106.97700000000005</v>
      </c>
      <c r="T23" s="11">
        <f t="shared" si="19"/>
        <v>103.65999999999995</v>
      </c>
      <c r="U23" s="11">
        <f t="shared" si="19"/>
        <v>113.718</v>
      </c>
      <c r="V23" s="11">
        <f t="shared" si="19"/>
        <v>109.67299999999987</v>
      </c>
      <c r="W23" s="11">
        <f t="shared" si="19"/>
        <v>107.56200000000005</v>
      </c>
      <c r="X23" s="11">
        <f t="shared" si="19"/>
        <v>107.24200000000015</v>
      </c>
      <c r="Y23" s="11">
        <f t="shared" si="19"/>
        <v>106.58499999999997</v>
      </c>
      <c r="Z23" s="11">
        <f t="shared" si="19"/>
        <v>106.79500000000002</v>
      </c>
      <c r="AA23" s="11">
        <f t="shared" si="19"/>
        <v>107.32299999999994</v>
      </c>
      <c r="AB23" s="11">
        <f t="shared" si="19"/>
        <v>107.75200000000002</v>
      </c>
      <c r="AC23" s="11">
        <f t="shared" si="19"/>
        <v>108.24499999999993</v>
      </c>
      <c r="AD23" s="11">
        <f t="shared" si="19"/>
        <v>108.74199999999989</v>
      </c>
      <c r="AE23" s="11">
        <f t="shared" si="19"/>
        <v>109.24300000000002</v>
      </c>
      <c r="AF23" s="11">
        <f t="shared" si="19"/>
        <v>109.75499999999995</v>
      </c>
      <c r="AG23" s="11">
        <f t="shared" si="19"/>
        <v>110.30900000000003</v>
      </c>
      <c r="AH23" s="11">
        <f t="shared" si="19"/>
        <v>110.86000000000004</v>
      </c>
      <c r="AI23" s="11">
        <f t="shared" si="19"/>
        <v>111.417</v>
      </c>
      <c r="AJ23" s="11">
        <f t="shared" si="19"/>
        <v>111.98000000000009</v>
      </c>
      <c r="AK23" s="11">
        <f t="shared" si="19"/>
        <v>112.53800000000004</v>
      </c>
      <c r="AL23" s="11">
        <f t="shared" si="19"/>
        <v>113.09699999999992</v>
      </c>
      <c r="AM23" s="11"/>
      <c r="AN23" s="11"/>
      <c r="AO23" s="11"/>
      <c r="AP23" s="11"/>
      <c r="AQ23" s="11"/>
      <c r="AR23" s="11"/>
      <c r="AS23" s="11"/>
      <c r="AT23" s="11"/>
      <c r="AU23" s="11"/>
      <c r="AV23" s="11"/>
      <c r="AW23" s="11"/>
      <c r="AX23" s="11"/>
      <c r="AY23" s="11"/>
      <c r="AZ23" s="11"/>
      <c r="BA23" s="11"/>
      <c r="BB23" s="11"/>
      <c r="BC23" s="11"/>
      <c r="BD23" s="11"/>
      <c r="BE23" s="11"/>
      <c r="BF23" s="11"/>
      <c r="BG23" s="11"/>
      <c r="BH23" s="11"/>
      <c r="BI23" s="11"/>
      <c r="BJ23" s="11"/>
      <c r="BK23" s="11"/>
      <c r="BL23" s="11"/>
      <c r="BM23" s="11"/>
      <c r="BN23" s="11"/>
      <c r="BO23" s="11"/>
      <c r="BP23" s="11"/>
      <c r="BQ23" s="11"/>
      <c r="BR23" s="11"/>
      <c r="BS23" s="11"/>
      <c r="BT23" s="11"/>
    </row>
    <row r="24" spans="12:96" x14ac:dyDescent="0.2">
      <c r="L24" s="83" t="str">
        <f>'Ind T4'!A26</f>
        <v>Media</v>
      </c>
      <c r="M24" s="11">
        <v>1.4169999999999994</v>
      </c>
      <c r="N24" s="11">
        <v>1.4059999999999997</v>
      </c>
      <c r="O24" s="11">
        <v>1.048999999999999</v>
      </c>
      <c r="P24" s="11">
        <v>2.5299999999999976</v>
      </c>
      <c r="Q24" s="11">
        <v>1.6110000000000013</v>
      </c>
      <c r="R24" s="11">
        <v>2.5630000000000068</v>
      </c>
      <c r="S24" s="11">
        <v>1.5859999999999996</v>
      </c>
      <c r="T24" s="11">
        <v>2.2600000000000029</v>
      </c>
      <c r="U24" s="11">
        <v>0.95300000000000118</v>
      </c>
      <c r="V24" s="11">
        <v>2.9880000000000035</v>
      </c>
      <c r="W24" s="11">
        <v>2.8960000000000048</v>
      </c>
      <c r="X24" s="11">
        <v>2.858000000000005</v>
      </c>
      <c r="Y24" s="11">
        <v>2.8470000000000009</v>
      </c>
      <c r="Z24" s="11">
        <v>2.8339999999999983</v>
      </c>
      <c r="AA24" s="11">
        <v>2.8270000000000048</v>
      </c>
      <c r="AB24" s="11">
        <v>2.8369999999999993</v>
      </c>
      <c r="AC24" s="11">
        <v>2.8429999999999991</v>
      </c>
      <c r="AD24" s="11">
        <v>2.8479999999999972</v>
      </c>
      <c r="AE24" s="11">
        <v>2.8539999999999957</v>
      </c>
      <c r="AF24" s="11">
        <v>2.8589999999999951</v>
      </c>
      <c r="AG24" s="11">
        <v>2.8639999999999999</v>
      </c>
      <c r="AH24" s="11">
        <v>2.8690000000000029</v>
      </c>
      <c r="AI24" s="11">
        <v>2.8739999999999988</v>
      </c>
      <c r="AJ24" s="11">
        <v>2.8790000000000022</v>
      </c>
      <c r="AK24" s="172">
        <v>2.8830000000000049</v>
      </c>
      <c r="AL24" s="11">
        <v>2.8879999999999977</v>
      </c>
      <c r="AM24" s="11"/>
      <c r="AN24" s="11"/>
      <c r="AO24" s="11"/>
      <c r="AP24" s="11"/>
      <c r="AQ24" s="11"/>
      <c r="AR24" s="11"/>
      <c r="AS24" s="11"/>
      <c r="AT24" s="11"/>
      <c r="AU24" s="11"/>
      <c r="AV24" s="11"/>
      <c r="AW24" s="11"/>
      <c r="AX24" s="11"/>
      <c r="AY24" s="11"/>
      <c r="AZ24" s="11"/>
      <c r="BA24" s="11"/>
      <c r="BB24" s="11"/>
      <c r="BC24" s="11"/>
      <c r="BD24" s="11"/>
      <c r="BE24" s="11"/>
      <c r="BF24" s="11"/>
      <c r="BG24" s="11"/>
      <c r="BH24" s="11"/>
      <c r="BI24" s="11"/>
      <c r="BJ24" s="11"/>
      <c r="BK24" s="11"/>
      <c r="BL24" s="11"/>
      <c r="BM24" s="11"/>
      <c r="BN24" s="11"/>
      <c r="BO24" s="11"/>
      <c r="BP24" s="11"/>
      <c r="BQ24" s="11"/>
      <c r="BR24" s="11"/>
      <c r="BS24" s="11"/>
      <c r="BT24" s="11"/>
    </row>
    <row r="25" spans="12:96" x14ac:dyDescent="0.2">
      <c r="L25" s="83" t="str">
        <f>'Ind T4'!A27</f>
        <v>Information technology</v>
      </c>
      <c r="M25" s="11">
        <v>7.1530000000000076</v>
      </c>
      <c r="N25" s="11">
        <v>9.1459999999999937</v>
      </c>
      <c r="O25" s="11">
        <v>8.434999999999981</v>
      </c>
      <c r="P25" s="11">
        <v>7.7899999999999983</v>
      </c>
      <c r="Q25" s="11">
        <v>7.6469999999999869</v>
      </c>
      <c r="R25" s="11">
        <v>8.537000000000015</v>
      </c>
      <c r="S25" s="11">
        <v>7.2070000000000185</v>
      </c>
      <c r="T25" s="11">
        <v>8.9850000000000012</v>
      </c>
      <c r="U25" s="11">
        <v>8.5630000000000006</v>
      </c>
      <c r="V25" s="11">
        <v>6.4880000000000049</v>
      </c>
      <c r="W25" s="11">
        <v>5.6369999999999907</v>
      </c>
      <c r="X25" s="11">
        <v>5.7910000000000021</v>
      </c>
      <c r="Y25" s="11">
        <v>5.8489999999999984</v>
      </c>
      <c r="Z25" s="11">
        <v>5.9610000000000145</v>
      </c>
      <c r="AA25" s="11">
        <v>6.0500000000000096</v>
      </c>
      <c r="AB25" s="11">
        <v>6.1230000000000224</v>
      </c>
      <c r="AC25" s="11">
        <v>6.1919999999999913</v>
      </c>
      <c r="AD25" s="11">
        <v>6.2540000000000182</v>
      </c>
      <c r="AE25" s="11">
        <v>6.3130000000000148</v>
      </c>
      <c r="AF25" s="11">
        <v>6.371000000000028</v>
      </c>
      <c r="AG25" s="11">
        <v>6.4329999999999927</v>
      </c>
      <c r="AH25" s="11">
        <v>6.4929999999999799</v>
      </c>
      <c r="AI25" s="11">
        <v>6.551999999999973</v>
      </c>
      <c r="AJ25" s="11">
        <v>6.6100000000000021</v>
      </c>
      <c r="AK25" s="172">
        <v>6.6640000000000006</v>
      </c>
      <c r="AL25" s="11">
        <v>6.7169999999999943</v>
      </c>
      <c r="AM25" s="11"/>
      <c r="AN25" s="11"/>
      <c r="AO25" s="11"/>
      <c r="AP25" s="11"/>
      <c r="AQ25" s="11"/>
      <c r="AR25" s="11"/>
      <c r="AS25" s="11"/>
      <c r="AT25" s="11"/>
      <c r="AU25" s="11"/>
      <c r="AV25" s="11"/>
      <c r="AW25" s="11"/>
      <c r="AX25" s="11"/>
      <c r="AY25" s="11"/>
      <c r="AZ25" s="11"/>
      <c r="BA25" s="11"/>
      <c r="BB25" s="11"/>
      <c r="BC25" s="11"/>
      <c r="BD25" s="11"/>
      <c r="BE25" s="11"/>
      <c r="BF25" s="11"/>
      <c r="BG25" s="11"/>
      <c r="BH25" s="11"/>
      <c r="BI25" s="11"/>
      <c r="BJ25" s="11"/>
      <c r="BK25" s="11"/>
      <c r="BL25" s="11"/>
      <c r="BM25" s="11"/>
      <c r="BN25" s="11"/>
      <c r="BO25" s="11"/>
      <c r="BP25" s="11"/>
      <c r="BQ25" s="11"/>
      <c r="BR25" s="11"/>
      <c r="BS25" s="11"/>
      <c r="BT25" s="11"/>
    </row>
    <row r="26" spans="12:96" x14ac:dyDescent="0.2">
      <c r="L26" s="83" t="str">
        <f>'Ind T4'!A28</f>
        <v>Finance and insurance</v>
      </c>
      <c r="M26" s="11">
        <v>10.026000000000005</v>
      </c>
      <c r="N26" s="11">
        <v>10.042000000000005</v>
      </c>
      <c r="O26" s="11">
        <v>8.7819999999999947</v>
      </c>
      <c r="P26" s="11">
        <v>8.9300000000000015</v>
      </c>
      <c r="Q26" s="11">
        <v>9.192999999999989</v>
      </c>
      <c r="R26" s="11">
        <v>9.3589999999999769</v>
      </c>
      <c r="S26" s="11">
        <v>9.1660000000000039</v>
      </c>
      <c r="T26" s="11">
        <v>8.8440000000000243</v>
      </c>
      <c r="U26" s="11">
        <v>9.525000000000011</v>
      </c>
      <c r="V26" s="11">
        <v>8.4649999999999928</v>
      </c>
      <c r="W26" s="11">
        <v>7.9720000000000066</v>
      </c>
      <c r="X26" s="11">
        <v>8.2539999999999996</v>
      </c>
      <c r="Y26" s="11">
        <v>8.2549999999999635</v>
      </c>
      <c r="Z26" s="11">
        <v>8.2520000000000095</v>
      </c>
      <c r="AA26" s="11">
        <v>8.2299999999999898</v>
      </c>
      <c r="AB26" s="11">
        <v>8.2219999999999889</v>
      </c>
      <c r="AC26" s="11">
        <v>8.2239999999999842</v>
      </c>
      <c r="AD26" s="11">
        <v>8.2250000000000032</v>
      </c>
      <c r="AE26" s="11">
        <v>8.2249999999999925</v>
      </c>
      <c r="AF26" s="11">
        <v>8.2250000000000014</v>
      </c>
      <c r="AG26" s="11">
        <v>8.2260000000000062</v>
      </c>
      <c r="AH26" s="11">
        <v>8.2210000000000054</v>
      </c>
      <c r="AI26" s="11">
        <v>8.2160000000000046</v>
      </c>
      <c r="AJ26" s="11">
        <v>8.2110000000000039</v>
      </c>
      <c r="AK26" s="172">
        <v>8.2059999999999977</v>
      </c>
      <c r="AL26" s="11">
        <v>8.2010000000000023</v>
      </c>
      <c r="AM26" s="11"/>
      <c r="AN26" s="11"/>
      <c r="AO26" s="11"/>
      <c r="AP26" s="11"/>
      <c r="AQ26" s="11"/>
      <c r="AR26" s="11"/>
      <c r="AS26" s="11"/>
      <c r="AT26" s="11"/>
      <c r="AU26" s="11"/>
      <c r="AV26" s="11"/>
      <c r="AW26" s="11"/>
      <c r="AX26" s="11"/>
      <c r="AY26" s="11"/>
      <c r="AZ26" s="11"/>
      <c r="BA26" s="11"/>
      <c r="BB26" s="11"/>
      <c r="BC26" s="11"/>
      <c r="BD26" s="11"/>
      <c r="BE26" s="11"/>
      <c r="BF26" s="11"/>
      <c r="BG26" s="11"/>
      <c r="BH26" s="11"/>
      <c r="BI26" s="11"/>
      <c r="BJ26" s="11"/>
      <c r="BK26" s="11"/>
      <c r="BL26" s="11"/>
      <c r="BM26" s="11"/>
      <c r="BN26" s="11"/>
      <c r="BO26" s="11"/>
      <c r="BP26" s="11"/>
      <c r="BQ26" s="11"/>
      <c r="BR26" s="11"/>
      <c r="BS26" s="11"/>
      <c r="BT26" s="11"/>
    </row>
    <row r="27" spans="12:96" x14ac:dyDescent="0.2">
      <c r="L27" s="83" t="str">
        <f>'Ind T4'!A29</f>
        <v>Real estate</v>
      </c>
      <c r="M27" s="11">
        <v>9.1929999999999854</v>
      </c>
      <c r="N27" s="11">
        <v>6.68799999999999</v>
      </c>
      <c r="O27" s="11">
        <v>6.327</v>
      </c>
      <c r="P27" s="11">
        <v>7.8990000000000089</v>
      </c>
      <c r="Q27" s="11">
        <v>8.2780000000000058</v>
      </c>
      <c r="R27" s="11">
        <v>7.2680000000000007</v>
      </c>
      <c r="S27" s="11">
        <v>6.5809999999999969</v>
      </c>
      <c r="T27" s="11">
        <v>5.1460000000000008</v>
      </c>
      <c r="U27" s="11">
        <v>6.6580000000000048</v>
      </c>
      <c r="V27" s="11">
        <v>7.5290000000000097</v>
      </c>
      <c r="W27" s="11">
        <v>6.7819999999999885</v>
      </c>
      <c r="X27" s="11">
        <v>6.707000000000007</v>
      </c>
      <c r="Y27" s="11">
        <v>6.6339999999999977</v>
      </c>
      <c r="Z27" s="11">
        <v>6.637999999999999</v>
      </c>
      <c r="AA27" s="11">
        <v>6.6949999999999878</v>
      </c>
      <c r="AB27" s="11">
        <v>6.7620000000000191</v>
      </c>
      <c r="AC27" s="11">
        <v>6.8489999999999966</v>
      </c>
      <c r="AD27" s="11">
        <v>6.9480000000000004</v>
      </c>
      <c r="AE27" s="11">
        <v>7.0530000000000124</v>
      </c>
      <c r="AF27" s="11">
        <v>7.160999999999996</v>
      </c>
      <c r="AG27" s="11">
        <v>7.2719999999999949</v>
      </c>
      <c r="AH27" s="11">
        <v>7.3849999999999936</v>
      </c>
      <c r="AI27" s="11">
        <v>7.498000000000002</v>
      </c>
      <c r="AJ27" s="11">
        <v>7.6130000000000067</v>
      </c>
      <c r="AK27" s="172">
        <v>7.7290000000000081</v>
      </c>
      <c r="AL27" s="11">
        <v>7.8439999999999861</v>
      </c>
      <c r="AM27" s="11"/>
      <c r="AN27" s="11"/>
      <c r="AO27" s="11"/>
      <c r="AP27" s="11"/>
      <c r="AQ27" s="11"/>
      <c r="AR27" s="11"/>
      <c r="AS27" s="11"/>
      <c r="AT27" s="11"/>
      <c r="AU27" s="11"/>
      <c r="AV27" s="11"/>
      <c r="AW27" s="11"/>
      <c r="AX27" s="11"/>
      <c r="AY27" s="11"/>
      <c r="AZ27" s="11"/>
      <c r="BA27" s="11"/>
      <c r="BB27" s="11"/>
      <c r="BC27" s="11"/>
      <c r="BD27" s="11"/>
      <c r="BE27" s="11"/>
      <c r="BF27" s="11"/>
      <c r="BG27" s="11"/>
      <c r="BH27" s="11"/>
      <c r="BI27" s="11"/>
      <c r="BJ27" s="11"/>
      <c r="BK27" s="11"/>
      <c r="BL27" s="11"/>
      <c r="BM27" s="11"/>
      <c r="BN27" s="11"/>
      <c r="BO27" s="11"/>
      <c r="BP27" s="11"/>
      <c r="BQ27" s="11"/>
      <c r="BR27" s="11"/>
      <c r="BS27" s="11"/>
      <c r="BT27" s="11"/>
    </row>
    <row r="28" spans="12:96" x14ac:dyDescent="0.2">
      <c r="L28" s="83" t="str">
        <f>'Ind T4'!A30</f>
        <v>Professional services</v>
      </c>
      <c r="M28" s="11">
        <v>19.226000000000024</v>
      </c>
      <c r="N28" s="11">
        <v>21.485000000000028</v>
      </c>
      <c r="O28" s="11">
        <v>18.284000000000084</v>
      </c>
      <c r="P28" s="11">
        <v>18.245000000000047</v>
      </c>
      <c r="Q28" s="11">
        <v>21.285999999999987</v>
      </c>
      <c r="R28" s="11">
        <v>25.363999999999997</v>
      </c>
      <c r="S28" s="11">
        <v>24.499000000000031</v>
      </c>
      <c r="T28" s="11">
        <v>17.012999999999966</v>
      </c>
      <c r="U28" s="11">
        <v>21.92299999999997</v>
      </c>
      <c r="V28" s="11">
        <v>22.099000000000004</v>
      </c>
      <c r="W28" s="11">
        <v>23.094000000000012</v>
      </c>
      <c r="X28" s="11">
        <v>23.430000000000032</v>
      </c>
      <c r="Y28" s="11">
        <v>23.495000000000072</v>
      </c>
      <c r="Z28" s="11">
        <v>23.622000000000046</v>
      </c>
      <c r="AA28" s="11">
        <v>23.777000000000008</v>
      </c>
      <c r="AB28" s="11">
        <v>23.910999999999991</v>
      </c>
      <c r="AC28" s="11">
        <v>24.032999999999952</v>
      </c>
      <c r="AD28" s="11">
        <v>24.166999999999984</v>
      </c>
      <c r="AE28" s="11">
        <v>24.313999999999993</v>
      </c>
      <c r="AF28" s="11">
        <v>24.473999999999979</v>
      </c>
      <c r="AG28" s="11">
        <v>24.650999999999943</v>
      </c>
      <c r="AH28" s="11">
        <v>24.831000000000007</v>
      </c>
      <c r="AI28" s="11">
        <v>25.015000000000001</v>
      </c>
      <c r="AJ28" s="11">
        <v>25.200000000000014</v>
      </c>
      <c r="AK28" s="172">
        <v>25.386999999999983</v>
      </c>
      <c r="AL28" s="11">
        <v>25.574999999999996</v>
      </c>
      <c r="AM28" s="11"/>
      <c r="AN28" s="11"/>
      <c r="AO28" s="11"/>
      <c r="AP28" s="11"/>
      <c r="AQ28" s="11"/>
      <c r="AR28" s="11"/>
      <c r="AS28" s="11"/>
      <c r="AT28" s="11"/>
      <c r="AU28" s="11"/>
      <c r="AV28" s="11"/>
      <c r="AW28" s="11"/>
      <c r="AX28" s="11"/>
      <c r="AY28" s="11"/>
      <c r="AZ28" s="11"/>
      <c r="BA28" s="11"/>
      <c r="BB28" s="11"/>
      <c r="BC28" s="11"/>
      <c r="BD28" s="11"/>
      <c r="BE28" s="11"/>
      <c r="BF28" s="11"/>
      <c r="BG28" s="11"/>
      <c r="BH28" s="11"/>
      <c r="BI28" s="11"/>
      <c r="BJ28" s="11"/>
      <c r="BK28" s="11"/>
      <c r="BL28" s="11"/>
      <c r="BM28" s="11"/>
      <c r="BN28" s="11"/>
      <c r="BO28" s="11"/>
      <c r="BP28" s="11"/>
      <c r="BQ28" s="11"/>
      <c r="BR28" s="11"/>
      <c r="BS28" s="11"/>
      <c r="BT28" s="11"/>
    </row>
    <row r="29" spans="12:96" x14ac:dyDescent="0.2">
      <c r="L29" s="83" t="str">
        <f>'Ind T4'!A31</f>
        <v>Support services</v>
      </c>
      <c r="M29" s="11">
        <v>32.386000000000102</v>
      </c>
      <c r="N29" s="11">
        <v>26.951000000000075</v>
      </c>
      <c r="O29" s="11">
        <v>33.883000000000116</v>
      </c>
      <c r="P29" s="11">
        <v>32.910999999999937</v>
      </c>
      <c r="Q29" s="11">
        <v>33.418999999999947</v>
      </c>
      <c r="R29" s="11">
        <v>35.167999999999999</v>
      </c>
      <c r="S29" s="11">
        <v>37.344999999999999</v>
      </c>
      <c r="T29" s="11">
        <v>38.414999999999964</v>
      </c>
      <c r="U29" s="11">
        <v>40.082999999999998</v>
      </c>
      <c r="V29" s="11">
        <v>36.009999999999856</v>
      </c>
      <c r="W29" s="11">
        <v>35.190000000000062</v>
      </c>
      <c r="X29" s="11">
        <v>35.433000000000114</v>
      </c>
      <c r="Y29" s="11">
        <v>35.65499999999993</v>
      </c>
      <c r="Z29" s="11">
        <v>35.707999999999956</v>
      </c>
      <c r="AA29" s="11">
        <v>35.888999999999989</v>
      </c>
      <c r="AB29" s="11">
        <v>36.036999999999985</v>
      </c>
      <c r="AC29" s="11">
        <v>36.21</v>
      </c>
      <c r="AD29" s="11">
        <v>36.377999999999901</v>
      </c>
      <c r="AE29" s="11">
        <v>36.542999999999978</v>
      </c>
      <c r="AF29" s="11">
        <v>36.706999999999958</v>
      </c>
      <c r="AG29" s="11">
        <v>36.877000000000066</v>
      </c>
      <c r="AH29" s="11">
        <v>37.03900000000003</v>
      </c>
      <c r="AI29" s="11">
        <v>37.201000000000043</v>
      </c>
      <c r="AJ29" s="11">
        <v>37.363000000000078</v>
      </c>
      <c r="AK29" s="172">
        <v>37.524999999999999</v>
      </c>
      <c r="AL29" s="11">
        <v>37.686999999999948</v>
      </c>
      <c r="AM29" s="11"/>
      <c r="AN29" s="11"/>
      <c r="AO29" s="11"/>
      <c r="AP29" s="11"/>
      <c r="AQ29" s="11"/>
      <c r="AR29" s="11"/>
      <c r="AS29" s="11"/>
      <c r="AT29" s="11"/>
      <c r="AU29" s="11"/>
      <c r="AV29" s="11"/>
      <c r="AW29" s="11"/>
      <c r="AX29" s="11"/>
      <c r="AY29" s="11"/>
      <c r="AZ29" s="11"/>
      <c r="BA29" s="11"/>
      <c r="BB29" s="11"/>
      <c r="BC29" s="11"/>
      <c r="BD29" s="11"/>
      <c r="BE29" s="11"/>
      <c r="BF29" s="11"/>
      <c r="BG29" s="11"/>
      <c r="BH29" s="11"/>
      <c r="BI29" s="11"/>
      <c r="BJ29" s="11"/>
      <c r="BK29" s="11"/>
      <c r="BL29" s="11"/>
      <c r="BM29" s="11"/>
      <c r="BN29" s="11"/>
      <c r="BO29" s="11"/>
      <c r="BP29" s="11"/>
      <c r="BQ29" s="11"/>
      <c r="BR29" s="11"/>
      <c r="BS29" s="11"/>
      <c r="BT29" s="11"/>
    </row>
    <row r="30" spans="12:96" x14ac:dyDescent="0.2">
      <c r="L30" s="83" t="str">
        <f>'Ind T4'!A32</f>
        <v>Arts and entertainment</v>
      </c>
      <c r="M30" s="11">
        <v>9.8969999999999949</v>
      </c>
      <c r="N30" s="11">
        <v>10.068000000000039</v>
      </c>
      <c r="O30" s="11">
        <v>13.116000000000017</v>
      </c>
      <c r="P30" s="11">
        <v>12.807999999999986</v>
      </c>
      <c r="Q30" s="11">
        <v>11.186999999999987</v>
      </c>
      <c r="R30" s="11">
        <v>12.142999999999999</v>
      </c>
      <c r="S30" s="11">
        <v>11.165999999999993</v>
      </c>
      <c r="T30" s="11">
        <v>11.347999999999999</v>
      </c>
      <c r="U30" s="11">
        <v>10.802</v>
      </c>
      <c r="V30" s="11">
        <v>13.485999999999997</v>
      </c>
      <c r="W30" s="11">
        <v>12.614999999999977</v>
      </c>
      <c r="X30" s="11">
        <v>12.756000000000004</v>
      </c>
      <c r="Y30" s="11">
        <v>12.587000000000005</v>
      </c>
      <c r="Z30" s="11">
        <v>12.645000000000001</v>
      </c>
      <c r="AA30" s="11">
        <v>12.812999999999967</v>
      </c>
      <c r="AB30" s="11">
        <v>12.903000000000011</v>
      </c>
      <c r="AC30" s="11">
        <v>13.024000000000004</v>
      </c>
      <c r="AD30" s="11">
        <v>13.138000000000005</v>
      </c>
      <c r="AE30" s="11">
        <v>13.241000000000019</v>
      </c>
      <c r="AF30" s="11">
        <v>13.339000000000004</v>
      </c>
      <c r="AG30" s="11">
        <v>13.445000000000009</v>
      </c>
      <c r="AH30" s="11">
        <v>13.558000000000019</v>
      </c>
      <c r="AI30" s="11">
        <v>13.673999999999985</v>
      </c>
      <c r="AJ30" s="11">
        <v>13.791999999999966</v>
      </c>
      <c r="AK30" s="172">
        <v>13.908000000000024</v>
      </c>
      <c r="AL30" s="11">
        <v>14.023000000000003</v>
      </c>
      <c r="AM30" s="11"/>
      <c r="AN30" s="11"/>
      <c r="AO30" s="11"/>
      <c r="AP30" s="11"/>
      <c r="AQ30" s="11"/>
      <c r="AR30" s="11"/>
      <c r="AS30" s="11"/>
      <c r="AT30" s="11"/>
      <c r="AU30" s="11"/>
      <c r="AV30" s="11"/>
      <c r="AW30" s="11"/>
      <c r="AX30" s="11"/>
      <c r="AY30" s="11"/>
      <c r="AZ30" s="11"/>
      <c r="BA30" s="11"/>
      <c r="BB30" s="11"/>
      <c r="BC30" s="11"/>
      <c r="BD30" s="11"/>
      <c r="BE30" s="11"/>
      <c r="BF30" s="11"/>
      <c r="BG30" s="11"/>
      <c r="BH30" s="11"/>
      <c r="BI30" s="11"/>
      <c r="BJ30" s="11"/>
      <c r="BK30" s="11"/>
      <c r="BL30" s="11"/>
      <c r="BM30" s="11"/>
      <c r="BN30" s="11"/>
      <c r="BO30" s="11"/>
      <c r="BP30" s="11"/>
      <c r="BQ30" s="11"/>
      <c r="BR30" s="11"/>
      <c r="BS30" s="11"/>
      <c r="BT30" s="11"/>
    </row>
    <row r="31" spans="12:96" x14ac:dyDescent="0.2">
      <c r="L31" s="83" t="str">
        <f>'Ind T4'!A33</f>
        <v>Other services</v>
      </c>
      <c r="M31" s="11">
        <v>10.668000000000008</v>
      </c>
      <c r="N31" s="11">
        <v>12.33500000000002</v>
      </c>
      <c r="O31" s="11">
        <v>9.4600000000000044</v>
      </c>
      <c r="P31" s="11">
        <v>10.58599999999999</v>
      </c>
      <c r="Q31" s="11">
        <v>13.056999999999968</v>
      </c>
      <c r="R31" s="11">
        <v>14.405000000000024</v>
      </c>
      <c r="S31" s="11">
        <v>9.4270000000000049</v>
      </c>
      <c r="T31" s="11">
        <v>11.649000000000004</v>
      </c>
      <c r="U31" s="11">
        <v>15.211000000000027</v>
      </c>
      <c r="V31" s="11">
        <v>12.608000000000022</v>
      </c>
      <c r="W31" s="11">
        <v>13.376000000000015</v>
      </c>
      <c r="X31" s="11">
        <v>12.012999999999995</v>
      </c>
      <c r="Y31" s="11">
        <v>11.263000000000011</v>
      </c>
      <c r="Z31" s="11">
        <v>11.135000000000012</v>
      </c>
      <c r="AA31" s="11">
        <v>11.041999999999991</v>
      </c>
      <c r="AB31" s="11">
        <v>10.957000000000017</v>
      </c>
      <c r="AC31" s="11">
        <v>10.870000000000019</v>
      </c>
      <c r="AD31" s="11">
        <v>10.783999999999972</v>
      </c>
      <c r="AE31" s="11">
        <v>10.70000000000001</v>
      </c>
      <c r="AF31" s="11">
        <v>10.618999999999989</v>
      </c>
      <c r="AG31" s="11">
        <v>10.541000000000007</v>
      </c>
      <c r="AH31" s="11">
        <v>10.463999999999997</v>
      </c>
      <c r="AI31" s="11">
        <v>10.386999999999995</v>
      </c>
      <c r="AJ31" s="11">
        <v>10.311999999999996</v>
      </c>
      <c r="AK31" s="172">
        <v>10.235999999999997</v>
      </c>
      <c r="AL31" s="11">
        <v>10.162000000000006</v>
      </c>
      <c r="AM31" s="11"/>
      <c r="AN31" s="11"/>
      <c r="AO31" s="11"/>
      <c r="AP31" s="11"/>
      <c r="AQ31" s="11"/>
      <c r="AR31" s="11"/>
      <c r="AS31" s="11"/>
      <c r="AT31" s="11"/>
      <c r="AU31" s="11"/>
      <c r="AV31" s="11"/>
      <c r="AW31" s="11"/>
      <c r="AX31" s="11"/>
      <c r="AY31" s="11"/>
      <c r="AZ31" s="11"/>
      <c r="BA31" s="11"/>
      <c r="BB31" s="11"/>
      <c r="BC31" s="11"/>
      <c r="BD31" s="11"/>
      <c r="BE31" s="11"/>
      <c r="BF31" s="11"/>
      <c r="BG31" s="11"/>
      <c r="BH31" s="11"/>
      <c r="BI31" s="11"/>
      <c r="BJ31" s="11"/>
      <c r="BK31" s="11"/>
      <c r="BL31" s="11"/>
      <c r="BM31" s="11"/>
      <c r="BN31" s="11"/>
      <c r="BO31" s="11"/>
      <c r="BP31" s="11"/>
      <c r="BQ31" s="11"/>
      <c r="BR31" s="11"/>
      <c r="BS31" s="11"/>
      <c r="BT31" s="11"/>
    </row>
    <row r="32" spans="12:96" x14ac:dyDescent="0.2">
      <c r="L32" s="13"/>
      <c r="AK32" s="172"/>
      <c r="AP32" s="11"/>
      <c r="BF32" s="11"/>
      <c r="BG32" s="11"/>
      <c r="BH32" s="11"/>
      <c r="BI32" s="11"/>
      <c r="BJ32" s="11"/>
      <c r="BK32" s="11"/>
      <c r="BL32" s="11"/>
      <c r="BM32" s="11"/>
      <c r="BN32" s="11"/>
      <c r="BO32" s="11"/>
      <c r="BP32" s="11"/>
      <c r="BQ32" s="11"/>
      <c r="BR32" s="11"/>
      <c r="BS32" s="11"/>
      <c r="BT32" s="11"/>
    </row>
    <row r="33" spans="1:72" x14ac:dyDescent="0.2">
      <c r="L33" s="1" t="str">
        <f>'Ind T4'!A35</f>
        <v>Non-marketed services</v>
      </c>
      <c r="M33" s="11">
        <f>SUM(M34:M36)</f>
        <v>149.09600000000023</v>
      </c>
      <c r="N33" s="11">
        <f t="shared" ref="N33:AK33" si="20">SUM(N34:N36)</f>
        <v>141.56400000000002</v>
      </c>
      <c r="O33" s="11">
        <f t="shared" si="20"/>
        <v>141.42800000000005</v>
      </c>
      <c r="P33" s="11">
        <f t="shared" si="20"/>
        <v>138.32299999999995</v>
      </c>
      <c r="Q33" s="11">
        <f t="shared" si="20"/>
        <v>144.92799999999983</v>
      </c>
      <c r="R33" s="11">
        <f t="shared" si="20"/>
        <v>143.73000000000008</v>
      </c>
      <c r="S33" s="11">
        <f t="shared" si="20"/>
        <v>135.64400000000001</v>
      </c>
      <c r="T33" s="11">
        <f t="shared" si="20"/>
        <v>137.94099999999992</v>
      </c>
      <c r="U33" s="11">
        <f t="shared" si="20"/>
        <v>134.0659999999998</v>
      </c>
      <c r="V33" s="11">
        <f t="shared" si="20"/>
        <v>137.94199999999998</v>
      </c>
      <c r="W33" s="11">
        <f t="shared" si="20"/>
        <v>140.44399999999996</v>
      </c>
      <c r="X33" s="11">
        <f t="shared" si="20"/>
        <v>141.73699999999974</v>
      </c>
      <c r="Y33" s="11">
        <f t="shared" si="20"/>
        <v>143.04599999999994</v>
      </c>
      <c r="Z33" s="11">
        <f t="shared" si="20"/>
        <v>143.82499999999993</v>
      </c>
      <c r="AA33" s="11">
        <f t="shared" si="20"/>
        <v>144.53599999999963</v>
      </c>
      <c r="AB33" s="11">
        <f t="shared" si="20"/>
        <v>145.27199999999993</v>
      </c>
      <c r="AC33" s="11">
        <f t="shared" si="20"/>
        <v>145.78200000000001</v>
      </c>
      <c r="AD33" s="11">
        <f t="shared" si="20"/>
        <v>146.26300000000006</v>
      </c>
      <c r="AE33" s="11">
        <f t="shared" si="20"/>
        <v>146.73999999999995</v>
      </c>
      <c r="AF33" s="11">
        <f t="shared" si="20"/>
        <v>147.22800000000001</v>
      </c>
      <c r="AG33" s="11">
        <f t="shared" si="20"/>
        <v>147.75200000000001</v>
      </c>
      <c r="AH33" s="11">
        <f t="shared" si="20"/>
        <v>148.25799999999998</v>
      </c>
      <c r="AI33" s="11">
        <f t="shared" si="20"/>
        <v>148.75900000000001</v>
      </c>
      <c r="AJ33" s="11">
        <f t="shared" si="20"/>
        <v>149.26400000000007</v>
      </c>
      <c r="AK33" s="11">
        <f t="shared" si="20"/>
        <v>149.76600000000013</v>
      </c>
      <c r="AL33" s="11">
        <f>SUM(AL34:AL36)</f>
        <v>150.26600000000008</v>
      </c>
      <c r="AM33" s="11"/>
      <c r="AN33" s="11"/>
      <c r="AO33" s="11"/>
      <c r="AP33" s="11"/>
      <c r="AQ33" s="11"/>
      <c r="AR33" s="11"/>
      <c r="AS33" s="11"/>
      <c r="AT33" s="11"/>
      <c r="AU33" s="11"/>
      <c r="AV33" s="11"/>
      <c r="AW33" s="11"/>
      <c r="AX33" s="11"/>
      <c r="AY33" s="11"/>
      <c r="AZ33" s="11"/>
      <c r="BA33" s="11"/>
      <c r="BB33" s="11"/>
      <c r="BC33" s="11"/>
      <c r="BD33" s="11"/>
      <c r="BE33" s="11"/>
      <c r="BF33" s="11"/>
      <c r="BG33" s="11"/>
      <c r="BH33" s="11"/>
      <c r="BI33" s="11"/>
      <c r="BJ33" s="11"/>
      <c r="BK33" s="11"/>
      <c r="BL33" s="11"/>
      <c r="BM33" s="11"/>
      <c r="BN33" s="11"/>
      <c r="BO33" s="11"/>
      <c r="BP33" s="11"/>
      <c r="BQ33" s="11"/>
      <c r="BR33" s="11"/>
      <c r="BS33" s="11"/>
      <c r="BT33" s="11"/>
    </row>
    <row r="34" spans="1:72" x14ac:dyDescent="0.2">
      <c r="L34" s="83" t="str">
        <f>'Ind T4'!A36</f>
        <v>Public admin. and defence</v>
      </c>
      <c r="M34" s="11">
        <v>44.36500000000008</v>
      </c>
      <c r="N34" s="11">
        <v>38.439000000000121</v>
      </c>
      <c r="O34" s="11">
        <v>33.214999999999982</v>
      </c>
      <c r="P34" s="11">
        <v>35.925999999999895</v>
      </c>
      <c r="Q34" s="11">
        <v>32.759000000000036</v>
      </c>
      <c r="R34" s="11">
        <v>30.572000000000074</v>
      </c>
      <c r="S34" s="11">
        <v>30.080000000000052</v>
      </c>
      <c r="T34" s="11">
        <v>30.942000000000039</v>
      </c>
      <c r="U34" s="11">
        <v>29.14599999999999</v>
      </c>
      <c r="V34" s="11">
        <v>30.999999999999993</v>
      </c>
      <c r="W34" s="11">
        <v>31.607000000000031</v>
      </c>
      <c r="X34" s="11">
        <v>31.210999999999977</v>
      </c>
      <c r="Y34" s="11">
        <v>30.885999999999925</v>
      </c>
      <c r="Z34" s="11">
        <v>30.713000000000044</v>
      </c>
      <c r="AA34" s="11">
        <v>30.46899999999993</v>
      </c>
      <c r="AB34" s="11">
        <v>30.495000000000008</v>
      </c>
      <c r="AC34" s="11">
        <v>30.517000000000021</v>
      </c>
      <c r="AD34" s="11">
        <v>30.538000000000032</v>
      </c>
      <c r="AE34" s="11">
        <v>30.559000000000029</v>
      </c>
      <c r="AF34" s="11">
        <v>30.579999999999941</v>
      </c>
      <c r="AG34" s="11">
        <v>30.598999999999986</v>
      </c>
      <c r="AH34" s="11">
        <v>30.614000000000001</v>
      </c>
      <c r="AI34" s="11">
        <v>30.625999999999973</v>
      </c>
      <c r="AJ34" s="11">
        <v>30.636999999999951</v>
      </c>
      <c r="AK34" s="172">
        <v>30.643999999999998</v>
      </c>
      <c r="AL34" s="11">
        <v>30.647000000000016</v>
      </c>
      <c r="AM34" s="11"/>
      <c r="AN34" s="11"/>
      <c r="AO34" s="11"/>
      <c r="AP34" s="11"/>
      <c r="AQ34" s="11"/>
      <c r="AR34" s="11"/>
      <c r="AS34" s="11"/>
      <c r="AT34" s="11"/>
      <c r="AU34" s="11"/>
      <c r="AV34" s="11"/>
      <c r="AW34" s="11"/>
      <c r="AX34" s="11"/>
      <c r="AY34" s="11"/>
      <c r="AZ34" s="11"/>
      <c r="BA34" s="11"/>
      <c r="BB34" s="11"/>
      <c r="BC34" s="11"/>
      <c r="BD34" s="11"/>
      <c r="BE34" s="11"/>
      <c r="BF34" s="11"/>
      <c r="BG34" s="11"/>
      <c r="BH34" s="11"/>
      <c r="BI34" s="11"/>
      <c r="BJ34" s="11"/>
      <c r="BK34" s="11"/>
      <c r="BL34" s="11"/>
      <c r="BM34" s="11"/>
      <c r="BN34" s="11"/>
      <c r="BO34" s="11"/>
      <c r="BP34" s="11"/>
      <c r="BQ34" s="11"/>
      <c r="BR34" s="11"/>
      <c r="BS34" s="11"/>
      <c r="BT34" s="11"/>
    </row>
    <row r="35" spans="1:72" x14ac:dyDescent="0.2">
      <c r="L35" s="83" t="str">
        <f>'Ind T4'!A37</f>
        <v>Education</v>
      </c>
      <c r="M35" s="11">
        <v>41.121000000000087</v>
      </c>
      <c r="N35" s="11">
        <v>42.486000000000054</v>
      </c>
      <c r="O35" s="11">
        <v>46.101999999999997</v>
      </c>
      <c r="P35" s="11">
        <v>39.436000000000085</v>
      </c>
      <c r="Q35" s="11">
        <v>41.717999999999925</v>
      </c>
      <c r="R35" s="11">
        <v>44.228000000000037</v>
      </c>
      <c r="S35" s="11">
        <v>42.595999999999954</v>
      </c>
      <c r="T35" s="11">
        <v>41.814999999999955</v>
      </c>
      <c r="U35" s="11">
        <v>41.493999999999943</v>
      </c>
      <c r="V35" s="11">
        <v>44.338000000000008</v>
      </c>
      <c r="W35" s="11">
        <v>43.000999999999983</v>
      </c>
      <c r="X35" s="11">
        <v>43.93399999999987</v>
      </c>
      <c r="Y35" s="11">
        <v>44.858000000000047</v>
      </c>
      <c r="Z35" s="11">
        <v>45.177999999999976</v>
      </c>
      <c r="AA35" s="11">
        <v>45.455999999999868</v>
      </c>
      <c r="AB35" s="11">
        <v>45.634999999999962</v>
      </c>
      <c r="AC35" s="11">
        <v>45.722999999999992</v>
      </c>
      <c r="AD35" s="11">
        <v>45.826000000000057</v>
      </c>
      <c r="AE35" s="11">
        <v>45.94099999999991</v>
      </c>
      <c r="AF35" s="11">
        <v>46.073</v>
      </c>
      <c r="AG35" s="11">
        <v>46.24999999999995</v>
      </c>
      <c r="AH35" s="11">
        <v>46.422999999999973</v>
      </c>
      <c r="AI35" s="11">
        <v>46.600000000000009</v>
      </c>
      <c r="AJ35" s="11">
        <v>46.780000000000058</v>
      </c>
      <c r="AK35" s="172">
        <v>46.961000000000055</v>
      </c>
      <c r="AL35" s="11">
        <v>47.142000000000053</v>
      </c>
      <c r="AM35" s="11"/>
      <c r="AN35" s="11"/>
      <c r="AO35" s="11"/>
      <c r="AP35" s="11"/>
      <c r="AQ35" s="11"/>
      <c r="AR35" s="11"/>
      <c r="AS35" s="11"/>
      <c r="AT35" s="11"/>
      <c r="AU35" s="11"/>
      <c r="AV35" s="11"/>
      <c r="AW35" s="11"/>
      <c r="AX35" s="11"/>
      <c r="AY35" s="11"/>
      <c r="AZ35" s="11"/>
      <c r="BA35" s="11"/>
      <c r="BB35" s="11"/>
      <c r="BC35" s="11"/>
      <c r="BD35" s="11"/>
      <c r="BE35" s="11"/>
      <c r="BF35" s="11"/>
      <c r="BG35" s="11"/>
      <c r="BH35" s="11"/>
      <c r="BI35" s="11"/>
      <c r="BJ35" s="11"/>
      <c r="BK35" s="11"/>
      <c r="BL35" s="11"/>
      <c r="BM35" s="11"/>
      <c r="BN35" s="11"/>
      <c r="BO35" s="11"/>
      <c r="BP35" s="11"/>
      <c r="BQ35" s="11"/>
      <c r="BR35" s="11"/>
      <c r="BS35" s="11"/>
      <c r="BT35" s="11"/>
    </row>
    <row r="36" spans="1:72" x14ac:dyDescent="0.2">
      <c r="L36" s="83" t="str">
        <f>'Ind T4'!A38</f>
        <v>Health and social work</v>
      </c>
      <c r="M36" s="11">
        <v>63.61000000000007</v>
      </c>
      <c r="N36" s="11">
        <v>60.638999999999847</v>
      </c>
      <c r="O36" s="11">
        <v>62.111000000000082</v>
      </c>
      <c r="P36" s="11">
        <v>62.96099999999997</v>
      </c>
      <c r="Q36" s="11">
        <v>70.45099999999988</v>
      </c>
      <c r="R36" s="11">
        <v>68.929999999999978</v>
      </c>
      <c r="S36" s="11">
        <v>62.967999999999989</v>
      </c>
      <c r="T36" s="11">
        <v>65.183999999999941</v>
      </c>
      <c r="U36" s="11">
        <v>63.425999999999881</v>
      </c>
      <c r="V36" s="11">
        <v>62.603999999999978</v>
      </c>
      <c r="W36" s="11">
        <v>65.835999999999956</v>
      </c>
      <c r="X36" s="11">
        <v>66.591999999999899</v>
      </c>
      <c r="Y36" s="11">
        <v>67.301999999999964</v>
      </c>
      <c r="Z36" s="11">
        <v>67.933999999999926</v>
      </c>
      <c r="AA36" s="11">
        <v>68.610999999999834</v>
      </c>
      <c r="AB36" s="11">
        <v>69.141999999999953</v>
      </c>
      <c r="AC36" s="11">
        <v>69.542000000000002</v>
      </c>
      <c r="AD36" s="11">
        <v>69.898999999999972</v>
      </c>
      <c r="AE36" s="11">
        <v>70.239999999999995</v>
      </c>
      <c r="AF36" s="11">
        <v>70.57500000000006</v>
      </c>
      <c r="AG36" s="11">
        <v>70.903000000000063</v>
      </c>
      <c r="AH36" s="11">
        <v>71.221000000000004</v>
      </c>
      <c r="AI36" s="11">
        <v>71.533000000000015</v>
      </c>
      <c r="AJ36" s="11">
        <v>71.847000000000065</v>
      </c>
      <c r="AK36" s="172">
        <v>72.161000000000072</v>
      </c>
      <c r="AL36" s="11">
        <v>72.47699999999999</v>
      </c>
      <c r="AM36" s="11"/>
      <c r="AN36" s="11"/>
      <c r="AO36" s="11"/>
      <c r="AP36" s="11"/>
      <c r="AQ36" s="11"/>
      <c r="AR36" s="11"/>
      <c r="AS36" s="11"/>
      <c r="AT36" s="11"/>
      <c r="AU36" s="11"/>
      <c r="AV36" s="11"/>
      <c r="AW36" s="11"/>
      <c r="AX36" s="11"/>
      <c r="AY36" s="11"/>
      <c r="AZ36" s="11"/>
      <c r="BA36" s="11"/>
      <c r="BB36" s="11"/>
      <c r="BC36" s="11"/>
      <c r="BD36" s="11"/>
      <c r="BE36" s="11"/>
      <c r="BF36" s="11"/>
      <c r="BG36" s="11"/>
      <c r="BH36" s="11"/>
      <c r="BI36" s="11"/>
      <c r="BJ36" s="11"/>
      <c r="BK36" s="11"/>
      <c r="BL36" s="11"/>
      <c r="BM36" s="11"/>
      <c r="BN36" s="11"/>
      <c r="BO36" s="11"/>
      <c r="BP36" s="11"/>
      <c r="BQ36" s="11"/>
      <c r="BR36" s="11"/>
      <c r="BS36" s="11"/>
      <c r="BT36" s="11"/>
    </row>
    <row r="37" spans="1:72" x14ac:dyDescent="0.2">
      <c r="L37" s="45"/>
      <c r="AH37" s="11"/>
      <c r="AI37" s="11"/>
      <c r="AJ37" s="11"/>
      <c r="AK37" s="172"/>
      <c r="AL37" s="11"/>
      <c r="AM37" s="11"/>
      <c r="AP37" s="11"/>
      <c r="AQ37" s="11"/>
      <c r="AR37" s="11"/>
      <c r="AS37" s="11"/>
      <c r="AT37" s="11"/>
      <c r="AU37" s="11"/>
      <c r="AV37" s="11"/>
      <c r="AW37" s="11"/>
      <c r="AX37" s="11"/>
      <c r="AY37" s="11"/>
      <c r="AZ37" s="11"/>
      <c r="BA37" s="11"/>
      <c r="BB37" s="11"/>
      <c r="BC37" s="11"/>
      <c r="BD37" s="11"/>
      <c r="BE37" s="11"/>
      <c r="BF37" s="11"/>
      <c r="BG37" s="11"/>
      <c r="BH37" s="11"/>
      <c r="BI37" s="11"/>
      <c r="BJ37" s="11"/>
      <c r="BK37" s="11"/>
      <c r="BL37" s="11"/>
      <c r="BM37" s="11"/>
      <c r="BN37" s="11"/>
      <c r="BO37" s="11"/>
      <c r="BP37" s="11"/>
      <c r="BQ37" s="11"/>
      <c r="BR37" s="11"/>
      <c r="BS37" s="11"/>
      <c r="BT37" s="11"/>
    </row>
    <row r="38" spans="1:72" x14ac:dyDescent="0.2">
      <c r="L38" s="1" t="str">
        <f>'Ind T4'!A40</f>
        <v>All industries</v>
      </c>
      <c r="M38" s="11">
        <f>SUM(M5,M11,M16,M18,M23,M33)</f>
        <v>466.27600000000029</v>
      </c>
      <c r="N38" s="11">
        <f t="shared" ref="N38:AL38" si="21">SUM(N5,N11,N16,N18,N23,N33)</f>
        <v>465.64100000000008</v>
      </c>
      <c r="O38" s="11">
        <f t="shared" si="21"/>
        <v>453.79500000000036</v>
      </c>
      <c r="P38" s="11">
        <f t="shared" si="21"/>
        <v>462.21599999999978</v>
      </c>
      <c r="Q38" s="11">
        <f t="shared" si="21"/>
        <v>475.66799999999938</v>
      </c>
      <c r="R38" s="11">
        <f t="shared" si="21"/>
        <v>489.71099999999973</v>
      </c>
      <c r="S38" s="11">
        <f t="shared" si="21"/>
        <v>465.29499999999967</v>
      </c>
      <c r="T38" s="11">
        <f t="shared" si="21"/>
        <v>476.60799999999995</v>
      </c>
      <c r="U38" s="11">
        <f t="shared" si="21"/>
        <v>485.8119999999999</v>
      </c>
      <c r="V38" s="11">
        <f t="shared" si="21"/>
        <v>483.57499999999982</v>
      </c>
      <c r="W38" s="11">
        <f t="shared" si="21"/>
        <v>478.92599999999993</v>
      </c>
      <c r="X38" s="11">
        <f t="shared" si="21"/>
        <v>478.94399999999973</v>
      </c>
      <c r="Y38" s="11">
        <f t="shared" si="21"/>
        <v>478.74300000000011</v>
      </c>
      <c r="Z38" s="11">
        <f t="shared" si="21"/>
        <v>479.69599999999991</v>
      </c>
      <c r="AA38" s="11">
        <f t="shared" si="21"/>
        <v>481.3379999999994</v>
      </c>
      <c r="AB38" s="11">
        <f t="shared" si="21"/>
        <v>482.75099999999981</v>
      </c>
      <c r="AC38" s="11">
        <f t="shared" si="21"/>
        <v>483.77099999999996</v>
      </c>
      <c r="AD38" s="11">
        <f t="shared" si="21"/>
        <v>484.64</v>
      </c>
      <c r="AE38" s="11">
        <f t="shared" si="21"/>
        <v>485.52600000000024</v>
      </c>
      <c r="AF38" s="11">
        <f t="shared" si="21"/>
        <v>486.41700000000009</v>
      </c>
      <c r="AG38" s="11">
        <f t="shared" si="21"/>
        <v>487.49200000000025</v>
      </c>
      <c r="AH38" s="11">
        <f t="shared" si="21"/>
        <v>488.52200000000011</v>
      </c>
      <c r="AI38" s="11">
        <f t="shared" si="21"/>
        <v>489.55799999999994</v>
      </c>
      <c r="AJ38" s="11">
        <f t="shared" si="21"/>
        <v>490.64300000000037</v>
      </c>
      <c r="AK38" s="11">
        <f t="shared" si="21"/>
        <v>491.71300000000031</v>
      </c>
      <c r="AL38" s="11">
        <f t="shared" si="21"/>
        <v>492.77800000000002</v>
      </c>
      <c r="AM38" s="11"/>
      <c r="AP38" s="11"/>
      <c r="AQ38" s="11"/>
      <c r="AR38" s="11"/>
      <c r="AS38" s="11"/>
      <c r="AT38" s="11"/>
      <c r="AU38" s="11"/>
      <c r="AV38" s="11"/>
      <c r="AW38" s="11"/>
      <c r="AX38" s="11"/>
      <c r="AY38" s="11"/>
      <c r="AZ38" s="11"/>
      <c r="BA38" s="11"/>
      <c r="BB38" s="11"/>
      <c r="BC38" s="11"/>
      <c r="BD38" s="11"/>
      <c r="BE38" s="11"/>
      <c r="BF38" s="11"/>
      <c r="BG38" s="11"/>
      <c r="BH38" s="11"/>
      <c r="BI38" s="11"/>
      <c r="BJ38" s="11"/>
      <c r="BK38" s="11"/>
      <c r="BL38" s="11"/>
      <c r="BM38" s="11"/>
      <c r="BN38" s="11"/>
      <c r="BO38" s="11"/>
      <c r="BP38" s="11"/>
      <c r="BQ38" s="11"/>
      <c r="BR38" s="11"/>
      <c r="BS38" s="11"/>
      <c r="BT38" s="11"/>
    </row>
    <row r="39" spans="1:72" x14ac:dyDescent="0.2">
      <c r="AD39" s="11"/>
      <c r="AE39" s="11"/>
      <c r="AF39" s="11"/>
      <c r="AG39" s="11"/>
      <c r="AH39" s="11"/>
      <c r="AI39" s="11"/>
      <c r="AL39" s="11"/>
      <c r="AM39" s="11"/>
      <c r="AN39" s="11"/>
      <c r="AO39" s="11"/>
      <c r="AP39" s="11"/>
      <c r="AQ39" s="11"/>
      <c r="AR39" s="11"/>
      <c r="AS39" s="11"/>
      <c r="AT39" s="11"/>
      <c r="AU39" s="11"/>
      <c r="AV39" s="11"/>
      <c r="AW39" s="11"/>
      <c r="AX39" s="11"/>
      <c r="AY39" s="11"/>
      <c r="AZ39" s="11"/>
      <c r="BA39" s="11"/>
      <c r="BB39" s="11"/>
      <c r="BC39" s="11"/>
      <c r="BD39" s="11"/>
      <c r="BE39" s="11"/>
      <c r="BF39" s="11"/>
      <c r="BG39" s="11"/>
      <c r="BH39" s="11"/>
      <c r="BI39" s="11"/>
      <c r="BJ39" s="11"/>
      <c r="BK39" s="11"/>
      <c r="BL39" s="11"/>
      <c r="BM39" s="11"/>
      <c r="BN39" s="11"/>
      <c r="BO39" s="11"/>
      <c r="BP39" s="11"/>
    </row>
    <row r="40" spans="1:72" x14ac:dyDescent="0.2">
      <c r="AD40" s="11"/>
      <c r="AE40" s="11"/>
      <c r="AF40" s="11"/>
      <c r="AG40" s="11"/>
      <c r="AH40" s="11"/>
      <c r="AI40" s="11"/>
      <c r="AL40" s="11"/>
      <c r="AM40" s="11"/>
      <c r="AN40" s="11"/>
      <c r="AO40" s="11"/>
      <c r="AP40" s="11"/>
      <c r="AQ40" s="11"/>
      <c r="AR40" s="11"/>
      <c r="AS40" s="11"/>
      <c r="AT40" s="11"/>
      <c r="AU40" s="11"/>
      <c r="AV40" s="11"/>
      <c r="AW40" s="11"/>
      <c r="AX40" s="11"/>
      <c r="AY40" s="11"/>
      <c r="AZ40" s="11"/>
      <c r="BA40" s="11"/>
      <c r="BB40" s="11"/>
      <c r="BC40" s="11"/>
      <c r="BD40" s="11"/>
      <c r="BE40" s="11"/>
      <c r="BF40" s="11"/>
      <c r="BG40" s="11"/>
      <c r="BH40" s="11"/>
      <c r="BI40" s="11"/>
      <c r="BJ40" s="11"/>
      <c r="BK40" s="11"/>
      <c r="BL40" s="11"/>
      <c r="BM40" s="11"/>
      <c r="BN40" s="11"/>
      <c r="BO40" s="11"/>
      <c r="BP40" s="11"/>
    </row>
    <row r="41" spans="1:72" x14ac:dyDescent="0.2">
      <c r="L41" t="str">
        <f>REPT(" ",11)</f>
        <v xml:space="preserve">           </v>
      </c>
      <c r="AF41" s="11"/>
      <c r="AG41" s="11"/>
      <c r="AH41" s="11"/>
      <c r="AI41" s="11"/>
      <c r="AL41" s="11"/>
      <c r="AM41" s="11"/>
      <c r="AN41" s="11"/>
      <c r="AO41" s="11"/>
      <c r="AP41" s="11"/>
      <c r="AQ41" s="11"/>
      <c r="AR41" s="11"/>
      <c r="AS41" s="11"/>
      <c r="AT41" s="11"/>
      <c r="AU41" s="11"/>
      <c r="AV41" s="11"/>
      <c r="AW41" s="11"/>
      <c r="AX41" s="11"/>
      <c r="AY41" s="11"/>
      <c r="AZ41" s="11"/>
      <c r="BA41" s="11"/>
      <c r="BB41" s="11"/>
      <c r="BC41" s="11"/>
      <c r="BD41" s="11"/>
      <c r="BE41" s="11"/>
      <c r="BF41" s="11"/>
      <c r="BG41" s="11"/>
      <c r="BH41" s="11"/>
      <c r="BI41" s="11"/>
      <c r="BJ41" s="11"/>
      <c r="BK41" s="11"/>
      <c r="BL41" s="11"/>
      <c r="BM41" s="11"/>
      <c r="BN41" s="11"/>
      <c r="BO41" s="11"/>
      <c r="BP41" s="11"/>
    </row>
    <row r="42" spans="1:72" x14ac:dyDescent="0.2">
      <c r="AL42" s="11"/>
      <c r="AM42" s="11"/>
      <c r="AN42" s="11"/>
      <c r="AO42" s="11"/>
      <c r="AP42" s="11"/>
      <c r="AQ42" s="11"/>
      <c r="AR42" s="11"/>
      <c r="AS42" s="11"/>
      <c r="AT42" s="11"/>
      <c r="AU42" s="11"/>
      <c r="AV42" s="11"/>
      <c r="AW42" s="11"/>
      <c r="AX42" s="11"/>
      <c r="AY42" s="11"/>
      <c r="AZ42" s="11"/>
      <c r="BA42" s="11"/>
      <c r="BB42" s="11"/>
      <c r="BC42" s="11"/>
      <c r="BD42" s="11"/>
      <c r="BE42" s="11"/>
      <c r="BF42" s="11"/>
      <c r="BG42" s="11"/>
      <c r="BH42" s="11"/>
      <c r="BI42" s="11"/>
      <c r="BJ42" s="11"/>
      <c r="BK42" s="11"/>
      <c r="BL42" s="11"/>
      <c r="BM42" s="11"/>
      <c r="BN42" s="11"/>
      <c r="BO42" s="11"/>
      <c r="BP42" s="11"/>
    </row>
    <row r="43" spans="1:72" x14ac:dyDescent="0.2">
      <c r="AL43" s="11"/>
      <c r="AM43" s="11"/>
      <c r="AN43" s="11"/>
      <c r="AO43" s="11"/>
      <c r="AP43" s="11"/>
      <c r="AQ43" s="11"/>
      <c r="AR43" s="11"/>
      <c r="AS43" s="11"/>
      <c r="AT43" s="11"/>
      <c r="AU43" s="11"/>
      <c r="AV43" s="11"/>
      <c r="AW43" s="11"/>
      <c r="AX43" s="11"/>
      <c r="AY43" s="11"/>
      <c r="AZ43" s="11"/>
      <c r="BA43" s="11"/>
      <c r="BB43" s="11"/>
      <c r="BC43" s="11"/>
      <c r="BD43" s="11"/>
      <c r="BE43" s="11"/>
      <c r="BF43" s="11"/>
      <c r="BG43" s="11"/>
      <c r="BH43" s="11"/>
      <c r="BI43" s="11"/>
      <c r="BJ43" s="11"/>
      <c r="BK43" s="11"/>
      <c r="BL43" s="11"/>
      <c r="BM43" s="11"/>
      <c r="BN43" s="11"/>
      <c r="BO43" s="11"/>
      <c r="BP43" s="11"/>
    </row>
    <row r="44" spans="1:72" x14ac:dyDescent="0.2">
      <c r="AL44" s="11"/>
      <c r="AM44" s="11"/>
      <c r="AN44" s="11"/>
      <c r="AO44" s="11"/>
      <c r="AP44" s="11"/>
      <c r="AQ44" s="11"/>
      <c r="AR44" s="11"/>
      <c r="AS44" s="11"/>
      <c r="AT44" s="11"/>
      <c r="AU44" s="11"/>
      <c r="AV44" s="11"/>
      <c r="AW44" s="11"/>
      <c r="AX44" s="11"/>
      <c r="AY44" s="11"/>
      <c r="AZ44" s="11"/>
      <c r="BA44" s="11"/>
      <c r="BB44" s="11"/>
      <c r="BC44" s="11"/>
      <c r="BD44" s="11"/>
      <c r="BE44" s="11"/>
      <c r="BF44" s="11"/>
      <c r="BG44" s="11"/>
      <c r="BH44" s="11"/>
      <c r="BI44" s="11"/>
      <c r="BJ44" s="11"/>
      <c r="BK44" s="11"/>
      <c r="BL44" s="11"/>
      <c r="BM44" s="11"/>
      <c r="BN44" s="11"/>
      <c r="BO44" s="11"/>
      <c r="BP44" s="11"/>
    </row>
    <row r="45" spans="1:72" x14ac:dyDescent="0.2">
      <c r="AL45" s="11"/>
      <c r="AM45" s="11"/>
      <c r="AN45" s="11"/>
      <c r="AO45" s="11"/>
      <c r="AP45" s="11"/>
      <c r="AQ45" s="11"/>
      <c r="AR45" s="11"/>
      <c r="AS45" s="11"/>
      <c r="AT45" s="11"/>
      <c r="AU45" s="11"/>
      <c r="AV45" s="11"/>
      <c r="AW45" s="11"/>
      <c r="AX45" s="11"/>
      <c r="AY45" s="11"/>
      <c r="AZ45" s="11"/>
      <c r="BA45" s="11"/>
      <c r="BB45" s="11"/>
      <c r="BC45" s="11"/>
      <c r="BD45" s="11"/>
      <c r="BE45" s="11"/>
      <c r="BF45" s="11"/>
      <c r="BG45" s="11"/>
      <c r="BH45" s="11"/>
      <c r="BI45" s="11"/>
      <c r="BJ45" s="11"/>
      <c r="BK45" s="11"/>
      <c r="BL45" s="11"/>
      <c r="BM45" s="11"/>
      <c r="BN45" s="11"/>
      <c r="BO45" s="11"/>
      <c r="BP45" s="11"/>
    </row>
    <row r="46" spans="1:72" x14ac:dyDescent="0.2">
      <c r="AL46" s="11"/>
      <c r="AM46" s="11"/>
      <c r="AN46" s="11"/>
      <c r="AO46" s="11"/>
      <c r="AP46" s="11"/>
      <c r="AQ46" s="11"/>
      <c r="AR46" s="11"/>
      <c r="AS46" s="11"/>
      <c r="AT46" s="11"/>
      <c r="AU46" s="11"/>
      <c r="AV46" s="11"/>
      <c r="AW46" s="11"/>
      <c r="AX46" s="11"/>
      <c r="AY46" s="11"/>
      <c r="AZ46" s="11"/>
      <c r="BA46" s="11"/>
      <c r="BB46" s="11"/>
      <c r="BC46" s="11"/>
      <c r="BD46" s="11"/>
      <c r="BE46" s="11"/>
      <c r="BF46" s="11"/>
      <c r="BG46" s="11"/>
      <c r="BH46" s="11"/>
      <c r="BI46" s="11"/>
      <c r="BJ46" s="11"/>
      <c r="BK46" s="11"/>
      <c r="BL46" s="11"/>
      <c r="BM46" s="11"/>
      <c r="BN46" s="11"/>
      <c r="BO46" s="11"/>
      <c r="BP46" s="11"/>
    </row>
    <row r="47" spans="1:72" ht="15.75" x14ac:dyDescent="0.25">
      <c r="A47" s="80" t="str">
        <f>CONCATENATE("Industry Figure 2.1  Change in Employment in ",$L$5,", ",$M$2,"-",$O$2,", ",Info!B5)</f>
        <v>Industry Figure 2.1  Change in Employment in Primary sector and utilities, 2010-2035, North East</v>
      </c>
      <c r="AL47" s="11"/>
      <c r="AM47" s="11"/>
      <c r="AN47" s="11"/>
      <c r="AO47" s="11"/>
      <c r="AP47" s="11"/>
      <c r="AQ47" s="11"/>
      <c r="AR47" s="11"/>
      <c r="AS47" s="11"/>
      <c r="AT47" s="11"/>
      <c r="AU47" s="11"/>
      <c r="AV47" s="11"/>
      <c r="AW47" s="11"/>
      <c r="AX47" s="11"/>
      <c r="AY47" s="11"/>
      <c r="AZ47" s="11"/>
      <c r="BA47" s="11"/>
      <c r="BB47" s="11"/>
      <c r="BC47" s="11"/>
      <c r="BD47" s="11"/>
      <c r="BE47" s="11"/>
      <c r="BF47" s="11"/>
      <c r="BG47" s="11"/>
      <c r="BH47" s="11"/>
      <c r="BI47" s="11"/>
      <c r="BJ47" s="11"/>
      <c r="BK47" s="11"/>
      <c r="BL47" s="11"/>
      <c r="BM47" s="11"/>
      <c r="BN47" s="11"/>
      <c r="BO47" s="11"/>
      <c r="BP47" s="11"/>
    </row>
    <row r="48" spans="1:72" x14ac:dyDescent="0.2">
      <c r="AL48" s="11"/>
      <c r="AM48" s="11"/>
      <c r="AN48" s="11"/>
      <c r="AO48" s="11"/>
      <c r="AP48" s="11"/>
      <c r="AQ48" s="11"/>
      <c r="AR48" s="11"/>
      <c r="AS48" s="11"/>
      <c r="AT48" s="11"/>
      <c r="AU48" s="11"/>
      <c r="AV48" s="11"/>
      <c r="AW48" s="11"/>
      <c r="AX48" s="11"/>
      <c r="AY48" s="11"/>
      <c r="AZ48" s="11"/>
      <c r="BA48" s="11"/>
      <c r="BB48" s="11"/>
      <c r="BC48" s="11"/>
      <c r="BD48" s="11"/>
      <c r="BE48" s="11"/>
      <c r="BF48" s="11"/>
      <c r="BG48" s="11"/>
      <c r="BH48" s="11"/>
      <c r="BI48" s="11"/>
      <c r="BJ48" s="11"/>
      <c r="BK48" s="11"/>
      <c r="BL48" s="11"/>
      <c r="BM48" s="11"/>
      <c r="BN48" s="11"/>
      <c r="BO48" s="11"/>
      <c r="BP48" s="11"/>
    </row>
    <row r="49" spans="38:68" x14ac:dyDescent="0.2">
      <c r="AL49" s="11"/>
      <c r="AM49" s="11"/>
      <c r="AN49" s="11"/>
      <c r="AO49" s="11"/>
      <c r="AP49" s="11"/>
      <c r="AQ49" s="11"/>
      <c r="AR49" s="11"/>
      <c r="AS49" s="11"/>
      <c r="AT49" s="11"/>
      <c r="AU49" s="11"/>
      <c r="AV49" s="11"/>
      <c r="AW49" s="11"/>
      <c r="AX49" s="11"/>
      <c r="AY49" s="11"/>
      <c r="AZ49" s="11"/>
      <c r="BA49" s="11"/>
      <c r="BB49" s="11"/>
      <c r="BC49" s="11"/>
      <c r="BD49" s="11"/>
      <c r="BE49" s="11"/>
      <c r="BF49" s="11"/>
      <c r="BG49" s="11"/>
      <c r="BH49" s="11"/>
      <c r="BI49" s="11"/>
      <c r="BJ49" s="11"/>
      <c r="BK49" s="11"/>
      <c r="BL49" s="11"/>
      <c r="BM49" s="11"/>
      <c r="BN49" s="11"/>
      <c r="BO49" s="11"/>
      <c r="BP49" s="11"/>
    </row>
    <row r="50" spans="38:68" x14ac:dyDescent="0.2">
      <c r="AL50" s="11"/>
      <c r="AM50" s="11"/>
      <c r="AN50" s="11"/>
      <c r="AO50" s="11"/>
      <c r="AP50" s="11"/>
      <c r="AQ50" s="11"/>
      <c r="AR50" s="11"/>
      <c r="AS50" s="11"/>
      <c r="AT50" s="11"/>
      <c r="AU50" s="11"/>
      <c r="AV50" s="11"/>
      <c r="AW50" s="11"/>
      <c r="AX50" s="11"/>
      <c r="AY50" s="11"/>
      <c r="AZ50" s="11"/>
      <c r="BA50" s="11"/>
      <c r="BB50" s="11"/>
      <c r="BC50" s="11"/>
      <c r="BD50" s="11"/>
      <c r="BE50" s="11"/>
      <c r="BF50" s="11"/>
      <c r="BG50" s="11"/>
      <c r="BH50" s="11"/>
      <c r="BI50" s="11"/>
      <c r="BJ50" s="11"/>
      <c r="BK50" s="11"/>
      <c r="BL50" s="11"/>
      <c r="BM50" s="11"/>
      <c r="BN50" s="11"/>
      <c r="BO50" s="11"/>
      <c r="BP50" s="11"/>
    </row>
    <row r="51" spans="38:68" x14ac:dyDescent="0.2">
      <c r="AL51" s="11"/>
      <c r="AM51" s="11"/>
      <c r="AN51" s="11"/>
      <c r="AO51" s="11"/>
      <c r="AP51" s="11"/>
      <c r="AQ51" s="11"/>
      <c r="AR51" s="11"/>
      <c r="AS51" s="11"/>
      <c r="AT51" s="11"/>
      <c r="AU51" s="11"/>
      <c r="AV51" s="11"/>
      <c r="AW51" s="11"/>
      <c r="AX51" s="11"/>
      <c r="AY51" s="11"/>
      <c r="AZ51" s="11"/>
      <c r="BA51" s="11"/>
      <c r="BB51" s="11"/>
      <c r="BC51" s="11"/>
      <c r="BD51" s="11"/>
      <c r="BE51" s="11"/>
      <c r="BF51" s="11"/>
      <c r="BG51" s="11"/>
      <c r="BH51" s="11"/>
      <c r="BI51" s="11"/>
      <c r="BJ51" s="11"/>
      <c r="BK51" s="11"/>
      <c r="BL51" s="11"/>
      <c r="BM51" s="11"/>
      <c r="BN51" s="11"/>
      <c r="BO51" s="11"/>
      <c r="BP51" s="11"/>
    </row>
    <row r="52" spans="38:68" x14ac:dyDescent="0.2">
      <c r="AL52" s="11"/>
      <c r="AM52" s="11"/>
      <c r="AN52" s="11"/>
      <c r="AO52" s="11"/>
      <c r="AP52" s="11"/>
      <c r="AQ52" s="11"/>
      <c r="AR52" s="11"/>
      <c r="AS52" s="11"/>
      <c r="AT52" s="11"/>
      <c r="AU52" s="11"/>
      <c r="AV52" s="11"/>
      <c r="AW52" s="11"/>
      <c r="AX52" s="11"/>
      <c r="AY52" s="11"/>
      <c r="AZ52" s="11"/>
      <c r="BA52" s="11"/>
      <c r="BB52" s="11"/>
      <c r="BC52" s="11"/>
      <c r="BD52" s="11"/>
      <c r="BE52" s="11"/>
      <c r="BF52" s="11"/>
      <c r="BG52" s="11"/>
      <c r="BH52" s="11"/>
      <c r="BI52" s="11"/>
      <c r="BJ52" s="11"/>
      <c r="BK52" s="11"/>
      <c r="BL52" s="11"/>
      <c r="BM52" s="11"/>
      <c r="BN52" s="11"/>
      <c r="BO52" s="11"/>
      <c r="BP52" s="11"/>
    </row>
    <row r="53" spans="38:68" x14ac:dyDescent="0.2">
      <c r="AL53" s="11"/>
      <c r="AM53" s="11"/>
      <c r="AN53" s="11"/>
      <c r="AO53" s="11"/>
      <c r="AP53" s="11"/>
      <c r="AQ53" s="11"/>
      <c r="AR53" s="11"/>
      <c r="AS53" s="11"/>
      <c r="AT53" s="11"/>
      <c r="AU53" s="11"/>
      <c r="AV53" s="11"/>
      <c r="AW53" s="11"/>
      <c r="AX53" s="11"/>
      <c r="AY53" s="11"/>
      <c r="AZ53" s="11"/>
      <c r="BA53" s="11"/>
      <c r="BB53" s="11"/>
      <c r="BC53" s="11"/>
      <c r="BD53" s="11"/>
      <c r="BE53" s="11"/>
      <c r="BF53" s="11"/>
      <c r="BG53" s="11"/>
      <c r="BH53" s="11"/>
      <c r="BI53" s="11"/>
      <c r="BJ53" s="11"/>
      <c r="BK53" s="11"/>
      <c r="BL53" s="11"/>
      <c r="BM53" s="11"/>
      <c r="BN53" s="11"/>
      <c r="BO53" s="11"/>
      <c r="BP53" s="11"/>
    </row>
    <row r="54" spans="38:68" x14ac:dyDescent="0.2">
      <c r="AL54" s="11"/>
      <c r="AM54" s="11"/>
      <c r="AN54" s="11"/>
      <c r="AO54" s="11"/>
      <c r="AP54" s="11"/>
      <c r="AQ54" s="11"/>
      <c r="AR54" s="11"/>
      <c r="AS54" s="11"/>
      <c r="AT54" s="11"/>
      <c r="AU54" s="11"/>
      <c r="AV54" s="11"/>
      <c r="AW54" s="11"/>
      <c r="AX54" s="11"/>
      <c r="AY54" s="11"/>
      <c r="AZ54" s="11"/>
      <c r="BA54" s="11"/>
      <c r="BB54" s="11"/>
      <c r="BC54" s="11"/>
      <c r="BD54" s="11"/>
      <c r="BE54" s="11"/>
      <c r="BF54" s="11"/>
      <c r="BG54" s="11"/>
      <c r="BH54" s="11"/>
      <c r="BI54" s="11"/>
      <c r="BJ54" s="11"/>
      <c r="BK54" s="11"/>
      <c r="BL54" s="11"/>
      <c r="BM54" s="11"/>
      <c r="BN54" s="11"/>
      <c r="BO54" s="11"/>
      <c r="BP54" s="11"/>
    </row>
    <row r="55" spans="38:68" x14ac:dyDescent="0.2">
      <c r="AL55" s="11"/>
      <c r="AM55" s="11"/>
      <c r="AN55" s="11"/>
      <c r="AO55" s="11"/>
      <c r="AP55" s="11"/>
      <c r="AQ55" s="11"/>
      <c r="AR55" s="11"/>
      <c r="AS55" s="11"/>
      <c r="AT55" s="11"/>
      <c r="AU55" s="11"/>
      <c r="AV55" s="11"/>
      <c r="AW55" s="11"/>
      <c r="AX55" s="11"/>
      <c r="AY55" s="11"/>
      <c r="AZ55" s="11"/>
      <c r="BA55" s="11"/>
      <c r="BB55" s="11"/>
      <c r="BC55" s="11"/>
      <c r="BD55" s="11"/>
      <c r="BE55" s="11"/>
      <c r="BF55" s="11"/>
      <c r="BG55" s="11"/>
      <c r="BH55" s="11"/>
      <c r="BI55" s="11"/>
      <c r="BJ55" s="11"/>
      <c r="BK55" s="11"/>
      <c r="BL55" s="11"/>
      <c r="BM55" s="11"/>
      <c r="BN55" s="11"/>
      <c r="BO55" s="11"/>
      <c r="BP55" s="11"/>
    </row>
    <row r="56" spans="38:68" x14ac:dyDescent="0.2">
      <c r="AL56" s="11"/>
      <c r="AM56" s="11"/>
      <c r="AN56" s="11"/>
      <c r="AO56" s="11"/>
      <c r="AP56" s="11"/>
      <c r="AQ56" s="11"/>
      <c r="AR56" s="11"/>
      <c r="AS56" s="11"/>
      <c r="AT56" s="11"/>
      <c r="AU56" s="11"/>
      <c r="AV56" s="11"/>
      <c r="AW56" s="11"/>
      <c r="AX56" s="11"/>
      <c r="AY56" s="11"/>
      <c r="AZ56" s="11"/>
      <c r="BA56" s="11"/>
      <c r="BB56" s="11"/>
      <c r="BC56" s="11"/>
      <c r="BD56" s="11"/>
      <c r="BE56" s="11"/>
      <c r="BF56" s="11"/>
      <c r="BG56" s="11"/>
      <c r="BH56" s="11"/>
      <c r="BI56" s="11"/>
      <c r="BJ56" s="11"/>
      <c r="BK56" s="11"/>
      <c r="BL56" s="11"/>
      <c r="BM56" s="11"/>
      <c r="BN56" s="11"/>
      <c r="BO56" s="11"/>
      <c r="BP56" s="11"/>
    </row>
    <row r="57" spans="38:68" x14ac:dyDescent="0.2">
      <c r="AL57" s="11"/>
      <c r="AM57" s="11"/>
      <c r="AN57" s="11"/>
      <c r="AO57" s="11"/>
      <c r="AP57" s="11"/>
      <c r="AQ57" s="11"/>
      <c r="AR57" s="11"/>
      <c r="AS57" s="11"/>
      <c r="AT57" s="11"/>
      <c r="AU57" s="11"/>
      <c r="AV57" s="11"/>
      <c r="AW57" s="11"/>
      <c r="AX57" s="11"/>
      <c r="AY57" s="11"/>
      <c r="AZ57" s="11"/>
      <c r="BA57" s="11"/>
      <c r="BB57" s="11"/>
      <c r="BC57" s="11"/>
      <c r="BD57" s="11"/>
      <c r="BE57" s="11"/>
      <c r="BF57" s="11"/>
      <c r="BG57" s="11"/>
      <c r="BH57" s="11"/>
      <c r="BI57" s="11"/>
      <c r="BJ57" s="11"/>
      <c r="BK57" s="11"/>
      <c r="BL57" s="11"/>
      <c r="BM57" s="11"/>
      <c r="BN57" s="11"/>
      <c r="BO57" s="11"/>
      <c r="BP57" s="11"/>
    </row>
    <row r="58" spans="38:68" x14ac:dyDescent="0.2">
      <c r="AL58" s="11"/>
      <c r="AM58" s="11"/>
      <c r="AN58" s="11"/>
      <c r="AO58" s="11"/>
      <c r="AP58" s="11"/>
      <c r="AQ58" s="11"/>
      <c r="AR58" s="11"/>
      <c r="AS58" s="11"/>
      <c r="AT58" s="11"/>
      <c r="AU58" s="11"/>
      <c r="AV58" s="11"/>
      <c r="AW58" s="11"/>
      <c r="AX58" s="11"/>
      <c r="AY58" s="11"/>
      <c r="AZ58" s="11"/>
      <c r="BA58" s="11"/>
      <c r="BB58" s="11"/>
      <c r="BC58" s="11"/>
      <c r="BD58" s="11"/>
      <c r="BE58" s="11"/>
      <c r="BF58" s="11"/>
      <c r="BG58" s="11"/>
      <c r="BH58" s="11"/>
      <c r="BI58" s="11"/>
      <c r="BJ58" s="11"/>
      <c r="BK58" s="11"/>
      <c r="BL58" s="11"/>
      <c r="BM58" s="11"/>
      <c r="BN58" s="11"/>
      <c r="BO58" s="11"/>
      <c r="BP58" s="11"/>
    </row>
    <row r="59" spans="38:68" x14ac:dyDescent="0.2">
      <c r="AL59" s="11"/>
      <c r="AM59" s="11"/>
      <c r="AN59" s="11"/>
      <c r="AO59" s="11"/>
      <c r="AP59" s="11"/>
      <c r="AQ59" s="11"/>
      <c r="AR59" s="11"/>
      <c r="AS59" s="11"/>
      <c r="AT59" s="11"/>
      <c r="AU59" s="11"/>
      <c r="AV59" s="11"/>
      <c r="AW59" s="11"/>
      <c r="AX59" s="11"/>
      <c r="AY59" s="11"/>
      <c r="AZ59" s="11"/>
      <c r="BA59" s="11"/>
      <c r="BB59" s="11"/>
      <c r="BC59" s="11"/>
      <c r="BD59" s="11"/>
      <c r="BE59" s="11"/>
      <c r="BF59" s="11"/>
      <c r="BG59" s="11"/>
      <c r="BH59" s="11"/>
      <c r="BI59" s="11"/>
      <c r="BJ59" s="11"/>
      <c r="BK59" s="11"/>
      <c r="BL59" s="11"/>
      <c r="BM59" s="11"/>
      <c r="BN59" s="11"/>
      <c r="BO59" s="11"/>
      <c r="BP59" s="11"/>
    </row>
    <row r="60" spans="38:68" x14ac:dyDescent="0.2">
      <c r="AL60" s="11"/>
      <c r="AM60" s="11"/>
      <c r="AN60" s="11"/>
      <c r="AO60" s="11"/>
      <c r="AP60" s="11"/>
      <c r="AQ60" s="11"/>
      <c r="AR60" s="11"/>
      <c r="AS60" s="11"/>
      <c r="AT60" s="11"/>
      <c r="AU60" s="11"/>
      <c r="AV60" s="11"/>
      <c r="AW60" s="11"/>
      <c r="AX60" s="11"/>
      <c r="AY60" s="11"/>
      <c r="AZ60" s="11"/>
      <c r="BA60" s="11"/>
      <c r="BB60" s="11"/>
      <c r="BC60" s="11"/>
      <c r="BD60" s="11"/>
      <c r="BE60" s="11"/>
      <c r="BF60" s="11"/>
      <c r="BG60" s="11"/>
      <c r="BH60" s="11"/>
      <c r="BI60" s="11"/>
      <c r="BJ60" s="11"/>
      <c r="BK60" s="11"/>
      <c r="BL60" s="11"/>
      <c r="BM60" s="11"/>
      <c r="BN60" s="11"/>
      <c r="BO60" s="11"/>
      <c r="BP60" s="11"/>
    </row>
    <row r="61" spans="38:68" x14ac:dyDescent="0.2">
      <c r="AL61" s="11"/>
      <c r="AM61" s="11"/>
      <c r="AN61" s="11"/>
      <c r="AO61" s="11"/>
      <c r="AP61" s="11"/>
      <c r="AQ61" s="11"/>
      <c r="AR61" s="11"/>
      <c r="AS61" s="11"/>
      <c r="AT61" s="11"/>
      <c r="AU61" s="11"/>
      <c r="AV61" s="11"/>
      <c r="AW61" s="11"/>
      <c r="AX61" s="11"/>
      <c r="AY61" s="11"/>
      <c r="AZ61" s="11"/>
      <c r="BA61" s="11"/>
      <c r="BB61" s="11"/>
      <c r="BC61" s="11"/>
      <c r="BD61" s="11"/>
      <c r="BE61" s="11"/>
      <c r="BF61" s="11"/>
      <c r="BG61" s="11"/>
      <c r="BH61" s="11"/>
      <c r="BI61" s="11"/>
      <c r="BJ61" s="11"/>
      <c r="BK61" s="11"/>
      <c r="BL61" s="11"/>
      <c r="BM61" s="11"/>
      <c r="BN61" s="11"/>
      <c r="BO61" s="11"/>
      <c r="BP61" s="11"/>
    </row>
    <row r="62" spans="38:68" x14ac:dyDescent="0.2">
      <c r="AL62" s="11"/>
      <c r="AM62" s="11"/>
      <c r="AN62" s="11"/>
      <c r="AO62" s="11"/>
      <c r="AP62" s="11"/>
      <c r="AQ62" s="11"/>
      <c r="AR62" s="11"/>
      <c r="AS62" s="11"/>
      <c r="AT62" s="11"/>
      <c r="AU62" s="11"/>
      <c r="AV62" s="11"/>
      <c r="AW62" s="11"/>
      <c r="AX62" s="11"/>
      <c r="AY62" s="11"/>
      <c r="AZ62" s="11"/>
      <c r="BA62" s="11"/>
      <c r="BB62" s="11"/>
      <c r="BC62" s="11"/>
      <c r="BD62" s="11"/>
      <c r="BE62" s="11"/>
      <c r="BF62" s="11"/>
      <c r="BG62" s="11"/>
      <c r="BH62" s="11"/>
      <c r="BI62" s="11"/>
      <c r="BJ62" s="11"/>
      <c r="BK62" s="11"/>
      <c r="BL62" s="11"/>
      <c r="BM62" s="11"/>
      <c r="BN62" s="11"/>
      <c r="BO62" s="11"/>
      <c r="BP62" s="11"/>
    </row>
    <row r="63" spans="38:68" x14ac:dyDescent="0.2">
      <c r="AL63" s="11"/>
      <c r="AM63" s="11"/>
      <c r="AN63" s="11"/>
      <c r="AO63" s="11"/>
      <c r="AP63" s="11"/>
      <c r="AQ63" s="11"/>
      <c r="AR63" s="11"/>
      <c r="AS63" s="11"/>
      <c r="AT63" s="11"/>
      <c r="AU63" s="11"/>
      <c r="AV63" s="11"/>
      <c r="AW63" s="11"/>
      <c r="AX63" s="11"/>
      <c r="AY63" s="11"/>
      <c r="AZ63" s="11"/>
      <c r="BA63" s="11"/>
      <c r="BB63" s="11"/>
      <c r="BC63" s="11"/>
      <c r="BD63" s="11"/>
      <c r="BE63" s="11"/>
      <c r="BF63" s="11"/>
      <c r="BG63" s="11"/>
      <c r="BH63" s="11"/>
      <c r="BI63" s="11"/>
      <c r="BJ63" s="11"/>
      <c r="BK63" s="11"/>
      <c r="BL63" s="11"/>
      <c r="BM63" s="11"/>
      <c r="BN63" s="11"/>
      <c r="BO63" s="11"/>
      <c r="BP63" s="11"/>
    </row>
    <row r="64" spans="38:68" x14ac:dyDescent="0.2">
      <c r="AL64" s="11"/>
      <c r="AM64" s="11"/>
      <c r="AN64" s="11"/>
      <c r="AO64" s="11"/>
      <c r="AP64" s="11"/>
      <c r="AQ64" s="11"/>
      <c r="AR64" s="11"/>
      <c r="AS64" s="11"/>
      <c r="AT64" s="11"/>
      <c r="AU64" s="11"/>
      <c r="AV64" s="11"/>
      <c r="AW64" s="11"/>
      <c r="AX64" s="11"/>
      <c r="AY64" s="11"/>
      <c r="AZ64" s="11"/>
      <c r="BA64" s="11"/>
      <c r="BB64" s="11"/>
      <c r="BC64" s="11"/>
      <c r="BD64" s="11"/>
      <c r="BE64" s="11"/>
      <c r="BF64" s="11"/>
      <c r="BG64" s="11"/>
      <c r="BH64" s="11"/>
      <c r="BI64" s="11"/>
      <c r="BJ64" s="11"/>
      <c r="BK64" s="11"/>
      <c r="BL64" s="11"/>
      <c r="BM64" s="11"/>
      <c r="BN64" s="11"/>
      <c r="BO64" s="11"/>
      <c r="BP64" s="11"/>
    </row>
    <row r="65" spans="1:68" x14ac:dyDescent="0.2">
      <c r="AL65" s="11"/>
      <c r="AM65" s="11"/>
      <c r="AN65" s="11"/>
      <c r="AO65" s="11"/>
      <c r="AP65" s="11"/>
      <c r="AQ65" s="11"/>
      <c r="AR65" s="11"/>
      <c r="AS65" s="11"/>
      <c r="AT65" s="11"/>
      <c r="AU65" s="11"/>
      <c r="AV65" s="11"/>
      <c r="AW65" s="11"/>
      <c r="AX65" s="11"/>
      <c r="AY65" s="11"/>
      <c r="AZ65" s="11"/>
      <c r="BA65" s="11"/>
      <c r="BB65" s="11"/>
      <c r="BC65" s="11"/>
      <c r="BD65" s="11"/>
      <c r="BE65" s="11"/>
      <c r="BF65" s="11"/>
      <c r="BG65" s="11"/>
      <c r="BH65" s="11"/>
      <c r="BI65" s="11"/>
      <c r="BJ65" s="11"/>
      <c r="BK65" s="11"/>
      <c r="BL65" s="11"/>
      <c r="BM65" s="11"/>
      <c r="BN65" s="11"/>
      <c r="BO65" s="11"/>
      <c r="BP65" s="11"/>
    </row>
    <row r="66" spans="1:68" x14ac:dyDescent="0.2">
      <c r="AL66" s="11"/>
      <c r="AM66" s="11"/>
      <c r="AN66" s="11"/>
      <c r="AO66" s="11"/>
      <c r="AP66" s="11"/>
      <c r="AQ66" s="11"/>
      <c r="AR66" s="11"/>
      <c r="AS66" s="11"/>
      <c r="AT66" s="11"/>
      <c r="AU66" s="11"/>
      <c r="AV66" s="11"/>
      <c r="AW66" s="11"/>
      <c r="AX66" s="11"/>
      <c r="AY66" s="11"/>
      <c r="AZ66" s="11"/>
      <c r="BA66" s="11"/>
      <c r="BB66" s="11"/>
      <c r="BC66" s="11"/>
      <c r="BD66" s="11"/>
      <c r="BE66" s="11"/>
      <c r="BF66" s="11"/>
      <c r="BG66" s="11"/>
      <c r="BH66" s="11"/>
      <c r="BI66" s="11"/>
      <c r="BJ66" s="11"/>
      <c r="BK66" s="11"/>
      <c r="BL66" s="11"/>
      <c r="BM66" s="11"/>
      <c r="BN66" s="11"/>
      <c r="BO66" s="11"/>
      <c r="BP66" s="11"/>
    </row>
    <row r="67" spans="1:68" x14ac:dyDescent="0.2">
      <c r="AL67" s="11"/>
      <c r="AM67" s="11"/>
      <c r="AN67" s="11"/>
      <c r="AO67" s="11"/>
      <c r="AP67" s="11"/>
      <c r="AQ67" s="11"/>
      <c r="AR67" s="11"/>
      <c r="AS67" s="11"/>
      <c r="AT67" s="11"/>
      <c r="AU67" s="11"/>
      <c r="AV67" s="11"/>
      <c r="AW67" s="11"/>
      <c r="AX67" s="11"/>
      <c r="AY67" s="11"/>
      <c r="AZ67" s="11"/>
      <c r="BA67" s="11"/>
      <c r="BB67" s="11"/>
      <c r="BC67" s="11"/>
      <c r="BD67" s="11"/>
      <c r="BE67" s="11"/>
      <c r="BF67" s="11"/>
      <c r="BG67" s="11"/>
      <c r="BH67" s="11"/>
      <c r="BI67" s="11"/>
      <c r="BJ67" s="11"/>
      <c r="BK67" s="11"/>
      <c r="BL67" s="11"/>
      <c r="BM67" s="11"/>
      <c r="BN67" s="11"/>
      <c r="BO67" s="11"/>
      <c r="BP67" s="11"/>
    </row>
    <row r="68" spans="1:68" x14ac:dyDescent="0.2">
      <c r="AL68" s="11"/>
      <c r="AM68" s="11"/>
      <c r="AN68" s="11"/>
      <c r="AO68" s="11"/>
      <c r="AP68" s="11"/>
      <c r="AQ68" s="11"/>
      <c r="AR68" s="11"/>
      <c r="AS68" s="11"/>
      <c r="AT68" s="11"/>
      <c r="AU68" s="11"/>
      <c r="AV68" s="11"/>
      <c r="AW68" s="11"/>
      <c r="AX68" s="11"/>
      <c r="AY68" s="11"/>
      <c r="AZ68" s="11"/>
      <c r="BA68" s="11"/>
      <c r="BB68" s="11"/>
      <c r="BC68" s="11"/>
      <c r="BD68" s="11"/>
      <c r="BE68" s="11"/>
      <c r="BF68" s="11"/>
      <c r="BG68" s="11"/>
      <c r="BH68" s="11"/>
      <c r="BI68" s="11"/>
      <c r="BJ68" s="11"/>
      <c r="BK68" s="11"/>
      <c r="BL68" s="11"/>
      <c r="BM68" s="11"/>
      <c r="BN68" s="11"/>
      <c r="BO68" s="11"/>
      <c r="BP68" s="11"/>
    </row>
    <row r="69" spans="1:68" x14ac:dyDescent="0.2">
      <c r="AL69" s="11"/>
      <c r="AM69" s="11"/>
      <c r="AN69" s="11"/>
      <c r="AO69" s="11"/>
      <c r="AP69" s="11"/>
      <c r="AQ69" s="11"/>
      <c r="AR69" s="11"/>
      <c r="AS69" s="11"/>
      <c r="AT69" s="11"/>
      <c r="AU69" s="11"/>
      <c r="AV69" s="11"/>
      <c r="AW69" s="11"/>
      <c r="AX69" s="11"/>
      <c r="AY69" s="11"/>
      <c r="AZ69" s="11"/>
      <c r="BA69" s="11"/>
      <c r="BB69" s="11"/>
      <c r="BC69" s="11"/>
      <c r="BD69" s="11"/>
      <c r="BE69" s="11"/>
      <c r="BF69" s="11"/>
      <c r="BG69" s="11"/>
      <c r="BH69" s="11"/>
      <c r="BI69" s="11"/>
      <c r="BJ69" s="11"/>
      <c r="BK69" s="11"/>
      <c r="BL69" s="11"/>
      <c r="BM69" s="11"/>
      <c r="BN69" s="11"/>
      <c r="BO69" s="11"/>
      <c r="BP69" s="11"/>
    </row>
    <row r="70" spans="1:68" x14ac:dyDescent="0.2">
      <c r="AL70" s="11"/>
      <c r="AM70" s="11"/>
      <c r="AN70" s="11"/>
      <c r="AO70" s="11"/>
      <c r="AP70" s="11"/>
      <c r="AQ70" s="11"/>
      <c r="AR70" s="11"/>
      <c r="AS70" s="11"/>
      <c r="AT70" s="11"/>
      <c r="AU70" s="11"/>
      <c r="AV70" s="11"/>
      <c r="AW70" s="11"/>
      <c r="AX70" s="11"/>
      <c r="AY70" s="11"/>
      <c r="AZ70" s="11"/>
      <c r="BA70" s="11"/>
      <c r="BB70" s="11"/>
      <c r="BC70" s="11"/>
      <c r="BD70" s="11"/>
      <c r="BE70" s="11"/>
      <c r="BF70" s="11"/>
      <c r="BG70" s="11"/>
      <c r="BH70" s="11"/>
      <c r="BI70" s="11"/>
      <c r="BJ70" s="11"/>
      <c r="BK70" s="11"/>
      <c r="BL70" s="11"/>
      <c r="BM70" s="11"/>
      <c r="BN70" s="11"/>
      <c r="BO70" s="11"/>
      <c r="BP70" s="11"/>
    </row>
    <row r="71" spans="1:68" x14ac:dyDescent="0.2">
      <c r="AL71" s="11"/>
      <c r="AM71" s="11"/>
      <c r="AN71" s="11"/>
      <c r="AO71" s="11"/>
      <c r="AP71" s="11"/>
      <c r="AQ71" s="11"/>
      <c r="AR71" s="11"/>
      <c r="AS71" s="11"/>
      <c r="AT71" s="11"/>
      <c r="AU71" s="11"/>
      <c r="AV71" s="11"/>
      <c r="AW71" s="11"/>
      <c r="AX71" s="11"/>
      <c r="AY71" s="11"/>
      <c r="AZ71" s="11"/>
      <c r="BA71" s="11"/>
      <c r="BB71" s="11"/>
      <c r="BC71" s="11"/>
      <c r="BD71" s="11"/>
      <c r="BE71" s="11"/>
      <c r="BF71" s="11"/>
      <c r="BG71" s="11"/>
      <c r="BH71" s="11"/>
      <c r="BI71" s="11"/>
      <c r="BJ71" s="11"/>
      <c r="BK71" s="11"/>
      <c r="BL71" s="11"/>
      <c r="BM71" s="11"/>
      <c r="BN71" s="11"/>
      <c r="BO71" s="11"/>
      <c r="BP71" s="11"/>
    </row>
    <row r="72" spans="1:68" x14ac:dyDescent="0.2">
      <c r="AL72" s="11"/>
      <c r="AM72" s="11"/>
      <c r="AN72" s="11"/>
      <c r="AO72" s="11"/>
      <c r="AP72" s="11"/>
      <c r="AQ72" s="11"/>
      <c r="AR72" s="11"/>
      <c r="AS72" s="11"/>
      <c r="AT72" s="11"/>
      <c r="AU72" s="11"/>
      <c r="AV72" s="11"/>
      <c r="AW72" s="11"/>
      <c r="AX72" s="11"/>
      <c r="AY72" s="11"/>
      <c r="AZ72" s="11"/>
      <c r="BA72" s="11"/>
      <c r="BB72" s="11"/>
      <c r="BC72" s="11"/>
      <c r="BD72" s="11"/>
      <c r="BE72" s="11"/>
      <c r="BF72" s="11"/>
      <c r="BG72" s="11"/>
      <c r="BH72" s="11"/>
      <c r="BI72" s="11"/>
      <c r="BJ72" s="11"/>
      <c r="BK72" s="11"/>
      <c r="BL72" s="11"/>
      <c r="BM72" s="11"/>
      <c r="BN72" s="11"/>
      <c r="BO72" s="11"/>
      <c r="BP72" s="11"/>
    </row>
    <row r="73" spans="1:68" x14ac:dyDescent="0.2">
      <c r="AL73" s="11"/>
      <c r="AM73" s="11"/>
      <c r="AN73" s="11"/>
      <c r="AO73" s="11"/>
      <c r="AP73" s="11"/>
      <c r="AQ73" s="11"/>
      <c r="AR73" s="11"/>
      <c r="AS73" s="11"/>
      <c r="AT73" s="11"/>
      <c r="AU73" s="11"/>
      <c r="AV73" s="11"/>
      <c r="AW73" s="11"/>
      <c r="AX73" s="11"/>
      <c r="AY73" s="11"/>
      <c r="AZ73" s="11"/>
      <c r="BA73" s="11"/>
      <c r="BB73" s="11"/>
      <c r="BC73" s="11"/>
      <c r="BD73" s="11"/>
      <c r="BE73" s="11"/>
      <c r="BF73" s="11"/>
      <c r="BG73" s="11"/>
      <c r="BH73" s="11"/>
      <c r="BI73" s="11"/>
      <c r="BJ73" s="11"/>
      <c r="BK73" s="11"/>
      <c r="BL73" s="11"/>
      <c r="BM73" s="11"/>
      <c r="BN73" s="11"/>
      <c r="BO73" s="11"/>
      <c r="BP73" s="11"/>
    </row>
    <row r="74" spans="1:68" x14ac:dyDescent="0.2">
      <c r="AL74" s="11"/>
      <c r="AM74" s="11"/>
      <c r="AN74" s="11"/>
      <c r="AO74" s="11"/>
      <c r="AP74" s="11"/>
      <c r="AQ74" s="11"/>
      <c r="AR74" s="11"/>
      <c r="AS74" s="11"/>
      <c r="AT74" s="11"/>
      <c r="AU74" s="11"/>
      <c r="AV74" s="11"/>
      <c r="AW74" s="11"/>
      <c r="AX74" s="11"/>
      <c r="AY74" s="11"/>
      <c r="AZ74" s="11"/>
      <c r="BA74" s="11"/>
      <c r="BB74" s="11"/>
      <c r="BC74" s="11"/>
      <c r="BD74" s="11"/>
      <c r="BE74" s="11"/>
      <c r="BF74" s="11"/>
      <c r="BG74" s="11"/>
      <c r="BH74" s="11"/>
      <c r="BI74" s="11"/>
      <c r="BJ74" s="11"/>
      <c r="BK74" s="11"/>
      <c r="BL74" s="11"/>
      <c r="BM74" s="11"/>
      <c r="BN74" s="11"/>
      <c r="BO74" s="11"/>
      <c r="BP74" s="11"/>
    </row>
    <row r="75" spans="1:68" x14ac:dyDescent="0.2">
      <c r="AL75" s="11"/>
      <c r="AM75" s="11"/>
      <c r="AN75" s="11"/>
      <c r="AO75" s="11"/>
      <c r="AP75" s="11"/>
      <c r="AQ75" s="11"/>
      <c r="AR75" s="11"/>
      <c r="AS75" s="11"/>
      <c r="AT75" s="11"/>
      <c r="AU75" s="11"/>
      <c r="AV75" s="11"/>
      <c r="AW75" s="11"/>
      <c r="AX75" s="11"/>
      <c r="AY75" s="11"/>
      <c r="AZ75" s="11"/>
      <c r="BA75" s="11"/>
      <c r="BB75" s="11"/>
      <c r="BC75" s="11"/>
      <c r="BD75" s="11"/>
      <c r="BE75" s="11"/>
      <c r="BF75" s="11"/>
      <c r="BG75" s="11"/>
      <c r="BH75" s="11"/>
      <c r="BI75" s="11"/>
      <c r="BJ75" s="11"/>
      <c r="BK75" s="11"/>
      <c r="BL75" s="11"/>
      <c r="BM75" s="11"/>
      <c r="BN75" s="11"/>
      <c r="BO75" s="11"/>
      <c r="BP75" s="11"/>
    </row>
    <row r="76" spans="1:68" x14ac:dyDescent="0.2">
      <c r="AL76" s="11"/>
      <c r="AM76" s="11"/>
      <c r="AN76" s="11"/>
      <c r="AO76" s="11"/>
      <c r="AP76" s="11"/>
      <c r="AQ76" s="11"/>
      <c r="AR76" s="11"/>
      <c r="AS76" s="11"/>
      <c r="AT76" s="11"/>
      <c r="AU76" s="11"/>
      <c r="AV76" s="11"/>
      <c r="AW76" s="11"/>
      <c r="AX76" s="11"/>
      <c r="AY76" s="11"/>
      <c r="AZ76" s="11"/>
      <c r="BA76" s="11"/>
      <c r="BB76" s="11"/>
      <c r="BC76" s="11"/>
      <c r="BD76" s="11"/>
      <c r="BE76" s="11"/>
      <c r="BF76" s="11"/>
      <c r="BG76" s="11"/>
      <c r="BH76" s="11"/>
      <c r="BI76" s="11"/>
      <c r="BJ76" s="11"/>
      <c r="BK76" s="11"/>
      <c r="BL76" s="11"/>
      <c r="BM76" s="11"/>
      <c r="BN76" s="11"/>
      <c r="BO76" s="11"/>
      <c r="BP76" s="11"/>
    </row>
    <row r="77" spans="1:68" ht="15.75" x14ac:dyDescent="0.25">
      <c r="A77" s="80" t="str">
        <f>CONCATENATE("Industry Figure 2.2  Change in Employment in ",$L$11,", ",$M$2,"-",$O$2,", ",Info!B5)</f>
        <v>Industry Figure 2.2  Change in Employment in Manufacturing, 2010-2035, North East</v>
      </c>
      <c r="AL77" s="11"/>
      <c r="AM77" s="11"/>
      <c r="AN77" s="11"/>
      <c r="AO77" s="11"/>
      <c r="AP77" s="11"/>
      <c r="AQ77" s="11"/>
      <c r="AR77" s="11"/>
      <c r="AS77" s="11"/>
      <c r="AT77" s="11"/>
      <c r="AU77" s="11"/>
      <c r="AV77" s="11"/>
      <c r="AW77" s="11"/>
      <c r="AX77" s="11"/>
      <c r="AY77" s="11"/>
      <c r="AZ77" s="11"/>
      <c r="BA77" s="11"/>
      <c r="BB77" s="11"/>
      <c r="BC77" s="11"/>
      <c r="BD77" s="11"/>
      <c r="BE77" s="11"/>
      <c r="BF77" s="11"/>
      <c r="BG77" s="11"/>
      <c r="BH77" s="11"/>
      <c r="BI77" s="11"/>
      <c r="BJ77" s="11"/>
      <c r="BK77" s="11"/>
      <c r="BL77" s="11"/>
    </row>
    <row r="78" spans="1:68" x14ac:dyDescent="0.2">
      <c r="AL78" s="11"/>
      <c r="AM78" s="11"/>
      <c r="AN78" s="11"/>
      <c r="AO78" s="11"/>
      <c r="AP78" s="11"/>
      <c r="AQ78" s="11"/>
      <c r="AR78" s="11"/>
      <c r="AS78" s="11"/>
      <c r="AT78" s="11"/>
      <c r="AU78" s="11"/>
      <c r="AV78" s="11"/>
      <c r="AW78" s="11"/>
      <c r="AX78" s="11"/>
      <c r="AY78" s="11"/>
      <c r="AZ78" s="11"/>
      <c r="BA78" s="11"/>
      <c r="BB78" s="11"/>
      <c r="BC78" s="11"/>
      <c r="BD78" s="11"/>
      <c r="BE78" s="11"/>
      <c r="BF78" s="11"/>
      <c r="BG78" s="11"/>
      <c r="BH78" s="11"/>
      <c r="BI78" s="11"/>
      <c r="BJ78" s="11"/>
      <c r="BK78" s="11"/>
      <c r="BL78" s="11"/>
      <c r="BM78" s="11"/>
      <c r="BN78" s="11"/>
      <c r="BO78" s="11"/>
      <c r="BP78" s="11"/>
    </row>
    <row r="79" spans="1:68" x14ac:dyDescent="0.2">
      <c r="AL79" s="11"/>
    </row>
    <row r="107" spans="1:1" ht="15.75" x14ac:dyDescent="0.25">
      <c r="A107" s="80" t="str">
        <f>CONCATENATE("Industry Figure 2.3  Change in Employment in ",$L$16,", ",$M$2,"-",$O$2,", ",Info!B5)</f>
        <v>Industry Figure 2.3  Change in Employment in Construction, 2010-2035, North East</v>
      </c>
    </row>
    <row r="137" spans="1:1" ht="15.75" x14ac:dyDescent="0.25">
      <c r="A137" s="80" t="str">
        <f>CONCATENATE("Industry Figure 2.4  Change in Employment in ",$L$18,", ",$M$2,"-",$O$2,", ",Info!B5)</f>
        <v>Industry Figure 2.4  Change in Employment in Trade, accomod. and transport, 2010-2035, North East</v>
      </c>
    </row>
    <row r="167" spans="1:1" ht="15.75" x14ac:dyDescent="0.25">
      <c r="A167" s="80" t="str">
        <f>CONCATENATE("Industry Figure 2.5  Change in Employment in ",$L$23,", ",$M$2,"- ",$O$2,", ",Info!B5)</f>
        <v>Industry Figure 2.5  Change in Employment in Business and other services, 2010- 2035, North East</v>
      </c>
    </row>
    <row r="197" spans="1:1" ht="15.75" x14ac:dyDescent="0.25">
      <c r="A197" s="80" t="str">
        <f>CONCATENATE("Industry Figure 2.6  Change in Employment in ",$L$33,", ",$M$2,"-",$O$2,", ",Info!B5)</f>
        <v>Industry Figure 2.6  Change in Employment in Non-marketed services, 2010-2035, North East</v>
      </c>
    </row>
    <row r="227" spans="1:15" ht="15.75" x14ac:dyDescent="0.25">
      <c r="A227" s="80" t="str">
        <f>CONCATENATE("Industry Figure 2.7  Employment trends by broad sector (SIC 2007), shares in %, ",$M$230,"-",$O$230,", ",Info!B5)</f>
        <v>Industry Figure 2.7  Employment trends by broad sector (SIC 2007), shares in %, 2015-2035, North East</v>
      </c>
      <c r="L227" s="46" t="s">
        <v>436</v>
      </c>
    </row>
    <row r="228" spans="1:15" x14ac:dyDescent="0.2">
      <c r="L228" s="30" t="s">
        <v>409</v>
      </c>
    </row>
    <row r="230" spans="1:15" x14ac:dyDescent="0.2">
      <c r="M230" s="10">
        <f>'Ind T1'!B19</f>
        <v>2015</v>
      </c>
      <c r="N230" s="10">
        <f>'Ind T1'!D19</f>
        <v>2020</v>
      </c>
      <c r="O230" s="10">
        <f>'Ind T1'!F19</f>
        <v>2035</v>
      </c>
    </row>
    <row r="231" spans="1:15" x14ac:dyDescent="0.2">
      <c r="L231" t="str">
        <f>L33</f>
        <v>Non-marketed services</v>
      </c>
      <c r="M231" s="40">
        <f>'Ind T1'!B25</f>
        <v>29.349963549930504</v>
      </c>
      <c r="N231" s="40">
        <f>'Ind T1'!D25</f>
        <v>29.324780863849526</v>
      </c>
      <c r="O231" s="40">
        <f>'Ind T1'!F25</f>
        <v>30.493650284712398</v>
      </c>
    </row>
    <row r="232" spans="1:15" x14ac:dyDescent="0.2">
      <c r="L232" t="str">
        <f>L23</f>
        <v>Business and other services</v>
      </c>
      <c r="M232" s="40">
        <f>'Ind T1'!B24</f>
        <v>23.443827073518889</v>
      </c>
      <c r="N232" s="40">
        <f>'Ind T1'!D24</f>
        <v>22.459002017013081</v>
      </c>
      <c r="O232" s="40">
        <f>'Ind T1'!F24</f>
        <v>22.950902840630043</v>
      </c>
    </row>
    <row r="233" spans="1:15" x14ac:dyDescent="0.2">
      <c r="L233" t="str">
        <f>L18</f>
        <v>Trade, accomod. and transport</v>
      </c>
      <c r="M233" s="40">
        <f>'Ind T1'!B23</f>
        <v>26.549740561269779</v>
      </c>
      <c r="N233" s="40">
        <f>'Ind T1'!D23</f>
        <v>27.856495575516888</v>
      </c>
      <c r="O233" s="40">
        <f>'Ind T1'!F23</f>
        <v>28.226097755987499</v>
      </c>
    </row>
    <row r="234" spans="1:15" x14ac:dyDescent="0.2">
      <c r="L234" t="str">
        <f>L16</f>
        <v>Construction</v>
      </c>
      <c r="M234" s="40">
        <f>'Ind T1'!B22</f>
        <v>5.8706053161966931</v>
      </c>
      <c r="N234" s="40">
        <f>'Ind T1'!D22</f>
        <v>6.3924280577792869</v>
      </c>
      <c r="O234" s="40">
        <f>'Ind T1'!F22</f>
        <v>5.9682047494003356</v>
      </c>
    </row>
    <row r="235" spans="1:15" x14ac:dyDescent="0.2">
      <c r="L235" t="str">
        <f>L11</f>
        <v>Manufacturing</v>
      </c>
      <c r="M235" s="40">
        <f>'Ind T1'!B21</f>
        <v>13.072608130101205</v>
      </c>
      <c r="N235" s="40">
        <f>'Ind T1'!D21</f>
        <v>11.516810530228032</v>
      </c>
      <c r="O235" s="40">
        <f>'Ind T1'!F21</f>
        <v>9.95478694259889</v>
      </c>
    </row>
    <row r="236" spans="1:15" x14ac:dyDescent="0.2">
      <c r="L236" t="str">
        <f>L5</f>
        <v>Primary sector and utilities</v>
      </c>
      <c r="M236" s="40">
        <f>'Ind T1'!B20</f>
        <v>1.7132553689829306</v>
      </c>
      <c r="N236" s="40">
        <f>'Ind T1'!D20</f>
        <v>2.4504829556131837</v>
      </c>
      <c r="O236" s="40">
        <f>'Ind T1'!F20</f>
        <v>2.4063574266708354</v>
      </c>
    </row>
    <row r="257" spans="1:16" ht="15.75" x14ac:dyDescent="0.25">
      <c r="A257" s="80" t="str">
        <f>CONCATENATE("Industry Figure 2.8  Employment trends by broad sector (SIC 2007), change in thousands, ",$M$230,"-",$O$230,", ",Info!B5)</f>
        <v>Industry Figure 2.8  Employment trends by broad sector (SIC 2007), change in thousands, 2015-2035, North East</v>
      </c>
      <c r="L257" s="46" t="s">
        <v>410</v>
      </c>
    </row>
    <row r="258" spans="1:16" x14ac:dyDescent="0.2">
      <c r="L258" s="30" t="s">
        <v>408</v>
      </c>
      <c r="M258" s="10"/>
      <c r="N258" s="10"/>
      <c r="O258" s="10"/>
    </row>
    <row r="259" spans="1:16" x14ac:dyDescent="0.2">
      <c r="P259" s="10"/>
    </row>
    <row r="260" spans="1:16" x14ac:dyDescent="0.2">
      <c r="N260" s="10" t="str">
        <f>'Ind T1'!R4</f>
        <v>2015-2020</v>
      </c>
      <c r="O260" s="10" t="str">
        <f>'Ind T1'!F44</f>
        <v>2020-2035</v>
      </c>
      <c r="P260" s="11"/>
    </row>
    <row r="261" spans="1:16" x14ac:dyDescent="0.2">
      <c r="L261" t="str">
        <f t="shared" ref="L261:L266" si="22">L231</f>
        <v>Non-marketed services</v>
      </c>
      <c r="N261" s="11">
        <f>'Ind T1'!D12-'Ind T1'!B12</f>
        <v>-3.2860000000001151</v>
      </c>
      <c r="O261" s="11">
        <f>'Ind T1'!F50</f>
        <v>9.8220000000001164</v>
      </c>
      <c r="P261" s="11"/>
    </row>
    <row r="262" spans="1:16" x14ac:dyDescent="0.2">
      <c r="L262" t="str">
        <f t="shared" si="22"/>
        <v>Business and other services</v>
      </c>
      <c r="N262" s="11">
        <f>'Ind T1'!D11-'Ind T1'!B11</f>
        <v>-7.2449999999999619</v>
      </c>
      <c r="O262" s="11">
        <f>'Ind T1'!F49</f>
        <v>5.5349999999998687</v>
      </c>
      <c r="P262" s="11"/>
    </row>
    <row r="263" spans="1:16" x14ac:dyDescent="0.2">
      <c r="L263" t="str">
        <f t="shared" si="22"/>
        <v>Trade, accomod. and transport</v>
      </c>
      <c r="N263" s="11">
        <f>'Ind T1'!D10-'Ind T1'!B10</f>
        <v>3.3950000000002092</v>
      </c>
      <c r="O263" s="11">
        <f>'Ind T1'!F48</f>
        <v>5.6800000000001205</v>
      </c>
      <c r="P263" s="11"/>
    </row>
    <row r="264" spans="1:16" x14ac:dyDescent="0.2">
      <c r="L264" t="str">
        <f t="shared" si="22"/>
        <v>Construction</v>
      </c>
      <c r="N264" s="11">
        <f>'Ind T1'!D9-'Ind T1'!B9</f>
        <v>1.8660000000000494</v>
      </c>
      <c r="O264" s="11">
        <f>'Ind T1'!F47</f>
        <v>-1.2050000000000374</v>
      </c>
      <c r="P264" s="11"/>
    </row>
    <row r="265" spans="1:16" x14ac:dyDescent="0.2">
      <c r="L265" t="str">
        <f t="shared" si="22"/>
        <v>Manufacturing</v>
      </c>
      <c r="N265" s="11">
        <f>'Ind T1'!D8-'Ind T1'!B8</f>
        <v>-8.8609999999999758</v>
      </c>
      <c r="O265" s="11">
        <f>'Ind T1'!F46</f>
        <v>-6.1019999999999399</v>
      </c>
      <c r="P265" s="11"/>
    </row>
    <row r="266" spans="1:16" x14ac:dyDescent="0.2">
      <c r="L266" t="str">
        <f t="shared" si="22"/>
        <v>Primary sector and utilities</v>
      </c>
      <c r="N266" s="11">
        <f>'Ind T1'!D7-'Ind T1'!B7</f>
        <v>3.3460000000000001</v>
      </c>
      <c r="O266" s="11">
        <f>'Ind T1'!F45</f>
        <v>0.1220000000000141</v>
      </c>
    </row>
    <row r="268" spans="1:16" x14ac:dyDescent="0.2">
      <c r="L268" t="str">
        <f>L38</f>
        <v>All industries</v>
      </c>
      <c r="N268" s="11">
        <f>'Ind T1'!D14-'Ind T1'!B14</f>
        <v>-10.784999999999798</v>
      </c>
      <c r="O268" s="11">
        <f>SUM(O261:O266)</f>
        <v>13.852000000000142</v>
      </c>
    </row>
  </sheetData>
  <phoneticPr fontId="4" type="noConversion"/>
  <conditionalFormatting sqref="L4:AM4 L22:AM22 L17:AM17">
    <cfRule type="cellIs" dxfId="11" priority="3" stopIfTrue="1" operator="equal">
      <formula>0</formula>
    </cfRule>
  </conditionalFormatting>
  <conditionalFormatting sqref="AQ4:BP4">
    <cfRule type="cellIs" dxfId="10" priority="2" stopIfTrue="1" operator="equal">
      <formula>0</formula>
    </cfRule>
  </conditionalFormatting>
  <conditionalFormatting sqref="BS4:CR4">
    <cfRule type="cellIs" dxfId="9" priority="1" stopIfTrue="1" operator="equal">
      <formula>0</formula>
    </cfRule>
  </conditionalFormatting>
  <pageMargins left="0.55118110236220474" right="0.55118110236220474" top="0.98425196850393704" bottom="0.98425196850393704" header="0.51181102362204722" footer="0.51181102362204722"/>
  <pageSetup paperSize="9" scale="90" orientation="portrait" r:id="rId1"/>
  <headerFooter alignWithMargins="0"/>
  <rowBreaks count="4" manualBreakCount="4">
    <brk id="46" max="9" man="1"/>
    <brk id="106" max="9" man="1"/>
    <brk id="166" max="9" man="1"/>
    <brk id="226" max="9" man="1"/>
  </rowBreaks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28"/>
  <dimension ref="A1:R394"/>
  <sheetViews>
    <sheetView showGridLines="0" zoomScale="85" zoomScaleNormal="85" workbookViewId="0"/>
  </sheetViews>
  <sheetFormatPr defaultRowHeight="12.75" x14ac:dyDescent="0.2"/>
  <cols>
    <col min="1" max="1" width="33.140625" bestFit="1" customWidth="1"/>
    <col min="2" max="12" width="5.7109375" customWidth="1"/>
    <col min="257" max="257" width="33.140625" bestFit="1" customWidth="1"/>
    <col min="258" max="260" width="7.140625" customWidth="1"/>
    <col min="261" max="261" width="5" customWidth="1"/>
    <col min="262" max="264" width="7.140625" customWidth="1"/>
    <col min="265" max="265" width="5" customWidth="1"/>
    <col min="266" max="268" width="7.140625" customWidth="1"/>
    <col min="513" max="513" width="33.140625" bestFit="1" customWidth="1"/>
    <col min="514" max="516" width="7.140625" customWidth="1"/>
    <col min="517" max="517" width="5" customWidth="1"/>
    <col min="518" max="520" width="7.140625" customWidth="1"/>
    <col min="521" max="521" width="5" customWidth="1"/>
    <col min="522" max="524" width="7.140625" customWidth="1"/>
    <col min="769" max="769" width="33.140625" bestFit="1" customWidth="1"/>
    <col min="770" max="772" width="7.140625" customWidth="1"/>
    <col min="773" max="773" width="5" customWidth="1"/>
    <col min="774" max="776" width="7.140625" customWidth="1"/>
    <col min="777" max="777" width="5" customWidth="1"/>
    <col min="778" max="780" width="7.140625" customWidth="1"/>
    <col min="1025" max="1025" width="33.140625" bestFit="1" customWidth="1"/>
    <col min="1026" max="1028" width="7.140625" customWidth="1"/>
    <col min="1029" max="1029" width="5" customWidth="1"/>
    <col min="1030" max="1032" width="7.140625" customWidth="1"/>
    <col min="1033" max="1033" width="5" customWidth="1"/>
    <col min="1034" max="1036" width="7.140625" customWidth="1"/>
    <col min="1281" max="1281" width="33.140625" bestFit="1" customWidth="1"/>
    <col min="1282" max="1284" width="7.140625" customWidth="1"/>
    <col min="1285" max="1285" width="5" customWidth="1"/>
    <col min="1286" max="1288" width="7.140625" customWidth="1"/>
    <col min="1289" max="1289" width="5" customWidth="1"/>
    <col min="1290" max="1292" width="7.140625" customWidth="1"/>
    <col min="1537" max="1537" width="33.140625" bestFit="1" customWidth="1"/>
    <col min="1538" max="1540" width="7.140625" customWidth="1"/>
    <col min="1541" max="1541" width="5" customWidth="1"/>
    <col min="1542" max="1544" width="7.140625" customWidth="1"/>
    <col min="1545" max="1545" width="5" customWidth="1"/>
    <col min="1546" max="1548" width="7.140625" customWidth="1"/>
    <col min="1793" max="1793" width="33.140625" bestFit="1" customWidth="1"/>
    <col min="1794" max="1796" width="7.140625" customWidth="1"/>
    <col min="1797" max="1797" width="5" customWidth="1"/>
    <col min="1798" max="1800" width="7.140625" customWidth="1"/>
    <col min="1801" max="1801" width="5" customWidth="1"/>
    <col min="1802" max="1804" width="7.140625" customWidth="1"/>
    <col min="2049" max="2049" width="33.140625" bestFit="1" customWidth="1"/>
    <col min="2050" max="2052" width="7.140625" customWidth="1"/>
    <col min="2053" max="2053" width="5" customWidth="1"/>
    <col min="2054" max="2056" width="7.140625" customWidth="1"/>
    <col min="2057" max="2057" width="5" customWidth="1"/>
    <col min="2058" max="2060" width="7.140625" customWidth="1"/>
    <col min="2305" max="2305" width="33.140625" bestFit="1" customWidth="1"/>
    <col min="2306" max="2308" width="7.140625" customWidth="1"/>
    <col min="2309" max="2309" width="5" customWidth="1"/>
    <col min="2310" max="2312" width="7.140625" customWidth="1"/>
    <col min="2313" max="2313" width="5" customWidth="1"/>
    <col min="2314" max="2316" width="7.140625" customWidth="1"/>
    <col min="2561" max="2561" width="33.140625" bestFit="1" customWidth="1"/>
    <col min="2562" max="2564" width="7.140625" customWidth="1"/>
    <col min="2565" max="2565" width="5" customWidth="1"/>
    <col min="2566" max="2568" width="7.140625" customWidth="1"/>
    <col min="2569" max="2569" width="5" customWidth="1"/>
    <col min="2570" max="2572" width="7.140625" customWidth="1"/>
    <col min="2817" max="2817" width="33.140625" bestFit="1" customWidth="1"/>
    <col min="2818" max="2820" width="7.140625" customWidth="1"/>
    <col min="2821" max="2821" width="5" customWidth="1"/>
    <col min="2822" max="2824" width="7.140625" customWidth="1"/>
    <col min="2825" max="2825" width="5" customWidth="1"/>
    <col min="2826" max="2828" width="7.140625" customWidth="1"/>
    <col min="3073" max="3073" width="33.140625" bestFit="1" customWidth="1"/>
    <col min="3074" max="3076" width="7.140625" customWidth="1"/>
    <col min="3077" max="3077" width="5" customWidth="1"/>
    <col min="3078" max="3080" width="7.140625" customWidth="1"/>
    <col min="3081" max="3081" width="5" customWidth="1"/>
    <col min="3082" max="3084" width="7.140625" customWidth="1"/>
    <col min="3329" max="3329" width="33.140625" bestFit="1" customWidth="1"/>
    <col min="3330" max="3332" width="7.140625" customWidth="1"/>
    <col min="3333" max="3333" width="5" customWidth="1"/>
    <col min="3334" max="3336" width="7.140625" customWidth="1"/>
    <col min="3337" max="3337" width="5" customWidth="1"/>
    <col min="3338" max="3340" width="7.140625" customWidth="1"/>
    <col min="3585" max="3585" width="33.140625" bestFit="1" customWidth="1"/>
    <col min="3586" max="3588" width="7.140625" customWidth="1"/>
    <col min="3589" max="3589" width="5" customWidth="1"/>
    <col min="3590" max="3592" width="7.140625" customWidth="1"/>
    <col min="3593" max="3593" width="5" customWidth="1"/>
    <col min="3594" max="3596" width="7.140625" customWidth="1"/>
    <col min="3841" max="3841" width="33.140625" bestFit="1" customWidth="1"/>
    <col min="3842" max="3844" width="7.140625" customWidth="1"/>
    <col min="3845" max="3845" width="5" customWidth="1"/>
    <col min="3846" max="3848" width="7.140625" customWidth="1"/>
    <col min="3849" max="3849" width="5" customWidth="1"/>
    <col min="3850" max="3852" width="7.140625" customWidth="1"/>
    <col min="4097" max="4097" width="33.140625" bestFit="1" customWidth="1"/>
    <col min="4098" max="4100" width="7.140625" customWidth="1"/>
    <col min="4101" max="4101" width="5" customWidth="1"/>
    <col min="4102" max="4104" width="7.140625" customWidth="1"/>
    <col min="4105" max="4105" width="5" customWidth="1"/>
    <col min="4106" max="4108" width="7.140625" customWidth="1"/>
    <col min="4353" max="4353" width="33.140625" bestFit="1" customWidth="1"/>
    <col min="4354" max="4356" width="7.140625" customWidth="1"/>
    <col min="4357" max="4357" width="5" customWidth="1"/>
    <col min="4358" max="4360" width="7.140625" customWidth="1"/>
    <col min="4361" max="4361" width="5" customWidth="1"/>
    <col min="4362" max="4364" width="7.140625" customWidth="1"/>
    <col min="4609" max="4609" width="33.140625" bestFit="1" customWidth="1"/>
    <col min="4610" max="4612" width="7.140625" customWidth="1"/>
    <col min="4613" max="4613" width="5" customWidth="1"/>
    <col min="4614" max="4616" width="7.140625" customWidth="1"/>
    <col min="4617" max="4617" width="5" customWidth="1"/>
    <col min="4618" max="4620" width="7.140625" customWidth="1"/>
    <col min="4865" max="4865" width="33.140625" bestFit="1" customWidth="1"/>
    <col min="4866" max="4868" width="7.140625" customWidth="1"/>
    <col min="4869" max="4869" width="5" customWidth="1"/>
    <col min="4870" max="4872" width="7.140625" customWidth="1"/>
    <col min="4873" max="4873" width="5" customWidth="1"/>
    <col min="4874" max="4876" width="7.140625" customWidth="1"/>
    <col min="5121" max="5121" width="33.140625" bestFit="1" customWidth="1"/>
    <col min="5122" max="5124" width="7.140625" customWidth="1"/>
    <col min="5125" max="5125" width="5" customWidth="1"/>
    <col min="5126" max="5128" width="7.140625" customWidth="1"/>
    <col min="5129" max="5129" width="5" customWidth="1"/>
    <col min="5130" max="5132" width="7.140625" customWidth="1"/>
    <col min="5377" max="5377" width="33.140625" bestFit="1" customWidth="1"/>
    <col min="5378" max="5380" width="7.140625" customWidth="1"/>
    <col min="5381" max="5381" width="5" customWidth="1"/>
    <col min="5382" max="5384" width="7.140625" customWidth="1"/>
    <col min="5385" max="5385" width="5" customWidth="1"/>
    <col min="5386" max="5388" width="7.140625" customWidth="1"/>
    <col min="5633" max="5633" width="33.140625" bestFit="1" customWidth="1"/>
    <col min="5634" max="5636" width="7.140625" customWidth="1"/>
    <col min="5637" max="5637" width="5" customWidth="1"/>
    <col min="5638" max="5640" width="7.140625" customWidth="1"/>
    <col min="5641" max="5641" width="5" customWidth="1"/>
    <col min="5642" max="5644" width="7.140625" customWidth="1"/>
    <col min="5889" max="5889" width="33.140625" bestFit="1" customWidth="1"/>
    <col min="5890" max="5892" width="7.140625" customWidth="1"/>
    <col min="5893" max="5893" width="5" customWidth="1"/>
    <col min="5894" max="5896" width="7.140625" customWidth="1"/>
    <col min="5897" max="5897" width="5" customWidth="1"/>
    <col min="5898" max="5900" width="7.140625" customWidth="1"/>
    <col min="6145" max="6145" width="33.140625" bestFit="1" customWidth="1"/>
    <col min="6146" max="6148" width="7.140625" customWidth="1"/>
    <col min="6149" max="6149" width="5" customWidth="1"/>
    <col min="6150" max="6152" width="7.140625" customWidth="1"/>
    <col min="6153" max="6153" width="5" customWidth="1"/>
    <col min="6154" max="6156" width="7.140625" customWidth="1"/>
    <col min="6401" max="6401" width="33.140625" bestFit="1" customWidth="1"/>
    <col min="6402" max="6404" width="7.140625" customWidth="1"/>
    <col min="6405" max="6405" width="5" customWidth="1"/>
    <col min="6406" max="6408" width="7.140625" customWidth="1"/>
    <col min="6409" max="6409" width="5" customWidth="1"/>
    <col min="6410" max="6412" width="7.140625" customWidth="1"/>
    <col min="6657" max="6657" width="33.140625" bestFit="1" customWidth="1"/>
    <col min="6658" max="6660" width="7.140625" customWidth="1"/>
    <col min="6661" max="6661" width="5" customWidth="1"/>
    <col min="6662" max="6664" width="7.140625" customWidth="1"/>
    <col min="6665" max="6665" width="5" customWidth="1"/>
    <col min="6666" max="6668" width="7.140625" customWidth="1"/>
    <col min="6913" max="6913" width="33.140625" bestFit="1" customWidth="1"/>
    <col min="6914" max="6916" width="7.140625" customWidth="1"/>
    <col min="6917" max="6917" width="5" customWidth="1"/>
    <col min="6918" max="6920" width="7.140625" customWidth="1"/>
    <col min="6921" max="6921" width="5" customWidth="1"/>
    <col min="6922" max="6924" width="7.140625" customWidth="1"/>
    <col min="7169" max="7169" width="33.140625" bestFit="1" customWidth="1"/>
    <col min="7170" max="7172" width="7.140625" customWidth="1"/>
    <col min="7173" max="7173" width="5" customWidth="1"/>
    <col min="7174" max="7176" width="7.140625" customWidth="1"/>
    <col min="7177" max="7177" width="5" customWidth="1"/>
    <col min="7178" max="7180" width="7.140625" customWidth="1"/>
    <col min="7425" max="7425" width="33.140625" bestFit="1" customWidth="1"/>
    <col min="7426" max="7428" width="7.140625" customWidth="1"/>
    <col min="7429" max="7429" width="5" customWidth="1"/>
    <col min="7430" max="7432" width="7.140625" customWidth="1"/>
    <col min="7433" max="7433" width="5" customWidth="1"/>
    <col min="7434" max="7436" width="7.140625" customWidth="1"/>
    <col min="7681" max="7681" width="33.140625" bestFit="1" customWidth="1"/>
    <col min="7682" max="7684" width="7.140625" customWidth="1"/>
    <col min="7685" max="7685" width="5" customWidth="1"/>
    <col min="7686" max="7688" width="7.140625" customWidth="1"/>
    <col min="7689" max="7689" width="5" customWidth="1"/>
    <col min="7690" max="7692" width="7.140625" customWidth="1"/>
    <col min="7937" max="7937" width="33.140625" bestFit="1" customWidth="1"/>
    <col min="7938" max="7940" width="7.140625" customWidth="1"/>
    <col min="7941" max="7941" width="5" customWidth="1"/>
    <col min="7942" max="7944" width="7.140625" customWidth="1"/>
    <col min="7945" max="7945" width="5" customWidth="1"/>
    <col min="7946" max="7948" width="7.140625" customWidth="1"/>
    <col min="8193" max="8193" width="33.140625" bestFit="1" customWidth="1"/>
    <col min="8194" max="8196" width="7.140625" customWidth="1"/>
    <col min="8197" max="8197" width="5" customWidth="1"/>
    <col min="8198" max="8200" width="7.140625" customWidth="1"/>
    <col min="8201" max="8201" width="5" customWidth="1"/>
    <col min="8202" max="8204" width="7.140625" customWidth="1"/>
    <col min="8449" max="8449" width="33.140625" bestFit="1" customWidth="1"/>
    <col min="8450" max="8452" width="7.140625" customWidth="1"/>
    <col min="8453" max="8453" width="5" customWidth="1"/>
    <col min="8454" max="8456" width="7.140625" customWidth="1"/>
    <col min="8457" max="8457" width="5" customWidth="1"/>
    <col min="8458" max="8460" width="7.140625" customWidth="1"/>
    <col min="8705" max="8705" width="33.140625" bestFit="1" customWidth="1"/>
    <col min="8706" max="8708" width="7.140625" customWidth="1"/>
    <col min="8709" max="8709" width="5" customWidth="1"/>
    <col min="8710" max="8712" width="7.140625" customWidth="1"/>
    <col min="8713" max="8713" width="5" customWidth="1"/>
    <col min="8714" max="8716" width="7.140625" customWidth="1"/>
    <col min="8961" max="8961" width="33.140625" bestFit="1" customWidth="1"/>
    <col min="8962" max="8964" width="7.140625" customWidth="1"/>
    <col min="8965" max="8965" width="5" customWidth="1"/>
    <col min="8966" max="8968" width="7.140625" customWidth="1"/>
    <col min="8969" max="8969" width="5" customWidth="1"/>
    <col min="8970" max="8972" width="7.140625" customWidth="1"/>
    <col min="9217" max="9217" width="33.140625" bestFit="1" customWidth="1"/>
    <col min="9218" max="9220" width="7.140625" customWidth="1"/>
    <col min="9221" max="9221" width="5" customWidth="1"/>
    <col min="9222" max="9224" width="7.140625" customWidth="1"/>
    <col min="9225" max="9225" width="5" customWidth="1"/>
    <col min="9226" max="9228" width="7.140625" customWidth="1"/>
    <col min="9473" max="9473" width="33.140625" bestFit="1" customWidth="1"/>
    <col min="9474" max="9476" width="7.140625" customWidth="1"/>
    <col min="9477" max="9477" width="5" customWidth="1"/>
    <col min="9478" max="9480" width="7.140625" customWidth="1"/>
    <col min="9481" max="9481" width="5" customWidth="1"/>
    <col min="9482" max="9484" width="7.140625" customWidth="1"/>
    <col min="9729" max="9729" width="33.140625" bestFit="1" customWidth="1"/>
    <col min="9730" max="9732" width="7.140625" customWidth="1"/>
    <col min="9733" max="9733" width="5" customWidth="1"/>
    <col min="9734" max="9736" width="7.140625" customWidth="1"/>
    <col min="9737" max="9737" width="5" customWidth="1"/>
    <col min="9738" max="9740" width="7.140625" customWidth="1"/>
    <col min="9985" max="9985" width="33.140625" bestFit="1" customWidth="1"/>
    <col min="9986" max="9988" width="7.140625" customWidth="1"/>
    <col min="9989" max="9989" width="5" customWidth="1"/>
    <col min="9990" max="9992" width="7.140625" customWidth="1"/>
    <col min="9993" max="9993" width="5" customWidth="1"/>
    <col min="9994" max="9996" width="7.140625" customWidth="1"/>
    <col min="10241" max="10241" width="33.140625" bestFit="1" customWidth="1"/>
    <col min="10242" max="10244" width="7.140625" customWidth="1"/>
    <col min="10245" max="10245" width="5" customWidth="1"/>
    <col min="10246" max="10248" width="7.140625" customWidth="1"/>
    <col min="10249" max="10249" width="5" customWidth="1"/>
    <col min="10250" max="10252" width="7.140625" customWidth="1"/>
    <col min="10497" max="10497" width="33.140625" bestFit="1" customWidth="1"/>
    <col min="10498" max="10500" width="7.140625" customWidth="1"/>
    <col min="10501" max="10501" width="5" customWidth="1"/>
    <col min="10502" max="10504" width="7.140625" customWidth="1"/>
    <col min="10505" max="10505" width="5" customWidth="1"/>
    <col min="10506" max="10508" width="7.140625" customWidth="1"/>
    <col min="10753" max="10753" width="33.140625" bestFit="1" customWidth="1"/>
    <col min="10754" max="10756" width="7.140625" customWidth="1"/>
    <col min="10757" max="10757" width="5" customWidth="1"/>
    <col min="10758" max="10760" width="7.140625" customWidth="1"/>
    <col min="10761" max="10761" width="5" customWidth="1"/>
    <col min="10762" max="10764" width="7.140625" customWidth="1"/>
    <col min="11009" max="11009" width="33.140625" bestFit="1" customWidth="1"/>
    <col min="11010" max="11012" width="7.140625" customWidth="1"/>
    <col min="11013" max="11013" width="5" customWidth="1"/>
    <col min="11014" max="11016" width="7.140625" customWidth="1"/>
    <col min="11017" max="11017" width="5" customWidth="1"/>
    <col min="11018" max="11020" width="7.140625" customWidth="1"/>
    <col min="11265" max="11265" width="33.140625" bestFit="1" customWidth="1"/>
    <col min="11266" max="11268" width="7.140625" customWidth="1"/>
    <col min="11269" max="11269" width="5" customWidth="1"/>
    <col min="11270" max="11272" width="7.140625" customWidth="1"/>
    <col min="11273" max="11273" width="5" customWidth="1"/>
    <col min="11274" max="11276" width="7.140625" customWidth="1"/>
    <col min="11521" max="11521" width="33.140625" bestFit="1" customWidth="1"/>
    <col min="11522" max="11524" width="7.140625" customWidth="1"/>
    <col min="11525" max="11525" width="5" customWidth="1"/>
    <col min="11526" max="11528" width="7.140625" customWidth="1"/>
    <col min="11529" max="11529" width="5" customWidth="1"/>
    <col min="11530" max="11532" width="7.140625" customWidth="1"/>
    <col min="11777" max="11777" width="33.140625" bestFit="1" customWidth="1"/>
    <col min="11778" max="11780" width="7.140625" customWidth="1"/>
    <col min="11781" max="11781" width="5" customWidth="1"/>
    <col min="11782" max="11784" width="7.140625" customWidth="1"/>
    <col min="11785" max="11785" width="5" customWidth="1"/>
    <col min="11786" max="11788" width="7.140625" customWidth="1"/>
    <col min="12033" max="12033" width="33.140625" bestFit="1" customWidth="1"/>
    <col min="12034" max="12036" width="7.140625" customWidth="1"/>
    <col min="12037" max="12037" width="5" customWidth="1"/>
    <col min="12038" max="12040" width="7.140625" customWidth="1"/>
    <col min="12041" max="12041" width="5" customWidth="1"/>
    <col min="12042" max="12044" width="7.140625" customWidth="1"/>
    <col min="12289" max="12289" width="33.140625" bestFit="1" customWidth="1"/>
    <col min="12290" max="12292" width="7.140625" customWidth="1"/>
    <col min="12293" max="12293" width="5" customWidth="1"/>
    <col min="12294" max="12296" width="7.140625" customWidth="1"/>
    <col min="12297" max="12297" width="5" customWidth="1"/>
    <col min="12298" max="12300" width="7.140625" customWidth="1"/>
    <col min="12545" max="12545" width="33.140625" bestFit="1" customWidth="1"/>
    <col min="12546" max="12548" width="7.140625" customWidth="1"/>
    <col min="12549" max="12549" width="5" customWidth="1"/>
    <col min="12550" max="12552" width="7.140625" customWidth="1"/>
    <col min="12553" max="12553" width="5" customWidth="1"/>
    <col min="12554" max="12556" width="7.140625" customWidth="1"/>
    <col min="12801" max="12801" width="33.140625" bestFit="1" customWidth="1"/>
    <col min="12802" max="12804" width="7.140625" customWidth="1"/>
    <col min="12805" max="12805" width="5" customWidth="1"/>
    <col min="12806" max="12808" width="7.140625" customWidth="1"/>
    <col min="12809" max="12809" width="5" customWidth="1"/>
    <col min="12810" max="12812" width="7.140625" customWidth="1"/>
    <col min="13057" max="13057" width="33.140625" bestFit="1" customWidth="1"/>
    <col min="13058" max="13060" width="7.140625" customWidth="1"/>
    <col min="13061" max="13061" width="5" customWidth="1"/>
    <col min="13062" max="13064" width="7.140625" customWidth="1"/>
    <col min="13065" max="13065" width="5" customWidth="1"/>
    <col min="13066" max="13068" width="7.140625" customWidth="1"/>
    <col min="13313" max="13313" width="33.140625" bestFit="1" customWidth="1"/>
    <col min="13314" max="13316" width="7.140625" customWidth="1"/>
    <col min="13317" max="13317" width="5" customWidth="1"/>
    <col min="13318" max="13320" width="7.140625" customWidth="1"/>
    <col min="13321" max="13321" width="5" customWidth="1"/>
    <col min="13322" max="13324" width="7.140625" customWidth="1"/>
    <col min="13569" max="13569" width="33.140625" bestFit="1" customWidth="1"/>
    <col min="13570" max="13572" width="7.140625" customWidth="1"/>
    <col min="13573" max="13573" width="5" customWidth="1"/>
    <col min="13574" max="13576" width="7.140625" customWidth="1"/>
    <col min="13577" max="13577" width="5" customWidth="1"/>
    <col min="13578" max="13580" width="7.140625" customWidth="1"/>
    <col min="13825" max="13825" width="33.140625" bestFit="1" customWidth="1"/>
    <col min="13826" max="13828" width="7.140625" customWidth="1"/>
    <col min="13829" max="13829" width="5" customWidth="1"/>
    <col min="13830" max="13832" width="7.140625" customWidth="1"/>
    <col min="13833" max="13833" width="5" customWidth="1"/>
    <col min="13834" max="13836" width="7.140625" customWidth="1"/>
    <col min="14081" max="14081" width="33.140625" bestFit="1" customWidth="1"/>
    <col min="14082" max="14084" width="7.140625" customWidth="1"/>
    <col min="14085" max="14085" width="5" customWidth="1"/>
    <col min="14086" max="14088" width="7.140625" customWidth="1"/>
    <col min="14089" max="14089" width="5" customWidth="1"/>
    <col min="14090" max="14092" width="7.140625" customWidth="1"/>
    <col min="14337" max="14337" width="33.140625" bestFit="1" customWidth="1"/>
    <col min="14338" max="14340" width="7.140625" customWidth="1"/>
    <col min="14341" max="14341" width="5" customWidth="1"/>
    <col min="14342" max="14344" width="7.140625" customWidth="1"/>
    <col min="14345" max="14345" width="5" customWidth="1"/>
    <col min="14346" max="14348" width="7.140625" customWidth="1"/>
    <col min="14593" max="14593" width="33.140625" bestFit="1" customWidth="1"/>
    <col min="14594" max="14596" width="7.140625" customWidth="1"/>
    <col min="14597" max="14597" width="5" customWidth="1"/>
    <col min="14598" max="14600" width="7.140625" customWidth="1"/>
    <col min="14601" max="14601" width="5" customWidth="1"/>
    <col min="14602" max="14604" width="7.140625" customWidth="1"/>
    <col min="14849" max="14849" width="33.140625" bestFit="1" customWidth="1"/>
    <col min="14850" max="14852" width="7.140625" customWidth="1"/>
    <col min="14853" max="14853" width="5" customWidth="1"/>
    <col min="14854" max="14856" width="7.140625" customWidth="1"/>
    <col min="14857" max="14857" width="5" customWidth="1"/>
    <col min="14858" max="14860" width="7.140625" customWidth="1"/>
    <col min="15105" max="15105" width="33.140625" bestFit="1" customWidth="1"/>
    <col min="15106" max="15108" width="7.140625" customWidth="1"/>
    <col min="15109" max="15109" width="5" customWidth="1"/>
    <col min="15110" max="15112" width="7.140625" customWidth="1"/>
    <col min="15113" max="15113" width="5" customWidth="1"/>
    <col min="15114" max="15116" width="7.140625" customWidth="1"/>
    <col min="15361" max="15361" width="33.140625" bestFit="1" customWidth="1"/>
    <col min="15362" max="15364" width="7.140625" customWidth="1"/>
    <col min="15365" max="15365" width="5" customWidth="1"/>
    <col min="15366" max="15368" width="7.140625" customWidth="1"/>
    <col min="15369" max="15369" width="5" customWidth="1"/>
    <col min="15370" max="15372" width="7.140625" customWidth="1"/>
    <col min="15617" max="15617" width="33.140625" bestFit="1" customWidth="1"/>
    <col min="15618" max="15620" width="7.140625" customWidth="1"/>
    <col min="15621" max="15621" width="5" customWidth="1"/>
    <col min="15622" max="15624" width="7.140625" customWidth="1"/>
    <col min="15625" max="15625" width="5" customWidth="1"/>
    <col min="15626" max="15628" width="7.140625" customWidth="1"/>
    <col min="15873" max="15873" width="33.140625" bestFit="1" customWidth="1"/>
    <col min="15874" max="15876" width="7.140625" customWidth="1"/>
    <col min="15877" max="15877" width="5" customWidth="1"/>
    <col min="15878" max="15880" width="7.140625" customWidth="1"/>
    <col min="15881" max="15881" width="5" customWidth="1"/>
    <col min="15882" max="15884" width="7.140625" customWidth="1"/>
    <col min="16129" max="16129" width="33.140625" bestFit="1" customWidth="1"/>
    <col min="16130" max="16132" width="7.140625" customWidth="1"/>
    <col min="16133" max="16133" width="5" customWidth="1"/>
    <col min="16134" max="16136" width="7.140625" customWidth="1"/>
    <col min="16137" max="16137" width="5" customWidth="1"/>
    <col min="16138" max="16140" width="7.140625" customWidth="1"/>
  </cols>
  <sheetData>
    <row r="1" spans="1:14" ht="15.75" x14ac:dyDescent="0.25">
      <c r="A1" s="19" t="str">
        <f>CONCATENATE("Industry and Occupation Table 1  Occupation composition (SOC2020) by gender, ",B$6,"-",J$6,", ",Info!B5)</f>
        <v>Industry and Occupation Table 1  Occupation composition (SOC2020) by gender, 2015-2035, North East</v>
      </c>
      <c r="B1" s="236"/>
      <c r="C1" s="236"/>
      <c r="D1" s="236"/>
      <c r="E1" s="236"/>
      <c r="F1" s="236"/>
      <c r="G1" s="236"/>
      <c r="H1" s="236"/>
      <c r="I1" s="236"/>
      <c r="J1" s="236"/>
      <c r="K1" s="236"/>
      <c r="L1" s="248"/>
      <c r="M1" s="236"/>
      <c r="N1" s="236"/>
    </row>
    <row r="2" spans="1:14" x14ac:dyDescent="0.2">
      <c r="A2" s="258" t="s">
        <v>516</v>
      </c>
      <c r="B2" s="236"/>
      <c r="C2" s="236"/>
      <c r="D2" s="236"/>
      <c r="E2" s="236"/>
      <c r="F2" s="236"/>
      <c r="G2" s="236"/>
      <c r="H2" s="236"/>
      <c r="I2" s="236"/>
      <c r="J2" s="236"/>
      <c r="K2" s="236"/>
      <c r="L2" s="248"/>
      <c r="M2" s="236"/>
      <c r="N2" s="236"/>
    </row>
    <row r="3" spans="1:14" x14ac:dyDescent="0.2">
      <c r="A3" s="236"/>
      <c r="B3" s="236"/>
      <c r="C3" s="236"/>
      <c r="D3" s="236"/>
      <c r="E3" s="236"/>
      <c r="F3" s="236"/>
      <c r="G3" s="236"/>
      <c r="H3" s="236"/>
      <c r="I3" s="236"/>
      <c r="J3" s="236"/>
      <c r="K3" s="236"/>
      <c r="L3" s="248"/>
      <c r="M3" s="236"/>
      <c r="N3" s="236"/>
    </row>
    <row r="4" spans="1:14" x14ac:dyDescent="0.2">
      <c r="A4" s="236"/>
      <c r="B4" s="236"/>
      <c r="C4" s="236"/>
      <c r="D4" s="236"/>
      <c r="E4" s="236"/>
      <c r="F4" s="236"/>
      <c r="G4" s="236"/>
      <c r="H4" s="236"/>
      <c r="I4" s="236"/>
      <c r="J4" s="236"/>
      <c r="K4" s="236"/>
      <c r="L4" s="251" t="s">
        <v>36</v>
      </c>
      <c r="M4" s="236"/>
      <c r="N4" s="236"/>
    </row>
    <row r="5" spans="1:14" x14ac:dyDescent="0.2">
      <c r="A5" s="242"/>
      <c r="B5" s="242"/>
      <c r="C5" s="243"/>
      <c r="D5" s="243"/>
      <c r="E5" s="243"/>
      <c r="F5" s="243"/>
      <c r="G5" s="243"/>
      <c r="H5" s="243"/>
      <c r="I5" s="243"/>
      <c r="J5" s="243"/>
      <c r="K5" s="243"/>
      <c r="L5" s="236"/>
      <c r="M5" s="236"/>
      <c r="N5" s="236"/>
    </row>
    <row r="6" spans="1:14" x14ac:dyDescent="0.2">
      <c r="A6" s="241" t="s">
        <v>0</v>
      </c>
      <c r="B6" s="375">
        <v>2015</v>
      </c>
      <c r="C6" s="376"/>
      <c r="D6" s="376"/>
      <c r="E6" s="246"/>
      <c r="F6" s="375">
        <v>2020</v>
      </c>
      <c r="G6" s="375"/>
      <c r="H6" s="375"/>
      <c r="I6" s="246"/>
      <c r="J6" s="375">
        <v>2035</v>
      </c>
      <c r="K6" s="375"/>
      <c r="L6" s="375"/>
      <c r="M6" s="236"/>
      <c r="N6" s="236"/>
    </row>
    <row r="7" spans="1:14" x14ac:dyDescent="0.2">
      <c r="A7" s="252"/>
      <c r="B7" s="245" t="s">
        <v>361</v>
      </c>
      <c r="C7" s="245" t="s">
        <v>362</v>
      </c>
      <c r="D7" s="245" t="s">
        <v>33</v>
      </c>
      <c r="E7" s="245"/>
      <c r="F7" s="245" t="s">
        <v>361</v>
      </c>
      <c r="G7" s="245" t="s">
        <v>362</v>
      </c>
      <c r="H7" s="245" t="s">
        <v>33</v>
      </c>
      <c r="I7" s="245"/>
      <c r="J7" s="245" t="s">
        <v>361</v>
      </c>
      <c r="K7" s="245" t="s">
        <v>362</v>
      </c>
      <c r="L7" s="245" t="s">
        <v>33</v>
      </c>
      <c r="M7" s="236"/>
      <c r="N7" s="236"/>
    </row>
    <row r="8" spans="1:14" x14ac:dyDescent="0.2">
      <c r="A8" s="236"/>
      <c r="B8" s="257"/>
      <c r="C8" s="257"/>
      <c r="D8" s="257"/>
      <c r="E8" s="257"/>
      <c r="F8" s="257"/>
      <c r="G8" s="257"/>
      <c r="H8" s="257"/>
      <c r="I8" s="257"/>
      <c r="J8" s="257"/>
      <c r="K8" s="257"/>
      <c r="L8" s="257"/>
      <c r="M8" s="236"/>
      <c r="N8" s="236"/>
    </row>
    <row r="9" spans="1:14" x14ac:dyDescent="0.2">
      <c r="A9" s="237" t="str">
        <f>name!E$4</f>
        <v>Managers, directors and senior officials</v>
      </c>
      <c r="B9" s="249">
        <f>SUM(B26,B43,B60,B77,B94,B111,B128,B145,B162,B179,B196,B213,B230,B247,B264,B281,B298,B315,B332,B349,B366,B383)</f>
        <v>12.229125248058114</v>
      </c>
      <c r="C9" s="249">
        <f>SUM(C26,C43,C60,C77,C94,C111,C128,C145,C162,C179,C196,C213,C230,C247,C264,C281,C298,C315,C332,C349,C366,C383)</f>
        <v>23.777080714209081</v>
      </c>
      <c r="D9" s="249">
        <f>SUM(B9:C9)</f>
        <v>36.006205962267195</v>
      </c>
      <c r="E9" s="238"/>
      <c r="F9" s="249">
        <f>SUM(F26,F43,F60,F77,F94,F111,F128,F145,F162,F179,F196,F213,F230,F247,F264,F281,F298,F315,F332,F349,F366,F383)</f>
        <v>14.964121685940329</v>
      </c>
      <c r="G9" s="249">
        <f>SUM(G26,G43,G60,G77,G94,G111,G128,G145,G162,G179,G196,G213,G230,G247,G264,G281,G298,G315,G332,G349,G366,G383)</f>
        <v>25.28095703882083</v>
      </c>
      <c r="H9" s="249">
        <f>SUM(F9:G9)</f>
        <v>40.245078724761157</v>
      </c>
      <c r="I9" s="238"/>
      <c r="J9" s="249">
        <f>SUM(J26,J43,J60,J77,J94,J111,J128,J145,J162,J179,J196,J213,J230,J247,J264,J281,J298,J315,J332,J349,J366,J383)</f>
        <v>18.061820748324664</v>
      </c>
      <c r="K9" s="249">
        <f>SUM(K26,K43,K60,K77,K94,K111,K128,K145,K162,K179,K196,K213,K230,K247,K264,K281,K298,K315,K332,K349,K366,K383)</f>
        <v>27.627317067591282</v>
      </c>
      <c r="L9" s="249">
        <f>SUM(J9:K9)</f>
        <v>45.689137815915942</v>
      </c>
      <c r="M9" s="236"/>
      <c r="N9" s="236"/>
    </row>
    <row r="10" spans="1:14" x14ac:dyDescent="0.2">
      <c r="A10" s="237" t="str">
        <f>name!E$5</f>
        <v>Professional occupations</v>
      </c>
      <c r="B10" s="249">
        <f t="shared" ref="B10:C17" si="0">SUM(B27,B44,B61,B78,B95,B112,B129,B146,B163,B180,B197,B214,B231,B248,B265,B282,B299,B316,B333,B350,B367,B384)</f>
        <v>45.540075357924273</v>
      </c>
      <c r="C10" s="249">
        <f t="shared" si="0"/>
        <v>44.585201277396358</v>
      </c>
      <c r="D10" s="249">
        <f t="shared" ref="D10:D17" si="1">SUM(B10:C10)</f>
        <v>90.125276635320631</v>
      </c>
      <c r="E10" s="238"/>
      <c r="F10" s="249">
        <f t="shared" ref="F10:G17" si="2">SUM(F27,F44,F61,F78,F95,F112,F129,F146,F163,F180,F197,F214,F231,F248,F265,F282,F299,F316,F333,F350,F367,F384)</f>
        <v>52.744618200312459</v>
      </c>
      <c r="G10" s="249">
        <f t="shared" si="2"/>
        <v>46.322912758148696</v>
      </c>
      <c r="H10" s="249">
        <f t="shared" ref="H10:H17" si="3">SUM(F10:G10)</f>
        <v>99.067530958461163</v>
      </c>
      <c r="I10" s="238"/>
      <c r="J10" s="249">
        <f t="shared" ref="J10:K17" si="4">SUM(J27,J44,J61,J78,J95,J112,J129,J146,J163,J180,J197,J214,J231,J248,J265,J282,J299,J316,J333,J350,J367,J384)</f>
        <v>64.349996912749717</v>
      </c>
      <c r="K10" s="249">
        <f t="shared" si="4"/>
        <v>52.453904219950999</v>
      </c>
      <c r="L10" s="249">
        <f t="shared" ref="L10:L17" si="5">SUM(J10:K10)</f>
        <v>116.80390113270072</v>
      </c>
      <c r="M10" s="236"/>
      <c r="N10" s="236"/>
    </row>
    <row r="11" spans="1:14" x14ac:dyDescent="0.2">
      <c r="A11" s="237" t="str">
        <f>name!E$6</f>
        <v>Associate professional occupations</v>
      </c>
      <c r="B11" s="249">
        <f t="shared" si="0"/>
        <v>24.233979306113159</v>
      </c>
      <c r="C11" s="249">
        <f t="shared" si="0"/>
        <v>27.312945618268788</v>
      </c>
      <c r="D11" s="249">
        <f t="shared" si="1"/>
        <v>51.546924924381948</v>
      </c>
      <c r="E11" s="238"/>
      <c r="F11" s="249">
        <f t="shared" si="2"/>
        <v>26.437556612024405</v>
      </c>
      <c r="G11" s="249">
        <f t="shared" si="2"/>
        <v>29.639499620895958</v>
      </c>
      <c r="H11" s="249">
        <f t="shared" si="3"/>
        <v>56.077056232920363</v>
      </c>
      <c r="I11" s="238"/>
      <c r="J11" s="249">
        <f t="shared" si="4"/>
        <v>29.988428641236389</v>
      </c>
      <c r="K11" s="249">
        <f t="shared" si="4"/>
        <v>27.430644149489023</v>
      </c>
      <c r="L11" s="249">
        <f t="shared" si="5"/>
        <v>57.419072790725409</v>
      </c>
      <c r="M11" s="236"/>
      <c r="N11" s="236"/>
    </row>
    <row r="12" spans="1:14" x14ac:dyDescent="0.2">
      <c r="A12" s="237" t="str">
        <f>name!E$7</f>
        <v>Administrative and secretarial occupations</v>
      </c>
      <c r="B12" s="249">
        <f t="shared" si="0"/>
        <v>41.038174676819679</v>
      </c>
      <c r="C12" s="249">
        <f t="shared" si="0"/>
        <v>14.24745151836038</v>
      </c>
      <c r="D12" s="249">
        <f t="shared" si="1"/>
        <v>55.285626195180058</v>
      </c>
      <c r="E12" s="238"/>
      <c r="F12" s="249">
        <f t="shared" si="2"/>
        <v>37.448670232576951</v>
      </c>
      <c r="G12" s="249">
        <f t="shared" si="2"/>
        <v>15.05442558247551</v>
      </c>
      <c r="H12" s="249">
        <f t="shared" si="3"/>
        <v>52.503095815052461</v>
      </c>
      <c r="I12" s="238"/>
      <c r="J12" s="249">
        <f t="shared" si="4"/>
        <v>30.02081292427258</v>
      </c>
      <c r="K12" s="249">
        <f t="shared" si="4"/>
        <v>15.847783092487065</v>
      </c>
      <c r="L12" s="249">
        <f t="shared" si="5"/>
        <v>45.868596016759646</v>
      </c>
      <c r="M12" s="236"/>
      <c r="N12" s="236"/>
    </row>
    <row r="13" spans="1:14" x14ac:dyDescent="0.2">
      <c r="A13" s="237" t="str">
        <f>name!E$8</f>
        <v>Skilled trades occupations</v>
      </c>
      <c r="B13" s="249">
        <f t="shared" si="0"/>
        <v>5.5227356686328655</v>
      </c>
      <c r="C13" s="249">
        <f t="shared" si="0"/>
        <v>51.499546209739812</v>
      </c>
      <c r="D13" s="249">
        <f t="shared" si="1"/>
        <v>57.022281878372681</v>
      </c>
      <c r="E13" s="238"/>
      <c r="F13" s="249">
        <f t="shared" si="2"/>
        <v>5.4486715198879079</v>
      </c>
      <c r="G13" s="249">
        <f t="shared" si="2"/>
        <v>42.797041029444301</v>
      </c>
      <c r="H13" s="249">
        <f t="shared" si="3"/>
        <v>48.245712549332211</v>
      </c>
      <c r="I13" s="238"/>
      <c r="J13" s="249">
        <f t="shared" si="4"/>
        <v>6.1096685947304623</v>
      </c>
      <c r="K13" s="249">
        <f t="shared" si="4"/>
        <v>37.066818924474312</v>
      </c>
      <c r="L13" s="249">
        <f t="shared" si="5"/>
        <v>43.176487519204777</v>
      </c>
      <c r="M13" s="236"/>
      <c r="N13" s="236"/>
    </row>
    <row r="14" spans="1:14" x14ac:dyDescent="0.2">
      <c r="A14" s="237" t="str">
        <f>name!E$9</f>
        <v>Caring, leisure and other service occupations</v>
      </c>
      <c r="B14" s="249">
        <f t="shared" si="0"/>
        <v>37.120547435997089</v>
      </c>
      <c r="C14" s="249">
        <f t="shared" si="0"/>
        <v>7.7679966639228679</v>
      </c>
      <c r="D14" s="249">
        <f t="shared" si="1"/>
        <v>44.888544099919955</v>
      </c>
      <c r="E14" s="238"/>
      <c r="F14" s="249">
        <f t="shared" si="2"/>
        <v>34.930455926680359</v>
      </c>
      <c r="G14" s="249">
        <f t="shared" si="2"/>
        <v>7.9116658143249596</v>
      </c>
      <c r="H14" s="249">
        <f t="shared" si="3"/>
        <v>42.842121741005322</v>
      </c>
      <c r="I14" s="238"/>
      <c r="J14" s="249">
        <f t="shared" si="4"/>
        <v>36.69384199297734</v>
      </c>
      <c r="K14" s="249">
        <f t="shared" si="4"/>
        <v>9.356613892866271</v>
      </c>
      <c r="L14" s="249">
        <f t="shared" si="5"/>
        <v>46.050455885843611</v>
      </c>
      <c r="M14" s="236"/>
      <c r="N14" s="236"/>
    </row>
    <row r="15" spans="1:14" x14ac:dyDescent="0.2">
      <c r="A15" s="237" t="str">
        <f>name!E$10</f>
        <v>Sales and customer service occupations</v>
      </c>
      <c r="B15" s="249">
        <f t="shared" si="0"/>
        <v>38.276778765762842</v>
      </c>
      <c r="C15" s="249">
        <f t="shared" si="0"/>
        <v>17.90247162790391</v>
      </c>
      <c r="D15" s="249">
        <f t="shared" si="1"/>
        <v>56.179250393666749</v>
      </c>
      <c r="E15" s="238"/>
      <c r="F15" s="249">
        <f t="shared" si="2"/>
        <v>34.386759436432193</v>
      </c>
      <c r="G15" s="249">
        <f t="shared" si="2"/>
        <v>17.181501786706683</v>
      </c>
      <c r="H15" s="249">
        <f t="shared" si="3"/>
        <v>51.568261223138876</v>
      </c>
      <c r="I15" s="238"/>
      <c r="J15" s="249">
        <f t="shared" si="4"/>
        <v>33.264450272931001</v>
      </c>
      <c r="K15" s="249">
        <f t="shared" si="4"/>
        <v>18.650779035004124</v>
      </c>
      <c r="L15" s="249">
        <f t="shared" si="5"/>
        <v>51.915229307935121</v>
      </c>
      <c r="M15" s="236"/>
      <c r="N15" s="236"/>
    </row>
    <row r="16" spans="1:14" x14ac:dyDescent="0.2">
      <c r="A16" s="237" t="str">
        <f>name!E$11</f>
        <v>Process, plant and machine operatives</v>
      </c>
      <c r="B16" s="249">
        <f t="shared" si="0"/>
        <v>4.1859838833306275</v>
      </c>
      <c r="C16" s="249">
        <f t="shared" si="0"/>
        <v>34.089676670018619</v>
      </c>
      <c r="D16" s="249">
        <f t="shared" si="1"/>
        <v>38.275660553349248</v>
      </c>
      <c r="E16" s="238"/>
      <c r="F16" s="249">
        <f t="shared" si="2"/>
        <v>3.422504595178359</v>
      </c>
      <c r="G16" s="249">
        <f t="shared" si="2"/>
        <v>32.156686094601767</v>
      </c>
      <c r="H16" s="249">
        <f t="shared" si="3"/>
        <v>35.579190689780127</v>
      </c>
      <c r="I16" s="238"/>
      <c r="J16" s="249">
        <f t="shared" si="4"/>
        <v>3.93709449792419</v>
      </c>
      <c r="K16" s="249">
        <f t="shared" si="4"/>
        <v>32.193799282170446</v>
      </c>
      <c r="L16" s="249">
        <f t="shared" si="5"/>
        <v>36.130893780094638</v>
      </c>
      <c r="M16" s="236"/>
      <c r="N16" s="236"/>
    </row>
    <row r="17" spans="1:14" x14ac:dyDescent="0.2">
      <c r="A17" s="237" t="str">
        <f>name!E$12</f>
        <v>Elementary occupations</v>
      </c>
      <c r="B17" s="249">
        <f t="shared" si="0"/>
        <v>28.619026415561823</v>
      </c>
      <c r="C17" s="249">
        <f t="shared" si="0"/>
        <v>31.762202941979794</v>
      </c>
      <c r="D17" s="249">
        <f t="shared" si="1"/>
        <v>60.381229357541613</v>
      </c>
      <c r="E17" s="238"/>
      <c r="F17" s="249">
        <f t="shared" si="2"/>
        <v>23.111937675922015</v>
      </c>
      <c r="G17" s="249">
        <f t="shared" si="2"/>
        <v>29.686014389626482</v>
      </c>
      <c r="H17" s="249">
        <f t="shared" si="3"/>
        <v>52.7979520655485</v>
      </c>
      <c r="I17" s="238"/>
      <c r="J17" s="249">
        <f t="shared" si="4"/>
        <v>21.7789801113104</v>
      </c>
      <c r="K17" s="249">
        <f t="shared" si="4"/>
        <v>27.945245639509803</v>
      </c>
      <c r="L17" s="249">
        <f t="shared" si="5"/>
        <v>49.724225750820203</v>
      </c>
      <c r="M17" s="236"/>
      <c r="N17" s="236"/>
    </row>
    <row r="18" spans="1:14" x14ac:dyDescent="0.2">
      <c r="A18" s="237"/>
      <c r="B18" s="249"/>
      <c r="C18" s="249"/>
      <c r="D18" s="249"/>
      <c r="E18" s="238"/>
      <c r="F18" s="249"/>
      <c r="G18" s="249"/>
      <c r="H18" s="249"/>
      <c r="I18" s="238"/>
      <c r="J18" s="249"/>
      <c r="K18" s="249"/>
      <c r="L18" s="249"/>
      <c r="M18" s="236"/>
      <c r="N18" s="236"/>
    </row>
    <row r="19" spans="1:14" x14ac:dyDescent="0.2">
      <c r="A19" s="244" t="s">
        <v>33</v>
      </c>
      <c r="B19" s="247">
        <f>SUM(B9:B17)</f>
        <v>236.76642675820045</v>
      </c>
      <c r="C19" s="247">
        <f t="shared" ref="C19:L19" si="6">SUM(C9:C17)</f>
        <v>252.94457324179962</v>
      </c>
      <c r="D19" s="247">
        <f t="shared" si="6"/>
        <v>489.71100000000007</v>
      </c>
      <c r="E19" s="247"/>
      <c r="F19" s="247">
        <f t="shared" si="6"/>
        <v>232.89529588495498</v>
      </c>
      <c r="G19" s="247">
        <f t="shared" si="6"/>
        <v>246.03070411504515</v>
      </c>
      <c r="H19" s="247">
        <f t="shared" si="6"/>
        <v>478.92600000000022</v>
      </c>
      <c r="I19" s="247"/>
      <c r="J19" s="247">
        <f t="shared" si="6"/>
        <v>244.20509469645677</v>
      </c>
      <c r="K19" s="247">
        <f t="shared" si="6"/>
        <v>248.57290530354331</v>
      </c>
      <c r="L19" s="247">
        <f t="shared" si="6"/>
        <v>492.77800000000013</v>
      </c>
      <c r="M19" s="236"/>
      <c r="N19" s="236"/>
    </row>
    <row r="20" spans="1:14" x14ac:dyDescent="0.2">
      <c r="A20" s="237"/>
      <c r="B20" s="238"/>
      <c r="C20" s="238"/>
      <c r="D20" s="238"/>
      <c r="E20" s="238"/>
      <c r="F20" s="238"/>
      <c r="G20" s="238"/>
      <c r="H20" s="238"/>
      <c r="I20" s="238"/>
      <c r="J20" s="238"/>
      <c r="K20" s="238"/>
      <c r="L20" s="239"/>
      <c r="M20" s="236"/>
      <c r="N20" s="236"/>
    </row>
    <row r="21" spans="1:14" x14ac:dyDescent="0.2">
      <c r="A21" s="237"/>
      <c r="B21" s="237"/>
      <c r="C21" s="237"/>
      <c r="D21" s="237"/>
      <c r="E21" s="237"/>
      <c r="F21" s="237"/>
      <c r="G21" s="237"/>
      <c r="H21" s="237"/>
      <c r="I21" s="237"/>
      <c r="J21" s="237"/>
      <c r="K21" s="237"/>
      <c r="L21" s="256" t="s">
        <v>36</v>
      </c>
      <c r="M21" s="236"/>
      <c r="N21" s="236"/>
    </row>
    <row r="22" spans="1:14" x14ac:dyDescent="0.2">
      <c r="A22" s="242"/>
      <c r="B22" s="250"/>
      <c r="C22" s="250"/>
      <c r="D22" s="250"/>
      <c r="E22" s="250"/>
      <c r="F22" s="250"/>
      <c r="G22" s="250"/>
      <c r="H22" s="250"/>
      <c r="I22" s="250"/>
      <c r="J22" s="250"/>
      <c r="K22" s="250"/>
      <c r="L22" s="236"/>
      <c r="M22" s="236"/>
      <c r="N22" s="236"/>
    </row>
    <row r="23" spans="1:14" x14ac:dyDescent="0.2">
      <c r="A23" s="241" t="str">
        <f>name!B4</f>
        <v>Agriculture</v>
      </c>
      <c r="B23" s="375">
        <f>B$6</f>
        <v>2015</v>
      </c>
      <c r="C23" s="375"/>
      <c r="D23" s="375"/>
      <c r="E23" s="253"/>
      <c r="F23" s="375">
        <f>F$6</f>
        <v>2020</v>
      </c>
      <c r="G23" s="375"/>
      <c r="H23" s="375"/>
      <c r="I23" s="253"/>
      <c r="J23" s="375">
        <f>J$6</f>
        <v>2035</v>
      </c>
      <c r="K23" s="375"/>
      <c r="L23" s="375"/>
      <c r="M23" s="236"/>
      <c r="N23" s="236"/>
    </row>
    <row r="24" spans="1:14" x14ac:dyDescent="0.2">
      <c r="A24" s="254"/>
      <c r="B24" s="255" t="s">
        <v>361</v>
      </c>
      <c r="C24" s="255" t="s">
        <v>362</v>
      </c>
      <c r="D24" s="255" t="s">
        <v>33</v>
      </c>
      <c r="E24" s="255"/>
      <c r="F24" s="255" t="s">
        <v>361</v>
      </c>
      <c r="G24" s="255" t="s">
        <v>362</v>
      </c>
      <c r="H24" s="255" t="s">
        <v>33</v>
      </c>
      <c r="I24" s="255"/>
      <c r="J24" s="255" t="s">
        <v>361</v>
      </c>
      <c r="K24" s="255" t="s">
        <v>362</v>
      </c>
      <c r="L24" s="255" t="s">
        <v>33</v>
      </c>
      <c r="M24" s="236"/>
      <c r="N24" s="236"/>
    </row>
    <row r="25" spans="1:14" x14ac:dyDescent="0.2">
      <c r="A25" s="258"/>
      <c r="B25" s="259"/>
      <c r="C25" s="259"/>
      <c r="D25" s="259"/>
      <c r="E25" s="259"/>
      <c r="F25" s="259"/>
      <c r="G25" s="259"/>
      <c r="H25" s="259"/>
      <c r="I25" s="259"/>
      <c r="J25" s="259"/>
      <c r="K25" s="259"/>
      <c r="L25" s="259"/>
      <c r="M25" s="236"/>
      <c r="N25" s="236"/>
    </row>
    <row r="26" spans="1:14" x14ac:dyDescent="0.2">
      <c r="A26" s="237" t="str">
        <f>name!E$4</f>
        <v>Managers, directors and senior officials</v>
      </c>
      <c r="B26" s="302">
        <v>1.3790356389565743E-3</v>
      </c>
      <c r="C26" s="302">
        <v>0.18394501644495376</v>
      </c>
      <c r="D26" s="302">
        <f>SUM(B26:C26)</f>
        <v>0.18532405208391034</v>
      </c>
      <c r="E26" s="303"/>
      <c r="F26" s="302">
        <v>2.7199710489813123E-2</v>
      </c>
      <c r="G26" s="302">
        <v>8.7834144041487941E-2</v>
      </c>
      <c r="H26" s="302">
        <f>SUM(F26:G26)</f>
        <v>0.11503385453130106</v>
      </c>
      <c r="I26" s="303"/>
      <c r="J26" s="302">
        <v>2.9793727410262271E-2</v>
      </c>
      <c r="K26" s="302">
        <v>0.13940527486472185</v>
      </c>
      <c r="L26" s="302">
        <f>SUM(J26:K26)</f>
        <v>0.16919900227498411</v>
      </c>
      <c r="M26" s="236"/>
      <c r="N26" s="236"/>
    </row>
    <row r="27" spans="1:14" x14ac:dyDescent="0.2">
      <c r="A27" s="237" t="str">
        <f>name!E$5</f>
        <v>Professional occupations</v>
      </c>
      <c r="B27" s="302">
        <v>2.4057795862860048E-3</v>
      </c>
      <c r="C27" s="302">
        <v>7.4222121208866024E-2</v>
      </c>
      <c r="D27" s="302">
        <f t="shared" ref="D27:D34" si="7">SUM(B27:C27)</f>
        <v>7.6627900795152026E-2</v>
      </c>
      <c r="E27" s="303"/>
      <c r="F27" s="302">
        <v>8.344824928340008E-3</v>
      </c>
      <c r="G27" s="302">
        <v>3.6580484186964822E-2</v>
      </c>
      <c r="H27" s="302">
        <f t="shared" ref="H27:H34" si="8">SUM(F27:G27)</f>
        <v>4.4925309115304832E-2</v>
      </c>
      <c r="I27" s="303"/>
      <c r="J27" s="302">
        <v>1.4021575739264044E-2</v>
      </c>
      <c r="K27" s="302">
        <v>4.9355389185062624E-2</v>
      </c>
      <c r="L27" s="302">
        <f t="shared" ref="L27:L34" si="9">SUM(J27:K27)</f>
        <v>6.3376964924326665E-2</v>
      </c>
      <c r="M27" s="236"/>
      <c r="N27" s="236"/>
    </row>
    <row r="28" spans="1:14" x14ac:dyDescent="0.2">
      <c r="A28" s="237" t="str">
        <f>name!E$6</f>
        <v>Associate professional occupations</v>
      </c>
      <c r="B28" s="302">
        <v>2.5254764766117132E-3</v>
      </c>
      <c r="C28" s="302">
        <v>5.2154972150042687E-2</v>
      </c>
      <c r="D28" s="302">
        <f t="shared" si="7"/>
        <v>5.4680448626654402E-2</v>
      </c>
      <c r="E28" s="303"/>
      <c r="F28" s="302">
        <v>7.4754998231642217E-3</v>
      </c>
      <c r="G28" s="302">
        <v>2.1217852710702947E-2</v>
      </c>
      <c r="H28" s="302">
        <f t="shared" si="8"/>
        <v>2.8693352533867168E-2</v>
      </c>
      <c r="I28" s="303"/>
      <c r="J28" s="302">
        <v>1.0731025643492056E-2</v>
      </c>
      <c r="K28" s="302">
        <v>1.9027342542249904E-2</v>
      </c>
      <c r="L28" s="302">
        <f t="shared" si="9"/>
        <v>2.975836818574196E-2</v>
      </c>
      <c r="M28" s="236"/>
      <c r="N28" s="236"/>
    </row>
    <row r="29" spans="1:14" x14ac:dyDescent="0.2">
      <c r="A29" s="237" t="str">
        <f>name!E$7</f>
        <v>Administrative and secretarial occupations</v>
      </c>
      <c r="B29" s="302">
        <v>7.7679747736332698E-3</v>
      </c>
      <c r="C29" s="302">
        <v>4.9270137143687061E-2</v>
      </c>
      <c r="D29" s="302">
        <f t="shared" si="7"/>
        <v>5.7038111917320333E-2</v>
      </c>
      <c r="E29" s="303"/>
      <c r="F29" s="302">
        <v>1.8713438517849356E-2</v>
      </c>
      <c r="G29" s="302">
        <v>1.0703417595943295E-2</v>
      </c>
      <c r="H29" s="302">
        <f t="shared" si="8"/>
        <v>2.9416856113792651E-2</v>
      </c>
      <c r="I29" s="303"/>
      <c r="J29" s="302">
        <v>9.3508962827190678E-3</v>
      </c>
      <c r="K29" s="302">
        <v>1.3726015482767286E-2</v>
      </c>
      <c r="L29" s="302">
        <f t="shared" si="9"/>
        <v>2.3076911765486353E-2</v>
      </c>
      <c r="M29" s="236"/>
      <c r="N29" s="236"/>
    </row>
    <row r="30" spans="1:14" x14ac:dyDescent="0.2">
      <c r="A30" s="237" t="str">
        <f>name!E$8</f>
        <v>Skilled trades occupations</v>
      </c>
      <c r="B30" s="302">
        <v>3.1426031052349101E-3</v>
      </c>
      <c r="C30" s="302">
        <v>1.7338383941973559</v>
      </c>
      <c r="D30" s="302">
        <f t="shared" si="7"/>
        <v>1.7369809973025907</v>
      </c>
      <c r="E30" s="303"/>
      <c r="F30" s="302">
        <v>0.46201522798332229</v>
      </c>
      <c r="G30" s="302">
        <v>1.0091384199898858</v>
      </c>
      <c r="H30" s="302">
        <f t="shared" si="8"/>
        <v>1.4711536479732081</v>
      </c>
      <c r="I30" s="303"/>
      <c r="J30" s="302">
        <v>0.52545276840122945</v>
      </c>
      <c r="K30" s="302">
        <v>0.99013349481353385</v>
      </c>
      <c r="L30" s="302">
        <f t="shared" si="9"/>
        <v>1.5155862632147632</v>
      </c>
      <c r="M30" s="236"/>
      <c r="N30" s="236"/>
    </row>
    <row r="31" spans="1:14" x14ac:dyDescent="0.2">
      <c r="A31" s="237" t="str">
        <f>name!E$9</f>
        <v>Caring, leisure and other service occupations</v>
      </c>
      <c r="B31" s="302">
        <v>8.3634946359470407E-3</v>
      </c>
      <c r="C31" s="302">
        <v>4.2653562009599855E-2</v>
      </c>
      <c r="D31" s="302">
        <f t="shared" si="7"/>
        <v>5.1017056645546899E-2</v>
      </c>
      <c r="E31" s="303"/>
      <c r="F31" s="302">
        <v>2.0574544709676134E-2</v>
      </c>
      <c r="G31" s="302">
        <v>1.7241715457484805E-2</v>
      </c>
      <c r="H31" s="302">
        <f t="shared" si="8"/>
        <v>3.7816260167160942E-2</v>
      </c>
      <c r="I31" s="303"/>
      <c r="J31" s="302">
        <v>1.651603862548805E-2</v>
      </c>
      <c r="K31" s="302">
        <v>2.3359157402666034E-2</v>
      </c>
      <c r="L31" s="302">
        <f t="shared" si="9"/>
        <v>3.9875196028154085E-2</v>
      </c>
      <c r="M31" s="236"/>
      <c r="N31" s="236"/>
    </row>
    <row r="32" spans="1:14" x14ac:dyDescent="0.2">
      <c r="A32" s="237" t="str">
        <f>name!E$10</f>
        <v>Sales and customer service occupations</v>
      </c>
      <c r="B32" s="302">
        <v>2.4089202926488745E-3</v>
      </c>
      <c r="C32" s="302">
        <v>4.3866774587948056E-2</v>
      </c>
      <c r="D32" s="302">
        <f t="shared" si="7"/>
        <v>4.6275694880596928E-2</v>
      </c>
      <c r="E32" s="303"/>
      <c r="F32" s="302">
        <v>8.0479180649631575E-3</v>
      </c>
      <c r="G32" s="302">
        <v>1.3529447389559293E-2</v>
      </c>
      <c r="H32" s="302">
        <f t="shared" si="8"/>
        <v>2.1577365454522449E-2</v>
      </c>
      <c r="I32" s="303"/>
      <c r="J32" s="302">
        <v>6.4018290608450863E-3</v>
      </c>
      <c r="K32" s="302">
        <v>1.5223251276708901E-2</v>
      </c>
      <c r="L32" s="302">
        <f t="shared" si="9"/>
        <v>2.1625080337553986E-2</v>
      </c>
      <c r="M32" s="236"/>
      <c r="N32" s="236"/>
    </row>
    <row r="33" spans="1:18" x14ac:dyDescent="0.2">
      <c r="A33" s="237" t="str">
        <f>name!E$11</f>
        <v>Process, plant and machine operatives</v>
      </c>
      <c r="B33" s="302">
        <v>8.8777920957467239E-4</v>
      </c>
      <c r="C33" s="302">
        <v>8.5695200059997978E-2</v>
      </c>
      <c r="D33" s="302">
        <f t="shared" si="7"/>
        <v>8.6582979269572646E-2</v>
      </c>
      <c r="E33" s="303"/>
      <c r="F33" s="302">
        <v>4.3791741889749733E-3</v>
      </c>
      <c r="G33" s="302">
        <v>2.2604733617771166E-2</v>
      </c>
      <c r="H33" s="302">
        <f t="shared" si="8"/>
        <v>2.698390780674614E-2</v>
      </c>
      <c r="I33" s="303"/>
      <c r="J33" s="302">
        <v>1.4532574470882556E-2</v>
      </c>
      <c r="K33" s="302">
        <v>1.7685517136484981E-2</v>
      </c>
      <c r="L33" s="302">
        <f t="shared" si="9"/>
        <v>3.2218091607367536E-2</v>
      </c>
      <c r="M33" s="236"/>
      <c r="N33" s="236"/>
    </row>
    <row r="34" spans="1:18" x14ac:dyDescent="0.2">
      <c r="A34" s="237" t="str">
        <f>name!E$12</f>
        <v>Elementary occupations</v>
      </c>
      <c r="B34" s="302">
        <v>1.4090376185801844E-2</v>
      </c>
      <c r="C34" s="302">
        <v>0.25038238229285159</v>
      </c>
      <c r="D34" s="302">
        <f t="shared" si="7"/>
        <v>0.26447275847865342</v>
      </c>
      <c r="E34" s="303"/>
      <c r="F34" s="302">
        <v>3.7472005809636159E-2</v>
      </c>
      <c r="G34" s="302">
        <v>8.892744049445811E-2</v>
      </c>
      <c r="H34" s="302">
        <f t="shared" si="8"/>
        <v>0.12639944630409428</v>
      </c>
      <c r="I34" s="303"/>
      <c r="J34" s="302">
        <v>2.9578874721141644E-2</v>
      </c>
      <c r="K34" s="302">
        <v>0.10070524694048327</v>
      </c>
      <c r="L34" s="302">
        <f t="shared" si="9"/>
        <v>0.13028412166162492</v>
      </c>
      <c r="M34" s="236"/>
      <c r="N34" s="236"/>
    </row>
    <row r="35" spans="1:18" x14ac:dyDescent="0.2">
      <c r="A35" s="237"/>
      <c r="B35" s="302"/>
      <c r="C35" s="302"/>
      <c r="D35" s="302"/>
      <c r="E35" s="303"/>
      <c r="F35" s="302"/>
      <c r="G35" s="302"/>
      <c r="H35" s="302"/>
      <c r="I35" s="303"/>
      <c r="J35" s="302"/>
      <c r="K35" s="302"/>
      <c r="L35" s="302"/>
      <c r="M35" s="236"/>
      <c r="N35" s="312"/>
      <c r="R35" s="313"/>
    </row>
    <row r="36" spans="1:18" x14ac:dyDescent="0.2">
      <c r="A36" s="244" t="s">
        <v>33</v>
      </c>
      <c r="B36" s="311">
        <f>SUM(B26:B34)</f>
        <v>4.2971439904694902E-2</v>
      </c>
      <c r="C36" s="311">
        <f t="shared" ref="C36:K36" si="10">SUM(C26:C34)</f>
        <v>2.516028560095303</v>
      </c>
      <c r="D36" s="311">
        <f t="shared" si="10"/>
        <v>2.5589999999999975</v>
      </c>
      <c r="E36" s="311"/>
      <c r="F36" s="311">
        <f t="shared" si="10"/>
        <v>0.59422234451573941</v>
      </c>
      <c r="G36" s="311">
        <f t="shared" si="10"/>
        <v>1.3077776554842582</v>
      </c>
      <c r="H36" s="311">
        <f t="shared" si="10"/>
        <v>1.9019999999999977</v>
      </c>
      <c r="I36" s="311"/>
      <c r="J36" s="311">
        <f t="shared" si="10"/>
        <v>0.65637931035532415</v>
      </c>
      <c r="K36" s="311">
        <f t="shared" si="10"/>
        <v>1.3686206896446789</v>
      </c>
      <c r="L36" s="311">
        <f>SUM(L26:L34)</f>
        <v>2.0250000000000026</v>
      </c>
      <c r="M36" s="236"/>
      <c r="N36" s="236"/>
    </row>
    <row r="37" spans="1:18" x14ac:dyDescent="0.2">
      <c r="A37" s="237"/>
      <c r="B37" s="237"/>
      <c r="C37" s="237"/>
      <c r="D37" s="237"/>
      <c r="E37" s="237"/>
      <c r="F37" s="237"/>
      <c r="G37" s="237"/>
      <c r="H37" s="237"/>
      <c r="I37" s="237"/>
      <c r="J37" s="237"/>
      <c r="K37" s="237"/>
      <c r="L37" s="240"/>
      <c r="M37" s="236"/>
      <c r="N37" s="236"/>
    </row>
    <row r="38" spans="1:18" x14ac:dyDescent="0.2">
      <c r="A38" s="237"/>
      <c r="B38" s="237"/>
      <c r="C38" s="237"/>
      <c r="D38" s="237"/>
      <c r="E38" s="237"/>
      <c r="F38" s="237"/>
      <c r="G38" s="237"/>
      <c r="H38" s="237"/>
      <c r="I38" s="237"/>
      <c r="J38" s="237"/>
      <c r="K38" s="237"/>
      <c r="L38" s="256" t="s">
        <v>36</v>
      </c>
      <c r="M38" s="236"/>
      <c r="N38" s="236"/>
    </row>
    <row r="39" spans="1:18" x14ac:dyDescent="0.2">
      <c r="A39" s="242"/>
      <c r="B39" s="250"/>
      <c r="C39" s="250"/>
      <c r="D39" s="250"/>
      <c r="E39" s="250"/>
      <c r="F39" s="250"/>
      <c r="G39" s="250"/>
      <c r="H39" s="250"/>
      <c r="I39" s="250"/>
      <c r="J39" s="250"/>
      <c r="K39" s="250"/>
      <c r="L39" s="236"/>
      <c r="M39" s="236"/>
      <c r="N39" s="236"/>
    </row>
    <row r="40" spans="1:18" x14ac:dyDescent="0.2">
      <c r="A40" s="241" t="str">
        <f>name!B5</f>
        <v>Mining and quarrying</v>
      </c>
      <c r="B40" s="375">
        <f>B$6</f>
        <v>2015</v>
      </c>
      <c r="C40" s="375"/>
      <c r="D40" s="375"/>
      <c r="E40" s="253"/>
      <c r="F40" s="375">
        <f>F23</f>
        <v>2020</v>
      </c>
      <c r="G40" s="375"/>
      <c r="H40" s="375"/>
      <c r="I40" s="253"/>
      <c r="J40" s="375">
        <f>J23</f>
        <v>2035</v>
      </c>
      <c r="K40" s="375"/>
      <c r="L40" s="375"/>
      <c r="M40" s="236"/>
      <c r="N40" s="236"/>
    </row>
    <row r="41" spans="1:18" x14ac:dyDescent="0.2">
      <c r="A41" s="254"/>
      <c r="B41" s="255" t="s">
        <v>361</v>
      </c>
      <c r="C41" s="255" t="s">
        <v>362</v>
      </c>
      <c r="D41" s="255" t="s">
        <v>33</v>
      </c>
      <c r="E41" s="255"/>
      <c r="F41" s="255" t="s">
        <v>361</v>
      </c>
      <c r="G41" s="255" t="s">
        <v>362</v>
      </c>
      <c r="H41" s="255" t="s">
        <v>33</v>
      </c>
      <c r="I41" s="255"/>
      <c r="J41" s="255" t="s">
        <v>361</v>
      </c>
      <c r="K41" s="255" t="s">
        <v>362</v>
      </c>
      <c r="L41" s="255" t="s">
        <v>33</v>
      </c>
      <c r="M41" s="236"/>
      <c r="N41" s="236"/>
    </row>
    <row r="42" spans="1:18" x14ac:dyDescent="0.2">
      <c r="A42" s="258"/>
      <c r="B42" s="259"/>
      <c r="C42" s="259"/>
      <c r="D42" s="259"/>
      <c r="E42" s="259"/>
      <c r="F42" s="259"/>
      <c r="G42" s="259"/>
      <c r="H42" s="259"/>
      <c r="I42" s="259"/>
      <c r="J42" s="259"/>
      <c r="K42" s="259"/>
      <c r="L42" s="259"/>
      <c r="M42" s="236"/>
      <c r="N42" s="236"/>
    </row>
    <row r="43" spans="1:18" x14ac:dyDescent="0.2">
      <c r="A43" s="237" t="str">
        <f>name!E$4</f>
        <v>Managers, directors and senior officials</v>
      </c>
      <c r="B43" s="302">
        <v>4.3755803646530766E-4</v>
      </c>
      <c r="C43" s="302">
        <v>2.1959680705696712E-2</v>
      </c>
      <c r="D43" s="302">
        <f>SUM(B43:C43)</f>
        <v>2.2397238742162019E-2</v>
      </c>
      <c r="E43" s="303"/>
      <c r="F43" s="302">
        <v>2.1001589692104263E-3</v>
      </c>
      <c r="G43" s="302">
        <v>4.2576135229253721E-2</v>
      </c>
      <c r="H43" s="302">
        <f>SUM(F43:G43)</f>
        <v>4.4676294198464146E-2</v>
      </c>
      <c r="I43" s="303"/>
      <c r="J43" s="302">
        <v>5.3590085314179419E-3</v>
      </c>
      <c r="K43" s="302">
        <v>3.8417814503210392E-2</v>
      </c>
      <c r="L43" s="302">
        <f>SUM(J43:K43)</f>
        <v>4.3776823034628334E-2</v>
      </c>
      <c r="M43" s="236"/>
      <c r="N43" s="236"/>
    </row>
    <row r="44" spans="1:18" x14ac:dyDescent="0.2">
      <c r="A44" s="237" t="str">
        <f>name!E$5</f>
        <v>Professional occupations</v>
      </c>
      <c r="B44" s="302">
        <v>2.2019393113461285E-3</v>
      </c>
      <c r="C44" s="302">
        <v>2.8062010565208455E-2</v>
      </c>
      <c r="D44" s="302">
        <f t="shared" ref="D44:D51" si="11">SUM(B44:C44)</f>
        <v>3.0263949876554584E-2</v>
      </c>
      <c r="E44" s="303"/>
      <c r="F44" s="302">
        <v>1.1998992538791746E-2</v>
      </c>
      <c r="G44" s="302">
        <v>5.7504900914728908E-2</v>
      </c>
      <c r="H44" s="302">
        <f t="shared" ref="H44:H51" si="12">SUM(F44:G44)</f>
        <v>6.9503893453520649E-2</v>
      </c>
      <c r="I44" s="303"/>
      <c r="J44" s="302">
        <v>1.8793375502004717E-2</v>
      </c>
      <c r="K44" s="302">
        <v>5.1939015478787626E-2</v>
      </c>
      <c r="L44" s="302">
        <f t="shared" ref="L44:L51" si="13">SUM(J44:K44)</f>
        <v>7.0732390980792342E-2</v>
      </c>
      <c r="M44" s="236"/>
      <c r="N44" s="236"/>
    </row>
    <row r="45" spans="1:18" x14ac:dyDescent="0.2">
      <c r="A45" s="237" t="str">
        <f>name!E$6</f>
        <v>Associate professional occupations</v>
      </c>
      <c r="B45" s="302">
        <v>1.8174986804312292E-3</v>
      </c>
      <c r="C45" s="302">
        <v>4.1475948062886875E-2</v>
      </c>
      <c r="D45" s="302">
        <f t="shared" si="11"/>
        <v>4.3293446743318101E-2</v>
      </c>
      <c r="E45" s="303"/>
      <c r="F45" s="302">
        <v>8.6660343483381669E-3</v>
      </c>
      <c r="G45" s="302">
        <v>7.7984441209399791E-2</v>
      </c>
      <c r="H45" s="302">
        <f t="shared" si="12"/>
        <v>8.6650475557737958E-2</v>
      </c>
      <c r="I45" s="303"/>
      <c r="J45" s="302">
        <v>1.1439345223712134E-2</v>
      </c>
      <c r="K45" s="302">
        <v>5.0951208163211886E-2</v>
      </c>
      <c r="L45" s="302">
        <f t="shared" si="13"/>
        <v>6.2390553386924022E-2</v>
      </c>
      <c r="M45" s="236"/>
      <c r="N45" s="236"/>
    </row>
    <row r="46" spans="1:18" x14ac:dyDescent="0.2">
      <c r="A46" s="237" t="str">
        <f>name!E$7</f>
        <v>Administrative and secretarial occupations</v>
      </c>
      <c r="B46" s="302">
        <v>7.495194583689046E-3</v>
      </c>
      <c r="C46" s="302">
        <v>4.9216161796017659E-3</v>
      </c>
      <c r="D46" s="302">
        <f t="shared" si="11"/>
        <v>1.2416810763290813E-2</v>
      </c>
      <c r="E46" s="303"/>
      <c r="F46" s="302">
        <v>2.9278017047451064E-2</v>
      </c>
      <c r="G46" s="302">
        <v>1.0434128960227999E-2</v>
      </c>
      <c r="H46" s="302">
        <f t="shared" si="12"/>
        <v>3.9712146007679062E-2</v>
      </c>
      <c r="I46" s="303"/>
      <c r="J46" s="302">
        <v>8.2735175947436512E-3</v>
      </c>
      <c r="K46" s="302">
        <v>8.2161711536707354E-3</v>
      </c>
      <c r="L46" s="302">
        <f t="shared" si="13"/>
        <v>1.6489688748414388E-2</v>
      </c>
      <c r="M46" s="236"/>
      <c r="N46" s="236"/>
    </row>
    <row r="47" spans="1:18" x14ac:dyDescent="0.2">
      <c r="A47" s="237" t="str">
        <f>name!E$8</f>
        <v>Skilled trades occupations</v>
      </c>
      <c r="B47" s="302">
        <v>3.0622605987835612E-4</v>
      </c>
      <c r="C47" s="302">
        <v>6.4770138780952419E-2</v>
      </c>
      <c r="D47" s="302">
        <f t="shared" si="11"/>
        <v>6.5076364840830778E-2</v>
      </c>
      <c r="E47" s="303"/>
      <c r="F47" s="302">
        <v>1.1923240809809021E-3</v>
      </c>
      <c r="G47" s="302">
        <v>8.4302169689904616E-2</v>
      </c>
      <c r="H47" s="302">
        <f>SUM(F47:G47)</f>
        <v>8.5494493770885513E-2</v>
      </c>
      <c r="I47" s="303"/>
      <c r="J47" s="302">
        <v>9.4793824002569783E-4</v>
      </c>
      <c r="K47" s="302">
        <v>4.643188052638858E-2</v>
      </c>
      <c r="L47" s="302">
        <f t="shared" si="13"/>
        <v>4.7379818766414276E-2</v>
      </c>
      <c r="M47" s="236"/>
      <c r="N47" s="236"/>
    </row>
    <row r="48" spans="1:18" x14ac:dyDescent="0.2">
      <c r="A48" s="237" t="str">
        <f>name!E$9</f>
        <v>Caring, leisure and other service occupations</v>
      </c>
      <c r="B48" s="302">
        <v>7.300241315283929E-4</v>
      </c>
      <c r="C48" s="302">
        <v>4.9822340810901904E-3</v>
      </c>
      <c r="D48" s="302">
        <f t="shared" si="11"/>
        <v>5.7122582126185838E-3</v>
      </c>
      <c r="E48" s="303"/>
      <c r="F48" s="302">
        <v>3.1241774473928477E-3</v>
      </c>
      <c r="G48" s="302">
        <v>1.0476078975705965E-2</v>
      </c>
      <c r="H48" s="302">
        <f t="shared" si="12"/>
        <v>1.3600256423098813E-2</v>
      </c>
      <c r="I48" s="303"/>
      <c r="J48" s="302">
        <v>3.2850530400459549E-3</v>
      </c>
      <c r="K48" s="302">
        <v>1.012128311458008E-2</v>
      </c>
      <c r="L48" s="302">
        <f t="shared" si="13"/>
        <v>1.3406336154626036E-2</v>
      </c>
      <c r="M48" s="236"/>
      <c r="N48" s="236"/>
    </row>
    <row r="49" spans="1:14" x14ac:dyDescent="0.2">
      <c r="A49" s="237" t="str">
        <f>name!E$10</f>
        <v>Sales and customer service occupations</v>
      </c>
      <c r="B49" s="302">
        <v>3.0411318580632648E-3</v>
      </c>
      <c r="C49" s="302">
        <v>2.5442444126220006E-3</v>
      </c>
      <c r="D49" s="302">
        <f t="shared" si="11"/>
        <v>5.5853762706852654E-3</v>
      </c>
      <c r="E49" s="303"/>
      <c r="F49" s="302">
        <v>1.1252019801789111E-2</v>
      </c>
      <c r="G49" s="302">
        <v>6.1211451081830378E-3</v>
      </c>
      <c r="H49" s="302">
        <f t="shared" si="12"/>
        <v>1.737316490997215E-2</v>
      </c>
      <c r="I49" s="303"/>
      <c r="J49" s="302">
        <v>4.4717365837190744E-3</v>
      </c>
      <c r="K49" s="302">
        <v>5.1559299338209434E-3</v>
      </c>
      <c r="L49" s="302">
        <f t="shared" si="13"/>
        <v>9.6276665175400178E-3</v>
      </c>
      <c r="M49" s="236"/>
      <c r="N49" s="236"/>
    </row>
    <row r="50" spans="1:14" x14ac:dyDescent="0.2">
      <c r="A50" s="237" t="str">
        <f>name!E$11</f>
        <v>Process, plant and machine operatives</v>
      </c>
      <c r="B50" s="302">
        <v>1.0814515059148845E-4</v>
      </c>
      <c r="C50" s="302">
        <v>6.780925261741183E-2</v>
      </c>
      <c r="D50" s="302">
        <f t="shared" si="11"/>
        <v>6.7917397768003318E-2</v>
      </c>
      <c r="E50" s="303"/>
      <c r="F50" s="302">
        <v>3.0523383958791359E-4</v>
      </c>
      <c r="G50" s="302">
        <v>9.8589183554992785E-2</v>
      </c>
      <c r="H50" s="302">
        <f t="shared" si="12"/>
        <v>9.88944173945807E-2</v>
      </c>
      <c r="I50" s="303"/>
      <c r="J50" s="302">
        <v>1.8053147252440637E-4</v>
      </c>
      <c r="K50" s="302">
        <v>9.6708099761840624E-2</v>
      </c>
      <c r="L50" s="302">
        <f t="shared" si="13"/>
        <v>9.688863123436503E-2</v>
      </c>
      <c r="M50" s="236"/>
      <c r="N50" s="236"/>
    </row>
    <row r="51" spans="1:14" x14ac:dyDescent="0.2">
      <c r="A51" s="237" t="str">
        <f>name!E$12</f>
        <v>Elementary occupations</v>
      </c>
      <c r="B51" s="302">
        <v>5.8377134911530748E-4</v>
      </c>
      <c r="C51" s="302">
        <v>5.7533854334213125E-3</v>
      </c>
      <c r="D51" s="302">
        <f t="shared" si="11"/>
        <v>6.3371567825366197E-3</v>
      </c>
      <c r="E51" s="303"/>
      <c r="F51" s="302">
        <v>1.9654273486505759E-3</v>
      </c>
      <c r="G51" s="302">
        <v>9.1294309354100558E-3</v>
      </c>
      <c r="H51" s="302">
        <f t="shared" si="12"/>
        <v>1.1094858284060632E-2</v>
      </c>
      <c r="I51" s="303"/>
      <c r="J51" s="302">
        <v>1.065659763898945E-3</v>
      </c>
      <c r="K51" s="302">
        <v>5.2424314123968472E-3</v>
      </c>
      <c r="L51" s="302">
        <f t="shared" si="13"/>
        <v>6.3080911762957922E-3</v>
      </c>
      <c r="M51" s="236"/>
      <c r="N51" s="236"/>
    </row>
    <row r="52" spans="1:14" x14ac:dyDescent="0.2">
      <c r="A52" s="237"/>
      <c r="B52" s="302"/>
      <c r="C52" s="302"/>
      <c r="D52" s="302"/>
      <c r="E52" s="303"/>
      <c r="F52" s="302"/>
      <c r="G52" s="302"/>
      <c r="H52" s="302"/>
      <c r="I52" s="303"/>
      <c r="J52" s="302"/>
      <c r="K52" s="302"/>
      <c r="L52" s="302"/>
      <c r="M52" s="236"/>
      <c r="N52" s="236"/>
    </row>
    <row r="53" spans="1:14" x14ac:dyDescent="0.2">
      <c r="A53" s="244" t="s">
        <v>33</v>
      </c>
      <c r="B53" s="311">
        <f>SUM(B43:B51)</f>
        <v>1.6721489161108518E-2</v>
      </c>
      <c r="C53" s="311">
        <f t="shared" ref="C53:L53" si="14">SUM(C43:C51)</f>
        <v>0.24227851083889157</v>
      </c>
      <c r="D53" s="311">
        <f t="shared" si="14"/>
        <v>0.25900000000000006</v>
      </c>
      <c r="E53" s="311"/>
      <c r="F53" s="311">
        <f t="shared" si="14"/>
        <v>6.9882385422192758E-2</v>
      </c>
      <c r="G53" s="311">
        <f t="shared" si="14"/>
        <v>0.39711761457780687</v>
      </c>
      <c r="H53" s="311">
        <f t="shared" si="14"/>
        <v>0.46699999999999964</v>
      </c>
      <c r="I53" s="311"/>
      <c r="J53" s="311">
        <f t="shared" si="14"/>
        <v>5.3816165952092529E-2</v>
      </c>
      <c r="K53" s="311">
        <f t="shared" si="14"/>
        <v>0.31318383404790767</v>
      </c>
      <c r="L53" s="311">
        <f t="shared" si="14"/>
        <v>0.36700000000000021</v>
      </c>
      <c r="M53" s="236"/>
      <c r="N53" s="236"/>
    </row>
    <row r="54" spans="1:14" x14ac:dyDescent="0.2">
      <c r="A54" s="237"/>
      <c r="B54" s="237"/>
      <c r="C54" s="237"/>
      <c r="D54" s="237"/>
      <c r="E54" s="237"/>
      <c r="F54" s="237"/>
      <c r="G54" s="237"/>
      <c r="H54" s="237"/>
      <c r="I54" s="237"/>
      <c r="J54" s="237"/>
      <c r="K54" s="237"/>
      <c r="L54" s="240"/>
      <c r="M54" s="236"/>
      <c r="N54" s="236"/>
    </row>
    <row r="55" spans="1:14" x14ac:dyDescent="0.2">
      <c r="A55" s="237"/>
      <c r="B55" s="237"/>
      <c r="C55" s="237"/>
      <c r="D55" s="237"/>
      <c r="E55" s="237"/>
      <c r="F55" s="237"/>
      <c r="G55" s="237"/>
      <c r="H55" s="237"/>
      <c r="I55" s="237"/>
      <c r="J55" s="237"/>
      <c r="K55" s="237"/>
      <c r="L55" s="256" t="s">
        <v>36</v>
      </c>
      <c r="M55" s="236"/>
      <c r="N55" s="236"/>
    </row>
    <row r="56" spans="1:14" x14ac:dyDescent="0.2">
      <c r="A56" s="242"/>
      <c r="B56" s="250"/>
      <c r="C56" s="250"/>
      <c r="D56" s="250"/>
      <c r="E56" s="250"/>
      <c r="F56" s="250"/>
      <c r="G56" s="250"/>
      <c r="H56" s="250"/>
      <c r="I56" s="250"/>
      <c r="J56" s="250"/>
      <c r="K56" s="250"/>
      <c r="L56" s="236"/>
      <c r="M56" s="236"/>
      <c r="N56" s="236"/>
    </row>
    <row r="57" spans="1:14" x14ac:dyDescent="0.2">
      <c r="A57" s="241" t="str">
        <f>name!B6</f>
        <v>Food drink and tobacco</v>
      </c>
      <c r="B57" s="375">
        <f>B$6</f>
        <v>2015</v>
      </c>
      <c r="C57" s="375"/>
      <c r="D57" s="375"/>
      <c r="E57" s="253"/>
      <c r="F57" s="375">
        <f>F40</f>
        <v>2020</v>
      </c>
      <c r="G57" s="375"/>
      <c r="H57" s="375"/>
      <c r="I57" s="253"/>
      <c r="J57" s="375">
        <f>J40</f>
        <v>2035</v>
      </c>
      <c r="K57" s="375"/>
      <c r="L57" s="375"/>
      <c r="M57" s="236"/>
      <c r="N57" s="236"/>
    </row>
    <row r="58" spans="1:14" x14ac:dyDescent="0.2">
      <c r="A58" s="254"/>
      <c r="B58" s="255" t="s">
        <v>361</v>
      </c>
      <c r="C58" s="255" t="s">
        <v>362</v>
      </c>
      <c r="D58" s="255" t="s">
        <v>33</v>
      </c>
      <c r="E58" s="255"/>
      <c r="F58" s="255" t="s">
        <v>361</v>
      </c>
      <c r="G58" s="255" t="s">
        <v>362</v>
      </c>
      <c r="H58" s="255" t="s">
        <v>33</v>
      </c>
      <c r="I58" s="255"/>
      <c r="J58" s="255" t="s">
        <v>361</v>
      </c>
      <c r="K58" s="255" t="s">
        <v>362</v>
      </c>
      <c r="L58" s="255" t="s">
        <v>33</v>
      </c>
      <c r="M58" s="236"/>
      <c r="N58" s="236"/>
    </row>
    <row r="59" spans="1:14" x14ac:dyDescent="0.2">
      <c r="A59" s="258"/>
      <c r="B59" s="259"/>
      <c r="C59" s="259"/>
      <c r="D59" s="259"/>
      <c r="E59" s="259"/>
      <c r="F59" s="259"/>
      <c r="G59" s="259"/>
      <c r="H59" s="259"/>
      <c r="I59" s="259"/>
      <c r="J59" s="259"/>
      <c r="K59" s="259"/>
      <c r="L59" s="259"/>
      <c r="M59" s="236"/>
      <c r="N59" s="236"/>
    </row>
    <row r="60" spans="1:14" x14ac:dyDescent="0.2">
      <c r="A60" s="237" t="str">
        <f>name!E$4</f>
        <v>Managers, directors and senior officials</v>
      </c>
      <c r="B60" s="302">
        <v>0.10270082575219226</v>
      </c>
      <c r="C60" s="302">
        <v>8.3778169824179155E-2</v>
      </c>
      <c r="D60" s="302">
        <f>SUM(B60:C60)</f>
        <v>0.18647899557637143</v>
      </c>
      <c r="E60" s="303"/>
      <c r="F60" s="302">
        <v>0.15194639467185325</v>
      </c>
      <c r="G60" s="302">
        <v>0.10776646370502994</v>
      </c>
      <c r="H60" s="302">
        <f>SUM(F60:G60)</f>
        <v>0.25971285837688318</v>
      </c>
      <c r="I60" s="303"/>
      <c r="J60" s="302">
        <v>0.19064435576585448</v>
      </c>
      <c r="K60" s="302">
        <v>0.10291274176516924</v>
      </c>
      <c r="L60" s="302">
        <f>SUM(J60:K60)</f>
        <v>0.29355709753102371</v>
      </c>
      <c r="M60" s="236"/>
      <c r="N60" s="236"/>
    </row>
    <row r="61" spans="1:14" x14ac:dyDescent="0.2">
      <c r="A61" s="237" t="str">
        <f>name!E$5</f>
        <v>Professional occupations</v>
      </c>
      <c r="B61" s="302">
        <v>8.3018424447027561E-2</v>
      </c>
      <c r="C61" s="302">
        <v>9.8600606565005744E-2</v>
      </c>
      <c r="D61" s="302">
        <f t="shared" ref="D61:D68" si="15">SUM(B61:C61)</f>
        <v>0.18161903101203331</v>
      </c>
      <c r="E61" s="303"/>
      <c r="F61" s="302">
        <v>0.12585848951503237</v>
      </c>
      <c r="G61" s="302">
        <v>0.14241758950641753</v>
      </c>
      <c r="H61" s="302">
        <f t="shared" ref="H61:H68" si="16">SUM(F61:G61)</f>
        <v>0.2682760790214499</v>
      </c>
      <c r="I61" s="303"/>
      <c r="J61" s="302">
        <v>0.17236481340110027</v>
      </c>
      <c r="K61" s="302">
        <v>0.16922283437137592</v>
      </c>
      <c r="L61" s="302">
        <f t="shared" ref="L61:L68" si="17">SUM(J61:K61)</f>
        <v>0.34158764777247619</v>
      </c>
      <c r="M61" s="236"/>
      <c r="N61" s="236"/>
    </row>
    <row r="62" spans="1:14" x14ac:dyDescent="0.2">
      <c r="A62" s="237" t="str">
        <f>name!E$6</f>
        <v>Associate professional occupations</v>
      </c>
      <c r="B62" s="302">
        <v>0.1288677537867858</v>
      </c>
      <c r="C62" s="302">
        <v>0.17322729592715175</v>
      </c>
      <c r="D62" s="302">
        <f t="shared" si="15"/>
        <v>0.30209504971393752</v>
      </c>
      <c r="E62" s="303"/>
      <c r="F62" s="302">
        <v>0.18682857361796801</v>
      </c>
      <c r="G62" s="302">
        <v>0.24617683979222371</v>
      </c>
      <c r="H62" s="302">
        <f t="shared" si="16"/>
        <v>0.43300541341019172</v>
      </c>
      <c r="I62" s="303"/>
      <c r="J62" s="302">
        <v>0.21012045433159099</v>
      </c>
      <c r="K62" s="302">
        <v>0.20362708521123976</v>
      </c>
      <c r="L62" s="302">
        <f t="shared" si="17"/>
        <v>0.41374753954283072</v>
      </c>
      <c r="M62" s="236"/>
      <c r="N62" s="236"/>
    </row>
    <row r="63" spans="1:14" x14ac:dyDescent="0.2">
      <c r="A63" s="237" t="str">
        <f>name!E$7</f>
        <v>Administrative and secretarial occupations</v>
      </c>
      <c r="B63" s="302">
        <v>0.13329442233316907</v>
      </c>
      <c r="C63" s="302">
        <v>0.1229491412682558</v>
      </c>
      <c r="D63" s="302">
        <f t="shared" si="15"/>
        <v>0.25624356360142486</v>
      </c>
      <c r="E63" s="303"/>
      <c r="F63" s="302">
        <v>0.15470432253856825</v>
      </c>
      <c r="G63" s="302">
        <v>0.16553539189118566</v>
      </c>
      <c r="H63" s="302">
        <f t="shared" si="16"/>
        <v>0.32023971442975391</v>
      </c>
      <c r="I63" s="303"/>
      <c r="J63" s="302">
        <v>0.15790300014423636</v>
      </c>
      <c r="K63" s="302">
        <v>0.15282531795288562</v>
      </c>
      <c r="L63" s="302">
        <f t="shared" si="17"/>
        <v>0.31072831809712198</v>
      </c>
      <c r="M63" s="236"/>
      <c r="N63" s="236"/>
    </row>
    <row r="64" spans="1:14" x14ac:dyDescent="0.2">
      <c r="A64" s="237" t="str">
        <f>name!E$8</f>
        <v>Skilled trades occupations</v>
      </c>
      <c r="B64" s="302">
        <v>3.5703892163350445E-2</v>
      </c>
      <c r="C64" s="302">
        <v>0.49228453301180808</v>
      </c>
      <c r="D64" s="302">
        <f t="shared" si="15"/>
        <v>0.52798842517515854</v>
      </c>
      <c r="E64" s="303"/>
      <c r="F64" s="302">
        <v>4.545545567418869E-2</v>
      </c>
      <c r="G64" s="302">
        <v>0.45326965894157728</v>
      </c>
      <c r="H64" s="302">
        <f t="shared" si="16"/>
        <v>0.49872511461576596</v>
      </c>
      <c r="I64" s="303"/>
      <c r="J64" s="302">
        <v>4.5649279472210973E-2</v>
      </c>
      <c r="K64" s="302">
        <v>0.39546037999035138</v>
      </c>
      <c r="L64" s="302">
        <f t="shared" si="17"/>
        <v>0.44110965946256236</v>
      </c>
      <c r="M64" s="236"/>
      <c r="N64" s="236"/>
    </row>
    <row r="65" spans="1:14" x14ac:dyDescent="0.2">
      <c r="A65" s="237" t="str">
        <f>name!E$9</f>
        <v>Caring, leisure and other service occupations</v>
      </c>
      <c r="B65" s="302">
        <v>4.0141613261612329E-2</v>
      </c>
      <c r="C65" s="302">
        <v>1.5788923790094271E-2</v>
      </c>
      <c r="D65" s="302">
        <f t="shared" si="15"/>
        <v>5.59305370517066E-2</v>
      </c>
      <c r="E65" s="303"/>
      <c r="F65" s="302">
        <v>2.822770373164131E-2</v>
      </c>
      <c r="G65" s="302">
        <v>1.8903047380955704E-2</v>
      </c>
      <c r="H65" s="302">
        <f t="shared" si="16"/>
        <v>4.7130751112597014E-2</v>
      </c>
      <c r="I65" s="303"/>
      <c r="J65" s="302">
        <v>2.7323313038956042E-2</v>
      </c>
      <c r="K65" s="302">
        <v>1.8436525011637863E-2</v>
      </c>
      <c r="L65" s="302">
        <f t="shared" si="17"/>
        <v>4.5759838050593901E-2</v>
      </c>
      <c r="M65" s="236"/>
      <c r="N65" s="236"/>
    </row>
    <row r="66" spans="1:14" x14ac:dyDescent="0.2">
      <c r="A66" s="237" t="str">
        <f>name!E$10</f>
        <v>Sales and customer service occupations</v>
      </c>
      <c r="B66" s="302">
        <v>0.15110097179830562</v>
      </c>
      <c r="C66" s="302">
        <v>0.14628419459348746</v>
      </c>
      <c r="D66" s="302">
        <f t="shared" si="15"/>
        <v>0.29738516639179308</v>
      </c>
      <c r="E66" s="303"/>
      <c r="F66" s="302">
        <v>0.18016183900369054</v>
      </c>
      <c r="G66" s="302">
        <v>0.15706166689254272</v>
      </c>
      <c r="H66" s="302">
        <f t="shared" si="16"/>
        <v>0.33722350589623329</v>
      </c>
      <c r="I66" s="303"/>
      <c r="J66" s="302">
        <v>0.22488861288600123</v>
      </c>
      <c r="K66" s="302">
        <v>0.16779920184520683</v>
      </c>
      <c r="L66" s="302">
        <f t="shared" si="17"/>
        <v>0.39268781473120806</v>
      </c>
      <c r="M66" s="236"/>
      <c r="N66" s="236"/>
    </row>
    <row r="67" spans="1:14" x14ac:dyDescent="0.2">
      <c r="A67" s="237" t="str">
        <f>name!E$11</f>
        <v>Process, plant and machine operatives</v>
      </c>
      <c r="B67" s="302">
        <v>0.47670364058855258</v>
      </c>
      <c r="C67" s="302">
        <v>1.0089910938801303</v>
      </c>
      <c r="D67" s="302">
        <f t="shared" si="15"/>
        <v>1.4856947344686828</v>
      </c>
      <c r="E67" s="303"/>
      <c r="F67" s="302">
        <v>0.56436084764184025</v>
      </c>
      <c r="G67" s="302">
        <v>0.95861412590739103</v>
      </c>
      <c r="H67" s="302">
        <f t="shared" si="16"/>
        <v>1.5229749735492313</v>
      </c>
      <c r="I67" s="303"/>
      <c r="J67" s="302">
        <v>0.50232929102341461</v>
      </c>
      <c r="K67" s="302">
        <v>0.9746055105100152</v>
      </c>
      <c r="L67" s="302">
        <f t="shared" si="17"/>
        <v>1.4769348015334298</v>
      </c>
      <c r="M67" s="236"/>
      <c r="N67" s="236"/>
    </row>
    <row r="68" spans="1:14" x14ac:dyDescent="0.2">
      <c r="A68" s="237" t="str">
        <f>name!E$12</f>
        <v>Elementary occupations</v>
      </c>
      <c r="B68" s="302">
        <v>0.34672362889612507</v>
      </c>
      <c r="C68" s="302">
        <v>0.40084086811276676</v>
      </c>
      <c r="D68" s="302">
        <f t="shared" si="15"/>
        <v>0.74756449700889183</v>
      </c>
      <c r="E68" s="303"/>
      <c r="F68" s="302">
        <v>0.35781943091641444</v>
      </c>
      <c r="G68" s="302">
        <v>0.37889215867147868</v>
      </c>
      <c r="H68" s="302">
        <f t="shared" si="16"/>
        <v>0.73671158958789307</v>
      </c>
      <c r="I68" s="303"/>
      <c r="J68" s="302">
        <v>0.33832558316217048</v>
      </c>
      <c r="K68" s="302">
        <v>0.27456170011658604</v>
      </c>
      <c r="L68" s="302">
        <f t="shared" si="17"/>
        <v>0.61288728327875652</v>
      </c>
      <c r="M68" s="236"/>
      <c r="N68" s="236"/>
    </row>
    <row r="69" spans="1:14" x14ac:dyDescent="0.2">
      <c r="A69" s="237"/>
      <c r="B69" s="302"/>
      <c r="C69" s="302"/>
      <c r="D69" s="302"/>
      <c r="E69" s="303"/>
      <c r="F69" s="302"/>
      <c r="G69" s="302"/>
      <c r="H69" s="302"/>
      <c r="I69" s="303"/>
      <c r="J69" s="302"/>
      <c r="K69" s="302"/>
      <c r="L69" s="302"/>
      <c r="M69" s="236"/>
      <c r="N69" s="236"/>
    </row>
    <row r="70" spans="1:14" x14ac:dyDescent="0.2">
      <c r="A70" s="244" t="s">
        <v>33</v>
      </c>
      <c r="B70" s="311">
        <f>SUM(B60:B68)</f>
        <v>1.4982551730271207</v>
      </c>
      <c r="C70" s="311">
        <f t="shared" ref="C70:L70" si="18">SUM(C60:C68)</f>
        <v>2.542744826972879</v>
      </c>
      <c r="D70" s="311">
        <f t="shared" si="18"/>
        <v>4.0409999999999995</v>
      </c>
      <c r="E70" s="311"/>
      <c r="F70" s="311">
        <f t="shared" si="18"/>
        <v>1.7953630573111972</v>
      </c>
      <c r="G70" s="311">
        <f t="shared" si="18"/>
        <v>2.6286369426888023</v>
      </c>
      <c r="H70" s="311">
        <f t="shared" si="18"/>
        <v>4.4239999999999995</v>
      </c>
      <c r="I70" s="311"/>
      <c r="J70" s="311">
        <f t="shared" si="18"/>
        <v>1.8695487032255353</v>
      </c>
      <c r="K70" s="311">
        <f t="shared" si="18"/>
        <v>2.4594512967744677</v>
      </c>
      <c r="L70" s="311">
        <f t="shared" si="18"/>
        <v>4.3290000000000033</v>
      </c>
      <c r="M70" s="236"/>
      <c r="N70" s="236"/>
    </row>
    <row r="71" spans="1:14" x14ac:dyDescent="0.2">
      <c r="A71" s="237"/>
      <c r="B71" s="237"/>
      <c r="C71" s="237"/>
      <c r="D71" s="237"/>
      <c r="E71" s="237"/>
      <c r="F71" s="237"/>
      <c r="G71" s="237"/>
      <c r="H71" s="237"/>
      <c r="I71" s="237"/>
      <c r="J71" s="237"/>
      <c r="K71" s="237"/>
      <c r="L71" s="240"/>
      <c r="M71" s="236"/>
      <c r="N71" s="236"/>
    </row>
    <row r="72" spans="1:14" x14ac:dyDescent="0.2">
      <c r="A72" s="237"/>
      <c r="B72" s="237"/>
      <c r="C72" s="237"/>
      <c r="D72" s="237"/>
      <c r="E72" s="237"/>
      <c r="F72" s="237"/>
      <c r="G72" s="237"/>
      <c r="H72" s="237"/>
      <c r="I72" s="237"/>
      <c r="J72" s="237"/>
      <c r="K72" s="237"/>
      <c r="L72" s="256" t="s">
        <v>36</v>
      </c>
      <c r="M72" s="236"/>
      <c r="N72" s="236"/>
    </row>
    <row r="73" spans="1:14" x14ac:dyDescent="0.2">
      <c r="A73" s="242"/>
      <c r="B73" s="250"/>
      <c r="C73" s="250"/>
      <c r="D73" s="250"/>
      <c r="E73" s="250"/>
      <c r="F73" s="250"/>
      <c r="G73" s="250"/>
      <c r="H73" s="250"/>
      <c r="I73" s="250"/>
      <c r="J73" s="250"/>
      <c r="K73" s="250"/>
      <c r="L73" s="236"/>
      <c r="M73" s="236"/>
      <c r="N73" s="236"/>
    </row>
    <row r="74" spans="1:14" x14ac:dyDescent="0.2">
      <c r="A74" s="241" t="str">
        <f>name!B7</f>
        <v>Engineering</v>
      </c>
      <c r="B74" s="375">
        <f>B$6</f>
        <v>2015</v>
      </c>
      <c r="C74" s="375"/>
      <c r="D74" s="375"/>
      <c r="E74" s="253"/>
      <c r="F74" s="375">
        <f>F57</f>
        <v>2020</v>
      </c>
      <c r="G74" s="375"/>
      <c r="H74" s="375"/>
      <c r="I74" s="253"/>
      <c r="J74" s="375">
        <f>J57</f>
        <v>2035</v>
      </c>
      <c r="K74" s="375"/>
      <c r="L74" s="375"/>
      <c r="M74" s="236"/>
      <c r="N74" s="236"/>
    </row>
    <row r="75" spans="1:14" x14ac:dyDescent="0.2">
      <c r="A75" s="254"/>
      <c r="B75" s="255" t="s">
        <v>361</v>
      </c>
      <c r="C75" s="255" t="s">
        <v>362</v>
      </c>
      <c r="D75" s="255" t="s">
        <v>33</v>
      </c>
      <c r="E75" s="255"/>
      <c r="F75" s="255" t="s">
        <v>361</v>
      </c>
      <c r="G75" s="255" t="s">
        <v>362</v>
      </c>
      <c r="H75" s="255" t="s">
        <v>33</v>
      </c>
      <c r="I75" s="255"/>
      <c r="J75" s="255" t="s">
        <v>361</v>
      </c>
      <c r="K75" s="255" t="s">
        <v>362</v>
      </c>
      <c r="L75" s="255" t="s">
        <v>33</v>
      </c>
      <c r="M75" s="236"/>
      <c r="N75" s="236"/>
    </row>
    <row r="76" spans="1:14" x14ac:dyDescent="0.2">
      <c r="A76" s="258"/>
      <c r="B76" s="259"/>
      <c r="C76" s="259"/>
      <c r="D76" s="259"/>
      <c r="E76" s="259"/>
      <c r="F76" s="259"/>
      <c r="G76" s="259"/>
      <c r="H76" s="259"/>
      <c r="I76" s="259"/>
      <c r="J76" s="259"/>
      <c r="K76" s="259"/>
      <c r="L76" s="259"/>
      <c r="M76" s="236"/>
      <c r="N76" s="236"/>
    </row>
    <row r="77" spans="1:14" x14ac:dyDescent="0.2">
      <c r="A77" s="237" t="str">
        <f>name!E$4</f>
        <v>Managers, directors and senior officials</v>
      </c>
      <c r="B77" s="302">
        <v>0.11960546005720911</v>
      </c>
      <c r="C77" s="302">
        <v>0.9381417000443707</v>
      </c>
      <c r="D77" s="302">
        <f>SUM(B77:C77)</f>
        <v>1.0577471601015798</v>
      </c>
      <c r="E77" s="303"/>
      <c r="F77" s="302">
        <v>0.17498328318509185</v>
      </c>
      <c r="G77" s="302">
        <v>0.87656046111442676</v>
      </c>
      <c r="H77" s="302">
        <f>SUM(F77:G77)</f>
        <v>1.0515437442995186</v>
      </c>
      <c r="I77" s="303"/>
      <c r="J77" s="302">
        <v>0.1981642391742181</v>
      </c>
      <c r="K77" s="302">
        <v>0.80889732586531959</v>
      </c>
      <c r="L77" s="302">
        <f>SUM(J77:K77)</f>
        <v>1.0070615650395376</v>
      </c>
      <c r="M77" s="236"/>
      <c r="N77" s="236"/>
    </row>
    <row r="78" spans="1:14" x14ac:dyDescent="0.2">
      <c r="A78" s="237" t="str">
        <f>name!E$5</f>
        <v>Professional occupations</v>
      </c>
      <c r="B78" s="302">
        <v>0.22353738416761354</v>
      </c>
      <c r="C78" s="302">
        <v>2.0301010321771549</v>
      </c>
      <c r="D78" s="302">
        <f t="shared" ref="D78:D85" si="19">SUM(B78:C78)</f>
        <v>2.2536384163447685</v>
      </c>
      <c r="E78" s="303"/>
      <c r="F78" s="302">
        <v>0.33446126956324396</v>
      </c>
      <c r="G78" s="302">
        <v>2.1590867803424789</v>
      </c>
      <c r="H78" s="302">
        <f t="shared" ref="H78:H85" si="20">SUM(F78:G78)</f>
        <v>2.4935480499057228</v>
      </c>
      <c r="I78" s="303"/>
      <c r="J78" s="302">
        <v>0.38508894014473333</v>
      </c>
      <c r="K78" s="302">
        <v>2.4336082943626804</v>
      </c>
      <c r="L78" s="302">
        <f t="shared" ref="L78:L85" si="21">SUM(J78:K78)</f>
        <v>2.8186972345074137</v>
      </c>
      <c r="M78" s="236"/>
      <c r="N78" s="236"/>
    </row>
    <row r="79" spans="1:14" x14ac:dyDescent="0.2">
      <c r="A79" s="237" t="str">
        <f>name!E$6</f>
        <v>Associate professional occupations</v>
      </c>
      <c r="B79" s="302">
        <v>0.25185356185369523</v>
      </c>
      <c r="C79" s="302">
        <v>1.2150901838647494</v>
      </c>
      <c r="D79" s="302">
        <f t="shared" si="19"/>
        <v>1.4669437457184447</v>
      </c>
      <c r="E79" s="303"/>
      <c r="F79" s="302">
        <v>0.3244344349779052</v>
      </c>
      <c r="G79" s="302">
        <v>1.2435805749362856</v>
      </c>
      <c r="H79" s="302">
        <f t="shared" si="20"/>
        <v>1.5680150099141907</v>
      </c>
      <c r="I79" s="303"/>
      <c r="J79" s="302">
        <v>0.317452613490599</v>
      </c>
      <c r="K79" s="302">
        <v>1.0414835530590243</v>
      </c>
      <c r="L79" s="302">
        <f t="shared" si="21"/>
        <v>1.3589361665496233</v>
      </c>
      <c r="M79" s="236"/>
      <c r="N79" s="236"/>
    </row>
    <row r="80" spans="1:14" x14ac:dyDescent="0.2">
      <c r="A80" s="237" t="str">
        <f>name!E$7</f>
        <v>Administrative and secretarial occupations</v>
      </c>
      <c r="B80" s="302">
        <v>0.68396528464261408</v>
      </c>
      <c r="C80" s="302">
        <v>0.16012127465329754</v>
      </c>
      <c r="D80" s="302">
        <f t="shared" si="19"/>
        <v>0.84408655929591159</v>
      </c>
      <c r="E80" s="303"/>
      <c r="F80" s="302">
        <v>0.75633850625005516</v>
      </c>
      <c r="G80" s="302">
        <v>0.15598222237087053</v>
      </c>
      <c r="H80" s="302">
        <f t="shared" si="20"/>
        <v>0.91232072862092572</v>
      </c>
      <c r="I80" s="303"/>
      <c r="J80" s="302">
        <v>0.52086005885218722</v>
      </c>
      <c r="K80" s="302">
        <v>0.14813124185748425</v>
      </c>
      <c r="L80" s="302">
        <f t="shared" si="21"/>
        <v>0.6689913007096715</v>
      </c>
      <c r="M80" s="236"/>
      <c r="N80" s="236"/>
    </row>
    <row r="81" spans="1:14" x14ac:dyDescent="0.2">
      <c r="A81" s="237" t="str">
        <f>name!E$8</f>
        <v>Skilled trades occupations</v>
      </c>
      <c r="B81" s="302">
        <v>6.9926730567554982E-2</v>
      </c>
      <c r="C81" s="302">
        <v>3.2856939983325284</v>
      </c>
      <c r="D81" s="302">
        <f t="shared" si="19"/>
        <v>3.3556207289000834</v>
      </c>
      <c r="E81" s="303"/>
      <c r="F81" s="302">
        <v>8.3793936812090158E-2</v>
      </c>
      <c r="G81" s="302">
        <v>2.2455644112484268</v>
      </c>
      <c r="H81" s="302">
        <f t="shared" si="20"/>
        <v>2.3293583480605169</v>
      </c>
      <c r="I81" s="303"/>
      <c r="J81" s="302">
        <v>0.14660748298460372</v>
      </c>
      <c r="K81" s="302">
        <v>1.6242672684839083</v>
      </c>
      <c r="L81" s="302">
        <f t="shared" si="21"/>
        <v>1.7708747514685121</v>
      </c>
      <c r="M81" s="236"/>
      <c r="N81" s="236"/>
    </row>
    <row r="82" spans="1:14" x14ac:dyDescent="0.2">
      <c r="A82" s="237" t="str">
        <f>name!E$9</f>
        <v>Caring, leisure and other service occupations</v>
      </c>
      <c r="B82" s="302">
        <v>4.4099874897223508E-2</v>
      </c>
      <c r="C82" s="302">
        <v>3.1363869244099375E-2</v>
      </c>
      <c r="D82" s="302">
        <f t="shared" si="19"/>
        <v>7.5463744141322883E-2</v>
      </c>
      <c r="E82" s="303"/>
      <c r="F82" s="302">
        <v>4.9771498479352229E-2</v>
      </c>
      <c r="G82" s="302">
        <v>2.5061935395926736E-2</v>
      </c>
      <c r="H82" s="302">
        <f t="shared" si="20"/>
        <v>7.4833433875278965E-2</v>
      </c>
      <c r="I82" s="303"/>
      <c r="J82" s="302">
        <v>4.5292349927665454E-2</v>
      </c>
      <c r="K82" s="302">
        <v>3.1759555735118163E-2</v>
      </c>
      <c r="L82" s="302">
        <f t="shared" si="21"/>
        <v>7.705190566278361E-2</v>
      </c>
      <c r="M82" s="236"/>
      <c r="N82" s="236"/>
    </row>
    <row r="83" spans="1:14" x14ac:dyDescent="0.2">
      <c r="A83" s="237" t="str">
        <f>name!E$10</f>
        <v>Sales and customer service occupations</v>
      </c>
      <c r="B83" s="302">
        <v>0.15547054468589633</v>
      </c>
      <c r="C83" s="302">
        <v>0.11530966278187278</v>
      </c>
      <c r="D83" s="302">
        <f t="shared" si="19"/>
        <v>0.2707802074677691</v>
      </c>
      <c r="E83" s="303"/>
      <c r="F83" s="302">
        <v>0.17451723398642141</v>
      </c>
      <c r="G83" s="302">
        <v>9.8779353304579307E-2</v>
      </c>
      <c r="H83" s="302">
        <f t="shared" si="20"/>
        <v>0.2732965872910007</v>
      </c>
      <c r="I83" s="303"/>
      <c r="J83" s="302">
        <v>0.16081121310602906</v>
      </c>
      <c r="K83" s="302">
        <v>9.355955965792212E-2</v>
      </c>
      <c r="L83" s="302">
        <f t="shared" si="21"/>
        <v>0.25437077276395115</v>
      </c>
      <c r="M83" s="236"/>
      <c r="N83" s="236"/>
    </row>
    <row r="84" spans="1:14" x14ac:dyDescent="0.2">
      <c r="A84" s="237" t="str">
        <f>name!E$11</f>
        <v>Process, plant and machine operatives</v>
      </c>
      <c r="B84" s="302">
        <v>0.62060733703020821</v>
      </c>
      <c r="C84" s="302">
        <v>1.3257219058874474</v>
      </c>
      <c r="D84" s="302">
        <f t="shared" si="19"/>
        <v>1.9463292429176557</v>
      </c>
      <c r="E84" s="303"/>
      <c r="F84" s="302">
        <v>0.49702529506726412</v>
      </c>
      <c r="G84" s="302">
        <v>0.85440821626070129</v>
      </c>
      <c r="H84" s="302">
        <f t="shared" si="20"/>
        <v>1.3514335113279654</v>
      </c>
      <c r="I84" s="303"/>
      <c r="J84" s="302">
        <v>0.51749337641510718</v>
      </c>
      <c r="K84" s="302">
        <v>0.81643124760866792</v>
      </c>
      <c r="L84" s="302">
        <f t="shared" si="21"/>
        <v>1.333924624023775</v>
      </c>
      <c r="M84" s="236"/>
      <c r="N84" s="236"/>
    </row>
    <row r="85" spans="1:14" x14ac:dyDescent="0.2">
      <c r="A85" s="237" t="str">
        <f>name!E$12</f>
        <v>Elementary occupations</v>
      </c>
      <c r="B85" s="302">
        <v>0.14062792693027781</v>
      </c>
      <c r="C85" s="302">
        <v>0.2137622681821689</v>
      </c>
      <c r="D85" s="302">
        <f t="shared" si="19"/>
        <v>0.35439019511244674</v>
      </c>
      <c r="E85" s="303"/>
      <c r="F85" s="302">
        <v>0.12479036899845028</v>
      </c>
      <c r="G85" s="302">
        <v>0.1388602177064269</v>
      </c>
      <c r="H85" s="302">
        <f t="shared" si="20"/>
        <v>0.26365058670487718</v>
      </c>
      <c r="I85" s="303"/>
      <c r="J85" s="302">
        <v>0.10203888910758563</v>
      </c>
      <c r="K85" s="302">
        <v>5.8052790167128422E-2</v>
      </c>
      <c r="L85" s="302">
        <f t="shared" si="21"/>
        <v>0.16009167927471404</v>
      </c>
      <c r="M85" s="236"/>
      <c r="N85" s="236"/>
    </row>
    <row r="86" spans="1:14" x14ac:dyDescent="0.2">
      <c r="A86" s="237"/>
      <c r="B86" s="302"/>
      <c r="C86" s="302"/>
      <c r="D86" s="302"/>
      <c r="E86" s="303"/>
      <c r="F86" s="302"/>
      <c r="G86" s="302"/>
      <c r="H86" s="302"/>
      <c r="I86" s="303"/>
      <c r="J86" s="302"/>
      <c r="K86" s="302"/>
      <c r="L86" s="302"/>
      <c r="M86" s="236"/>
      <c r="N86" s="236"/>
    </row>
    <row r="87" spans="1:14" x14ac:dyDescent="0.2">
      <c r="A87" s="244" t="s">
        <v>33</v>
      </c>
      <c r="B87" s="311">
        <f>SUM(B77:B85)</f>
        <v>2.309694104832293</v>
      </c>
      <c r="C87" s="311">
        <f t="shared" ref="C87:D87" si="22">SUM(C77:C85)</f>
        <v>9.3153058951676897</v>
      </c>
      <c r="D87" s="311">
        <f t="shared" si="22"/>
        <v>11.624999999999986</v>
      </c>
      <c r="E87" s="311"/>
      <c r="F87" s="311">
        <f t="shared" ref="F87:H87" si="23">SUM(F77:F85)</f>
        <v>2.5201158273198745</v>
      </c>
      <c r="G87" s="311">
        <f t="shared" si="23"/>
        <v>7.7978841726801233</v>
      </c>
      <c r="H87" s="311">
        <f t="shared" si="23"/>
        <v>10.317999999999996</v>
      </c>
      <c r="I87" s="311"/>
      <c r="J87" s="311">
        <f t="shared" ref="J87:L87" si="24">SUM(J77:J85)</f>
        <v>2.3938091632027287</v>
      </c>
      <c r="K87" s="311">
        <f t="shared" si="24"/>
        <v>7.0561908367972528</v>
      </c>
      <c r="L87" s="311">
        <f t="shared" si="24"/>
        <v>9.4499999999999833</v>
      </c>
      <c r="M87" s="236"/>
      <c r="N87" s="236"/>
    </row>
    <row r="88" spans="1:14" x14ac:dyDescent="0.2">
      <c r="A88" s="237"/>
      <c r="B88" s="237"/>
      <c r="C88" s="237"/>
      <c r="D88" s="237"/>
      <c r="E88" s="237"/>
      <c r="F88" s="237"/>
      <c r="G88" s="237"/>
      <c r="H88" s="237"/>
      <c r="I88" s="237"/>
      <c r="J88" s="237"/>
      <c r="K88" s="237"/>
      <c r="L88" s="240"/>
      <c r="M88" s="236"/>
      <c r="N88" s="236"/>
    </row>
    <row r="89" spans="1:14" x14ac:dyDescent="0.2">
      <c r="A89" s="237"/>
      <c r="B89" s="237"/>
      <c r="C89" s="237"/>
      <c r="D89" s="237"/>
      <c r="E89" s="237"/>
      <c r="F89" s="237"/>
      <c r="G89" s="237"/>
      <c r="H89" s="237"/>
      <c r="I89" s="237"/>
      <c r="J89" s="237"/>
      <c r="K89" s="237"/>
      <c r="L89" s="256" t="s">
        <v>36</v>
      </c>
      <c r="M89" s="236"/>
      <c r="N89" s="236"/>
    </row>
    <row r="90" spans="1:14" x14ac:dyDescent="0.2">
      <c r="A90" s="242"/>
      <c r="B90" s="250"/>
      <c r="C90" s="250"/>
      <c r="D90" s="250"/>
      <c r="E90" s="250"/>
      <c r="F90" s="250"/>
      <c r="G90" s="250"/>
      <c r="H90" s="250"/>
      <c r="I90" s="250"/>
      <c r="J90" s="250"/>
      <c r="K90" s="250"/>
      <c r="L90" s="236"/>
      <c r="M90" s="236"/>
      <c r="N90" s="236"/>
    </row>
    <row r="91" spans="1:14" x14ac:dyDescent="0.2">
      <c r="A91" s="241" t="str">
        <f>name!B8</f>
        <v>Rest of manufacturing</v>
      </c>
      <c r="B91" s="375">
        <f>B$6</f>
        <v>2015</v>
      </c>
      <c r="C91" s="375"/>
      <c r="D91" s="375"/>
      <c r="E91" s="253"/>
      <c r="F91" s="375">
        <f>F74</f>
        <v>2020</v>
      </c>
      <c r="G91" s="375"/>
      <c r="H91" s="375"/>
      <c r="I91" s="253"/>
      <c r="J91" s="375">
        <f>J74</f>
        <v>2035</v>
      </c>
      <c r="K91" s="375"/>
      <c r="L91" s="375"/>
      <c r="M91" s="236"/>
      <c r="N91" s="236"/>
    </row>
    <row r="92" spans="1:14" x14ac:dyDescent="0.2">
      <c r="A92" s="254"/>
      <c r="B92" s="255" t="s">
        <v>361</v>
      </c>
      <c r="C92" s="255" t="s">
        <v>362</v>
      </c>
      <c r="D92" s="255" t="s">
        <v>33</v>
      </c>
      <c r="E92" s="255"/>
      <c r="F92" s="255" t="s">
        <v>361</v>
      </c>
      <c r="G92" s="255" t="s">
        <v>362</v>
      </c>
      <c r="H92" s="255" t="s">
        <v>33</v>
      </c>
      <c r="I92" s="255"/>
      <c r="J92" s="255" t="s">
        <v>361</v>
      </c>
      <c r="K92" s="255" t="s">
        <v>362</v>
      </c>
      <c r="L92" s="255" t="s">
        <v>33</v>
      </c>
      <c r="M92" s="236"/>
      <c r="N92" s="236"/>
    </row>
    <row r="93" spans="1:14" x14ac:dyDescent="0.2">
      <c r="A93" s="258"/>
      <c r="B93" s="259"/>
      <c r="C93" s="259"/>
      <c r="D93" s="259"/>
      <c r="E93" s="259"/>
      <c r="F93" s="259"/>
      <c r="G93" s="259"/>
      <c r="H93" s="259"/>
      <c r="I93" s="259"/>
      <c r="J93" s="259"/>
      <c r="K93" s="259"/>
      <c r="L93" s="259"/>
      <c r="M93" s="236"/>
      <c r="N93" s="236"/>
    </row>
    <row r="94" spans="1:14" x14ac:dyDescent="0.2">
      <c r="A94" s="237" t="str">
        <f>name!E$4</f>
        <v>Managers, directors and senior officials</v>
      </c>
      <c r="B94" s="302">
        <v>0.47670509198474392</v>
      </c>
      <c r="C94" s="302">
        <v>3.3011358825575172</v>
      </c>
      <c r="D94" s="302">
        <f>SUM(B94:C94)</f>
        <v>3.777840974542261</v>
      </c>
      <c r="E94" s="303"/>
      <c r="F94" s="302">
        <v>0.51054579116104892</v>
      </c>
      <c r="G94" s="302">
        <v>2.9539250306420008</v>
      </c>
      <c r="H94" s="302">
        <f>SUM(F94:G94)</f>
        <v>3.46447082180305</v>
      </c>
      <c r="I94" s="303"/>
      <c r="J94" s="302">
        <v>0.48580599849817163</v>
      </c>
      <c r="K94" s="302">
        <v>2.5987033953088217</v>
      </c>
      <c r="L94" s="302">
        <f>SUM(J94:K94)</f>
        <v>3.0845093938069934</v>
      </c>
      <c r="M94" s="236"/>
      <c r="N94" s="236"/>
    </row>
    <row r="95" spans="1:14" x14ac:dyDescent="0.2">
      <c r="A95" s="237" t="str">
        <f>name!E$5</f>
        <v>Professional occupations</v>
      </c>
      <c r="B95" s="302">
        <v>0.81793075512663427</v>
      </c>
      <c r="C95" s="302">
        <v>5.8021416595145263</v>
      </c>
      <c r="D95" s="302">
        <f t="shared" ref="D95:D102" si="25">SUM(B95:C95)</f>
        <v>6.6200724146411609</v>
      </c>
      <c r="E95" s="303"/>
      <c r="F95" s="302">
        <v>1.074577282299005</v>
      </c>
      <c r="G95" s="302">
        <v>6.449765301623386</v>
      </c>
      <c r="H95" s="302">
        <f t="shared" ref="H95:H102" si="26">SUM(F95:G95)</f>
        <v>7.5243425839223912</v>
      </c>
      <c r="I95" s="303"/>
      <c r="J95" s="302">
        <v>1.1333431043925188</v>
      </c>
      <c r="K95" s="302">
        <v>6.4951498727286978</v>
      </c>
      <c r="L95" s="302">
        <f t="shared" ref="L95:L102" si="27">SUM(J95:K95)</f>
        <v>7.6284929771212164</v>
      </c>
      <c r="M95" s="236"/>
      <c r="N95" s="236"/>
    </row>
    <row r="96" spans="1:14" x14ac:dyDescent="0.2">
      <c r="A96" s="237" t="str">
        <f>name!E$6</f>
        <v>Associate professional occupations</v>
      </c>
      <c r="B96" s="302">
        <v>1.0080992690534576</v>
      </c>
      <c r="C96" s="302">
        <v>3.7138694304638138</v>
      </c>
      <c r="D96" s="302">
        <f t="shared" si="25"/>
        <v>4.7219686995172712</v>
      </c>
      <c r="E96" s="303"/>
      <c r="F96" s="302">
        <v>1.0127275664233681</v>
      </c>
      <c r="G96" s="302">
        <v>3.9984605959077082</v>
      </c>
      <c r="H96" s="302">
        <f t="shared" si="26"/>
        <v>5.0111881623310763</v>
      </c>
      <c r="I96" s="303"/>
      <c r="J96" s="302">
        <v>0.91465137115512041</v>
      </c>
      <c r="K96" s="302">
        <v>3.1747406033048069</v>
      </c>
      <c r="L96" s="302">
        <f t="shared" si="27"/>
        <v>4.089391974459927</v>
      </c>
      <c r="M96" s="236"/>
      <c r="N96" s="236"/>
    </row>
    <row r="97" spans="1:14" x14ac:dyDescent="0.2">
      <c r="A97" s="237" t="str">
        <f>name!E$7</f>
        <v>Administrative and secretarial occupations</v>
      </c>
      <c r="B97" s="302">
        <v>2.2298635211081259</v>
      </c>
      <c r="C97" s="302">
        <v>1.0123999091408591</v>
      </c>
      <c r="D97" s="302">
        <f t="shared" si="25"/>
        <v>3.2422634302489852</v>
      </c>
      <c r="E97" s="303"/>
      <c r="F97" s="302">
        <v>2.0036179204864157</v>
      </c>
      <c r="G97" s="302">
        <v>0.93079082369378241</v>
      </c>
      <c r="H97" s="302">
        <f t="shared" si="26"/>
        <v>2.9344087441801983</v>
      </c>
      <c r="I97" s="303"/>
      <c r="J97" s="302">
        <v>1.4566419266891644</v>
      </c>
      <c r="K97" s="302">
        <v>0.77805906952361126</v>
      </c>
      <c r="L97" s="302">
        <f t="shared" si="27"/>
        <v>2.2347009962127755</v>
      </c>
      <c r="M97" s="236"/>
      <c r="N97" s="236"/>
    </row>
    <row r="98" spans="1:14" x14ac:dyDescent="0.2">
      <c r="A98" s="237" t="str">
        <f>name!E$8</f>
        <v>Skilled trades occupations</v>
      </c>
      <c r="B98" s="302">
        <v>0.3869734471344744</v>
      </c>
      <c r="C98" s="302">
        <v>12.491236460290891</v>
      </c>
      <c r="D98" s="302">
        <f t="shared" si="25"/>
        <v>12.878209907425365</v>
      </c>
      <c r="E98" s="303"/>
      <c r="F98" s="302">
        <v>0.31279663187572876</v>
      </c>
      <c r="G98" s="302">
        <v>8.6638544351237972</v>
      </c>
      <c r="H98" s="302">
        <f t="shared" si="26"/>
        <v>8.9766510669995263</v>
      </c>
      <c r="I98" s="303"/>
      <c r="J98" s="302">
        <v>0.33692283124488936</v>
      </c>
      <c r="K98" s="302">
        <v>6.2995105477439246</v>
      </c>
      <c r="L98" s="302">
        <f t="shared" si="27"/>
        <v>6.6364333789888139</v>
      </c>
      <c r="M98" s="236"/>
      <c r="N98" s="236"/>
    </row>
    <row r="99" spans="1:14" x14ac:dyDescent="0.2">
      <c r="A99" s="237" t="str">
        <f>name!E$9</f>
        <v>Caring, leisure and other service occupations</v>
      </c>
      <c r="B99" s="302">
        <v>0.45044456719925252</v>
      </c>
      <c r="C99" s="302">
        <v>0.25796827820015145</v>
      </c>
      <c r="D99" s="302">
        <f t="shared" si="25"/>
        <v>0.70841284539940397</v>
      </c>
      <c r="E99" s="303"/>
      <c r="F99" s="302">
        <v>0.2982620799325828</v>
      </c>
      <c r="G99" s="302">
        <v>0.27999907013569664</v>
      </c>
      <c r="H99" s="302">
        <f t="shared" si="26"/>
        <v>0.57826115006827949</v>
      </c>
      <c r="I99" s="303"/>
      <c r="J99" s="302">
        <v>0.23602924658301691</v>
      </c>
      <c r="K99" s="302">
        <v>0.3624216808355582</v>
      </c>
      <c r="L99" s="302">
        <f t="shared" si="27"/>
        <v>0.59845092741857508</v>
      </c>
      <c r="M99" s="236"/>
      <c r="N99" s="236"/>
    </row>
    <row r="100" spans="1:14" x14ac:dyDescent="0.2">
      <c r="A100" s="237" t="str">
        <f>name!E$10</f>
        <v>Sales and customer service occupations</v>
      </c>
      <c r="B100" s="302">
        <v>0.54586230175773454</v>
      </c>
      <c r="C100" s="302">
        <v>0.54860506040169799</v>
      </c>
      <c r="D100" s="302">
        <f t="shared" si="25"/>
        <v>1.0944673621594325</v>
      </c>
      <c r="E100" s="303"/>
      <c r="F100" s="302">
        <v>0.43260345090842123</v>
      </c>
      <c r="G100" s="302">
        <v>0.42547820597897296</v>
      </c>
      <c r="H100" s="302">
        <f t="shared" si="26"/>
        <v>0.85808165688739413</v>
      </c>
      <c r="I100" s="303"/>
      <c r="J100" s="302">
        <v>0.37701578516867579</v>
      </c>
      <c r="K100" s="302">
        <v>0.42033353676658952</v>
      </c>
      <c r="L100" s="302">
        <f t="shared" si="27"/>
        <v>0.79734932193526531</v>
      </c>
      <c r="M100" s="236"/>
      <c r="N100" s="236"/>
    </row>
    <row r="101" spans="1:14" x14ac:dyDescent="0.2">
      <c r="A101" s="237" t="str">
        <f>name!E$11</f>
        <v>Process, plant and machine operatives</v>
      </c>
      <c r="B101" s="302">
        <v>1.5904398433400166</v>
      </c>
      <c r="C101" s="302">
        <v>10.400130654135731</v>
      </c>
      <c r="D101" s="302">
        <f t="shared" si="25"/>
        <v>11.990570497475748</v>
      </c>
      <c r="E101" s="303"/>
      <c r="F101" s="302">
        <v>1.1294195716837092</v>
      </c>
      <c r="G101" s="302">
        <v>7.8037569345368114</v>
      </c>
      <c r="H101" s="302">
        <f t="shared" si="26"/>
        <v>8.9331765062205211</v>
      </c>
      <c r="I101" s="303"/>
      <c r="J101" s="302">
        <v>1.2921865631965925</v>
      </c>
      <c r="K101" s="302">
        <v>7.7025860851952945</v>
      </c>
      <c r="L101" s="302">
        <f t="shared" si="27"/>
        <v>8.9947726483918871</v>
      </c>
      <c r="M101" s="236"/>
      <c r="N101" s="236"/>
    </row>
    <row r="102" spans="1:14" x14ac:dyDescent="0.2">
      <c r="A102" s="237" t="str">
        <f>name!E$12</f>
        <v>Elementary occupations</v>
      </c>
      <c r="B102" s="302">
        <v>1.2050659001675859</v>
      </c>
      <c r="C102" s="302">
        <v>2.1131279684227389</v>
      </c>
      <c r="D102" s="302">
        <f t="shared" si="25"/>
        <v>3.3181938685903249</v>
      </c>
      <c r="E102" s="303"/>
      <c r="F102" s="302">
        <v>0.69593122209851643</v>
      </c>
      <c r="G102" s="302">
        <v>1.4384880854890507</v>
      </c>
      <c r="H102" s="302">
        <f t="shared" si="26"/>
        <v>2.1344193075875673</v>
      </c>
      <c r="I102" s="303"/>
      <c r="J102" s="302">
        <v>0.44376123545415247</v>
      </c>
      <c r="K102" s="302">
        <v>0.76813714621040419</v>
      </c>
      <c r="L102" s="302">
        <f t="shared" si="27"/>
        <v>1.2118983816645565</v>
      </c>
      <c r="M102" s="236"/>
      <c r="N102" s="236"/>
    </row>
    <row r="103" spans="1:14" x14ac:dyDescent="0.2">
      <c r="A103" s="237"/>
      <c r="B103" s="302"/>
      <c r="C103" s="302"/>
      <c r="D103" s="302"/>
      <c r="E103" s="303"/>
      <c r="F103" s="302"/>
      <c r="G103" s="302"/>
      <c r="H103" s="302"/>
      <c r="I103" s="303"/>
      <c r="J103" s="302"/>
      <c r="K103" s="302"/>
      <c r="L103" s="302"/>
      <c r="M103" s="236"/>
      <c r="N103" s="236"/>
    </row>
    <row r="104" spans="1:14" x14ac:dyDescent="0.2">
      <c r="A104" s="244" t="s">
        <v>33</v>
      </c>
      <c r="B104" s="311">
        <f>SUM(B94:B102)</f>
        <v>8.7113846968720257</v>
      </c>
      <c r="C104" s="311">
        <f t="shared" ref="C104:D104" si="28">SUM(C94:C102)</f>
        <v>39.640615303127923</v>
      </c>
      <c r="D104" s="311">
        <f t="shared" si="28"/>
        <v>48.351999999999961</v>
      </c>
      <c r="E104" s="311"/>
      <c r="F104" s="311">
        <f t="shared" ref="F104:H104" si="29">SUM(F94:F102)</f>
        <v>7.470481516868797</v>
      </c>
      <c r="G104" s="311">
        <f t="shared" si="29"/>
        <v>32.944518483131205</v>
      </c>
      <c r="H104" s="311">
        <f t="shared" si="29"/>
        <v>40.415000000000006</v>
      </c>
      <c r="I104" s="311"/>
      <c r="J104" s="311">
        <f t="shared" ref="J104:L104" si="30">SUM(J94:J102)</f>
        <v>6.6763580623823024</v>
      </c>
      <c r="K104" s="311">
        <f t="shared" si="30"/>
        <v>28.599641937617708</v>
      </c>
      <c r="L104" s="311">
        <f t="shared" si="30"/>
        <v>35.27600000000001</v>
      </c>
      <c r="M104" s="236"/>
      <c r="N104" s="236"/>
    </row>
    <row r="105" spans="1:14" x14ac:dyDescent="0.2">
      <c r="A105" s="237"/>
      <c r="B105" s="237"/>
      <c r="C105" s="237"/>
      <c r="D105" s="237"/>
      <c r="E105" s="237"/>
      <c r="F105" s="237"/>
      <c r="G105" s="237"/>
      <c r="H105" s="237"/>
      <c r="I105" s="237"/>
      <c r="J105" s="237"/>
      <c r="K105" s="237"/>
      <c r="L105" s="240"/>
      <c r="M105" s="236"/>
      <c r="N105" s="236"/>
    </row>
    <row r="106" spans="1:14" x14ac:dyDescent="0.2">
      <c r="A106" s="237"/>
      <c r="B106" s="237"/>
      <c r="C106" s="237"/>
      <c r="D106" s="237"/>
      <c r="E106" s="237"/>
      <c r="F106" s="237"/>
      <c r="G106" s="237"/>
      <c r="H106" s="237"/>
      <c r="I106" s="237"/>
      <c r="J106" s="237"/>
      <c r="K106" s="237"/>
      <c r="L106" s="256" t="s">
        <v>36</v>
      </c>
      <c r="M106" s="236"/>
      <c r="N106" s="236"/>
    </row>
    <row r="107" spans="1:14" x14ac:dyDescent="0.2">
      <c r="A107" s="242"/>
      <c r="B107" s="250"/>
      <c r="C107" s="250"/>
      <c r="D107" s="250"/>
      <c r="E107" s="250"/>
      <c r="F107" s="250"/>
      <c r="G107" s="250"/>
      <c r="H107" s="250"/>
      <c r="I107" s="250"/>
      <c r="J107" s="250"/>
      <c r="K107" s="250"/>
      <c r="L107" s="236"/>
      <c r="M107" s="236"/>
      <c r="N107" s="236"/>
    </row>
    <row r="108" spans="1:14" x14ac:dyDescent="0.2">
      <c r="A108" s="241" t="str">
        <f>name!B9</f>
        <v>Electricity and gas</v>
      </c>
      <c r="B108" s="375">
        <f>B$6</f>
        <v>2015</v>
      </c>
      <c r="C108" s="375"/>
      <c r="D108" s="375"/>
      <c r="E108" s="253"/>
      <c r="F108" s="375">
        <f>F91</f>
        <v>2020</v>
      </c>
      <c r="G108" s="375"/>
      <c r="H108" s="375"/>
      <c r="I108" s="253"/>
      <c r="J108" s="375">
        <f>J91</f>
        <v>2035</v>
      </c>
      <c r="K108" s="375"/>
      <c r="L108" s="375"/>
      <c r="M108" s="236"/>
      <c r="N108" s="236"/>
    </row>
    <row r="109" spans="1:14" x14ac:dyDescent="0.2">
      <c r="A109" s="254"/>
      <c r="B109" s="255" t="s">
        <v>361</v>
      </c>
      <c r="C109" s="255" t="s">
        <v>362</v>
      </c>
      <c r="D109" s="255" t="s">
        <v>33</v>
      </c>
      <c r="E109" s="255"/>
      <c r="F109" s="255" t="s">
        <v>361</v>
      </c>
      <c r="G109" s="255" t="s">
        <v>362</v>
      </c>
      <c r="H109" s="255" t="s">
        <v>33</v>
      </c>
      <c r="I109" s="255"/>
      <c r="J109" s="255" t="s">
        <v>361</v>
      </c>
      <c r="K109" s="255" t="s">
        <v>362</v>
      </c>
      <c r="L109" s="255" t="s">
        <v>33</v>
      </c>
      <c r="M109" s="236"/>
      <c r="N109" s="236"/>
    </row>
    <row r="110" spans="1:14" x14ac:dyDescent="0.2">
      <c r="A110" s="258"/>
      <c r="B110" s="259"/>
      <c r="C110" s="259"/>
      <c r="D110" s="259"/>
      <c r="E110" s="259"/>
      <c r="F110" s="259"/>
      <c r="G110" s="259"/>
      <c r="H110" s="259"/>
      <c r="I110" s="259"/>
      <c r="J110" s="259"/>
      <c r="K110" s="259"/>
      <c r="L110" s="259"/>
      <c r="M110" s="236"/>
      <c r="N110" s="236"/>
    </row>
    <row r="111" spans="1:14" x14ac:dyDescent="0.2">
      <c r="A111" s="237" t="str">
        <f>name!E$4</f>
        <v>Managers, directors and senior officials</v>
      </c>
      <c r="B111" s="302">
        <v>0.11092737526037291</v>
      </c>
      <c r="C111" s="302">
        <v>0.26898511925978297</v>
      </c>
      <c r="D111" s="302">
        <f>SUM(B111:C111)</f>
        <v>0.37991249452015585</v>
      </c>
      <c r="E111" s="303"/>
      <c r="F111" s="302">
        <v>0.23396975220252328</v>
      </c>
      <c r="G111" s="302">
        <v>0.64012219350605237</v>
      </c>
      <c r="H111" s="302">
        <f>SUM(F111:G111)</f>
        <v>0.87409194570857562</v>
      </c>
      <c r="I111" s="303"/>
      <c r="J111" s="302">
        <v>0.26177552552660693</v>
      </c>
      <c r="K111" s="302">
        <v>0.72589353562809156</v>
      </c>
      <c r="L111" s="302">
        <f>SUM(J111:K111)</f>
        <v>0.98766906115469855</v>
      </c>
      <c r="M111" s="236"/>
      <c r="N111" s="236"/>
    </row>
    <row r="112" spans="1:14" x14ac:dyDescent="0.2">
      <c r="A112" s="237" t="str">
        <f>name!E$5</f>
        <v>Professional occupations</v>
      </c>
      <c r="B112" s="302">
        <v>0.14350252318024109</v>
      </c>
      <c r="C112" s="302">
        <v>0.55558374073670691</v>
      </c>
      <c r="D112" s="302">
        <f t="shared" ref="D112:D119" si="31">SUM(B112:C112)</f>
        <v>0.69908626391694795</v>
      </c>
      <c r="E112" s="303"/>
      <c r="F112" s="302">
        <v>0.33938064825447328</v>
      </c>
      <c r="G112" s="302">
        <v>1.4027341414343124</v>
      </c>
      <c r="H112" s="302">
        <f t="shared" ref="H112:H119" si="32">SUM(F112:G112)</f>
        <v>1.7421147896887856</v>
      </c>
      <c r="I112" s="303"/>
      <c r="J112" s="302">
        <v>0.42817760734928972</v>
      </c>
      <c r="K112" s="302">
        <v>1.5614856373190358</v>
      </c>
      <c r="L112" s="302">
        <f t="shared" ref="L112:L119" si="33">SUM(J112:K112)</f>
        <v>1.9896632446683256</v>
      </c>
      <c r="M112" s="236"/>
      <c r="N112" s="236"/>
    </row>
    <row r="113" spans="1:14" x14ac:dyDescent="0.2">
      <c r="A113" s="237" t="str">
        <f>name!E$6</f>
        <v>Associate professional occupations</v>
      </c>
      <c r="B113" s="302">
        <v>0.15063085009592916</v>
      </c>
      <c r="C113" s="302">
        <v>0.35126769509854533</v>
      </c>
      <c r="D113" s="302">
        <f t="shared" si="31"/>
        <v>0.50189854519447452</v>
      </c>
      <c r="E113" s="303"/>
      <c r="F113" s="302">
        <v>0.31632354037100813</v>
      </c>
      <c r="G113" s="302">
        <v>0.84887248072819854</v>
      </c>
      <c r="H113" s="302">
        <f t="shared" si="32"/>
        <v>1.1651960210992067</v>
      </c>
      <c r="I113" s="303"/>
      <c r="J113" s="302">
        <v>0.33527798982548673</v>
      </c>
      <c r="K113" s="302">
        <v>0.7361545012249896</v>
      </c>
      <c r="L113" s="302">
        <f t="shared" si="33"/>
        <v>1.0714324910504764</v>
      </c>
      <c r="M113" s="236"/>
      <c r="N113" s="236"/>
    </row>
    <row r="114" spans="1:14" x14ac:dyDescent="0.2">
      <c r="A114" s="237" t="str">
        <f>name!E$7</f>
        <v>Administrative and secretarial occupations</v>
      </c>
      <c r="B114" s="302">
        <v>9.9774915070258305E-2</v>
      </c>
      <c r="C114" s="302">
        <v>2.7817219319062312E-2</v>
      </c>
      <c r="D114" s="302">
        <f t="shared" si="31"/>
        <v>0.12759213438932063</v>
      </c>
      <c r="E114" s="303"/>
      <c r="F114" s="302">
        <v>0.17229397807659483</v>
      </c>
      <c r="G114" s="302">
        <v>8.0766234136938772E-2</v>
      </c>
      <c r="H114" s="302">
        <f t="shared" si="32"/>
        <v>0.25306021221353359</v>
      </c>
      <c r="I114" s="303"/>
      <c r="J114" s="302">
        <v>0.12054473378295812</v>
      </c>
      <c r="K114" s="302">
        <v>7.5075592240774619E-2</v>
      </c>
      <c r="L114" s="302">
        <f t="shared" si="33"/>
        <v>0.19562032602373275</v>
      </c>
      <c r="M114" s="236"/>
      <c r="N114" s="236"/>
    </row>
    <row r="115" spans="1:14" x14ac:dyDescent="0.2">
      <c r="A115" s="237" t="str">
        <f>name!E$8</f>
        <v>Skilled trades occupations</v>
      </c>
      <c r="B115" s="302">
        <v>1.9617302890725025E-2</v>
      </c>
      <c r="C115" s="302">
        <v>0.30998483544061167</v>
      </c>
      <c r="D115" s="302">
        <f t="shared" si="31"/>
        <v>0.32960213833133667</v>
      </c>
      <c r="E115" s="303"/>
      <c r="F115" s="302">
        <v>2.8531063613934305E-2</v>
      </c>
      <c r="G115" s="302">
        <v>0.55026209689692007</v>
      </c>
      <c r="H115" s="302">
        <f t="shared" si="32"/>
        <v>0.57879316051085439</v>
      </c>
      <c r="I115" s="303"/>
      <c r="J115" s="302">
        <v>2.295409670350277E-2</v>
      </c>
      <c r="K115" s="302">
        <v>0.37045123585958573</v>
      </c>
      <c r="L115" s="302">
        <f t="shared" si="33"/>
        <v>0.39340533256308852</v>
      </c>
      <c r="M115" s="236"/>
      <c r="N115" s="236"/>
    </row>
    <row r="116" spans="1:14" x14ac:dyDescent="0.2">
      <c r="A116" s="237" t="str">
        <f>name!E$9</f>
        <v>Caring, leisure and other service occupations</v>
      </c>
      <c r="B116" s="302">
        <v>0.18898725565824892</v>
      </c>
      <c r="C116" s="302">
        <v>4.3439106225210876E-2</v>
      </c>
      <c r="D116" s="302">
        <f t="shared" si="31"/>
        <v>0.2324263618834598</v>
      </c>
      <c r="E116" s="303"/>
      <c r="F116" s="302">
        <v>0.29979014087561556</v>
      </c>
      <c r="G116" s="302">
        <v>8.9799751540427714E-2</v>
      </c>
      <c r="H116" s="302">
        <f t="shared" si="32"/>
        <v>0.38958989241604325</v>
      </c>
      <c r="I116" s="303"/>
      <c r="J116" s="302">
        <v>0.29888263671148041</v>
      </c>
      <c r="K116" s="302">
        <v>0.11295030103873632</v>
      </c>
      <c r="L116" s="302">
        <f t="shared" si="33"/>
        <v>0.41183293775021673</v>
      </c>
      <c r="M116" s="236"/>
      <c r="N116" s="236"/>
    </row>
    <row r="117" spans="1:14" x14ac:dyDescent="0.2">
      <c r="A117" s="237" t="str">
        <f>name!E$10</f>
        <v>Sales and customer service occupations</v>
      </c>
      <c r="B117" s="302">
        <v>0.14816890471240241</v>
      </c>
      <c r="C117" s="302">
        <v>3.2102344877293777E-2</v>
      </c>
      <c r="D117" s="302">
        <f t="shared" si="31"/>
        <v>0.18027124958969618</v>
      </c>
      <c r="E117" s="303"/>
      <c r="F117" s="302">
        <v>0.24509406103898262</v>
      </c>
      <c r="G117" s="302">
        <v>9.5261415872145053E-2</v>
      </c>
      <c r="H117" s="302">
        <f t="shared" si="32"/>
        <v>0.34035547691112766</v>
      </c>
      <c r="I117" s="303"/>
      <c r="J117" s="302">
        <v>0.24928972468567281</v>
      </c>
      <c r="K117" s="302">
        <v>0.10303650237413223</v>
      </c>
      <c r="L117" s="302">
        <f t="shared" si="33"/>
        <v>0.35232622705980504</v>
      </c>
      <c r="M117" s="236"/>
      <c r="N117" s="236"/>
    </row>
    <row r="118" spans="1:14" x14ac:dyDescent="0.2">
      <c r="A118" s="237" t="str">
        <f>name!E$11</f>
        <v>Process, plant and machine operatives</v>
      </c>
      <c r="B118" s="302">
        <v>9.7093850956632213E-3</v>
      </c>
      <c r="C118" s="302">
        <v>0.18128383710187806</v>
      </c>
      <c r="D118" s="302">
        <f t="shared" si="31"/>
        <v>0.19099322219754128</v>
      </c>
      <c r="E118" s="303"/>
      <c r="F118" s="302">
        <v>1.3235418975570405E-2</v>
      </c>
      <c r="G118" s="302">
        <v>0.3295311067364981</v>
      </c>
      <c r="H118" s="302">
        <f t="shared" si="32"/>
        <v>0.3427665257120685</v>
      </c>
      <c r="I118" s="303"/>
      <c r="J118" s="302">
        <v>1.8915339265104393E-2</v>
      </c>
      <c r="K118" s="302">
        <v>0.36097314204337</v>
      </c>
      <c r="L118" s="302">
        <f t="shared" si="33"/>
        <v>0.37988848130847441</v>
      </c>
      <c r="M118" s="236"/>
      <c r="N118" s="236"/>
    </row>
    <row r="119" spans="1:14" x14ac:dyDescent="0.2">
      <c r="A119" s="237" t="str">
        <f>name!E$12</f>
        <v>Elementary occupations</v>
      </c>
      <c r="B119" s="302">
        <v>5.4377245034178463E-2</v>
      </c>
      <c r="C119" s="302">
        <v>3.4840344942895431E-2</v>
      </c>
      <c r="D119" s="302">
        <f t="shared" si="31"/>
        <v>8.9217589977073894E-2</v>
      </c>
      <c r="E119" s="303"/>
      <c r="F119" s="302">
        <v>6.6725803040965245E-2</v>
      </c>
      <c r="G119" s="302">
        <v>7.2306172698838031E-2</v>
      </c>
      <c r="H119" s="302">
        <f t="shared" si="32"/>
        <v>0.13903197573980328</v>
      </c>
      <c r="I119" s="303"/>
      <c r="J119" s="302">
        <v>3.7078904581785338E-2</v>
      </c>
      <c r="K119" s="302">
        <v>4.7082993839405035E-2</v>
      </c>
      <c r="L119" s="302">
        <f t="shared" si="33"/>
        <v>8.4161898421190373E-2</v>
      </c>
      <c r="M119" s="236"/>
      <c r="N119" s="236"/>
    </row>
    <row r="120" spans="1:14" x14ac:dyDescent="0.2">
      <c r="A120" s="237"/>
      <c r="B120" s="302"/>
      <c r="C120" s="302"/>
      <c r="D120" s="302"/>
      <c r="E120" s="303"/>
      <c r="F120" s="302"/>
      <c r="G120" s="302"/>
      <c r="H120" s="302"/>
      <c r="I120" s="303"/>
      <c r="J120" s="302"/>
      <c r="K120" s="302"/>
      <c r="L120" s="302"/>
      <c r="M120" s="236"/>
      <c r="N120" s="236"/>
    </row>
    <row r="121" spans="1:14" x14ac:dyDescent="0.2">
      <c r="A121" s="244" t="s">
        <v>33</v>
      </c>
      <c r="B121" s="311">
        <f>SUM(B111:B119)</f>
        <v>0.92569575699801954</v>
      </c>
      <c r="C121" s="311">
        <f t="shared" ref="C121:D121" si="34">SUM(C111:C119)</f>
        <v>1.805304243001987</v>
      </c>
      <c r="D121" s="311">
        <f t="shared" si="34"/>
        <v>2.7310000000000074</v>
      </c>
      <c r="E121" s="311"/>
      <c r="F121" s="311">
        <f t="shared" ref="F121:H121" si="35">SUM(F111:F119)</f>
        <v>1.7153444064496677</v>
      </c>
      <c r="G121" s="311">
        <f t="shared" si="35"/>
        <v>4.1096555935503307</v>
      </c>
      <c r="H121" s="311">
        <f t="shared" si="35"/>
        <v>5.8249999999999993</v>
      </c>
      <c r="I121" s="311"/>
      <c r="J121" s="311">
        <f t="shared" ref="J121:L121" si="36">SUM(J111:J119)</f>
        <v>1.7728965584318876</v>
      </c>
      <c r="K121" s="311">
        <f t="shared" si="36"/>
        <v>4.0931034415681209</v>
      </c>
      <c r="L121" s="311">
        <f t="shared" si="36"/>
        <v>5.8660000000000085</v>
      </c>
      <c r="M121" s="236"/>
      <c r="N121" s="236"/>
    </row>
    <row r="122" spans="1:14" x14ac:dyDescent="0.2">
      <c r="A122" s="237"/>
      <c r="B122" s="237"/>
      <c r="C122" s="237"/>
      <c r="D122" s="237"/>
      <c r="E122" s="237"/>
      <c r="F122" s="237"/>
      <c r="G122" s="237"/>
      <c r="H122" s="237"/>
      <c r="I122" s="237"/>
      <c r="J122" s="237"/>
      <c r="K122" s="237"/>
      <c r="L122" s="240"/>
      <c r="M122" s="236"/>
      <c r="N122" s="236"/>
    </row>
    <row r="123" spans="1:14" x14ac:dyDescent="0.2">
      <c r="A123" s="237"/>
      <c r="B123" s="237"/>
      <c r="C123" s="237"/>
      <c r="D123" s="237"/>
      <c r="E123" s="237"/>
      <c r="F123" s="237"/>
      <c r="G123" s="237"/>
      <c r="H123" s="237"/>
      <c r="I123" s="237"/>
      <c r="J123" s="237"/>
      <c r="K123" s="237"/>
      <c r="L123" s="256" t="s">
        <v>36</v>
      </c>
      <c r="M123" s="236"/>
      <c r="N123" s="236"/>
    </row>
    <row r="124" spans="1:14" x14ac:dyDescent="0.2">
      <c r="A124" s="242"/>
      <c r="B124" s="250"/>
      <c r="C124" s="250"/>
      <c r="D124" s="250"/>
      <c r="E124" s="250"/>
      <c r="F124" s="250"/>
      <c r="G124" s="250"/>
      <c r="H124" s="250"/>
      <c r="I124" s="250"/>
      <c r="J124" s="250"/>
      <c r="K124" s="250"/>
      <c r="L124" s="236"/>
      <c r="M124" s="236"/>
      <c r="N124" s="236"/>
    </row>
    <row r="125" spans="1:14" x14ac:dyDescent="0.2">
      <c r="A125" s="241" t="str">
        <f>name!B10</f>
        <v>Water and sewerage</v>
      </c>
      <c r="B125" s="375">
        <f>B$6</f>
        <v>2015</v>
      </c>
      <c r="C125" s="375"/>
      <c r="D125" s="375"/>
      <c r="E125" s="253"/>
      <c r="F125" s="375">
        <f>F108</f>
        <v>2020</v>
      </c>
      <c r="G125" s="375"/>
      <c r="H125" s="375"/>
      <c r="I125" s="253"/>
      <c r="J125" s="375">
        <f>J108</f>
        <v>2035</v>
      </c>
      <c r="K125" s="375"/>
      <c r="L125" s="375"/>
      <c r="M125" s="236"/>
      <c r="N125" s="236"/>
    </row>
    <row r="126" spans="1:14" x14ac:dyDescent="0.2">
      <c r="A126" s="254"/>
      <c r="B126" s="255" t="s">
        <v>361</v>
      </c>
      <c r="C126" s="255" t="s">
        <v>362</v>
      </c>
      <c r="D126" s="255" t="s">
        <v>33</v>
      </c>
      <c r="E126" s="255"/>
      <c r="F126" s="255" t="s">
        <v>361</v>
      </c>
      <c r="G126" s="255" t="s">
        <v>362</v>
      </c>
      <c r="H126" s="255" t="s">
        <v>33</v>
      </c>
      <c r="I126" s="255"/>
      <c r="J126" s="255" t="s">
        <v>361</v>
      </c>
      <c r="K126" s="255" t="s">
        <v>362</v>
      </c>
      <c r="L126" s="255" t="s">
        <v>33</v>
      </c>
      <c r="M126" s="236"/>
      <c r="N126" s="236"/>
    </row>
    <row r="127" spans="1:14" x14ac:dyDescent="0.2">
      <c r="A127" s="258"/>
      <c r="B127" s="259"/>
      <c r="C127" s="259"/>
      <c r="D127" s="259"/>
      <c r="E127" s="259"/>
      <c r="F127" s="259"/>
      <c r="G127" s="259"/>
      <c r="H127" s="259"/>
      <c r="I127" s="259"/>
      <c r="J127" s="259"/>
      <c r="K127" s="259"/>
      <c r="L127" s="259"/>
      <c r="M127" s="236"/>
      <c r="N127" s="236"/>
    </row>
    <row r="128" spans="1:14" x14ac:dyDescent="0.2">
      <c r="A128" s="237" t="str">
        <f>name!E$4</f>
        <v>Managers, directors and senior officials</v>
      </c>
      <c r="B128" s="302">
        <v>6.7777883457988283E-2</v>
      </c>
      <c r="C128" s="302">
        <v>0.19532436439330406</v>
      </c>
      <c r="D128" s="302">
        <f>SUM(B128:C128)</f>
        <v>0.26310224785129233</v>
      </c>
      <c r="E128" s="303"/>
      <c r="F128" s="302">
        <v>8.2628298496699379E-2</v>
      </c>
      <c r="G128" s="302">
        <v>0.32295012547165391</v>
      </c>
      <c r="H128" s="302">
        <f>SUM(F128:G128)</f>
        <v>0.40557842396835331</v>
      </c>
      <c r="I128" s="303"/>
      <c r="J128" s="302">
        <v>8.5738061165818613E-2</v>
      </c>
      <c r="K128" s="302">
        <v>0.31644802723047155</v>
      </c>
      <c r="L128" s="302">
        <f>SUM(J128:K128)</f>
        <v>0.40218608839629016</v>
      </c>
      <c r="M128" s="236"/>
      <c r="N128" s="236"/>
    </row>
    <row r="129" spans="1:14" x14ac:dyDescent="0.2">
      <c r="A129" s="237" t="str">
        <f>name!E$5</f>
        <v>Professional occupations</v>
      </c>
      <c r="B129" s="302">
        <v>0.10634375252268014</v>
      </c>
      <c r="C129" s="302">
        <v>0.19920778915122486</v>
      </c>
      <c r="D129" s="302">
        <f t="shared" ref="D129:D136" si="37">SUM(B129:C129)</f>
        <v>0.30555154167390497</v>
      </c>
      <c r="E129" s="303"/>
      <c r="F129" s="302">
        <v>0.1359806618836106</v>
      </c>
      <c r="G129" s="302">
        <v>0.32963442037443702</v>
      </c>
      <c r="H129" s="302">
        <f t="shared" ref="H129:H136" si="38">SUM(F129:G129)</f>
        <v>0.4656150822580476</v>
      </c>
      <c r="I129" s="303"/>
      <c r="J129" s="302">
        <v>0.15916372000791215</v>
      </c>
      <c r="K129" s="302">
        <v>0.36006162973882622</v>
      </c>
      <c r="L129" s="302">
        <f t="shared" ref="L129:L136" si="39">SUM(J129:K129)</f>
        <v>0.5192253497467384</v>
      </c>
      <c r="M129" s="236"/>
      <c r="N129" s="236"/>
    </row>
    <row r="130" spans="1:14" x14ac:dyDescent="0.2">
      <c r="A130" s="237" t="str">
        <f>name!E$6</f>
        <v>Associate professional occupations</v>
      </c>
      <c r="B130" s="302">
        <v>0.20012506349929726</v>
      </c>
      <c r="C130" s="302">
        <v>0.17712372472975046</v>
      </c>
      <c r="D130" s="302">
        <f t="shared" si="37"/>
        <v>0.37724878822904773</v>
      </c>
      <c r="E130" s="303"/>
      <c r="F130" s="302">
        <v>0.26130463164389434</v>
      </c>
      <c r="G130" s="302">
        <v>0.24046002911225225</v>
      </c>
      <c r="H130" s="302">
        <f t="shared" si="38"/>
        <v>0.50176466075614656</v>
      </c>
      <c r="I130" s="303"/>
      <c r="J130" s="302">
        <v>0.34996398347635715</v>
      </c>
      <c r="K130" s="302">
        <v>0.22208442908275358</v>
      </c>
      <c r="L130" s="302">
        <f t="shared" si="39"/>
        <v>0.57204841255911076</v>
      </c>
      <c r="M130" s="236"/>
      <c r="N130" s="236"/>
    </row>
    <row r="131" spans="1:14" x14ac:dyDescent="0.2">
      <c r="A131" s="237" t="str">
        <f>name!E$7</f>
        <v>Administrative and secretarial occupations</v>
      </c>
      <c r="B131" s="302">
        <v>0.20398638397961127</v>
      </c>
      <c r="C131" s="302">
        <v>4.2500320448774997E-2</v>
      </c>
      <c r="D131" s="302">
        <f t="shared" si="37"/>
        <v>0.24648670442838627</v>
      </c>
      <c r="E131" s="303"/>
      <c r="F131" s="302">
        <v>0.20689736747440407</v>
      </c>
      <c r="G131" s="302">
        <v>5.7548477592036344E-2</v>
      </c>
      <c r="H131" s="302">
        <f t="shared" si="38"/>
        <v>0.26444584506644042</v>
      </c>
      <c r="I131" s="303"/>
      <c r="J131" s="302">
        <v>0.19840501543429145</v>
      </c>
      <c r="K131" s="302">
        <v>6.1747583128786018E-2</v>
      </c>
      <c r="L131" s="302">
        <f t="shared" si="39"/>
        <v>0.26015259856307749</v>
      </c>
      <c r="M131" s="236"/>
      <c r="N131" s="236"/>
    </row>
    <row r="132" spans="1:14" x14ac:dyDescent="0.2">
      <c r="A132" s="237" t="str">
        <f>name!E$8</f>
        <v>Skilled trades occupations</v>
      </c>
      <c r="B132" s="302">
        <v>1.6630693370743362E-2</v>
      </c>
      <c r="C132" s="302">
        <v>0.18951775826216544</v>
      </c>
      <c r="D132" s="302">
        <f t="shared" si="37"/>
        <v>0.20614845163290879</v>
      </c>
      <c r="E132" s="303"/>
      <c r="F132" s="302">
        <v>1.9088442495794281E-2</v>
      </c>
      <c r="G132" s="302">
        <v>0.29279269053317319</v>
      </c>
      <c r="H132" s="302">
        <f t="shared" si="38"/>
        <v>0.31188113302896747</v>
      </c>
      <c r="I132" s="303"/>
      <c r="J132" s="302">
        <v>1.9680387439889997E-2</v>
      </c>
      <c r="K132" s="302">
        <v>0.22119605413495549</v>
      </c>
      <c r="L132" s="302">
        <f t="shared" si="39"/>
        <v>0.2408764415748455</v>
      </c>
      <c r="M132" s="236"/>
      <c r="N132" s="236"/>
    </row>
    <row r="133" spans="1:14" x14ac:dyDescent="0.2">
      <c r="A133" s="237" t="str">
        <f>name!E$9</f>
        <v>Caring, leisure and other service occupations</v>
      </c>
      <c r="B133" s="302">
        <v>8.4862174829317807E-2</v>
      </c>
      <c r="C133" s="302">
        <v>2.1846178392761432E-2</v>
      </c>
      <c r="D133" s="302">
        <f t="shared" si="37"/>
        <v>0.10670835322207924</v>
      </c>
      <c r="E133" s="303"/>
      <c r="F133" s="302">
        <v>8.7570853010437655E-2</v>
      </c>
      <c r="G133" s="302">
        <v>3.2080354577634855E-2</v>
      </c>
      <c r="H133" s="302">
        <f t="shared" si="38"/>
        <v>0.11965120758807252</v>
      </c>
      <c r="I133" s="303"/>
      <c r="J133" s="302">
        <v>9.4215794962331123E-2</v>
      </c>
      <c r="K133" s="302">
        <v>3.9939273888205902E-2</v>
      </c>
      <c r="L133" s="302">
        <f t="shared" si="39"/>
        <v>0.13415506885053702</v>
      </c>
      <c r="M133" s="236"/>
      <c r="N133" s="236"/>
    </row>
    <row r="134" spans="1:14" x14ac:dyDescent="0.2">
      <c r="A134" s="237" t="str">
        <f>name!E$10</f>
        <v>Sales and customer service occupations</v>
      </c>
      <c r="B134" s="302">
        <v>5.0157438237558506E-2</v>
      </c>
      <c r="C134" s="302">
        <v>2.8823252801487696E-2</v>
      </c>
      <c r="D134" s="302">
        <f>SUM(B134:C134)</f>
        <v>7.8980691039046202E-2</v>
      </c>
      <c r="E134" s="303"/>
      <c r="F134" s="302">
        <v>4.7460068685722549E-2</v>
      </c>
      <c r="G134" s="302">
        <v>4.7096413439488304E-2</v>
      </c>
      <c r="H134" s="302">
        <f t="shared" si="38"/>
        <v>9.4556482125210853E-2</v>
      </c>
      <c r="I134" s="303"/>
      <c r="J134" s="302">
        <v>4.387455815798133E-2</v>
      </c>
      <c r="K134" s="302">
        <v>5.0391679567652184E-2</v>
      </c>
      <c r="L134" s="302">
        <f t="shared" si="39"/>
        <v>9.4266237725633514E-2</v>
      </c>
      <c r="M134" s="236"/>
      <c r="N134" s="236"/>
    </row>
    <row r="135" spans="1:14" x14ac:dyDescent="0.2">
      <c r="A135" s="237" t="str">
        <f>name!E$11</f>
        <v>Process, plant and machine operatives</v>
      </c>
      <c r="B135" s="302">
        <v>4.1104707902107379E-2</v>
      </c>
      <c r="C135" s="302">
        <v>0.65433417677197614</v>
      </c>
      <c r="D135" s="302">
        <f t="shared" si="37"/>
        <v>0.69543888467408355</v>
      </c>
      <c r="E135" s="303"/>
      <c r="F135" s="302">
        <v>1.88860646168044E-2</v>
      </c>
      <c r="G135" s="302">
        <v>0.69309991935801618</v>
      </c>
      <c r="H135" s="302">
        <f t="shared" si="38"/>
        <v>0.7119859839748206</v>
      </c>
      <c r="I135" s="303"/>
      <c r="J135" s="302">
        <v>2.3026788338655634E-2</v>
      </c>
      <c r="K135" s="302">
        <v>0.6878912064603544</v>
      </c>
      <c r="L135" s="302">
        <f t="shared" si="39"/>
        <v>0.71091799479901008</v>
      </c>
      <c r="M135" s="236"/>
      <c r="N135" s="236"/>
    </row>
    <row r="136" spans="1:14" x14ac:dyDescent="0.2">
      <c r="A136" s="237" t="str">
        <f>name!E$12</f>
        <v>Elementary occupations</v>
      </c>
      <c r="B136" s="302">
        <v>9.3588097799191902E-2</v>
      </c>
      <c r="C136" s="302">
        <v>0.46774623945005844</v>
      </c>
      <c r="D136" s="302">
        <f t="shared" si="37"/>
        <v>0.5613343372492503</v>
      </c>
      <c r="E136" s="303"/>
      <c r="F136" s="302">
        <v>9.7140099034221231E-2</v>
      </c>
      <c r="G136" s="302">
        <v>0.56938108219972383</v>
      </c>
      <c r="H136" s="302">
        <f t="shared" si="38"/>
        <v>0.6665211812339451</v>
      </c>
      <c r="I136" s="303"/>
      <c r="J136" s="302">
        <v>8.0394967861738442E-2</v>
      </c>
      <c r="K136" s="302">
        <v>0.58577683992301732</v>
      </c>
      <c r="L136" s="302">
        <f t="shared" si="39"/>
        <v>0.66617180778475582</v>
      </c>
      <c r="M136" s="236"/>
      <c r="N136" s="236"/>
    </row>
    <row r="137" spans="1:14" x14ac:dyDescent="0.2">
      <c r="A137" s="237"/>
      <c r="B137" s="302"/>
      <c r="C137" s="302"/>
      <c r="D137" s="302"/>
      <c r="E137" s="303"/>
      <c r="F137" s="302"/>
      <c r="G137" s="302"/>
      <c r="H137" s="302"/>
      <c r="I137" s="303"/>
      <c r="J137" s="302"/>
      <c r="K137" s="302"/>
      <c r="L137" s="302"/>
      <c r="M137" s="236"/>
      <c r="N137" s="236"/>
    </row>
    <row r="138" spans="1:14" x14ac:dyDescent="0.2">
      <c r="A138" s="244" t="s">
        <v>33</v>
      </c>
      <c r="B138" s="311">
        <f>SUM(B128:B136)</f>
        <v>0.86457619559849597</v>
      </c>
      <c r="C138" s="311">
        <f t="shared" ref="C138" si="40">SUM(C128:C136)</f>
        <v>1.9764238044015037</v>
      </c>
      <c r="D138" s="311">
        <f>SUM(D128:D136)</f>
        <v>2.8409999999999993</v>
      </c>
      <c r="E138" s="311"/>
      <c r="F138" s="311">
        <f t="shared" ref="F138:H138" si="41">SUM(F128:F136)</f>
        <v>0.95695648734158856</v>
      </c>
      <c r="G138" s="311">
        <f t="shared" si="41"/>
        <v>2.5850435126584159</v>
      </c>
      <c r="H138" s="311">
        <f t="shared" si="41"/>
        <v>3.5420000000000043</v>
      </c>
      <c r="I138" s="311"/>
      <c r="J138" s="311">
        <f t="shared" ref="J138:L138" si="42">SUM(J128:J136)</f>
        <v>1.054463276844976</v>
      </c>
      <c r="K138" s="311">
        <f t="shared" si="42"/>
        <v>2.5455367231550228</v>
      </c>
      <c r="L138" s="311">
        <f t="shared" si="42"/>
        <v>3.5999999999999988</v>
      </c>
      <c r="M138" s="236"/>
      <c r="N138" s="236"/>
    </row>
    <row r="139" spans="1:14" x14ac:dyDescent="0.2">
      <c r="A139" s="237"/>
      <c r="B139" s="237"/>
      <c r="C139" s="237"/>
      <c r="D139" s="237"/>
      <c r="E139" s="237"/>
      <c r="F139" s="237"/>
      <c r="G139" s="237"/>
      <c r="H139" s="237"/>
      <c r="I139" s="237"/>
      <c r="J139" s="237"/>
      <c r="K139" s="237"/>
      <c r="L139" s="240"/>
      <c r="M139" s="236"/>
      <c r="N139" s="236"/>
    </row>
    <row r="140" spans="1:14" x14ac:dyDescent="0.2">
      <c r="A140" s="237"/>
      <c r="B140" s="237"/>
      <c r="C140" s="237"/>
      <c r="D140" s="237"/>
      <c r="E140" s="237"/>
      <c r="F140" s="237"/>
      <c r="G140" s="237"/>
      <c r="H140" s="237"/>
      <c r="I140" s="237"/>
      <c r="J140" s="237"/>
      <c r="K140" s="237"/>
      <c r="L140" s="256" t="s">
        <v>36</v>
      </c>
      <c r="M140" s="236"/>
      <c r="N140" s="236"/>
    </row>
    <row r="141" spans="1:14" x14ac:dyDescent="0.2">
      <c r="A141" s="242"/>
      <c r="B141" s="250"/>
      <c r="C141" s="250"/>
      <c r="D141" s="250"/>
      <c r="E141" s="250"/>
      <c r="F141" s="250"/>
      <c r="G141" s="250"/>
      <c r="H141" s="250"/>
      <c r="I141" s="250"/>
      <c r="J141" s="250"/>
      <c r="K141" s="250"/>
      <c r="L141" s="236"/>
      <c r="M141" s="236"/>
      <c r="N141" s="236"/>
    </row>
    <row r="142" spans="1:14" x14ac:dyDescent="0.2">
      <c r="A142" s="241" t="str">
        <f>name!B11</f>
        <v>Construction</v>
      </c>
      <c r="B142" s="375">
        <f>B$6</f>
        <v>2015</v>
      </c>
      <c r="C142" s="375"/>
      <c r="D142" s="375"/>
      <c r="E142" s="253"/>
      <c r="F142" s="375">
        <f>F125</f>
        <v>2020</v>
      </c>
      <c r="G142" s="375"/>
      <c r="H142" s="375"/>
      <c r="I142" s="253"/>
      <c r="J142" s="375">
        <f>J125</f>
        <v>2035</v>
      </c>
      <c r="K142" s="375"/>
      <c r="L142" s="375"/>
      <c r="M142" s="236"/>
      <c r="N142" s="236"/>
    </row>
    <row r="143" spans="1:14" x14ac:dyDescent="0.2">
      <c r="A143" s="254"/>
      <c r="B143" s="255" t="s">
        <v>361</v>
      </c>
      <c r="C143" s="255" t="s">
        <v>362</v>
      </c>
      <c r="D143" s="255" t="s">
        <v>33</v>
      </c>
      <c r="E143" s="255"/>
      <c r="F143" s="255" t="s">
        <v>361</v>
      </c>
      <c r="G143" s="255" t="s">
        <v>362</v>
      </c>
      <c r="H143" s="255" t="s">
        <v>33</v>
      </c>
      <c r="I143" s="255"/>
      <c r="J143" s="255" t="s">
        <v>361</v>
      </c>
      <c r="K143" s="255" t="s">
        <v>362</v>
      </c>
      <c r="L143" s="255" t="s">
        <v>33</v>
      </c>
      <c r="M143" s="236"/>
      <c r="N143" s="236"/>
    </row>
    <row r="144" spans="1:14" x14ac:dyDescent="0.2">
      <c r="A144" s="258"/>
      <c r="B144" s="259"/>
      <c r="C144" s="259"/>
      <c r="D144" s="259"/>
      <c r="E144" s="259"/>
      <c r="F144" s="259"/>
      <c r="G144" s="259"/>
      <c r="H144" s="259"/>
      <c r="I144" s="259"/>
      <c r="J144" s="259"/>
      <c r="K144" s="259"/>
      <c r="L144" s="259"/>
      <c r="M144" s="236"/>
      <c r="N144" s="236"/>
    </row>
    <row r="145" spans="1:14" x14ac:dyDescent="0.2">
      <c r="A145" s="237" t="str">
        <f>name!E$4</f>
        <v>Managers, directors and senior officials</v>
      </c>
      <c r="B145" s="302">
        <v>0.49883821122919131</v>
      </c>
      <c r="C145" s="302">
        <v>1.3848986028212065</v>
      </c>
      <c r="D145" s="302">
        <f>SUM(B145:C145)</f>
        <v>1.8837368140503978</v>
      </c>
      <c r="E145" s="303"/>
      <c r="F145" s="302">
        <v>0.55088824785473567</v>
      </c>
      <c r="G145" s="302">
        <v>2.0575442049501453</v>
      </c>
      <c r="H145" s="302">
        <f>SUM(F145:G145)</f>
        <v>2.6084324528048812</v>
      </c>
      <c r="I145" s="303"/>
      <c r="J145" s="302">
        <v>0.65400264664863528</v>
      </c>
      <c r="K145" s="302">
        <v>2.0473117554643032</v>
      </c>
      <c r="L145" s="302">
        <f>SUM(J145:K145)</f>
        <v>2.7013144021129385</v>
      </c>
      <c r="M145" s="236"/>
      <c r="N145" s="236"/>
    </row>
    <row r="146" spans="1:14" x14ac:dyDescent="0.2">
      <c r="A146" s="237" t="str">
        <f>name!E$5</f>
        <v>Professional occupations</v>
      </c>
      <c r="B146" s="302">
        <v>0.33544484337704089</v>
      </c>
      <c r="C146" s="302">
        <v>1.4285864846113958</v>
      </c>
      <c r="D146" s="302">
        <f t="shared" ref="D146:D153" si="43">SUM(B146:C146)</f>
        <v>1.7640313279884368</v>
      </c>
      <c r="E146" s="303"/>
      <c r="F146" s="302">
        <v>0.42594474321501946</v>
      </c>
      <c r="G146" s="302">
        <v>2.1154036461369303</v>
      </c>
      <c r="H146" s="302">
        <f t="shared" ref="H146:H153" si="44">SUM(F146:G146)</f>
        <v>2.54134838935195</v>
      </c>
      <c r="I146" s="303"/>
      <c r="J146" s="302">
        <v>0.52667589743231658</v>
      </c>
      <c r="K146" s="302">
        <v>2.3841311143731372</v>
      </c>
      <c r="L146" s="302">
        <f t="shared" ref="L146:L153" si="45">SUM(J146:K146)</f>
        <v>2.9108070118054536</v>
      </c>
      <c r="M146" s="236"/>
      <c r="N146" s="236"/>
    </row>
    <row r="147" spans="1:14" x14ac:dyDescent="0.2">
      <c r="A147" s="237" t="str">
        <f>name!E$6</f>
        <v>Associate professional occupations</v>
      </c>
      <c r="B147" s="302">
        <v>0.39926997755275612</v>
      </c>
      <c r="C147" s="302">
        <v>0.92962875305659753</v>
      </c>
      <c r="D147" s="302">
        <f t="shared" si="43"/>
        <v>1.3288987306093536</v>
      </c>
      <c r="E147" s="303"/>
      <c r="F147" s="302">
        <v>0.45012544896062684</v>
      </c>
      <c r="G147" s="302">
        <v>1.3187340321873626</v>
      </c>
      <c r="H147" s="302">
        <f t="shared" si="44"/>
        <v>1.7688594811479894</v>
      </c>
      <c r="I147" s="303"/>
      <c r="J147" s="302">
        <v>0.49358785766339713</v>
      </c>
      <c r="K147" s="302">
        <v>1.1999613995228993</v>
      </c>
      <c r="L147" s="302">
        <f t="shared" si="45"/>
        <v>1.6935492571862965</v>
      </c>
      <c r="M147" s="236"/>
      <c r="N147" s="236"/>
    </row>
    <row r="148" spans="1:14" x14ac:dyDescent="0.2">
      <c r="A148" s="237" t="str">
        <f>name!E$7</f>
        <v>Administrative and secretarial occupations</v>
      </c>
      <c r="B148" s="302">
        <v>1.7651608944346338</v>
      </c>
      <c r="C148" s="302">
        <v>0.3244678160414643</v>
      </c>
      <c r="D148" s="302">
        <f t="shared" si="43"/>
        <v>2.0896287104760982</v>
      </c>
      <c r="E148" s="303"/>
      <c r="F148" s="302">
        <v>1.5837436789339039</v>
      </c>
      <c r="G148" s="302">
        <v>0.42635192529350385</v>
      </c>
      <c r="H148" s="302">
        <f t="shared" si="44"/>
        <v>2.0100956042274079</v>
      </c>
      <c r="I148" s="303"/>
      <c r="J148" s="302">
        <v>1.1618131641812859</v>
      </c>
      <c r="K148" s="302">
        <v>0.44169463624144167</v>
      </c>
      <c r="L148" s="302">
        <f t="shared" si="45"/>
        <v>1.6035078004227277</v>
      </c>
      <c r="M148" s="236"/>
      <c r="N148" s="236"/>
    </row>
    <row r="149" spans="1:14" x14ac:dyDescent="0.2">
      <c r="A149" s="237" t="str">
        <f>name!E$8</f>
        <v>Skilled trades occupations</v>
      </c>
      <c r="B149" s="302">
        <v>0.77078849322259457</v>
      </c>
      <c r="C149" s="302">
        <v>16.796123422265232</v>
      </c>
      <c r="D149" s="302">
        <f t="shared" si="43"/>
        <v>17.566911915487825</v>
      </c>
      <c r="E149" s="303"/>
      <c r="F149" s="302">
        <v>0.46750561022713327</v>
      </c>
      <c r="G149" s="302">
        <v>16.978901549208576</v>
      </c>
      <c r="H149" s="302">
        <f t="shared" si="44"/>
        <v>17.446407159435708</v>
      </c>
      <c r="I149" s="303"/>
      <c r="J149" s="302">
        <v>0.66544704053730108</v>
      </c>
      <c r="K149" s="302">
        <v>15.488306716024029</v>
      </c>
      <c r="L149" s="302">
        <f t="shared" si="45"/>
        <v>16.153753756561329</v>
      </c>
      <c r="M149" s="236"/>
      <c r="N149" s="236"/>
    </row>
    <row r="150" spans="1:14" x14ac:dyDescent="0.2">
      <c r="A150" s="237" t="str">
        <f>name!E$9</f>
        <v>Caring, leisure and other service occupations</v>
      </c>
      <c r="B150" s="302">
        <v>2.4133158297166783E-2</v>
      </c>
      <c r="C150" s="302">
        <v>3.5217922150474236E-2</v>
      </c>
      <c r="D150" s="302">
        <f t="shared" si="43"/>
        <v>5.9351080447641022E-2</v>
      </c>
      <c r="E150" s="303"/>
      <c r="F150" s="302">
        <v>1.9899638851132741E-2</v>
      </c>
      <c r="G150" s="302">
        <v>4.6728865089423595E-2</v>
      </c>
      <c r="H150" s="302">
        <f t="shared" si="44"/>
        <v>6.6628503940556333E-2</v>
      </c>
      <c r="I150" s="303"/>
      <c r="J150" s="302">
        <v>1.9445139315057928E-2</v>
      </c>
      <c r="K150" s="302">
        <v>4.4714143101584634E-2</v>
      </c>
      <c r="L150" s="302">
        <f t="shared" si="45"/>
        <v>6.4159282416642566E-2</v>
      </c>
      <c r="M150" s="236"/>
      <c r="N150" s="236"/>
    </row>
    <row r="151" spans="1:14" x14ac:dyDescent="0.2">
      <c r="A151" s="237" t="str">
        <f>name!E$10</f>
        <v>Sales and customer service occupations</v>
      </c>
      <c r="B151" s="302">
        <v>0.37957647299400626</v>
      </c>
      <c r="C151" s="302">
        <v>0.14930333414525646</v>
      </c>
      <c r="D151" s="302">
        <f t="shared" si="43"/>
        <v>0.52887980713926275</v>
      </c>
      <c r="E151" s="303"/>
      <c r="F151" s="302">
        <v>0.37813770198797136</v>
      </c>
      <c r="G151" s="302">
        <v>0.18638406217382492</v>
      </c>
      <c r="H151" s="302">
        <f t="shared" si="44"/>
        <v>0.56452176416179634</v>
      </c>
      <c r="I151" s="303"/>
      <c r="J151" s="302">
        <v>0.36608857569702435</v>
      </c>
      <c r="K151" s="302">
        <v>0.21221903545000753</v>
      </c>
      <c r="L151" s="302">
        <f t="shared" si="45"/>
        <v>0.57830761114703189</v>
      </c>
      <c r="M151" s="236"/>
      <c r="N151" s="236"/>
    </row>
    <row r="152" spans="1:14" x14ac:dyDescent="0.2">
      <c r="A152" s="237" t="str">
        <f>name!E$11</f>
        <v>Process, plant and machine operatives</v>
      </c>
      <c r="B152" s="302">
        <v>2.9745969053673712E-2</v>
      </c>
      <c r="C152" s="302">
        <v>2.1353084440091017</v>
      </c>
      <c r="D152" s="302">
        <f t="shared" si="43"/>
        <v>2.1650544130627756</v>
      </c>
      <c r="E152" s="303"/>
      <c r="F152" s="302">
        <v>2.0447141018292789E-2</v>
      </c>
      <c r="G152" s="302">
        <v>2.1914183491877117</v>
      </c>
      <c r="H152" s="302">
        <f t="shared" si="44"/>
        <v>2.2118654902060046</v>
      </c>
      <c r="I152" s="303"/>
      <c r="J152" s="302">
        <v>2.7308048468792208E-2</v>
      </c>
      <c r="K152" s="302">
        <v>2.4555721910038844</v>
      </c>
      <c r="L152" s="302">
        <f t="shared" si="45"/>
        <v>2.4828802394726766</v>
      </c>
      <c r="M152" s="236"/>
      <c r="N152" s="236"/>
    </row>
    <row r="153" spans="1:14" x14ac:dyDescent="0.2">
      <c r="A153" s="237" t="str">
        <f>name!E$12</f>
        <v>Elementary occupations</v>
      </c>
      <c r="B153" s="302">
        <v>0.15031116528770258</v>
      </c>
      <c r="C153" s="302">
        <v>1.2121960354505008</v>
      </c>
      <c r="D153" s="302">
        <f t="shared" si="43"/>
        <v>1.3625072007382033</v>
      </c>
      <c r="E153" s="303"/>
      <c r="F153" s="302">
        <v>0.11365854948380921</v>
      </c>
      <c r="G153" s="302">
        <v>1.2831826052399011</v>
      </c>
      <c r="H153" s="302">
        <f t="shared" si="44"/>
        <v>1.3968411547237103</v>
      </c>
      <c r="I153" s="303"/>
      <c r="J153" s="302">
        <v>8.305141770773504E-2</v>
      </c>
      <c r="K153" s="302">
        <v>1.1386692211671878</v>
      </c>
      <c r="L153" s="302">
        <f t="shared" si="45"/>
        <v>1.2217206388749229</v>
      </c>
      <c r="M153" s="236"/>
      <c r="N153" s="236"/>
    </row>
    <row r="154" spans="1:14" x14ac:dyDescent="0.2">
      <c r="A154" s="237"/>
      <c r="B154" s="302"/>
      <c r="C154" s="302"/>
      <c r="D154" s="302"/>
      <c r="E154" s="303"/>
      <c r="F154" s="302"/>
      <c r="G154" s="302"/>
      <c r="H154" s="302"/>
      <c r="I154" s="303"/>
      <c r="J154" s="302"/>
      <c r="K154" s="302"/>
      <c r="L154" s="302"/>
      <c r="M154" s="236"/>
      <c r="N154" s="236"/>
    </row>
    <row r="155" spans="1:14" x14ac:dyDescent="0.2">
      <c r="A155" s="244" t="s">
        <v>33</v>
      </c>
      <c r="B155" s="311">
        <f>SUM(B145:B153)</f>
        <v>4.3532691854487666</v>
      </c>
      <c r="C155" s="311">
        <f t="shared" ref="C155:D155" si="46">SUM(C145:C153)</f>
        <v>24.395730814551225</v>
      </c>
      <c r="D155" s="311">
        <f t="shared" si="46"/>
        <v>28.748999999999995</v>
      </c>
      <c r="E155" s="311"/>
      <c r="F155" s="311">
        <f t="shared" ref="F155:H155" si="47">SUM(F145:F153)</f>
        <v>4.0103507605326252</v>
      </c>
      <c r="G155" s="311">
        <f t="shared" si="47"/>
        <v>26.604649239467378</v>
      </c>
      <c r="H155" s="311">
        <f t="shared" si="47"/>
        <v>30.615000000000006</v>
      </c>
      <c r="I155" s="311"/>
      <c r="J155" s="311">
        <f t="shared" ref="J155:L155" si="48">SUM(J145:J153)</f>
        <v>3.9974197876515452</v>
      </c>
      <c r="K155" s="311">
        <f t="shared" si="48"/>
        <v>25.412580212348473</v>
      </c>
      <c r="L155" s="311">
        <f t="shared" si="48"/>
        <v>29.410000000000021</v>
      </c>
      <c r="M155" s="236"/>
      <c r="N155" s="236"/>
    </row>
    <row r="156" spans="1:14" x14ac:dyDescent="0.2">
      <c r="A156" s="237"/>
      <c r="B156" s="237"/>
      <c r="C156" s="237"/>
      <c r="D156" s="237"/>
      <c r="E156" s="237"/>
      <c r="F156" s="237"/>
      <c r="G156" s="237"/>
      <c r="H156" s="237"/>
      <c r="I156" s="237"/>
      <c r="J156" s="237"/>
      <c r="K156" s="237"/>
      <c r="L156" s="240"/>
      <c r="M156" s="236"/>
      <c r="N156" s="236"/>
    </row>
    <row r="157" spans="1:14" x14ac:dyDescent="0.2">
      <c r="A157" s="237"/>
      <c r="B157" s="237"/>
      <c r="C157" s="237"/>
      <c r="D157" s="237"/>
      <c r="E157" s="237"/>
      <c r="F157" s="237"/>
      <c r="G157" s="237"/>
      <c r="H157" s="237"/>
      <c r="I157" s="237"/>
      <c r="J157" s="237"/>
      <c r="K157" s="237"/>
      <c r="L157" s="256" t="s">
        <v>36</v>
      </c>
      <c r="M157" s="236"/>
      <c r="N157" s="236"/>
    </row>
    <row r="158" spans="1:14" x14ac:dyDescent="0.2">
      <c r="A158" s="242"/>
      <c r="B158" s="250"/>
      <c r="C158" s="250"/>
      <c r="D158" s="250"/>
      <c r="E158" s="250"/>
      <c r="F158" s="250"/>
      <c r="G158" s="250"/>
      <c r="H158" s="250"/>
      <c r="I158" s="250"/>
      <c r="J158" s="250"/>
      <c r="K158" s="250"/>
      <c r="L158" s="236"/>
      <c r="M158" s="236"/>
      <c r="N158" s="236"/>
    </row>
    <row r="159" spans="1:14" x14ac:dyDescent="0.2">
      <c r="A159" s="241" t="str">
        <f>name!B12</f>
        <v>Wholesale and retail trade</v>
      </c>
      <c r="B159" s="375">
        <f>B$6</f>
        <v>2015</v>
      </c>
      <c r="C159" s="375"/>
      <c r="D159" s="375"/>
      <c r="E159" s="253"/>
      <c r="F159" s="375">
        <f>F142</f>
        <v>2020</v>
      </c>
      <c r="G159" s="375"/>
      <c r="H159" s="375"/>
      <c r="I159" s="253"/>
      <c r="J159" s="375">
        <f>J142</f>
        <v>2035</v>
      </c>
      <c r="K159" s="375"/>
      <c r="L159" s="375"/>
      <c r="M159" s="236"/>
      <c r="N159" s="236"/>
    </row>
    <row r="160" spans="1:14" x14ac:dyDescent="0.2">
      <c r="A160" s="254"/>
      <c r="B160" s="255" t="s">
        <v>361</v>
      </c>
      <c r="C160" s="255" t="s">
        <v>362</v>
      </c>
      <c r="D160" s="255" t="s">
        <v>33</v>
      </c>
      <c r="E160" s="255"/>
      <c r="F160" s="255" t="s">
        <v>361</v>
      </c>
      <c r="G160" s="255" t="s">
        <v>362</v>
      </c>
      <c r="H160" s="255" t="s">
        <v>33</v>
      </c>
      <c r="I160" s="255"/>
      <c r="J160" s="255" t="s">
        <v>361</v>
      </c>
      <c r="K160" s="255" t="s">
        <v>362</v>
      </c>
      <c r="L160" s="255" t="s">
        <v>33</v>
      </c>
      <c r="M160" s="236"/>
      <c r="N160" s="236"/>
    </row>
    <row r="161" spans="1:14" x14ac:dyDescent="0.2">
      <c r="A161" s="258"/>
      <c r="B161" s="259"/>
      <c r="C161" s="259"/>
      <c r="D161" s="259"/>
      <c r="E161" s="259"/>
      <c r="F161" s="259"/>
      <c r="G161" s="259"/>
      <c r="H161" s="259"/>
      <c r="I161" s="259"/>
      <c r="J161" s="259"/>
      <c r="K161" s="259"/>
      <c r="L161" s="259"/>
      <c r="M161" s="236"/>
      <c r="N161" s="236"/>
    </row>
    <row r="162" spans="1:14" x14ac:dyDescent="0.2">
      <c r="A162" s="237" t="str">
        <f>name!E$4</f>
        <v>Managers, directors and senior officials</v>
      </c>
      <c r="B162" s="302">
        <v>2.0220481373444175</v>
      </c>
      <c r="C162" s="302">
        <v>5.0187829359031264</v>
      </c>
      <c r="D162" s="302">
        <f>SUM(B162:C162)</f>
        <v>7.0408310732475439</v>
      </c>
      <c r="E162" s="303"/>
      <c r="F162" s="302">
        <v>2.268102116795268</v>
      </c>
      <c r="G162" s="302">
        <v>5.6684846373393061</v>
      </c>
      <c r="H162" s="302">
        <f>SUM(F162:G162)</f>
        <v>7.9365867541345736</v>
      </c>
      <c r="I162" s="303"/>
      <c r="J162" s="302">
        <v>2.8403305386738067</v>
      </c>
      <c r="K162" s="302">
        <v>6.4619369208081006</v>
      </c>
      <c r="L162" s="302">
        <f>SUM(J162:K162)</f>
        <v>9.3022674594819073</v>
      </c>
      <c r="M162" s="236"/>
      <c r="N162" s="236"/>
    </row>
    <row r="163" spans="1:14" x14ac:dyDescent="0.2">
      <c r="A163" s="237" t="str">
        <f>name!E$5</f>
        <v>Professional occupations</v>
      </c>
      <c r="B163" s="302">
        <v>1.5095168369241363</v>
      </c>
      <c r="C163" s="302">
        <v>2.2813652508128062</v>
      </c>
      <c r="D163" s="302">
        <f t="shared" ref="D163:D170" si="49">SUM(B163:C163)</f>
        <v>3.7908820877369425</v>
      </c>
      <c r="E163" s="303"/>
      <c r="F163" s="302">
        <v>1.9783945609394924</v>
      </c>
      <c r="G163" s="302">
        <v>3.3759378264355862</v>
      </c>
      <c r="H163" s="302">
        <f t="shared" ref="H163:H170" si="50">SUM(F163:G163)</f>
        <v>5.354332387375079</v>
      </c>
      <c r="I163" s="303"/>
      <c r="J163" s="302">
        <v>2.575213378125214</v>
      </c>
      <c r="K163" s="302">
        <v>4.1494063328587947</v>
      </c>
      <c r="L163" s="302">
        <f t="shared" ref="L163:L170" si="51">SUM(J163:K163)</f>
        <v>6.7246197109840082</v>
      </c>
      <c r="M163" s="236"/>
      <c r="N163" s="236"/>
    </row>
    <row r="164" spans="1:14" x14ac:dyDescent="0.2">
      <c r="A164" s="237" t="str">
        <f>name!E$6</f>
        <v>Associate professional occupations</v>
      </c>
      <c r="B164" s="302">
        <v>1.6232363230193354</v>
      </c>
      <c r="C164" s="302">
        <v>2.0318496989047468</v>
      </c>
      <c r="D164" s="302">
        <f t="shared" si="49"/>
        <v>3.6550860219240819</v>
      </c>
      <c r="E164" s="303"/>
      <c r="F164" s="302">
        <v>1.7767365959164849</v>
      </c>
      <c r="G164" s="302">
        <v>2.6929746380389017</v>
      </c>
      <c r="H164" s="302">
        <f t="shared" si="50"/>
        <v>4.4697112339553868</v>
      </c>
      <c r="I164" s="303"/>
      <c r="J164" s="302">
        <v>2.0282305959212339</v>
      </c>
      <c r="K164" s="302">
        <v>2.6906690672788089</v>
      </c>
      <c r="L164" s="302">
        <f t="shared" si="51"/>
        <v>4.7188996632000428</v>
      </c>
      <c r="M164" s="236"/>
      <c r="N164" s="236"/>
    </row>
    <row r="165" spans="1:14" x14ac:dyDescent="0.2">
      <c r="A165" s="237" t="str">
        <f>name!E$7</f>
        <v>Administrative and secretarial occupations</v>
      </c>
      <c r="B165" s="302">
        <v>2.2303082962640381</v>
      </c>
      <c r="C165" s="302">
        <v>1.4317209867906882</v>
      </c>
      <c r="D165" s="302">
        <f t="shared" si="49"/>
        <v>3.6620292830547263</v>
      </c>
      <c r="E165" s="303"/>
      <c r="F165" s="302">
        <v>2.0535093186503741</v>
      </c>
      <c r="G165" s="302">
        <v>1.8043868999104882</v>
      </c>
      <c r="H165" s="302">
        <f t="shared" si="50"/>
        <v>3.8578962185608621</v>
      </c>
      <c r="I165" s="303"/>
      <c r="J165" s="302">
        <v>2.5133554697756288</v>
      </c>
      <c r="K165" s="302">
        <v>2.0617807982510299</v>
      </c>
      <c r="L165" s="302">
        <f t="shared" si="51"/>
        <v>4.5751362680266592</v>
      </c>
      <c r="M165" s="236"/>
      <c r="N165" s="236"/>
    </row>
    <row r="166" spans="1:14" x14ac:dyDescent="0.2">
      <c r="A166" s="237" t="str">
        <f>name!E$8</f>
        <v>Skilled trades occupations</v>
      </c>
      <c r="B166" s="302">
        <v>0.80676231939566823</v>
      </c>
      <c r="C166" s="302">
        <v>5.6228491675717471</v>
      </c>
      <c r="D166" s="302">
        <f t="shared" si="49"/>
        <v>6.4296114869674152</v>
      </c>
      <c r="E166" s="303"/>
      <c r="F166" s="302">
        <v>0.67858598584269225</v>
      </c>
      <c r="G166" s="302">
        <v>4.601070872103131</v>
      </c>
      <c r="H166" s="302">
        <f t="shared" si="50"/>
        <v>5.279656857945823</v>
      </c>
      <c r="I166" s="303"/>
      <c r="J166" s="302">
        <v>0.64540453508712259</v>
      </c>
      <c r="K166" s="302">
        <v>4.4042904350864411</v>
      </c>
      <c r="L166" s="302">
        <f t="shared" si="51"/>
        <v>5.0496949701735634</v>
      </c>
      <c r="M166" s="236"/>
      <c r="N166" s="236"/>
    </row>
    <row r="167" spans="1:14" x14ac:dyDescent="0.2">
      <c r="A167" s="237" t="str">
        <f>name!E$9</f>
        <v>Caring, leisure and other service occupations</v>
      </c>
      <c r="B167" s="302">
        <v>0.64767319456625116</v>
      </c>
      <c r="C167" s="302">
        <v>0.18435849990885608</v>
      </c>
      <c r="D167" s="302">
        <f t="shared" si="49"/>
        <v>0.83203169447510728</v>
      </c>
      <c r="E167" s="303"/>
      <c r="F167" s="302">
        <v>0.49686636199523515</v>
      </c>
      <c r="G167" s="302">
        <v>0.20923701322045213</v>
      </c>
      <c r="H167" s="302">
        <f t="shared" si="50"/>
        <v>0.70610337521568733</v>
      </c>
      <c r="I167" s="303"/>
      <c r="J167" s="302">
        <v>0.6958744174754723</v>
      </c>
      <c r="K167" s="302">
        <v>0.27197838958832482</v>
      </c>
      <c r="L167" s="302">
        <f t="shared" si="51"/>
        <v>0.96785280706379706</v>
      </c>
      <c r="M167" s="236"/>
      <c r="N167" s="236"/>
    </row>
    <row r="168" spans="1:14" x14ac:dyDescent="0.2">
      <c r="A168" s="237" t="str">
        <f>name!E$10</f>
        <v>Sales and customer service occupations</v>
      </c>
      <c r="B168" s="302">
        <v>26.761161805996856</v>
      </c>
      <c r="C168" s="302">
        <v>10.497859790413637</v>
      </c>
      <c r="D168" s="302">
        <f t="shared" si="49"/>
        <v>37.259021596410491</v>
      </c>
      <c r="E168" s="303"/>
      <c r="F168" s="302">
        <v>23.860827199310684</v>
      </c>
      <c r="G168" s="302">
        <v>9.7328513159073058</v>
      </c>
      <c r="H168" s="302">
        <f t="shared" si="50"/>
        <v>33.593678515217988</v>
      </c>
      <c r="I168" s="303"/>
      <c r="J168" s="302">
        <v>20.993052506357007</v>
      </c>
      <c r="K168" s="302">
        <v>9.5399993065840025</v>
      </c>
      <c r="L168" s="302">
        <f t="shared" si="51"/>
        <v>30.533051812941011</v>
      </c>
      <c r="M168" s="236"/>
      <c r="N168" s="236"/>
    </row>
    <row r="169" spans="1:14" x14ac:dyDescent="0.2">
      <c r="A169" s="237" t="str">
        <f>name!E$11</f>
        <v>Process, plant and machine operatives</v>
      </c>
      <c r="B169" s="302">
        <v>0.27835436084089643</v>
      </c>
      <c r="C169" s="302">
        <v>4.1338108268269824</v>
      </c>
      <c r="D169" s="302">
        <f t="shared" si="49"/>
        <v>4.4121651876678785</v>
      </c>
      <c r="E169" s="303"/>
      <c r="F169" s="302">
        <v>0.21231960039273864</v>
      </c>
      <c r="G169" s="302">
        <v>4.0453712022153159</v>
      </c>
      <c r="H169" s="302">
        <f t="shared" si="50"/>
        <v>4.2576908026080549</v>
      </c>
      <c r="I169" s="303"/>
      <c r="J169" s="302">
        <v>0.1610126698216737</v>
      </c>
      <c r="K169" s="302">
        <v>4.1932610352809156</v>
      </c>
      <c r="L169" s="302">
        <f t="shared" si="51"/>
        <v>4.3542737051025897</v>
      </c>
      <c r="M169" s="236"/>
      <c r="N169" s="236"/>
    </row>
    <row r="170" spans="1:14" x14ac:dyDescent="0.2">
      <c r="A170" s="237" t="str">
        <f>name!E$12</f>
        <v>Elementary occupations</v>
      </c>
      <c r="B170" s="302">
        <v>2.499128972896707</v>
      </c>
      <c r="C170" s="302">
        <v>5.0372125956190796</v>
      </c>
      <c r="D170" s="302">
        <f t="shared" si="49"/>
        <v>7.5363415685157866</v>
      </c>
      <c r="E170" s="303"/>
      <c r="F170" s="302">
        <v>2.0538970882869028</v>
      </c>
      <c r="G170" s="302">
        <v>4.5474467666995766</v>
      </c>
      <c r="H170" s="302">
        <f t="shared" si="50"/>
        <v>6.6013438549864798</v>
      </c>
      <c r="I170" s="303"/>
      <c r="J170" s="302">
        <v>1.680605008954694</v>
      </c>
      <c r="K170" s="302">
        <v>3.8105985940717799</v>
      </c>
      <c r="L170" s="302">
        <f t="shared" si="51"/>
        <v>5.4912036030264737</v>
      </c>
      <c r="M170" s="236"/>
      <c r="N170" s="236"/>
    </row>
    <row r="171" spans="1:14" x14ac:dyDescent="0.2">
      <c r="A171" s="237"/>
      <c r="B171" s="302"/>
      <c r="C171" s="302"/>
      <c r="D171" s="302"/>
      <c r="E171" s="303"/>
      <c r="F171" s="302"/>
      <c r="G171" s="302"/>
      <c r="H171" s="302"/>
      <c r="I171" s="303"/>
      <c r="J171" s="302"/>
      <c r="K171" s="302"/>
      <c r="L171" s="302"/>
      <c r="M171" s="236"/>
      <c r="N171" s="236"/>
    </row>
    <row r="172" spans="1:14" x14ac:dyDescent="0.2">
      <c r="A172" s="244" t="s">
        <v>33</v>
      </c>
      <c r="B172" s="311">
        <f>SUM(B162:B170)</f>
        <v>38.378190247248305</v>
      </c>
      <c r="C172" s="311">
        <f t="shared" ref="C172:D172" si="52">SUM(C162:C170)</f>
        <v>36.239809752751675</v>
      </c>
      <c r="D172" s="311">
        <f t="shared" si="52"/>
        <v>74.617999999999967</v>
      </c>
      <c r="E172" s="311"/>
      <c r="F172" s="311">
        <f t="shared" ref="F172:H172" si="53">SUM(F162:F170)</f>
        <v>35.379238828129871</v>
      </c>
      <c r="G172" s="311">
        <f t="shared" si="53"/>
        <v>36.677761171870067</v>
      </c>
      <c r="H172" s="311">
        <f t="shared" si="53"/>
        <v>72.056999999999931</v>
      </c>
      <c r="I172" s="311"/>
      <c r="J172" s="311">
        <f t="shared" ref="J172:L172" si="54">SUM(J162:J170)</f>
        <v>34.133079120191852</v>
      </c>
      <c r="K172" s="311">
        <f t="shared" si="54"/>
        <v>37.58392087980819</v>
      </c>
      <c r="L172" s="311">
        <f t="shared" si="54"/>
        <v>71.717000000000056</v>
      </c>
      <c r="M172" s="236"/>
      <c r="N172" s="236"/>
    </row>
    <row r="173" spans="1:14" x14ac:dyDescent="0.2">
      <c r="A173" s="237"/>
      <c r="B173" s="237"/>
      <c r="C173" s="237"/>
      <c r="D173" s="237"/>
      <c r="E173" s="237"/>
      <c r="F173" s="237"/>
      <c r="G173" s="237"/>
      <c r="H173" s="237"/>
      <c r="I173" s="237"/>
      <c r="J173" s="237"/>
      <c r="K173" s="237"/>
      <c r="L173" s="240"/>
      <c r="M173" s="236"/>
      <c r="N173" s="236"/>
    </row>
    <row r="174" spans="1:14" x14ac:dyDescent="0.2">
      <c r="A174" s="237"/>
      <c r="B174" s="237"/>
      <c r="C174" s="237"/>
      <c r="D174" s="237"/>
      <c r="E174" s="237"/>
      <c r="F174" s="237"/>
      <c r="G174" s="237"/>
      <c r="H174" s="237"/>
      <c r="I174" s="237"/>
      <c r="J174" s="237"/>
      <c r="K174" s="237"/>
      <c r="L174" s="256" t="s">
        <v>36</v>
      </c>
      <c r="M174" s="236"/>
      <c r="N174" s="236"/>
    </row>
    <row r="175" spans="1:14" x14ac:dyDescent="0.2">
      <c r="A175" s="242"/>
      <c r="B175" s="250"/>
      <c r="C175" s="250"/>
      <c r="D175" s="250"/>
      <c r="E175" s="250"/>
      <c r="F175" s="250"/>
      <c r="G175" s="250"/>
      <c r="H175" s="250"/>
      <c r="I175" s="250"/>
      <c r="J175" s="250"/>
      <c r="K175" s="250"/>
      <c r="L175" s="236"/>
      <c r="M175" s="236"/>
      <c r="N175" s="236"/>
    </row>
    <row r="176" spans="1:14" x14ac:dyDescent="0.2">
      <c r="A176" s="241" t="str">
        <f>name!B13</f>
        <v>Transport and storage</v>
      </c>
      <c r="B176" s="375">
        <f>B$6</f>
        <v>2015</v>
      </c>
      <c r="C176" s="375"/>
      <c r="D176" s="375"/>
      <c r="E176" s="253"/>
      <c r="F176" s="375">
        <f>F159</f>
        <v>2020</v>
      </c>
      <c r="G176" s="375"/>
      <c r="H176" s="375"/>
      <c r="I176" s="253"/>
      <c r="J176" s="375">
        <f>J159</f>
        <v>2035</v>
      </c>
      <c r="K176" s="375"/>
      <c r="L176" s="375"/>
      <c r="M176" s="236"/>
      <c r="N176" s="236"/>
    </row>
    <row r="177" spans="1:14" x14ac:dyDescent="0.2">
      <c r="A177" s="254"/>
      <c r="B177" s="255" t="s">
        <v>361</v>
      </c>
      <c r="C177" s="255" t="s">
        <v>362</v>
      </c>
      <c r="D177" s="255" t="s">
        <v>33</v>
      </c>
      <c r="E177" s="255"/>
      <c r="F177" s="255" t="s">
        <v>361</v>
      </c>
      <c r="G177" s="255" t="s">
        <v>362</v>
      </c>
      <c r="H177" s="255" t="s">
        <v>33</v>
      </c>
      <c r="I177" s="255"/>
      <c r="J177" s="255" t="s">
        <v>361</v>
      </c>
      <c r="K177" s="255" t="s">
        <v>362</v>
      </c>
      <c r="L177" s="255" t="s">
        <v>33</v>
      </c>
      <c r="M177" s="236"/>
      <c r="N177" s="236"/>
    </row>
    <row r="178" spans="1:14" x14ac:dyDescent="0.2">
      <c r="A178" s="258"/>
      <c r="B178" s="259"/>
      <c r="C178" s="259"/>
      <c r="D178" s="259"/>
      <c r="E178" s="259"/>
      <c r="F178" s="259"/>
      <c r="G178" s="259"/>
      <c r="H178" s="259"/>
      <c r="I178" s="259"/>
      <c r="J178" s="259"/>
      <c r="K178" s="259"/>
      <c r="L178" s="259"/>
      <c r="M178" s="236"/>
      <c r="N178" s="236"/>
    </row>
    <row r="179" spans="1:14" x14ac:dyDescent="0.2">
      <c r="A179" s="237" t="str">
        <f>name!E$4</f>
        <v>Managers, directors and senior officials</v>
      </c>
      <c r="B179" s="302">
        <v>0.30702840677333809</v>
      </c>
      <c r="C179" s="302">
        <v>1.0900383831627156</v>
      </c>
      <c r="D179" s="302">
        <f>SUM(B179:C179)</f>
        <v>1.3970667899360536</v>
      </c>
      <c r="E179" s="303"/>
      <c r="F179" s="302">
        <v>0.92834525589747818</v>
      </c>
      <c r="G179" s="302">
        <v>1.480155206226021</v>
      </c>
      <c r="H179" s="302">
        <f>SUM(F179:G179)</f>
        <v>2.4085004621234991</v>
      </c>
      <c r="I179" s="303"/>
      <c r="J179" s="302">
        <v>1.0803802702778234</v>
      </c>
      <c r="K179" s="302">
        <v>1.5979092035141997</v>
      </c>
      <c r="L179" s="302">
        <f>SUM(J179:K179)</f>
        <v>2.6782894737920229</v>
      </c>
      <c r="M179" s="236"/>
      <c r="N179" s="236"/>
    </row>
    <row r="180" spans="1:14" x14ac:dyDescent="0.2">
      <c r="A180" s="237" t="str">
        <f>name!E$5</f>
        <v>Professional occupations</v>
      </c>
      <c r="B180" s="302">
        <v>0.25060774642568612</v>
      </c>
      <c r="C180" s="302">
        <v>0.7859616116938889</v>
      </c>
      <c r="D180" s="302">
        <f t="shared" ref="D180:D187" si="55">SUM(B180:C180)</f>
        <v>1.036569358119575</v>
      </c>
      <c r="E180" s="303"/>
      <c r="F180" s="302">
        <v>0.58641855790210673</v>
      </c>
      <c r="G180" s="302">
        <v>1.2572609654203983</v>
      </c>
      <c r="H180" s="302">
        <f t="shared" ref="H180:H187" si="56">SUM(F180:G180)</f>
        <v>1.8436795233225052</v>
      </c>
      <c r="I180" s="303"/>
      <c r="J180" s="302">
        <v>0.76157617351861695</v>
      </c>
      <c r="K180" s="302">
        <v>1.7792609023226273</v>
      </c>
      <c r="L180" s="302">
        <f t="shared" ref="L180:L187" si="57">SUM(J180:K180)</f>
        <v>2.5408370758412442</v>
      </c>
      <c r="M180" s="236"/>
      <c r="N180" s="236"/>
    </row>
    <row r="181" spans="1:14" x14ac:dyDescent="0.2">
      <c r="A181" s="237" t="str">
        <f>name!E$6</f>
        <v>Associate professional occupations</v>
      </c>
      <c r="B181" s="302">
        <v>0.29654604298311971</v>
      </c>
      <c r="C181" s="302">
        <v>0.85454504824314903</v>
      </c>
      <c r="D181" s="302">
        <f t="shared" si="55"/>
        <v>1.1510910912262688</v>
      </c>
      <c r="E181" s="303"/>
      <c r="F181" s="302">
        <v>0.54266170722669549</v>
      </c>
      <c r="G181" s="302">
        <v>1.3590855510055861</v>
      </c>
      <c r="H181" s="302">
        <f t="shared" si="56"/>
        <v>1.9017472582322816</v>
      </c>
      <c r="I181" s="303"/>
      <c r="J181" s="302">
        <v>0.63671011165925206</v>
      </c>
      <c r="K181" s="302">
        <v>1.6325787649334418</v>
      </c>
      <c r="L181" s="302">
        <f t="shared" si="57"/>
        <v>2.269288876592694</v>
      </c>
      <c r="M181" s="236"/>
      <c r="N181" s="236"/>
    </row>
    <row r="182" spans="1:14" x14ac:dyDescent="0.2">
      <c r="A182" s="237" t="str">
        <f>name!E$7</f>
        <v>Administrative and secretarial occupations</v>
      </c>
      <c r="B182" s="302">
        <v>1.2612402945739885</v>
      </c>
      <c r="C182" s="302">
        <v>0.7252751820644755</v>
      </c>
      <c r="D182" s="302">
        <f t="shared" si="55"/>
        <v>1.9865154766384641</v>
      </c>
      <c r="E182" s="303"/>
      <c r="F182" s="302">
        <v>1.819101029176851</v>
      </c>
      <c r="G182" s="302">
        <v>0.9918943144046608</v>
      </c>
      <c r="H182" s="302">
        <f t="shared" si="56"/>
        <v>2.8109953435815118</v>
      </c>
      <c r="I182" s="303"/>
      <c r="J182" s="302">
        <v>1.4682496364892883</v>
      </c>
      <c r="K182" s="302">
        <v>0.97346569121653614</v>
      </c>
      <c r="L182" s="302">
        <f t="shared" si="57"/>
        <v>2.4417153277058246</v>
      </c>
      <c r="M182" s="236"/>
      <c r="N182" s="236"/>
    </row>
    <row r="183" spans="1:14" x14ac:dyDescent="0.2">
      <c r="A183" s="237" t="str">
        <f>name!E$8</f>
        <v>Skilled trades occupations</v>
      </c>
      <c r="B183" s="302">
        <v>5.0748302592827692E-2</v>
      </c>
      <c r="C183" s="302">
        <v>1.1677773614922076</v>
      </c>
      <c r="D183" s="302">
        <f t="shared" si="55"/>
        <v>1.2185256640850353</v>
      </c>
      <c r="E183" s="303"/>
      <c r="F183" s="302">
        <v>0.1106337418651762</v>
      </c>
      <c r="G183" s="302">
        <v>1.17094112880838</v>
      </c>
      <c r="H183" s="302">
        <f t="shared" si="56"/>
        <v>1.2815748706735561</v>
      </c>
      <c r="I183" s="303"/>
      <c r="J183" s="302">
        <v>0.26655832516975003</v>
      </c>
      <c r="K183" s="302">
        <v>1.0825519406805066</v>
      </c>
      <c r="L183" s="302">
        <f t="shared" si="57"/>
        <v>1.3491102658502567</v>
      </c>
      <c r="M183" s="236"/>
      <c r="N183" s="236"/>
    </row>
    <row r="184" spans="1:14" x14ac:dyDescent="0.2">
      <c r="A184" s="237" t="str">
        <f>name!E$9</f>
        <v>Caring, leisure and other service occupations</v>
      </c>
      <c r="B184" s="302">
        <v>1.1701690568936087</v>
      </c>
      <c r="C184" s="302">
        <v>0.57524651231301971</v>
      </c>
      <c r="D184" s="302">
        <f t="shared" si="55"/>
        <v>1.7454155692066284</v>
      </c>
      <c r="E184" s="303"/>
      <c r="F184" s="302">
        <v>1.3406398161093274</v>
      </c>
      <c r="G184" s="302">
        <v>0.82958325677239309</v>
      </c>
      <c r="H184" s="302">
        <f t="shared" si="56"/>
        <v>2.1702230728817202</v>
      </c>
      <c r="I184" s="303"/>
      <c r="J184" s="302">
        <v>1.5207793698313237</v>
      </c>
      <c r="K184" s="302">
        <v>1.0568228790432894</v>
      </c>
      <c r="L184" s="302">
        <f t="shared" si="57"/>
        <v>2.5776022488746131</v>
      </c>
      <c r="M184" s="236"/>
      <c r="N184" s="236"/>
    </row>
    <row r="185" spans="1:14" x14ac:dyDescent="0.2">
      <c r="A185" s="237" t="str">
        <f>name!E$10</f>
        <v>Sales and customer service occupations</v>
      </c>
      <c r="B185" s="302">
        <v>0.50321778631917391</v>
      </c>
      <c r="C185" s="302">
        <v>0.3607867679343989</v>
      </c>
      <c r="D185" s="302">
        <f t="shared" si="55"/>
        <v>0.86400455425357281</v>
      </c>
      <c r="E185" s="303"/>
      <c r="F185" s="302">
        <v>0.66625008146556597</v>
      </c>
      <c r="G185" s="302">
        <v>0.45686329836172751</v>
      </c>
      <c r="H185" s="302">
        <f t="shared" si="56"/>
        <v>1.1231133798272934</v>
      </c>
      <c r="I185" s="303"/>
      <c r="J185" s="302">
        <v>0.81777461931692386</v>
      </c>
      <c r="K185" s="302">
        <v>0.63455755462642649</v>
      </c>
      <c r="L185" s="302">
        <f t="shared" si="57"/>
        <v>1.4523321739433503</v>
      </c>
      <c r="M185" s="236"/>
      <c r="N185" s="236"/>
    </row>
    <row r="186" spans="1:14" x14ac:dyDescent="0.2">
      <c r="A186" s="237" t="str">
        <f>name!E$11</f>
        <v>Process, plant and machine operatives</v>
      </c>
      <c r="B186" s="302">
        <v>0.14653926046947266</v>
      </c>
      <c r="C186" s="302">
        <v>8.8894977886899138</v>
      </c>
      <c r="D186" s="302">
        <f t="shared" si="55"/>
        <v>9.0360370491593862</v>
      </c>
      <c r="E186" s="303"/>
      <c r="F186" s="302">
        <v>0.19629202519518316</v>
      </c>
      <c r="G186" s="302">
        <v>10.125270056619611</v>
      </c>
      <c r="H186" s="302">
        <f t="shared" si="56"/>
        <v>10.321562081814793</v>
      </c>
      <c r="I186" s="303"/>
      <c r="J186" s="302">
        <v>0.32866604751033396</v>
      </c>
      <c r="K186" s="302">
        <v>9.6816816102475496</v>
      </c>
      <c r="L186" s="302">
        <f t="shared" si="57"/>
        <v>10.010347657757883</v>
      </c>
      <c r="M186" s="236"/>
      <c r="N186" s="236"/>
    </row>
    <row r="187" spans="1:14" x14ac:dyDescent="0.2">
      <c r="A187" s="237" t="str">
        <f>name!E$12</f>
        <v>Elementary occupations</v>
      </c>
      <c r="B187" s="302">
        <v>0.72677715598927006</v>
      </c>
      <c r="C187" s="302">
        <v>3.1179972913857181</v>
      </c>
      <c r="D187" s="302">
        <f t="shared" si="55"/>
        <v>3.8447744473749883</v>
      </c>
      <c r="E187" s="303"/>
      <c r="F187" s="302">
        <v>0.77372790768005129</v>
      </c>
      <c r="G187" s="302">
        <v>2.7888760998627613</v>
      </c>
      <c r="H187" s="302">
        <f t="shared" si="56"/>
        <v>3.5626040075428125</v>
      </c>
      <c r="I187" s="303"/>
      <c r="J187" s="302">
        <v>0.81838939796401033</v>
      </c>
      <c r="K187" s="302">
        <v>2.1430875016780924</v>
      </c>
      <c r="L187" s="302">
        <f t="shared" si="57"/>
        <v>2.9614768996421028</v>
      </c>
      <c r="M187" s="236"/>
      <c r="N187" s="236"/>
    </row>
    <row r="188" spans="1:14" x14ac:dyDescent="0.2">
      <c r="A188" s="237"/>
      <c r="B188" s="302"/>
      <c r="C188" s="302"/>
      <c r="D188" s="302"/>
      <c r="E188" s="303"/>
      <c r="F188" s="302"/>
      <c r="G188" s="302"/>
      <c r="H188" s="302"/>
      <c r="I188" s="303"/>
      <c r="J188" s="302"/>
      <c r="K188" s="302"/>
      <c r="L188" s="302"/>
      <c r="M188" s="236"/>
      <c r="N188" s="236"/>
    </row>
    <row r="189" spans="1:14" x14ac:dyDescent="0.2">
      <c r="A189" s="244" t="s">
        <v>33</v>
      </c>
      <c r="B189" s="311">
        <f>SUM(B179:B187)</f>
        <v>4.7128740530204851</v>
      </c>
      <c r="C189" s="311">
        <f t="shared" ref="C189:D189" si="58">SUM(C179:C187)</f>
        <v>17.567125946979488</v>
      </c>
      <c r="D189" s="311">
        <f t="shared" si="58"/>
        <v>22.279999999999973</v>
      </c>
      <c r="E189" s="311"/>
      <c r="F189" s="311">
        <f t="shared" ref="F189:H189" si="59">SUM(F179:F187)</f>
        <v>6.9640701225184349</v>
      </c>
      <c r="G189" s="311">
        <f t="shared" si="59"/>
        <v>20.459929877481539</v>
      </c>
      <c r="H189" s="311">
        <f t="shared" si="59"/>
        <v>27.423999999999975</v>
      </c>
      <c r="I189" s="311"/>
      <c r="J189" s="311">
        <f t="shared" ref="J189:L189" si="60">SUM(J179:J187)</f>
        <v>7.6990839517373217</v>
      </c>
      <c r="K189" s="311">
        <f t="shared" si="60"/>
        <v>20.581916048262666</v>
      </c>
      <c r="L189" s="311">
        <f t="shared" si="60"/>
        <v>28.280999999999992</v>
      </c>
      <c r="M189" s="236"/>
      <c r="N189" s="236"/>
    </row>
    <row r="190" spans="1:14" x14ac:dyDescent="0.2">
      <c r="A190" s="237"/>
      <c r="B190" s="237"/>
      <c r="C190" s="237"/>
      <c r="D190" s="237"/>
      <c r="E190" s="237"/>
      <c r="F190" s="237"/>
      <c r="G190" s="237"/>
      <c r="H190" s="237"/>
      <c r="I190" s="237"/>
      <c r="J190" s="237"/>
      <c r="K190" s="237"/>
      <c r="L190" s="240"/>
      <c r="M190" s="236"/>
      <c r="N190" s="236"/>
    </row>
    <row r="191" spans="1:14" x14ac:dyDescent="0.2">
      <c r="A191" s="237"/>
      <c r="B191" s="237"/>
      <c r="C191" s="237"/>
      <c r="D191" s="237"/>
      <c r="E191" s="237"/>
      <c r="F191" s="237"/>
      <c r="G191" s="237"/>
      <c r="H191" s="237"/>
      <c r="I191" s="237"/>
      <c r="J191" s="237"/>
      <c r="K191" s="237"/>
      <c r="L191" s="256" t="s">
        <v>36</v>
      </c>
      <c r="M191" s="236"/>
      <c r="N191" s="236"/>
    </row>
    <row r="192" spans="1:14" x14ac:dyDescent="0.2">
      <c r="A192" s="242"/>
      <c r="B192" s="250"/>
      <c r="C192" s="250"/>
      <c r="D192" s="250"/>
      <c r="E192" s="250"/>
      <c r="F192" s="250"/>
      <c r="G192" s="250"/>
      <c r="H192" s="250"/>
      <c r="I192" s="250"/>
      <c r="J192" s="250"/>
      <c r="K192" s="250"/>
      <c r="L192" s="236"/>
      <c r="M192" s="236"/>
      <c r="N192" s="236"/>
    </row>
    <row r="193" spans="1:14" x14ac:dyDescent="0.2">
      <c r="A193" s="241" t="str">
        <f>name!B14</f>
        <v>Accommodation and food</v>
      </c>
      <c r="B193" s="375">
        <f>B$6</f>
        <v>2015</v>
      </c>
      <c r="C193" s="375"/>
      <c r="D193" s="375"/>
      <c r="E193" s="253"/>
      <c r="F193" s="375">
        <f>F176</f>
        <v>2020</v>
      </c>
      <c r="G193" s="375"/>
      <c r="H193" s="375"/>
      <c r="I193" s="253"/>
      <c r="J193" s="375">
        <f>J176</f>
        <v>2035</v>
      </c>
      <c r="K193" s="375"/>
      <c r="L193" s="375"/>
      <c r="M193" s="236"/>
      <c r="N193" s="236"/>
    </row>
    <row r="194" spans="1:14" x14ac:dyDescent="0.2">
      <c r="A194" s="254"/>
      <c r="B194" s="255" t="s">
        <v>361</v>
      </c>
      <c r="C194" s="255" t="s">
        <v>362</v>
      </c>
      <c r="D194" s="255" t="s">
        <v>33</v>
      </c>
      <c r="E194" s="255"/>
      <c r="F194" s="255" t="s">
        <v>361</v>
      </c>
      <c r="G194" s="255" t="s">
        <v>362</v>
      </c>
      <c r="H194" s="255" t="s">
        <v>33</v>
      </c>
      <c r="I194" s="255"/>
      <c r="J194" s="255" t="s">
        <v>361</v>
      </c>
      <c r="K194" s="255" t="s">
        <v>362</v>
      </c>
      <c r="L194" s="255" t="s">
        <v>33</v>
      </c>
      <c r="M194" s="236"/>
      <c r="N194" s="236"/>
    </row>
    <row r="195" spans="1:14" x14ac:dyDescent="0.2">
      <c r="A195" s="258"/>
      <c r="B195" s="259"/>
      <c r="C195" s="259"/>
      <c r="D195" s="259"/>
      <c r="E195" s="259"/>
      <c r="F195" s="259"/>
      <c r="G195" s="259"/>
      <c r="H195" s="259"/>
      <c r="I195" s="259"/>
      <c r="J195" s="259"/>
      <c r="K195" s="259"/>
      <c r="L195" s="259"/>
      <c r="M195" s="236"/>
      <c r="N195" s="236"/>
    </row>
    <row r="196" spans="1:14" x14ac:dyDescent="0.2">
      <c r="A196" s="237" t="str">
        <f>name!E$4</f>
        <v>Managers, directors and senior officials</v>
      </c>
      <c r="B196" s="302">
        <v>1.9229138029563988</v>
      </c>
      <c r="C196" s="302">
        <v>3.1262886412092432</v>
      </c>
      <c r="D196" s="302">
        <f>SUM(B196:C196)</f>
        <v>5.0492024441656422</v>
      </c>
      <c r="E196" s="303"/>
      <c r="F196" s="302">
        <v>2.5772611442584532</v>
      </c>
      <c r="G196" s="302">
        <v>3.3296869996736094</v>
      </c>
      <c r="H196" s="302">
        <f>SUM(F196:G196)</f>
        <v>5.9069481439320626</v>
      </c>
      <c r="I196" s="303"/>
      <c r="J196" s="302">
        <v>3.4324847806352028</v>
      </c>
      <c r="K196" s="302">
        <v>4.724180578040813</v>
      </c>
      <c r="L196" s="302">
        <f>SUM(J196:K196)</f>
        <v>8.1566653586760154</v>
      </c>
      <c r="M196" s="236"/>
      <c r="N196" s="236"/>
    </row>
    <row r="197" spans="1:14" x14ac:dyDescent="0.2">
      <c r="A197" s="237" t="str">
        <f>name!E$5</f>
        <v>Professional occupations</v>
      </c>
      <c r="B197" s="302">
        <v>0.41972887697752526</v>
      </c>
      <c r="C197" s="302">
        <v>0.53234691396273026</v>
      </c>
      <c r="D197" s="302">
        <f t="shared" ref="D197:D204" si="61">SUM(B197:C197)</f>
        <v>0.95207579094025552</v>
      </c>
      <c r="E197" s="303"/>
      <c r="F197" s="302">
        <v>0.73171527590789998</v>
      </c>
      <c r="G197" s="302">
        <v>0.72632699243032151</v>
      </c>
      <c r="H197" s="302">
        <f t="shared" ref="H197:H204" si="62">SUM(F197:G197)</f>
        <v>1.4580422683382215</v>
      </c>
      <c r="I197" s="303"/>
      <c r="J197" s="302">
        <v>0.87460217532974371</v>
      </c>
      <c r="K197" s="302">
        <v>0.87364887131570668</v>
      </c>
      <c r="L197" s="302">
        <f t="shared" ref="L197:L204" si="63">SUM(J197:K197)</f>
        <v>1.7482510466454504</v>
      </c>
      <c r="M197" s="236"/>
      <c r="N197" s="236"/>
    </row>
    <row r="198" spans="1:14" x14ac:dyDescent="0.2">
      <c r="A198" s="237" t="str">
        <f>name!E$6</f>
        <v>Associate professional occupations</v>
      </c>
      <c r="B198" s="302">
        <v>0.41224670070288277</v>
      </c>
      <c r="C198" s="302">
        <v>0.37873676984866322</v>
      </c>
      <c r="D198" s="302">
        <f t="shared" si="61"/>
        <v>0.79098347055154594</v>
      </c>
      <c r="E198" s="303"/>
      <c r="F198" s="302">
        <v>0.57077456152426598</v>
      </c>
      <c r="G198" s="302">
        <v>0.48419537877615526</v>
      </c>
      <c r="H198" s="302">
        <f t="shared" si="62"/>
        <v>1.0549699403004213</v>
      </c>
      <c r="I198" s="303"/>
      <c r="J198" s="302">
        <v>0.72391151386011343</v>
      </c>
      <c r="K198" s="302">
        <v>0.49380856185559707</v>
      </c>
      <c r="L198" s="302">
        <f t="shared" si="63"/>
        <v>1.2177200757157105</v>
      </c>
      <c r="M198" s="236"/>
      <c r="N198" s="236"/>
    </row>
    <row r="199" spans="1:14" x14ac:dyDescent="0.2">
      <c r="A199" s="237" t="str">
        <f>name!E$7</f>
        <v>Administrative and secretarial occupations</v>
      </c>
      <c r="B199" s="302">
        <v>0.58556628121689913</v>
      </c>
      <c r="C199" s="302">
        <v>0.34084344215753826</v>
      </c>
      <c r="D199" s="302">
        <f t="shared" si="61"/>
        <v>0.92640972337443739</v>
      </c>
      <c r="E199" s="303"/>
      <c r="F199" s="302">
        <v>0.7298103835323444</v>
      </c>
      <c r="G199" s="302">
        <v>0.38015174019768838</v>
      </c>
      <c r="H199" s="302">
        <f t="shared" si="62"/>
        <v>1.1099621237300328</v>
      </c>
      <c r="I199" s="303"/>
      <c r="J199" s="302">
        <v>0.87053933552431861</v>
      </c>
      <c r="K199" s="302">
        <v>0.51009177151343221</v>
      </c>
      <c r="L199" s="302">
        <f t="shared" si="63"/>
        <v>1.3806311070377508</v>
      </c>
      <c r="M199" s="236"/>
      <c r="N199" s="236"/>
    </row>
    <row r="200" spans="1:14" x14ac:dyDescent="0.2">
      <c r="A200" s="237" t="str">
        <f>name!E$8</f>
        <v>Skilled trades occupations</v>
      </c>
      <c r="B200" s="302">
        <v>1.5459016354377364</v>
      </c>
      <c r="C200" s="302">
        <v>2.1148485402636292</v>
      </c>
      <c r="D200" s="302">
        <f t="shared" si="61"/>
        <v>3.6607501757013656</v>
      </c>
      <c r="E200" s="303"/>
      <c r="F200" s="302">
        <v>1.6753034176993948</v>
      </c>
      <c r="G200" s="302">
        <v>1.799015748802574</v>
      </c>
      <c r="H200" s="302">
        <f t="shared" si="62"/>
        <v>3.474319166501969</v>
      </c>
      <c r="I200" s="303"/>
      <c r="J200" s="302">
        <v>1.5959271322803077</v>
      </c>
      <c r="K200" s="302">
        <v>1.616082699067434</v>
      </c>
      <c r="L200" s="302">
        <f t="shared" si="63"/>
        <v>3.2120098313477419</v>
      </c>
      <c r="M200" s="236"/>
      <c r="N200" s="236"/>
    </row>
    <row r="201" spans="1:14" x14ac:dyDescent="0.2">
      <c r="A201" s="237" t="str">
        <f>name!E$9</f>
        <v>Caring, leisure and other service occupations</v>
      </c>
      <c r="B201" s="302">
        <v>1.3879381137530902</v>
      </c>
      <c r="C201" s="302">
        <v>0.28387820637685823</v>
      </c>
      <c r="D201" s="302">
        <f t="shared" si="61"/>
        <v>1.6718163201299485</v>
      </c>
      <c r="E201" s="303"/>
      <c r="F201" s="302">
        <v>1.4101800586755175</v>
      </c>
      <c r="G201" s="302">
        <v>0.35602121153127836</v>
      </c>
      <c r="H201" s="302">
        <f t="shared" si="62"/>
        <v>1.766201270206796</v>
      </c>
      <c r="I201" s="303"/>
      <c r="J201" s="302">
        <v>1.6475372031223712</v>
      </c>
      <c r="K201" s="302">
        <v>0.3997007331542905</v>
      </c>
      <c r="L201" s="302">
        <f t="shared" si="63"/>
        <v>2.0472379362766615</v>
      </c>
      <c r="M201" s="236"/>
      <c r="N201" s="236"/>
    </row>
    <row r="202" spans="1:14" x14ac:dyDescent="0.2">
      <c r="A202" s="237" t="str">
        <f>name!E$10</f>
        <v>Sales and customer service occupations</v>
      </c>
      <c r="B202" s="302">
        <v>1.7360616644152811</v>
      </c>
      <c r="C202" s="302">
        <v>1.0294432890629501</v>
      </c>
      <c r="D202" s="302">
        <f t="shared" si="61"/>
        <v>2.7655049534782314</v>
      </c>
      <c r="E202" s="303"/>
      <c r="F202" s="302">
        <v>1.6337825817897618</v>
      </c>
      <c r="G202" s="302">
        <v>1.0488099735498373</v>
      </c>
      <c r="H202" s="302">
        <f t="shared" si="62"/>
        <v>2.6825925553395988</v>
      </c>
      <c r="I202" s="303"/>
      <c r="J202" s="302">
        <v>2.0442823914580579</v>
      </c>
      <c r="K202" s="302">
        <v>1.2627233829251512</v>
      </c>
      <c r="L202" s="302">
        <f t="shared" si="63"/>
        <v>3.3070057743832093</v>
      </c>
      <c r="M202" s="236"/>
      <c r="N202" s="236"/>
    </row>
    <row r="203" spans="1:14" x14ac:dyDescent="0.2">
      <c r="A203" s="237" t="str">
        <f>name!E$11</f>
        <v>Process, plant and machine operatives</v>
      </c>
      <c r="B203" s="302">
        <v>0.10720481738976459</v>
      </c>
      <c r="C203" s="302">
        <v>0.77561909498831383</v>
      </c>
      <c r="D203" s="302">
        <f t="shared" si="61"/>
        <v>0.88282391237807845</v>
      </c>
      <c r="E203" s="303"/>
      <c r="F203" s="302">
        <v>8.575503172356691E-2</v>
      </c>
      <c r="G203" s="302">
        <v>0.9358901402067511</v>
      </c>
      <c r="H203" s="302">
        <f t="shared" si="62"/>
        <v>1.0216451719303179</v>
      </c>
      <c r="I203" s="303"/>
      <c r="J203" s="302">
        <v>0.22154265935124948</v>
      </c>
      <c r="K203" s="302">
        <v>1.2197554090869038</v>
      </c>
      <c r="L203" s="302">
        <f t="shared" si="63"/>
        <v>1.4412980684381533</v>
      </c>
      <c r="M203" s="236"/>
      <c r="N203" s="236"/>
    </row>
    <row r="204" spans="1:14" x14ac:dyDescent="0.2">
      <c r="A204" s="237" t="str">
        <f>name!E$12</f>
        <v>Elementary occupations</v>
      </c>
      <c r="B204" s="302">
        <v>11.659593291295488</v>
      </c>
      <c r="C204" s="302">
        <v>4.7598399179849853</v>
      </c>
      <c r="D204" s="302">
        <f t="shared" si="61"/>
        <v>16.419433209280474</v>
      </c>
      <c r="E204" s="303"/>
      <c r="F204" s="302">
        <v>10.009939764258464</v>
      </c>
      <c r="G204" s="302">
        <v>5.4463795954621634</v>
      </c>
      <c r="H204" s="302">
        <f t="shared" si="62"/>
        <v>15.456319359720627</v>
      </c>
      <c r="I204" s="303"/>
      <c r="J204" s="302">
        <v>10.873530136953383</v>
      </c>
      <c r="K204" s="302">
        <v>5.7096506645258582</v>
      </c>
      <c r="L204" s="302">
        <f t="shared" si="63"/>
        <v>16.583180801479241</v>
      </c>
      <c r="M204" s="236"/>
      <c r="N204" s="236"/>
    </row>
    <row r="205" spans="1:14" x14ac:dyDescent="0.2">
      <c r="A205" s="237"/>
      <c r="B205" s="302"/>
      <c r="C205" s="302"/>
      <c r="D205" s="302"/>
      <c r="E205" s="303"/>
      <c r="F205" s="302"/>
      <c r="G205" s="302"/>
      <c r="H205" s="302"/>
      <c r="I205" s="303"/>
      <c r="J205" s="302"/>
      <c r="K205" s="302"/>
      <c r="L205" s="302"/>
      <c r="M205" s="236"/>
      <c r="N205" s="236"/>
    </row>
    <row r="206" spans="1:14" x14ac:dyDescent="0.2">
      <c r="A206" s="244" t="s">
        <v>33</v>
      </c>
      <c r="B206" s="311">
        <f>SUM(B196:B204)</f>
        <v>19.777155184145066</v>
      </c>
      <c r="C206" s="311">
        <f t="shared" ref="C206:D206" si="64">SUM(C196:C204)</f>
        <v>13.341844815854911</v>
      </c>
      <c r="D206" s="311">
        <f t="shared" si="64"/>
        <v>33.118999999999978</v>
      </c>
      <c r="E206" s="311"/>
      <c r="F206" s="311">
        <f t="shared" ref="F206:H206" si="65">SUM(F196:F204)</f>
        <v>19.424522219369667</v>
      </c>
      <c r="G206" s="311">
        <f t="shared" si="65"/>
        <v>14.506477780630378</v>
      </c>
      <c r="H206" s="311">
        <f t="shared" si="65"/>
        <v>33.93100000000004</v>
      </c>
      <c r="I206" s="311"/>
      <c r="J206" s="311">
        <f t="shared" ref="J206:L206" si="66">SUM(J196:J204)</f>
        <v>22.284357328514748</v>
      </c>
      <c r="K206" s="311">
        <f t="shared" si="66"/>
        <v>16.809642671485186</v>
      </c>
      <c r="L206" s="311">
        <f t="shared" si="66"/>
        <v>39.093999999999937</v>
      </c>
      <c r="M206" s="236"/>
      <c r="N206" s="236"/>
    </row>
    <row r="207" spans="1:14" x14ac:dyDescent="0.2">
      <c r="A207" s="237"/>
      <c r="B207" s="237"/>
      <c r="C207" s="237"/>
      <c r="D207" s="237"/>
      <c r="E207" s="237"/>
      <c r="F207" s="237"/>
      <c r="G207" s="237"/>
      <c r="H207" s="237"/>
      <c r="I207" s="237"/>
      <c r="J207" s="237"/>
      <c r="K207" s="237"/>
      <c r="L207" s="240"/>
      <c r="M207" s="236"/>
      <c r="N207" s="236"/>
    </row>
    <row r="208" spans="1:14" x14ac:dyDescent="0.2">
      <c r="A208" s="237"/>
      <c r="B208" s="237"/>
      <c r="C208" s="237"/>
      <c r="D208" s="237"/>
      <c r="E208" s="237"/>
      <c r="F208" s="237"/>
      <c r="G208" s="237"/>
      <c r="H208" s="237"/>
      <c r="I208" s="237"/>
      <c r="J208" s="237"/>
      <c r="K208" s="237"/>
      <c r="L208" s="256" t="s">
        <v>36</v>
      </c>
      <c r="M208" s="236"/>
      <c r="N208" s="236"/>
    </row>
    <row r="209" spans="1:14" x14ac:dyDescent="0.2">
      <c r="A209" s="242"/>
      <c r="B209" s="250"/>
      <c r="C209" s="250"/>
      <c r="D209" s="250"/>
      <c r="E209" s="250"/>
      <c r="F209" s="250"/>
      <c r="G209" s="250"/>
      <c r="H209" s="250"/>
      <c r="I209" s="250"/>
      <c r="J209" s="250"/>
      <c r="K209" s="250"/>
      <c r="L209" s="236"/>
      <c r="M209" s="236"/>
      <c r="N209" s="236"/>
    </row>
    <row r="210" spans="1:14" x14ac:dyDescent="0.2">
      <c r="A210" s="241" t="str">
        <f>name!B15</f>
        <v>Media</v>
      </c>
      <c r="B210" s="375">
        <f>B$6</f>
        <v>2015</v>
      </c>
      <c r="C210" s="375"/>
      <c r="D210" s="375"/>
      <c r="E210" s="253"/>
      <c r="F210" s="375">
        <f>F193</f>
        <v>2020</v>
      </c>
      <c r="G210" s="375"/>
      <c r="H210" s="375"/>
      <c r="I210" s="253"/>
      <c r="J210" s="375">
        <f>J193</f>
        <v>2035</v>
      </c>
      <c r="K210" s="375"/>
      <c r="L210" s="375"/>
      <c r="M210" s="236"/>
      <c r="N210" s="236"/>
    </row>
    <row r="211" spans="1:14" x14ac:dyDescent="0.2">
      <c r="A211" s="254"/>
      <c r="B211" s="255" t="s">
        <v>361</v>
      </c>
      <c r="C211" s="255" t="s">
        <v>362</v>
      </c>
      <c r="D211" s="255" t="s">
        <v>33</v>
      </c>
      <c r="E211" s="255"/>
      <c r="F211" s="255" t="s">
        <v>361</v>
      </c>
      <c r="G211" s="255" t="s">
        <v>362</v>
      </c>
      <c r="H211" s="255" t="s">
        <v>33</v>
      </c>
      <c r="I211" s="255"/>
      <c r="J211" s="255" t="s">
        <v>361</v>
      </c>
      <c r="K211" s="255" t="s">
        <v>362</v>
      </c>
      <c r="L211" s="255" t="s">
        <v>33</v>
      </c>
      <c r="M211" s="236"/>
      <c r="N211" s="236"/>
    </row>
    <row r="212" spans="1:14" x14ac:dyDescent="0.2">
      <c r="A212" s="258"/>
      <c r="B212" s="259"/>
      <c r="C212" s="259"/>
      <c r="D212" s="259"/>
      <c r="E212" s="259"/>
      <c r="F212" s="259"/>
      <c r="G212" s="259"/>
      <c r="H212" s="259"/>
      <c r="I212" s="259"/>
      <c r="J212" s="259"/>
      <c r="K212" s="259"/>
      <c r="L212" s="259"/>
      <c r="M212" s="236"/>
      <c r="N212" s="236"/>
    </row>
    <row r="213" spans="1:14" x14ac:dyDescent="0.2">
      <c r="A213" s="237" t="str">
        <f>name!E$4</f>
        <v>Managers, directors and senior officials</v>
      </c>
      <c r="B213" s="302">
        <v>9.2644518139945245E-2</v>
      </c>
      <c r="C213" s="302">
        <v>0.15058953115317819</v>
      </c>
      <c r="D213" s="302">
        <f>SUM(B213:C213)</f>
        <v>0.24323404929312342</v>
      </c>
      <c r="E213" s="303"/>
      <c r="F213" s="302">
        <v>0.13870987856752812</v>
      </c>
      <c r="G213" s="302">
        <v>0.11536455170612527</v>
      </c>
      <c r="H213" s="302">
        <f>SUM(F213:G213)</f>
        <v>0.2540744302736534</v>
      </c>
      <c r="I213" s="303"/>
      <c r="J213" s="302">
        <v>0.13022685418072752</v>
      </c>
      <c r="K213" s="302">
        <v>0.12700852805952334</v>
      </c>
      <c r="L213" s="302">
        <f>SUM(J213:K213)</f>
        <v>0.25723538224025089</v>
      </c>
      <c r="M213" s="236"/>
      <c r="N213" s="236"/>
    </row>
    <row r="214" spans="1:14" x14ac:dyDescent="0.2">
      <c r="A214" s="237" t="str">
        <f>name!E$5</f>
        <v>Professional occupations</v>
      </c>
      <c r="B214" s="302">
        <v>0.16944038810704268</v>
      </c>
      <c r="C214" s="302">
        <v>0.3162209434312121</v>
      </c>
      <c r="D214" s="302">
        <f t="shared" ref="D214:D221" si="67">SUM(B214:C214)</f>
        <v>0.48566133153825475</v>
      </c>
      <c r="E214" s="303"/>
      <c r="F214" s="302">
        <v>0.23461477070018025</v>
      </c>
      <c r="G214" s="302">
        <v>0.22446544085224257</v>
      </c>
      <c r="H214" s="302">
        <f t="shared" ref="H214:H221" si="68">SUM(F214:G214)</f>
        <v>0.45908021155242285</v>
      </c>
      <c r="I214" s="303"/>
      <c r="J214" s="302">
        <v>0.22804946746858626</v>
      </c>
      <c r="K214" s="302">
        <v>0.23135007817728168</v>
      </c>
      <c r="L214" s="302">
        <f t="shared" ref="L214:L221" si="69">SUM(J214:K214)</f>
        <v>0.45939954564586793</v>
      </c>
      <c r="M214" s="236"/>
      <c r="N214" s="236"/>
    </row>
    <row r="215" spans="1:14" x14ac:dyDescent="0.2">
      <c r="A215" s="237" t="str">
        <f>name!E$6</f>
        <v>Associate professional occupations</v>
      </c>
      <c r="B215" s="302">
        <v>0.35411128520321189</v>
      </c>
      <c r="C215" s="302">
        <v>0.23168121989749868</v>
      </c>
      <c r="D215" s="302">
        <f t="shared" si="67"/>
        <v>0.58579250510071057</v>
      </c>
      <c r="E215" s="303"/>
      <c r="F215" s="302">
        <v>0.58538049405485237</v>
      </c>
      <c r="G215" s="302">
        <v>0.21235228919316873</v>
      </c>
      <c r="H215" s="302">
        <f t="shared" si="68"/>
        <v>0.7977327832480211</v>
      </c>
      <c r="I215" s="303"/>
      <c r="J215" s="302">
        <v>0.54000031881690547</v>
      </c>
      <c r="K215" s="302">
        <v>0.1967745162686351</v>
      </c>
      <c r="L215" s="302">
        <f t="shared" si="69"/>
        <v>0.73677483508554054</v>
      </c>
      <c r="M215" s="236"/>
      <c r="N215" s="236"/>
    </row>
    <row r="216" spans="1:14" x14ac:dyDescent="0.2">
      <c r="A216" s="237" t="str">
        <f>name!E$7</f>
        <v>Administrative and secretarial occupations</v>
      </c>
      <c r="B216" s="302">
        <v>0.23860277531354643</v>
      </c>
      <c r="C216" s="302">
        <v>7.6153763181845191E-2</v>
      </c>
      <c r="D216" s="302">
        <f t="shared" si="67"/>
        <v>0.31475653849539165</v>
      </c>
      <c r="E216" s="303"/>
      <c r="F216" s="302">
        <v>0.18295554957587928</v>
      </c>
      <c r="G216" s="302">
        <v>0.11252109590551354</v>
      </c>
      <c r="H216" s="302">
        <f t="shared" si="68"/>
        <v>0.29547664548139285</v>
      </c>
      <c r="I216" s="303"/>
      <c r="J216" s="302">
        <v>0.14539349642376262</v>
      </c>
      <c r="K216" s="302">
        <v>0.1086785486920557</v>
      </c>
      <c r="L216" s="302">
        <f t="shared" si="69"/>
        <v>0.25407204511581832</v>
      </c>
      <c r="M216" s="236"/>
      <c r="N216" s="236"/>
    </row>
    <row r="217" spans="1:14" x14ac:dyDescent="0.2">
      <c r="A217" s="237" t="str">
        <f>name!E$8</f>
        <v>Skilled trades occupations</v>
      </c>
      <c r="B217" s="302">
        <v>3.580110234192227E-2</v>
      </c>
      <c r="C217" s="302">
        <v>0.20420009754428439</v>
      </c>
      <c r="D217" s="302">
        <f t="shared" si="67"/>
        <v>0.24000119988620666</v>
      </c>
      <c r="E217" s="303"/>
      <c r="F217" s="302">
        <v>6.8627910201436715E-2</v>
      </c>
      <c r="G217" s="302">
        <v>0.14521655123388091</v>
      </c>
      <c r="H217" s="302">
        <f t="shared" si="68"/>
        <v>0.21384446143531763</v>
      </c>
      <c r="I217" s="303"/>
      <c r="J217" s="302">
        <v>8.4176352193944148E-2</v>
      </c>
      <c r="K217" s="302">
        <v>0.11605474556723744</v>
      </c>
      <c r="L217" s="302">
        <f t="shared" si="69"/>
        <v>0.20023109776118159</v>
      </c>
      <c r="M217" s="236"/>
      <c r="N217" s="236"/>
    </row>
    <row r="218" spans="1:14" x14ac:dyDescent="0.2">
      <c r="A218" s="237" t="str">
        <f>name!E$9</f>
        <v>Caring, leisure and other service occupations</v>
      </c>
      <c r="B218" s="302">
        <v>5.358517909122662E-2</v>
      </c>
      <c r="C218" s="302">
        <v>4.0015166771611474E-2</v>
      </c>
      <c r="D218" s="302">
        <f t="shared" si="67"/>
        <v>9.3600345862838094E-2</v>
      </c>
      <c r="E218" s="303"/>
      <c r="F218" s="302">
        <v>7.5068680104412436E-2</v>
      </c>
      <c r="G218" s="302">
        <v>6.7108422707891482E-2</v>
      </c>
      <c r="H218" s="302">
        <f t="shared" si="68"/>
        <v>0.14217710281230392</v>
      </c>
      <c r="I218" s="303"/>
      <c r="J218" s="302">
        <v>7.5272847908921123E-2</v>
      </c>
      <c r="K218" s="302">
        <v>7.0415390594204791E-2</v>
      </c>
      <c r="L218" s="302">
        <f t="shared" si="69"/>
        <v>0.1456882385031259</v>
      </c>
      <c r="M218" s="236"/>
      <c r="N218" s="236"/>
    </row>
    <row r="219" spans="1:14" x14ac:dyDescent="0.2">
      <c r="A219" s="237" t="str">
        <f>name!E$10</f>
        <v>Sales and customer service occupations</v>
      </c>
      <c r="B219" s="302">
        <v>9.1886237900480075E-2</v>
      </c>
      <c r="C219" s="302">
        <v>5.4099315908019606E-2</v>
      </c>
      <c r="D219" s="302">
        <f t="shared" si="67"/>
        <v>0.14598555380849967</v>
      </c>
      <c r="E219" s="303"/>
      <c r="F219" s="302">
        <v>7.2667351867664501E-2</v>
      </c>
      <c r="G219" s="302">
        <v>8.6305021487738651E-2</v>
      </c>
      <c r="H219" s="302">
        <f t="shared" si="68"/>
        <v>0.15897237335540315</v>
      </c>
      <c r="I219" s="303"/>
      <c r="J219" s="302">
        <v>6.7536988295297973E-2</v>
      </c>
      <c r="K219" s="302">
        <v>0.11307938457749787</v>
      </c>
      <c r="L219" s="302">
        <f t="shared" si="69"/>
        <v>0.18061637287279586</v>
      </c>
      <c r="M219" s="236"/>
      <c r="N219" s="236"/>
    </row>
    <row r="220" spans="1:14" x14ac:dyDescent="0.2">
      <c r="A220" s="237" t="str">
        <f>name!E$11</f>
        <v>Process, plant and machine operatives</v>
      </c>
      <c r="B220" s="302">
        <v>2.42820246193668E-2</v>
      </c>
      <c r="C220" s="302">
        <v>7.0300937046818723E-2</v>
      </c>
      <c r="D220" s="302">
        <f t="shared" si="67"/>
        <v>9.4582961666185517E-2</v>
      </c>
      <c r="E220" s="303"/>
      <c r="F220" s="302">
        <v>2.5660002251935102E-2</v>
      </c>
      <c r="G220" s="302">
        <v>5.551759498458618E-2</v>
      </c>
      <c r="H220" s="302">
        <f t="shared" si="68"/>
        <v>8.1177597236521279E-2</v>
      </c>
      <c r="I220" s="303"/>
      <c r="J220" s="302">
        <v>4.0833086973286123E-2</v>
      </c>
      <c r="K220" s="302">
        <v>6.1280582251798436E-2</v>
      </c>
      <c r="L220" s="302">
        <f t="shared" si="69"/>
        <v>0.10211366922508455</v>
      </c>
      <c r="M220" s="236"/>
      <c r="N220" s="236"/>
    </row>
    <row r="221" spans="1:14" x14ac:dyDescent="0.2">
      <c r="A221" s="237" t="str">
        <f>name!E$12</f>
        <v>Elementary occupations</v>
      </c>
      <c r="B221" s="302">
        <v>0.16137045094369951</v>
      </c>
      <c r="C221" s="302">
        <v>0.19801506340509312</v>
      </c>
      <c r="D221" s="302">
        <f t="shared" si="67"/>
        <v>0.35938551434879262</v>
      </c>
      <c r="E221" s="303"/>
      <c r="F221" s="302">
        <v>0.18591806081759557</v>
      </c>
      <c r="G221" s="302">
        <v>0.30754633378737056</v>
      </c>
      <c r="H221" s="302">
        <f t="shared" si="68"/>
        <v>0.49346439460496616</v>
      </c>
      <c r="I221" s="303"/>
      <c r="J221" s="302">
        <v>0.22288249228798152</v>
      </c>
      <c r="K221" s="302">
        <v>0.328986321262351</v>
      </c>
      <c r="L221" s="302">
        <f t="shared" si="69"/>
        <v>0.55186881355033246</v>
      </c>
      <c r="M221" s="236"/>
      <c r="N221" s="236"/>
    </row>
    <row r="222" spans="1:14" x14ac:dyDescent="0.2">
      <c r="A222" s="237"/>
      <c r="B222" s="302"/>
      <c r="C222" s="302"/>
      <c r="D222" s="302"/>
      <c r="E222" s="303"/>
      <c r="F222" s="302"/>
      <c r="G222" s="302"/>
      <c r="H222" s="302"/>
      <c r="I222" s="303"/>
      <c r="J222" s="302"/>
      <c r="K222" s="302"/>
      <c r="L222" s="302"/>
      <c r="M222" s="236"/>
      <c r="N222" s="236"/>
    </row>
    <row r="223" spans="1:14" x14ac:dyDescent="0.2">
      <c r="A223" s="244" t="s">
        <v>33</v>
      </c>
      <c r="B223" s="311">
        <f>SUM(B213:B221)</f>
        <v>1.2217239616604416</v>
      </c>
      <c r="C223" s="311">
        <f t="shared" ref="C223:D223" si="70">SUM(C213:C221)</f>
        <v>1.3412760383395614</v>
      </c>
      <c r="D223" s="311">
        <f t="shared" si="70"/>
        <v>2.5630000000000024</v>
      </c>
      <c r="E223" s="311"/>
      <c r="F223" s="311">
        <f t="shared" ref="F223:H223" si="71">SUM(F213:F221)</f>
        <v>1.5696026981414846</v>
      </c>
      <c r="G223" s="311">
        <f t="shared" si="71"/>
        <v>1.3263973018585178</v>
      </c>
      <c r="H223" s="311">
        <f t="shared" si="71"/>
        <v>2.8960000000000026</v>
      </c>
      <c r="I223" s="311"/>
      <c r="J223" s="311">
        <f t="shared" ref="J223:L223" si="72">SUM(J213:J221)</f>
        <v>1.5343719045494126</v>
      </c>
      <c r="K223" s="311">
        <f t="shared" si="72"/>
        <v>1.3536280954505853</v>
      </c>
      <c r="L223" s="311">
        <f t="shared" si="72"/>
        <v>2.8879999999999981</v>
      </c>
      <c r="M223" s="236"/>
      <c r="N223" s="236"/>
    </row>
    <row r="224" spans="1:14" x14ac:dyDescent="0.2">
      <c r="A224" s="237"/>
      <c r="B224" s="237"/>
      <c r="C224" s="237"/>
      <c r="D224" s="237"/>
      <c r="E224" s="237"/>
      <c r="F224" s="237"/>
      <c r="G224" s="237"/>
      <c r="H224" s="237"/>
      <c r="I224" s="237"/>
      <c r="J224" s="237"/>
      <c r="K224" s="237"/>
      <c r="L224" s="240"/>
      <c r="M224" s="236"/>
      <c r="N224" s="236"/>
    </row>
    <row r="225" spans="1:14" x14ac:dyDescent="0.2">
      <c r="A225" s="237"/>
      <c r="B225" s="237"/>
      <c r="C225" s="237"/>
      <c r="D225" s="237"/>
      <c r="E225" s="237"/>
      <c r="F225" s="237"/>
      <c r="G225" s="237"/>
      <c r="H225" s="237"/>
      <c r="I225" s="237"/>
      <c r="J225" s="237"/>
      <c r="K225" s="237"/>
      <c r="L225" s="256" t="s">
        <v>36</v>
      </c>
      <c r="M225" s="236"/>
      <c r="N225" s="236"/>
    </row>
    <row r="226" spans="1:14" x14ac:dyDescent="0.2">
      <c r="A226" s="242"/>
      <c r="B226" s="250"/>
      <c r="C226" s="250"/>
      <c r="D226" s="250"/>
      <c r="E226" s="250"/>
      <c r="F226" s="250"/>
      <c r="G226" s="250"/>
      <c r="H226" s="250"/>
      <c r="I226" s="250"/>
      <c r="J226" s="250"/>
      <c r="K226" s="250"/>
      <c r="L226" s="236"/>
      <c r="M226" s="236"/>
      <c r="N226" s="236"/>
    </row>
    <row r="227" spans="1:14" x14ac:dyDescent="0.2">
      <c r="A227" s="241" t="str">
        <f>name!B16</f>
        <v>Information technology</v>
      </c>
      <c r="B227" s="375">
        <f>B$6</f>
        <v>2015</v>
      </c>
      <c r="C227" s="375"/>
      <c r="D227" s="375"/>
      <c r="E227" s="253"/>
      <c r="F227" s="375">
        <f>F210</f>
        <v>2020</v>
      </c>
      <c r="G227" s="375"/>
      <c r="H227" s="375"/>
      <c r="I227" s="253"/>
      <c r="J227" s="375">
        <f>J210</f>
        <v>2035</v>
      </c>
      <c r="K227" s="375"/>
      <c r="L227" s="375"/>
      <c r="M227" s="236"/>
      <c r="N227" s="236"/>
    </row>
    <row r="228" spans="1:14" x14ac:dyDescent="0.2">
      <c r="A228" s="254"/>
      <c r="B228" s="255" t="s">
        <v>361</v>
      </c>
      <c r="C228" s="255" t="s">
        <v>362</v>
      </c>
      <c r="D228" s="255" t="s">
        <v>33</v>
      </c>
      <c r="E228" s="255"/>
      <c r="F228" s="255" t="s">
        <v>361</v>
      </c>
      <c r="G228" s="255" t="s">
        <v>362</v>
      </c>
      <c r="H228" s="255" t="s">
        <v>33</v>
      </c>
      <c r="I228" s="255"/>
      <c r="J228" s="255" t="s">
        <v>361</v>
      </c>
      <c r="K228" s="255" t="s">
        <v>362</v>
      </c>
      <c r="L228" s="255" t="s">
        <v>33</v>
      </c>
      <c r="M228" s="236"/>
      <c r="N228" s="236"/>
    </row>
    <row r="229" spans="1:14" x14ac:dyDescent="0.2">
      <c r="A229" s="258"/>
      <c r="B229" s="259"/>
      <c r="C229" s="259"/>
      <c r="D229" s="259"/>
      <c r="E229" s="259"/>
      <c r="F229" s="259"/>
      <c r="G229" s="259"/>
      <c r="H229" s="259"/>
      <c r="I229" s="259"/>
      <c r="J229" s="259"/>
      <c r="K229" s="259"/>
      <c r="L229" s="259"/>
      <c r="M229" s="236"/>
      <c r="N229" s="236"/>
    </row>
    <row r="230" spans="1:14" x14ac:dyDescent="0.2">
      <c r="A230" s="237" t="str">
        <f>name!E$4</f>
        <v>Managers, directors and senior officials</v>
      </c>
      <c r="B230" s="302">
        <v>0.37213294760260662</v>
      </c>
      <c r="C230" s="302">
        <v>0.65638565774100477</v>
      </c>
      <c r="D230" s="302">
        <f>SUM(B230:C230)</f>
        <v>1.0285186053436113</v>
      </c>
      <c r="E230" s="303"/>
      <c r="F230" s="302">
        <v>0.19330916521723923</v>
      </c>
      <c r="G230" s="302">
        <v>0.48171701417348539</v>
      </c>
      <c r="H230" s="302">
        <f>SUM(F230:G230)</f>
        <v>0.67502617939072462</v>
      </c>
      <c r="I230" s="303"/>
      <c r="J230" s="302">
        <v>0.25790525232451011</v>
      </c>
      <c r="K230" s="302">
        <v>0.51382591256968713</v>
      </c>
      <c r="L230" s="302">
        <f>SUM(J230:K230)</f>
        <v>0.77173116489419724</v>
      </c>
      <c r="M230" s="236"/>
      <c r="N230" s="236"/>
    </row>
    <row r="231" spans="1:14" x14ac:dyDescent="0.2">
      <c r="A231" s="237" t="str">
        <f>name!E$5</f>
        <v>Professional occupations</v>
      </c>
      <c r="B231" s="302">
        <v>0.60923699537373022</v>
      </c>
      <c r="C231" s="302">
        <v>2.2954627327288279</v>
      </c>
      <c r="D231" s="302">
        <f t="shared" ref="D231:D238" si="73">SUM(B231:C231)</f>
        <v>2.9046997281025582</v>
      </c>
      <c r="E231" s="303"/>
      <c r="F231" s="302">
        <v>0.38038614053502773</v>
      </c>
      <c r="G231" s="302">
        <v>1.815961832793284</v>
      </c>
      <c r="H231" s="302">
        <f t="shared" ref="H231:H238" si="74">SUM(F231:G231)</f>
        <v>2.1963479733283116</v>
      </c>
      <c r="I231" s="303"/>
      <c r="J231" s="302">
        <v>0.53937294115506373</v>
      </c>
      <c r="K231" s="302">
        <v>2.2674158069304919</v>
      </c>
      <c r="L231" s="302">
        <f t="shared" ref="L231:L238" si="75">SUM(J231:K231)</f>
        <v>2.8067887480855558</v>
      </c>
      <c r="M231" s="236"/>
      <c r="N231" s="236"/>
    </row>
    <row r="232" spans="1:14" x14ac:dyDescent="0.2">
      <c r="A232" s="237" t="str">
        <f>name!E$6</f>
        <v>Associate professional occupations</v>
      </c>
      <c r="B232" s="302">
        <v>0.54226606054157245</v>
      </c>
      <c r="C232" s="302">
        <v>0.94040238802473242</v>
      </c>
      <c r="D232" s="302">
        <f t="shared" si="73"/>
        <v>1.4826684485663049</v>
      </c>
      <c r="E232" s="303"/>
      <c r="F232" s="302">
        <v>0.31486185184400689</v>
      </c>
      <c r="G232" s="302">
        <v>0.73532796838935288</v>
      </c>
      <c r="H232" s="302">
        <f t="shared" si="74"/>
        <v>1.0501898202333597</v>
      </c>
      <c r="I232" s="303"/>
      <c r="J232" s="302">
        <v>0.38694619600756358</v>
      </c>
      <c r="K232" s="302">
        <v>0.80889663711387449</v>
      </c>
      <c r="L232" s="302">
        <f t="shared" si="75"/>
        <v>1.1958428331214381</v>
      </c>
      <c r="M232" s="236"/>
      <c r="N232" s="236"/>
    </row>
    <row r="233" spans="1:14" x14ac:dyDescent="0.2">
      <c r="A233" s="237" t="str">
        <f>name!E$7</f>
        <v>Administrative and secretarial occupations</v>
      </c>
      <c r="B233" s="302">
        <v>0.6840548259515884</v>
      </c>
      <c r="C233" s="302">
        <v>0.31673413511157616</v>
      </c>
      <c r="D233" s="302">
        <f t="shared" si="73"/>
        <v>1.0007889610631646</v>
      </c>
      <c r="E233" s="303"/>
      <c r="F233" s="302">
        <v>0.2626480043065163</v>
      </c>
      <c r="G233" s="302">
        <v>0.24687341008247013</v>
      </c>
      <c r="H233" s="302">
        <f t="shared" si="74"/>
        <v>0.50952141438898646</v>
      </c>
      <c r="I233" s="303"/>
      <c r="J233" s="302">
        <v>0.21617676165049818</v>
      </c>
      <c r="K233" s="302">
        <v>0.2910944557692281</v>
      </c>
      <c r="L233" s="302">
        <f t="shared" si="75"/>
        <v>0.50727121741972625</v>
      </c>
      <c r="M233" s="236"/>
      <c r="N233" s="236"/>
    </row>
    <row r="234" spans="1:14" x14ac:dyDescent="0.2">
      <c r="A234" s="237" t="str">
        <f>name!E$8</f>
        <v>Skilled trades occupations</v>
      </c>
      <c r="B234" s="302">
        <v>4.071662123553671E-2</v>
      </c>
      <c r="C234" s="302">
        <v>0.62052601293908805</v>
      </c>
      <c r="D234" s="302">
        <f t="shared" si="73"/>
        <v>0.6612426341746247</v>
      </c>
      <c r="E234" s="303"/>
      <c r="F234" s="302">
        <v>1.9365217527484668E-2</v>
      </c>
      <c r="G234" s="302">
        <v>0.32077878907506607</v>
      </c>
      <c r="H234" s="302">
        <f t="shared" si="74"/>
        <v>0.34014400660255073</v>
      </c>
      <c r="I234" s="303"/>
      <c r="J234" s="302">
        <v>3.2317121878897223E-2</v>
      </c>
      <c r="K234" s="302">
        <v>0.23388499283408348</v>
      </c>
      <c r="L234" s="302">
        <f t="shared" si="75"/>
        <v>0.26620211471298072</v>
      </c>
      <c r="M234" s="236"/>
      <c r="N234" s="236"/>
    </row>
    <row r="235" spans="1:14" x14ac:dyDescent="0.2">
      <c r="A235" s="237" t="str">
        <f>name!E$9</f>
        <v>Caring, leisure and other service occupations</v>
      </c>
      <c r="B235" s="302">
        <v>8.9617884114399582E-2</v>
      </c>
      <c r="C235" s="302">
        <v>0.14769605914107503</v>
      </c>
      <c r="D235" s="302">
        <f t="shared" si="73"/>
        <v>0.23731394325547461</v>
      </c>
      <c r="E235" s="303"/>
      <c r="F235" s="302">
        <v>4.7603990842949542E-2</v>
      </c>
      <c r="G235" s="302">
        <v>0.10526973709647795</v>
      </c>
      <c r="H235" s="302">
        <f t="shared" si="74"/>
        <v>0.1528737279394275</v>
      </c>
      <c r="I235" s="303"/>
      <c r="J235" s="302">
        <v>6.0538990968434805E-2</v>
      </c>
      <c r="K235" s="302">
        <v>0.16278217915599852</v>
      </c>
      <c r="L235" s="302">
        <f t="shared" si="75"/>
        <v>0.22332117012443331</v>
      </c>
      <c r="M235" s="236"/>
      <c r="N235" s="236"/>
    </row>
    <row r="236" spans="1:14" x14ac:dyDescent="0.2">
      <c r="A236" s="237" t="str">
        <f>name!E$10</f>
        <v>Sales and customer service occupations</v>
      </c>
      <c r="B236" s="302">
        <v>0.61250118594151293</v>
      </c>
      <c r="C236" s="302">
        <v>0.21631798145798811</v>
      </c>
      <c r="D236" s="302">
        <f t="shared" si="73"/>
        <v>0.82881916739950101</v>
      </c>
      <c r="E236" s="303"/>
      <c r="F236" s="302">
        <v>0.19283196521842394</v>
      </c>
      <c r="G236" s="302">
        <v>0.15375131074585216</v>
      </c>
      <c r="H236" s="302">
        <f t="shared" si="74"/>
        <v>0.34658327596427607</v>
      </c>
      <c r="I236" s="303"/>
      <c r="J236" s="302">
        <v>0.24217472136706469</v>
      </c>
      <c r="K236" s="302">
        <v>0.24562637971976142</v>
      </c>
      <c r="L236" s="302">
        <f t="shared" si="75"/>
        <v>0.48780110108682612</v>
      </c>
      <c r="M236" s="236"/>
      <c r="N236" s="236"/>
    </row>
    <row r="237" spans="1:14" x14ac:dyDescent="0.2">
      <c r="A237" s="237" t="str">
        <f>name!E$11</f>
        <v>Process, plant and machine operatives</v>
      </c>
      <c r="B237" s="302">
        <v>1.9730757482067682E-2</v>
      </c>
      <c r="C237" s="302">
        <v>0.10792369591637441</v>
      </c>
      <c r="D237" s="302">
        <f t="shared" si="73"/>
        <v>0.12765445339844209</v>
      </c>
      <c r="E237" s="303"/>
      <c r="F237" s="302">
        <v>1.0185089730734615E-2</v>
      </c>
      <c r="G237" s="302">
        <v>6.4141666005352441E-2</v>
      </c>
      <c r="H237" s="302">
        <f t="shared" si="74"/>
        <v>7.4326755736087061E-2</v>
      </c>
      <c r="I237" s="303"/>
      <c r="J237" s="302">
        <v>1.8693608831642908E-2</v>
      </c>
      <c r="K237" s="302">
        <v>7.8157675566464468E-2</v>
      </c>
      <c r="L237" s="302">
        <f t="shared" si="75"/>
        <v>9.6851284398107376E-2</v>
      </c>
      <c r="M237" s="236"/>
      <c r="N237" s="236"/>
    </row>
    <row r="238" spans="1:14" x14ac:dyDescent="0.2">
      <c r="A238" s="237" t="str">
        <f>name!E$12</f>
        <v>Elementary occupations</v>
      </c>
      <c r="B238" s="302">
        <v>8.0119818035361903E-2</v>
      </c>
      <c r="C238" s="302">
        <v>0.18517424066097138</v>
      </c>
      <c r="D238" s="302">
        <f t="shared" si="73"/>
        <v>0.26529405869633327</v>
      </c>
      <c r="E238" s="303"/>
      <c r="F238" s="302">
        <v>7.3526337296669658E-2</v>
      </c>
      <c r="G238" s="302">
        <v>0.21846050911960321</v>
      </c>
      <c r="H238" s="302">
        <f t="shared" si="74"/>
        <v>0.29198684641627287</v>
      </c>
      <c r="I238" s="303"/>
      <c r="J238" s="302">
        <v>0.10367022840915585</v>
      </c>
      <c r="K238" s="302">
        <v>0.25752013774757054</v>
      </c>
      <c r="L238" s="302">
        <f t="shared" si="75"/>
        <v>0.36119036615672639</v>
      </c>
      <c r="M238" s="236"/>
      <c r="N238" s="236"/>
    </row>
    <row r="239" spans="1:14" x14ac:dyDescent="0.2">
      <c r="A239" s="237"/>
      <c r="B239" s="302"/>
      <c r="C239" s="302"/>
      <c r="D239" s="302"/>
      <c r="E239" s="303"/>
      <c r="F239" s="302"/>
      <c r="G239" s="302"/>
      <c r="H239" s="302"/>
      <c r="I239" s="303"/>
      <c r="J239" s="302"/>
      <c r="K239" s="302"/>
      <c r="L239" s="302"/>
      <c r="M239" s="236"/>
      <c r="N239" s="236"/>
    </row>
    <row r="240" spans="1:14" x14ac:dyDescent="0.2">
      <c r="A240" s="244" t="s">
        <v>33</v>
      </c>
      <c r="B240" s="311">
        <f>SUM(B230:B238)</f>
        <v>3.0503770962783765</v>
      </c>
      <c r="C240" s="311">
        <f t="shared" ref="C240:D240" si="76">SUM(C230:C238)</f>
        <v>5.4866229037216376</v>
      </c>
      <c r="D240" s="311">
        <f t="shared" si="76"/>
        <v>8.5370000000000168</v>
      </c>
      <c r="E240" s="311"/>
      <c r="F240" s="311">
        <f t="shared" ref="F240:H240" si="77">SUM(F230:F238)</f>
        <v>1.4947177625190524</v>
      </c>
      <c r="G240" s="311">
        <f t="shared" si="77"/>
        <v>4.142282237480944</v>
      </c>
      <c r="H240" s="311">
        <f t="shared" si="77"/>
        <v>5.6369999999999969</v>
      </c>
      <c r="I240" s="311"/>
      <c r="J240" s="311">
        <f t="shared" ref="J240:L240" si="78">SUM(J230:J238)</f>
        <v>1.857795822592831</v>
      </c>
      <c r="K240" s="311">
        <f t="shared" si="78"/>
        <v>4.8592041774071584</v>
      </c>
      <c r="L240" s="311">
        <f t="shared" si="78"/>
        <v>6.7169999999999916</v>
      </c>
      <c r="M240" s="236"/>
      <c r="N240" s="236"/>
    </row>
    <row r="241" spans="1:14" x14ac:dyDescent="0.2">
      <c r="A241" s="237"/>
      <c r="B241" s="237"/>
      <c r="C241" s="237"/>
      <c r="D241" s="237"/>
      <c r="E241" s="237"/>
      <c r="F241" s="237"/>
      <c r="G241" s="237"/>
      <c r="H241" s="237"/>
      <c r="I241" s="237"/>
      <c r="J241" s="237"/>
      <c r="K241" s="237"/>
      <c r="L241" s="240"/>
      <c r="M241" s="236"/>
      <c r="N241" s="236"/>
    </row>
    <row r="242" spans="1:14" x14ac:dyDescent="0.2">
      <c r="A242" s="237"/>
      <c r="B242" s="237"/>
      <c r="C242" s="237"/>
      <c r="D242" s="237"/>
      <c r="E242" s="237"/>
      <c r="F242" s="237"/>
      <c r="G242" s="237"/>
      <c r="H242" s="237"/>
      <c r="I242" s="237"/>
      <c r="J242" s="237"/>
      <c r="K242" s="237"/>
      <c r="L242" s="256" t="s">
        <v>36</v>
      </c>
      <c r="M242" s="236"/>
      <c r="N242" s="236"/>
    </row>
    <row r="243" spans="1:14" x14ac:dyDescent="0.2">
      <c r="A243" s="242"/>
      <c r="B243" s="250"/>
      <c r="C243" s="250"/>
      <c r="D243" s="250"/>
      <c r="E243" s="250"/>
      <c r="F243" s="250"/>
      <c r="G243" s="250"/>
      <c r="H243" s="250"/>
      <c r="I243" s="250"/>
      <c r="J243" s="250"/>
      <c r="K243" s="250"/>
      <c r="L243" s="236"/>
      <c r="M243" s="236"/>
      <c r="N243" s="236"/>
    </row>
    <row r="244" spans="1:14" x14ac:dyDescent="0.2">
      <c r="A244" s="241" t="str">
        <f>name!B17</f>
        <v>Finance and insurance</v>
      </c>
      <c r="B244" s="375">
        <f>B$6</f>
        <v>2015</v>
      </c>
      <c r="C244" s="375"/>
      <c r="D244" s="375"/>
      <c r="E244" s="253"/>
      <c r="F244" s="375">
        <f>F227</f>
        <v>2020</v>
      </c>
      <c r="G244" s="375"/>
      <c r="H244" s="375"/>
      <c r="I244" s="253"/>
      <c r="J244" s="375">
        <f>J227</f>
        <v>2035</v>
      </c>
      <c r="K244" s="375"/>
      <c r="L244" s="375"/>
      <c r="M244" s="236"/>
      <c r="N244" s="236"/>
    </row>
    <row r="245" spans="1:14" x14ac:dyDescent="0.2">
      <c r="A245" s="254"/>
      <c r="B245" s="255" t="s">
        <v>361</v>
      </c>
      <c r="C245" s="255" t="s">
        <v>362</v>
      </c>
      <c r="D245" s="255" t="s">
        <v>33</v>
      </c>
      <c r="E245" s="255"/>
      <c r="F245" s="255" t="s">
        <v>361</v>
      </c>
      <c r="G245" s="255" t="s">
        <v>362</v>
      </c>
      <c r="H245" s="255" t="s">
        <v>33</v>
      </c>
      <c r="I245" s="255"/>
      <c r="J245" s="255" t="s">
        <v>361</v>
      </c>
      <c r="K245" s="255" t="s">
        <v>362</v>
      </c>
      <c r="L245" s="255" t="s">
        <v>33</v>
      </c>
      <c r="M245" s="236"/>
      <c r="N245" s="236"/>
    </row>
    <row r="246" spans="1:14" x14ac:dyDescent="0.2">
      <c r="A246" s="258"/>
      <c r="B246" s="259"/>
      <c r="C246" s="259"/>
      <c r="D246" s="259"/>
      <c r="E246" s="259"/>
      <c r="F246" s="259"/>
      <c r="G246" s="259"/>
      <c r="H246" s="259"/>
      <c r="I246" s="259"/>
      <c r="J246" s="259"/>
      <c r="K246" s="259"/>
      <c r="L246" s="259"/>
      <c r="M246" s="236"/>
      <c r="N246" s="236"/>
    </row>
    <row r="247" spans="1:14" x14ac:dyDescent="0.2">
      <c r="A247" s="237" t="str">
        <f>name!E$4</f>
        <v>Managers, directors and senior officials</v>
      </c>
      <c r="B247" s="302">
        <v>0.40482346500119609</v>
      </c>
      <c r="C247" s="302">
        <v>0.57451142635452945</v>
      </c>
      <c r="D247" s="302">
        <f>SUM(B247:C247)</f>
        <v>0.9793348913557256</v>
      </c>
      <c r="E247" s="303"/>
      <c r="F247" s="302">
        <v>0.44805408237934119</v>
      </c>
      <c r="G247" s="302">
        <v>0.50744745489106902</v>
      </c>
      <c r="H247" s="302">
        <f>SUM(F247:G247)</f>
        <v>0.95550153727041021</v>
      </c>
      <c r="I247" s="303"/>
      <c r="J247" s="302">
        <v>0.5645626107458056</v>
      </c>
      <c r="K247" s="302">
        <v>0.51627093518181666</v>
      </c>
      <c r="L247" s="302">
        <f>SUM(J247:K247)</f>
        <v>1.0808335459276224</v>
      </c>
      <c r="M247" s="236"/>
      <c r="N247" s="236"/>
    </row>
    <row r="248" spans="1:14" x14ac:dyDescent="0.2">
      <c r="A248" s="237" t="str">
        <f>name!E$5</f>
        <v>Professional occupations</v>
      </c>
      <c r="B248" s="302">
        <v>0.47732083297529149</v>
      </c>
      <c r="C248" s="302">
        <v>1.2644514526414505</v>
      </c>
      <c r="D248" s="302">
        <f t="shared" ref="D248:D255" si="79">SUM(B248:C248)</f>
        <v>1.7417722856167419</v>
      </c>
      <c r="E248" s="303"/>
      <c r="F248" s="302">
        <v>0.6260434652366712</v>
      </c>
      <c r="G248" s="302">
        <v>0.90196638454365963</v>
      </c>
      <c r="H248" s="302">
        <f t="shared" ref="H248:H255" si="80">SUM(F248:G248)</f>
        <v>1.5280098497803309</v>
      </c>
      <c r="I248" s="303"/>
      <c r="J248" s="302">
        <v>0.84435556844959925</v>
      </c>
      <c r="K248" s="302">
        <v>1.0946251633544377</v>
      </c>
      <c r="L248" s="302">
        <f t="shared" ref="L248:L255" si="81">SUM(J248:K248)</f>
        <v>1.9389807318040369</v>
      </c>
      <c r="M248" s="236"/>
      <c r="N248" s="236"/>
    </row>
    <row r="249" spans="1:14" x14ac:dyDescent="0.2">
      <c r="A249" s="237" t="str">
        <f>name!E$6</f>
        <v>Associate professional occupations</v>
      </c>
      <c r="B249" s="302">
        <v>0.72877696653837809</v>
      </c>
      <c r="C249" s="302">
        <v>0.94677079689229371</v>
      </c>
      <c r="D249" s="302">
        <f t="shared" si="79"/>
        <v>1.6755477634306719</v>
      </c>
      <c r="E249" s="303"/>
      <c r="F249" s="302">
        <v>0.78200528115684442</v>
      </c>
      <c r="G249" s="302">
        <v>0.77778219156988238</v>
      </c>
      <c r="H249" s="302">
        <f t="shared" si="80"/>
        <v>1.5597874727267267</v>
      </c>
      <c r="I249" s="303"/>
      <c r="J249" s="302">
        <v>0.83654340895249713</v>
      </c>
      <c r="K249" s="302">
        <v>0.68343773796088803</v>
      </c>
      <c r="L249" s="302">
        <f t="shared" si="81"/>
        <v>1.519981146913385</v>
      </c>
      <c r="M249" s="236"/>
      <c r="N249" s="236"/>
    </row>
    <row r="250" spans="1:14" x14ac:dyDescent="0.2">
      <c r="A250" s="237" t="str">
        <f>name!E$7</f>
        <v>Administrative and secretarial occupations</v>
      </c>
      <c r="B250" s="302">
        <v>2.2470540356723712</v>
      </c>
      <c r="C250" s="302">
        <v>1.2139931987411565</v>
      </c>
      <c r="D250" s="302">
        <f t="shared" si="79"/>
        <v>3.4610472344135275</v>
      </c>
      <c r="E250" s="303"/>
      <c r="F250" s="302">
        <v>1.8752871186768656</v>
      </c>
      <c r="G250" s="302">
        <v>1.0445562698934681</v>
      </c>
      <c r="H250" s="302">
        <f t="shared" si="80"/>
        <v>2.9198433885703334</v>
      </c>
      <c r="I250" s="303"/>
      <c r="J250" s="302">
        <v>1.480129115342691</v>
      </c>
      <c r="K250" s="302">
        <v>0.9991745560567824</v>
      </c>
      <c r="L250" s="302">
        <f t="shared" si="81"/>
        <v>2.4793036713994736</v>
      </c>
      <c r="M250" s="236"/>
      <c r="N250" s="236"/>
    </row>
    <row r="251" spans="1:14" x14ac:dyDescent="0.2">
      <c r="A251" s="237" t="str">
        <f>name!E$8</f>
        <v>Skilled trades occupations</v>
      </c>
      <c r="B251" s="302">
        <v>1.4708616300279904E-2</v>
      </c>
      <c r="C251" s="302">
        <v>0.1916824215061036</v>
      </c>
      <c r="D251" s="302">
        <f t="shared" si="79"/>
        <v>0.20639103780638349</v>
      </c>
      <c r="E251" s="303"/>
      <c r="F251" s="302">
        <v>1.3224921130481562E-2</v>
      </c>
      <c r="G251" s="302">
        <v>5.6337385104490038E-2</v>
      </c>
      <c r="H251" s="302">
        <f t="shared" si="80"/>
        <v>6.9562306234971602E-2</v>
      </c>
      <c r="I251" s="303"/>
      <c r="J251" s="302">
        <v>2.5262097543377628E-2</v>
      </c>
      <c r="K251" s="302">
        <v>4.5821525945723841E-2</v>
      </c>
      <c r="L251" s="302">
        <f t="shared" si="81"/>
        <v>7.1083623489101466E-2</v>
      </c>
      <c r="M251" s="236"/>
      <c r="N251" s="236"/>
    </row>
    <row r="252" spans="1:14" x14ac:dyDescent="0.2">
      <c r="A252" s="237" t="str">
        <f>name!E$9</f>
        <v>Caring, leisure and other service occupations</v>
      </c>
      <c r="B252" s="302">
        <v>1.8770077710415296E-2</v>
      </c>
      <c r="C252" s="302">
        <v>3.611183627118035E-2</v>
      </c>
      <c r="D252" s="302">
        <f t="shared" si="79"/>
        <v>5.4881913981595642E-2</v>
      </c>
      <c r="E252" s="303"/>
      <c r="F252" s="302">
        <v>1.5611643552162137E-2</v>
      </c>
      <c r="G252" s="302">
        <v>2.8974275663467004E-2</v>
      </c>
      <c r="H252" s="302">
        <f t="shared" si="80"/>
        <v>4.4585919215629141E-2</v>
      </c>
      <c r="I252" s="303"/>
      <c r="J252" s="302">
        <v>1.6133408854464834E-2</v>
      </c>
      <c r="K252" s="302">
        <v>3.8168043203057583E-2</v>
      </c>
      <c r="L252" s="302">
        <f t="shared" si="81"/>
        <v>5.4301452057522417E-2</v>
      </c>
      <c r="M252" s="236"/>
      <c r="N252" s="236"/>
    </row>
    <row r="253" spans="1:14" x14ac:dyDescent="0.2">
      <c r="A253" s="237" t="str">
        <f>name!E$10</f>
        <v>Sales and customer service occupations</v>
      </c>
      <c r="B253" s="302">
        <v>0.56924427550702883</v>
      </c>
      <c r="C253" s="302">
        <v>0.39314543943664837</v>
      </c>
      <c r="D253" s="302">
        <f t="shared" si="79"/>
        <v>0.9623897149436772</v>
      </c>
      <c r="E253" s="303"/>
      <c r="F253" s="302">
        <v>0.50307480699066676</v>
      </c>
      <c r="G253" s="302">
        <v>0.26022967914910489</v>
      </c>
      <c r="H253" s="302">
        <f t="shared" si="80"/>
        <v>0.76330448613977164</v>
      </c>
      <c r="I253" s="303"/>
      <c r="J253" s="302">
        <v>0.5713785098972749</v>
      </c>
      <c r="K253" s="302">
        <v>0.35091908364098456</v>
      </c>
      <c r="L253" s="302">
        <f t="shared" si="81"/>
        <v>0.92229759353825946</v>
      </c>
      <c r="M253" s="236"/>
      <c r="N253" s="236"/>
    </row>
    <row r="254" spans="1:14" x14ac:dyDescent="0.2">
      <c r="A254" s="237" t="str">
        <f>name!E$11</f>
        <v>Process, plant and machine operatives</v>
      </c>
      <c r="B254" s="302">
        <v>8.4888451306762234E-3</v>
      </c>
      <c r="C254" s="302">
        <v>9.1291544009594161E-2</v>
      </c>
      <c r="D254" s="302">
        <f t="shared" si="79"/>
        <v>9.978038914027039E-2</v>
      </c>
      <c r="E254" s="303"/>
      <c r="F254" s="302">
        <v>6.1153507030957573E-3</v>
      </c>
      <c r="G254" s="302">
        <v>2.59971366990383E-2</v>
      </c>
      <c r="H254" s="302">
        <f t="shared" si="80"/>
        <v>3.2112487402134057E-2</v>
      </c>
      <c r="I254" s="303"/>
      <c r="J254" s="302">
        <v>9.6330270965972239E-3</v>
      </c>
      <c r="K254" s="302">
        <v>3.3229055950944685E-2</v>
      </c>
      <c r="L254" s="302">
        <f t="shared" si="81"/>
        <v>4.286208304754191E-2</v>
      </c>
      <c r="M254" s="236"/>
      <c r="N254" s="236"/>
    </row>
    <row r="255" spans="1:14" x14ac:dyDescent="0.2">
      <c r="A255" s="237" t="str">
        <f>name!E$12</f>
        <v>Elementary occupations</v>
      </c>
      <c r="B255" s="302">
        <v>3.4176712592223081E-2</v>
      </c>
      <c r="C255" s="302">
        <v>0.14367805671917772</v>
      </c>
      <c r="D255" s="302">
        <f t="shared" si="79"/>
        <v>0.17785476931140079</v>
      </c>
      <c r="E255" s="303"/>
      <c r="F255" s="302">
        <v>2.6173886815787882E-2</v>
      </c>
      <c r="G255" s="302">
        <v>7.3118665843912078E-2</v>
      </c>
      <c r="H255" s="302">
        <f t="shared" si="80"/>
        <v>9.9292552659699967E-2</v>
      </c>
      <c r="I255" s="303"/>
      <c r="J255" s="302">
        <v>2.5891759322678353E-2</v>
      </c>
      <c r="K255" s="302">
        <v>6.5464392500382843E-2</v>
      </c>
      <c r="L255" s="302">
        <f t="shared" si="81"/>
        <v>9.1356151823061199E-2</v>
      </c>
      <c r="M255" s="236"/>
      <c r="N255" s="236"/>
    </row>
    <row r="256" spans="1:14" x14ac:dyDescent="0.2">
      <c r="A256" s="237"/>
      <c r="B256" s="302"/>
      <c r="C256" s="302"/>
      <c r="D256" s="302"/>
      <c r="E256" s="303"/>
      <c r="F256" s="302"/>
      <c r="G256" s="302"/>
      <c r="H256" s="302"/>
      <c r="I256" s="303"/>
      <c r="J256" s="302"/>
      <c r="K256" s="302"/>
      <c r="L256" s="302"/>
      <c r="M256" s="236"/>
      <c r="N256" s="236"/>
    </row>
    <row r="257" spans="1:14" x14ac:dyDescent="0.2">
      <c r="A257" s="244" t="s">
        <v>33</v>
      </c>
      <c r="B257" s="311">
        <f>SUM(B247:B255)</f>
        <v>4.5033638274278598</v>
      </c>
      <c r="C257" s="311">
        <f t="shared" ref="C257:D257" si="82">SUM(C247:C255)</f>
        <v>4.855636172572134</v>
      </c>
      <c r="D257" s="311">
        <f t="shared" si="82"/>
        <v>9.3589999999999964</v>
      </c>
      <c r="E257" s="311"/>
      <c r="F257" s="311">
        <f t="shared" ref="F257:H257" si="83">SUM(F247:F255)</f>
        <v>4.2955905566419155</v>
      </c>
      <c r="G257" s="311">
        <f t="shared" si="83"/>
        <v>3.6764094433580912</v>
      </c>
      <c r="H257" s="311">
        <f t="shared" si="83"/>
        <v>7.9720000000000093</v>
      </c>
      <c r="I257" s="311"/>
      <c r="J257" s="311">
        <f t="shared" ref="J257:L257" si="84">SUM(J247:J255)</f>
        <v>4.3738895062049856</v>
      </c>
      <c r="K257" s="311">
        <f t="shared" si="84"/>
        <v>3.8271104937950189</v>
      </c>
      <c r="L257" s="311">
        <f t="shared" si="84"/>
        <v>8.2010000000000041</v>
      </c>
      <c r="M257" s="236"/>
      <c r="N257" s="236"/>
    </row>
    <row r="258" spans="1:14" x14ac:dyDescent="0.2">
      <c r="A258" s="237"/>
      <c r="B258" s="237"/>
      <c r="C258" s="237"/>
      <c r="D258" s="237"/>
      <c r="E258" s="237"/>
      <c r="F258" s="237"/>
      <c r="G258" s="237"/>
      <c r="H258" s="237"/>
      <c r="I258" s="237"/>
      <c r="J258" s="237"/>
      <c r="K258" s="237"/>
      <c r="L258" s="240"/>
      <c r="M258" s="236"/>
      <c r="N258" s="236"/>
    </row>
    <row r="259" spans="1:14" x14ac:dyDescent="0.2">
      <c r="A259" s="237"/>
      <c r="B259" s="237"/>
      <c r="C259" s="237"/>
      <c r="D259" s="237"/>
      <c r="E259" s="237"/>
      <c r="F259" s="237"/>
      <c r="G259" s="237"/>
      <c r="H259" s="237"/>
      <c r="I259" s="237"/>
      <c r="J259" s="237"/>
      <c r="K259" s="237"/>
      <c r="L259" s="256" t="s">
        <v>36</v>
      </c>
      <c r="M259" s="236"/>
      <c r="N259" s="236"/>
    </row>
    <row r="260" spans="1:14" x14ac:dyDescent="0.2">
      <c r="A260" s="242"/>
      <c r="B260" s="250"/>
      <c r="C260" s="250"/>
      <c r="D260" s="250"/>
      <c r="E260" s="250"/>
      <c r="F260" s="250"/>
      <c r="G260" s="250"/>
      <c r="H260" s="250"/>
      <c r="I260" s="250"/>
      <c r="J260" s="250"/>
      <c r="K260" s="250"/>
      <c r="L260" s="236"/>
      <c r="M260" s="236"/>
      <c r="N260" s="236"/>
    </row>
    <row r="261" spans="1:14" x14ac:dyDescent="0.2">
      <c r="A261" s="241" t="str">
        <f>name!B18</f>
        <v>Real estate</v>
      </c>
      <c r="B261" s="375">
        <f>B$6</f>
        <v>2015</v>
      </c>
      <c r="C261" s="375"/>
      <c r="D261" s="375"/>
      <c r="E261" s="253"/>
      <c r="F261" s="375">
        <f>F244</f>
        <v>2020</v>
      </c>
      <c r="G261" s="375"/>
      <c r="H261" s="375"/>
      <c r="I261" s="253"/>
      <c r="J261" s="375">
        <f>J244</f>
        <v>2035</v>
      </c>
      <c r="K261" s="375"/>
      <c r="L261" s="375"/>
      <c r="M261" s="236"/>
      <c r="N261" s="236"/>
    </row>
    <row r="262" spans="1:14" x14ac:dyDescent="0.2">
      <c r="A262" s="254"/>
      <c r="B262" s="255" t="s">
        <v>361</v>
      </c>
      <c r="C262" s="255" t="s">
        <v>362</v>
      </c>
      <c r="D262" s="255" t="s">
        <v>33</v>
      </c>
      <c r="E262" s="255"/>
      <c r="F262" s="255" t="s">
        <v>361</v>
      </c>
      <c r="G262" s="255" t="s">
        <v>362</v>
      </c>
      <c r="H262" s="255" t="s">
        <v>33</v>
      </c>
      <c r="I262" s="255"/>
      <c r="J262" s="255" t="s">
        <v>361</v>
      </c>
      <c r="K262" s="255" t="s">
        <v>362</v>
      </c>
      <c r="L262" s="255" t="s">
        <v>33</v>
      </c>
      <c r="M262" s="236"/>
      <c r="N262" s="236"/>
    </row>
    <row r="263" spans="1:14" x14ac:dyDescent="0.2">
      <c r="A263" s="258"/>
      <c r="B263" s="259"/>
      <c r="C263" s="259"/>
      <c r="D263" s="259"/>
      <c r="E263" s="259"/>
      <c r="F263" s="259"/>
      <c r="G263" s="259"/>
      <c r="H263" s="259"/>
      <c r="I263" s="259"/>
      <c r="J263" s="259"/>
      <c r="K263" s="259"/>
      <c r="L263" s="259"/>
      <c r="M263" s="236"/>
      <c r="N263" s="236"/>
    </row>
    <row r="264" spans="1:14" x14ac:dyDescent="0.2">
      <c r="A264" s="237" t="str">
        <f>name!E$4</f>
        <v>Managers, directors and senior officials</v>
      </c>
      <c r="B264" s="302">
        <v>0.24468389193069134</v>
      </c>
      <c r="C264" s="302">
        <v>0.5994047206225368</v>
      </c>
      <c r="D264" s="302">
        <f>SUM(B264:C264)</f>
        <v>0.84408861255322809</v>
      </c>
      <c r="E264" s="303"/>
      <c r="F264" s="302">
        <v>0.43725917893337485</v>
      </c>
      <c r="G264" s="302">
        <v>0.46480472144302826</v>
      </c>
      <c r="H264" s="302">
        <f>SUM(F264:G264)</f>
        <v>0.90206390037640305</v>
      </c>
      <c r="I264" s="303"/>
      <c r="J264" s="302">
        <v>0.52240571369728317</v>
      </c>
      <c r="K264" s="302">
        <v>0.56080177512870288</v>
      </c>
      <c r="L264" s="302">
        <f>SUM(J264:K264)</f>
        <v>1.0832074888259862</v>
      </c>
      <c r="M264" s="236"/>
      <c r="N264" s="236"/>
    </row>
    <row r="265" spans="1:14" x14ac:dyDescent="0.2">
      <c r="A265" s="237" t="str">
        <f>name!E$5</f>
        <v>Professional occupations</v>
      </c>
      <c r="B265" s="302">
        <v>0.3296163870146554</v>
      </c>
      <c r="C265" s="302">
        <v>0.47922961348505405</v>
      </c>
      <c r="D265" s="302">
        <f t="shared" ref="D265:D272" si="85">SUM(B265:C265)</f>
        <v>0.80884600049970945</v>
      </c>
      <c r="E265" s="303"/>
      <c r="F265" s="302">
        <v>0.44246617007227573</v>
      </c>
      <c r="G265" s="302">
        <v>0.4928369902006553</v>
      </c>
      <c r="H265" s="302">
        <f t="shared" ref="H265:H272" si="86">SUM(F265:G265)</f>
        <v>0.93530316027293103</v>
      </c>
      <c r="I265" s="303"/>
      <c r="J265" s="302">
        <v>0.58109878783214775</v>
      </c>
      <c r="K265" s="302">
        <v>0.6438543484933259</v>
      </c>
      <c r="L265" s="302">
        <f t="shared" ref="L265:L272" si="87">SUM(J265:K265)</f>
        <v>1.2249531363254738</v>
      </c>
      <c r="M265" s="236"/>
      <c r="N265" s="236"/>
    </row>
    <row r="266" spans="1:14" x14ac:dyDescent="0.2">
      <c r="A266" s="237" t="str">
        <f>name!E$6</f>
        <v>Associate professional occupations</v>
      </c>
      <c r="B266" s="302">
        <v>0.35555501600535616</v>
      </c>
      <c r="C266" s="302">
        <v>0.39455507706540149</v>
      </c>
      <c r="D266" s="302">
        <f t="shared" si="85"/>
        <v>0.7501100930707576</v>
      </c>
      <c r="E266" s="303"/>
      <c r="F266" s="302">
        <v>0.43996787719572344</v>
      </c>
      <c r="G266" s="302">
        <v>0.37824540796153788</v>
      </c>
      <c r="H266" s="302">
        <f t="shared" si="86"/>
        <v>0.81821328515726133</v>
      </c>
      <c r="I266" s="303"/>
      <c r="J266" s="302">
        <v>0.58149406518289626</v>
      </c>
      <c r="K266" s="302">
        <v>0.36530527976661886</v>
      </c>
      <c r="L266" s="302">
        <f t="shared" si="87"/>
        <v>0.94679934494951512</v>
      </c>
      <c r="M266" s="236"/>
      <c r="N266" s="236"/>
    </row>
    <row r="267" spans="1:14" x14ac:dyDescent="0.2">
      <c r="A267" s="237" t="str">
        <f>name!E$7</f>
        <v>Administrative and secretarial occupations</v>
      </c>
      <c r="B267" s="302">
        <v>1.3375200288522513</v>
      </c>
      <c r="C267" s="302">
        <v>0.49116219658016497</v>
      </c>
      <c r="D267" s="302">
        <f t="shared" si="85"/>
        <v>1.8286822254324162</v>
      </c>
      <c r="E267" s="303"/>
      <c r="F267" s="302">
        <v>1.2677252344913505</v>
      </c>
      <c r="G267" s="302">
        <v>0.44808971338071513</v>
      </c>
      <c r="H267" s="302">
        <f t="shared" si="86"/>
        <v>1.7158149478720657</v>
      </c>
      <c r="I267" s="303"/>
      <c r="J267" s="302">
        <v>1.2229769291834665</v>
      </c>
      <c r="K267" s="302">
        <v>0.54065994419028451</v>
      </c>
      <c r="L267" s="302">
        <f t="shared" si="87"/>
        <v>1.7636368733737511</v>
      </c>
      <c r="M267" s="236"/>
      <c r="N267" s="236"/>
    </row>
    <row r="268" spans="1:14" x14ac:dyDescent="0.2">
      <c r="A268" s="237" t="str">
        <f>name!E$8</f>
        <v>Skilled trades occupations</v>
      </c>
      <c r="B268" s="302">
        <v>4.3744764233802601E-2</v>
      </c>
      <c r="C268" s="302">
        <v>0.63947149245491008</v>
      </c>
      <c r="D268" s="302">
        <f t="shared" si="85"/>
        <v>0.68321625668871266</v>
      </c>
      <c r="E268" s="303"/>
      <c r="F268" s="302">
        <v>8.7079345490858315E-2</v>
      </c>
      <c r="G268" s="302">
        <v>0.2933424967769071</v>
      </c>
      <c r="H268" s="302">
        <f t="shared" si="86"/>
        <v>0.38042184226776543</v>
      </c>
      <c r="I268" s="303"/>
      <c r="J268" s="302">
        <v>0.16437277445357473</v>
      </c>
      <c r="K268" s="302">
        <v>0.34459168289162939</v>
      </c>
      <c r="L268" s="302">
        <f t="shared" si="87"/>
        <v>0.50896445734520412</v>
      </c>
      <c r="M268" s="236"/>
      <c r="N268" s="236"/>
    </row>
    <row r="269" spans="1:14" x14ac:dyDescent="0.2">
      <c r="A269" s="237" t="str">
        <f>name!E$9</f>
        <v>Caring, leisure and other service occupations</v>
      </c>
      <c r="B269" s="302">
        <v>8.77610664239203E-2</v>
      </c>
      <c r="C269" s="302">
        <v>0.14942627091420468</v>
      </c>
      <c r="D269" s="302">
        <f t="shared" si="85"/>
        <v>0.23718733733812497</v>
      </c>
      <c r="E269" s="303"/>
      <c r="F269" s="302">
        <v>9.3728883977813385E-2</v>
      </c>
      <c r="G269" s="302">
        <v>0.13896339255316342</v>
      </c>
      <c r="H269" s="302">
        <f t="shared" si="86"/>
        <v>0.23269227653097679</v>
      </c>
      <c r="I269" s="303"/>
      <c r="J269" s="302">
        <v>0.13605982774549996</v>
      </c>
      <c r="K269" s="302">
        <v>0.15038998346587837</v>
      </c>
      <c r="L269" s="302">
        <f t="shared" si="87"/>
        <v>0.28644981121137836</v>
      </c>
      <c r="M269" s="236"/>
      <c r="N269" s="236"/>
    </row>
    <row r="270" spans="1:14" x14ac:dyDescent="0.2">
      <c r="A270" s="237" t="str">
        <f>name!E$10</f>
        <v>Sales and customer service occupations</v>
      </c>
      <c r="B270" s="302">
        <v>0.92077847749477726</v>
      </c>
      <c r="C270" s="302">
        <v>0.46683304656201219</v>
      </c>
      <c r="D270" s="302">
        <f t="shared" si="85"/>
        <v>1.3876115240567894</v>
      </c>
      <c r="E270" s="303"/>
      <c r="F270" s="302">
        <v>0.81015363992659406</v>
      </c>
      <c r="G270" s="302">
        <v>0.46190061843005237</v>
      </c>
      <c r="H270" s="302">
        <f t="shared" si="86"/>
        <v>1.2720542583566465</v>
      </c>
      <c r="I270" s="303"/>
      <c r="J270" s="302">
        <v>0.97432319030718784</v>
      </c>
      <c r="K270" s="302">
        <v>0.50707057045814985</v>
      </c>
      <c r="L270" s="302">
        <f t="shared" si="87"/>
        <v>1.4813937607653376</v>
      </c>
      <c r="M270" s="236"/>
      <c r="N270" s="236"/>
    </row>
    <row r="271" spans="1:14" x14ac:dyDescent="0.2">
      <c r="A271" s="237" t="str">
        <f>name!E$11</f>
        <v>Process, plant and machine operatives</v>
      </c>
      <c r="B271" s="302">
        <v>4.3350627380254409E-3</v>
      </c>
      <c r="C271" s="302">
        <v>0.23793054918120679</v>
      </c>
      <c r="D271" s="302">
        <f t="shared" si="85"/>
        <v>0.24226561191923224</v>
      </c>
      <c r="E271" s="303"/>
      <c r="F271" s="302">
        <v>4.747127351411683E-3</v>
      </c>
      <c r="G271" s="302">
        <v>0.15833769870371125</v>
      </c>
      <c r="H271" s="302">
        <f t="shared" si="86"/>
        <v>0.16308482605512295</v>
      </c>
      <c r="I271" s="303"/>
      <c r="J271" s="302">
        <v>1.0278481671583656E-2</v>
      </c>
      <c r="K271" s="302">
        <v>0.17292721387977664</v>
      </c>
      <c r="L271" s="302">
        <f t="shared" si="87"/>
        <v>0.18320569555136029</v>
      </c>
      <c r="M271" s="236"/>
      <c r="N271" s="236"/>
    </row>
    <row r="272" spans="1:14" x14ac:dyDescent="0.2">
      <c r="A272" s="237" t="str">
        <f>name!E$12</f>
        <v>Elementary occupations</v>
      </c>
      <c r="B272" s="302">
        <v>0.10942336323999133</v>
      </c>
      <c r="C272" s="302">
        <v>0.37656897520104687</v>
      </c>
      <c r="D272" s="302">
        <f t="shared" si="85"/>
        <v>0.48599233844103817</v>
      </c>
      <c r="E272" s="303"/>
      <c r="F272" s="302">
        <v>9.9979789248309942E-2</v>
      </c>
      <c r="G272" s="302">
        <v>0.26237171386251301</v>
      </c>
      <c r="H272" s="302">
        <f t="shared" si="86"/>
        <v>0.36235150311082298</v>
      </c>
      <c r="I272" s="303"/>
      <c r="J272" s="302">
        <v>0.11587997847817616</v>
      </c>
      <c r="K272" s="302">
        <v>0.24950945317380568</v>
      </c>
      <c r="L272" s="302">
        <f t="shared" si="87"/>
        <v>0.36538943165198184</v>
      </c>
      <c r="M272" s="236"/>
      <c r="N272" s="236"/>
    </row>
    <row r="273" spans="1:14" x14ac:dyDescent="0.2">
      <c r="A273" s="237"/>
      <c r="B273" s="302"/>
      <c r="C273" s="302"/>
      <c r="D273" s="302"/>
      <c r="E273" s="303"/>
      <c r="F273" s="302"/>
      <c r="G273" s="302"/>
      <c r="H273" s="302"/>
      <c r="I273" s="303"/>
      <c r="J273" s="302"/>
      <c r="K273" s="302"/>
      <c r="L273" s="302"/>
      <c r="M273" s="236"/>
      <c r="N273" s="236"/>
    </row>
    <row r="274" spans="1:14" x14ac:dyDescent="0.2">
      <c r="A274" s="244" t="s">
        <v>33</v>
      </c>
      <c r="B274" s="311">
        <f>SUM(B264:B272)</f>
        <v>3.4334180579334714</v>
      </c>
      <c r="C274" s="311">
        <f t="shared" ref="C274:D274" si="88">SUM(C264:C272)</f>
        <v>3.8345819420665377</v>
      </c>
      <c r="D274" s="311">
        <f t="shared" si="88"/>
        <v>7.2680000000000096</v>
      </c>
      <c r="E274" s="311"/>
      <c r="F274" s="311">
        <f t="shared" ref="F274:H274" si="89">SUM(F264:F272)</f>
        <v>3.6831072466877117</v>
      </c>
      <c r="G274" s="311">
        <f t="shared" si="89"/>
        <v>3.0988927533122834</v>
      </c>
      <c r="H274" s="311">
        <f t="shared" si="89"/>
        <v>6.7819999999999947</v>
      </c>
      <c r="I274" s="311"/>
      <c r="J274" s="311">
        <f t="shared" ref="J274:L274" si="90">SUM(J264:J272)</f>
        <v>4.3088897485518167</v>
      </c>
      <c r="K274" s="311">
        <f t="shared" si="90"/>
        <v>3.5351102514481716</v>
      </c>
      <c r="L274" s="311">
        <f t="shared" si="90"/>
        <v>7.8439999999999888</v>
      </c>
      <c r="M274" s="236"/>
      <c r="N274" s="236"/>
    </row>
    <row r="275" spans="1:14" x14ac:dyDescent="0.2">
      <c r="A275" s="237"/>
      <c r="B275" s="237"/>
      <c r="C275" s="237"/>
      <c r="D275" s="237"/>
      <c r="E275" s="237"/>
      <c r="F275" s="237"/>
      <c r="G275" s="237"/>
      <c r="H275" s="237"/>
      <c r="I275" s="237"/>
      <c r="J275" s="237"/>
      <c r="K275" s="237"/>
      <c r="L275" s="240"/>
      <c r="M275" s="236"/>
      <c r="N275" s="236"/>
    </row>
    <row r="276" spans="1:14" x14ac:dyDescent="0.2">
      <c r="A276" s="237"/>
      <c r="B276" s="237"/>
      <c r="C276" s="237"/>
      <c r="D276" s="237"/>
      <c r="E276" s="237"/>
      <c r="F276" s="237"/>
      <c r="G276" s="237"/>
      <c r="H276" s="237"/>
      <c r="I276" s="237"/>
      <c r="J276" s="237"/>
      <c r="K276" s="237"/>
      <c r="L276" s="256" t="s">
        <v>36</v>
      </c>
      <c r="M276" s="236"/>
      <c r="N276" s="236"/>
    </row>
    <row r="277" spans="1:14" x14ac:dyDescent="0.2">
      <c r="A277" s="242"/>
      <c r="B277" s="250"/>
      <c r="C277" s="250"/>
      <c r="D277" s="250"/>
      <c r="E277" s="250"/>
      <c r="F277" s="250"/>
      <c r="G277" s="250"/>
      <c r="H277" s="250"/>
      <c r="I277" s="250"/>
      <c r="J277" s="250"/>
      <c r="K277" s="250"/>
      <c r="L277" s="236"/>
      <c r="M277" s="236"/>
      <c r="N277" s="236"/>
    </row>
    <row r="278" spans="1:14" x14ac:dyDescent="0.2">
      <c r="A278" s="241" t="str">
        <f>name!B19</f>
        <v>Professional services</v>
      </c>
      <c r="B278" s="375">
        <f>B$6</f>
        <v>2015</v>
      </c>
      <c r="C278" s="375"/>
      <c r="D278" s="375"/>
      <c r="E278" s="253"/>
      <c r="F278" s="375">
        <f>F261</f>
        <v>2020</v>
      </c>
      <c r="G278" s="375"/>
      <c r="H278" s="375"/>
      <c r="I278" s="253"/>
      <c r="J278" s="375">
        <f>J261</f>
        <v>2035</v>
      </c>
      <c r="K278" s="375"/>
      <c r="L278" s="375"/>
      <c r="M278" s="236"/>
      <c r="N278" s="236"/>
    </row>
    <row r="279" spans="1:14" x14ac:dyDescent="0.2">
      <c r="A279" s="254"/>
      <c r="B279" s="255" t="s">
        <v>361</v>
      </c>
      <c r="C279" s="255" t="s">
        <v>362</v>
      </c>
      <c r="D279" s="255" t="s">
        <v>33</v>
      </c>
      <c r="E279" s="255"/>
      <c r="F279" s="255" t="s">
        <v>361</v>
      </c>
      <c r="G279" s="255" t="s">
        <v>362</v>
      </c>
      <c r="H279" s="255" t="s">
        <v>33</v>
      </c>
      <c r="I279" s="255"/>
      <c r="J279" s="255" t="s">
        <v>361</v>
      </c>
      <c r="K279" s="255" t="s">
        <v>362</v>
      </c>
      <c r="L279" s="255" t="s">
        <v>33</v>
      </c>
      <c r="M279" s="236"/>
      <c r="N279" s="236"/>
    </row>
    <row r="280" spans="1:14" x14ac:dyDescent="0.2">
      <c r="A280" s="258"/>
      <c r="B280" s="259"/>
      <c r="C280" s="259"/>
      <c r="D280" s="259"/>
      <c r="E280" s="259"/>
      <c r="F280" s="259"/>
      <c r="G280" s="259"/>
      <c r="H280" s="259"/>
      <c r="I280" s="259"/>
      <c r="J280" s="259"/>
      <c r="K280" s="259"/>
      <c r="L280" s="259"/>
      <c r="M280" s="236"/>
      <c r="N280" s="236"/>
    </row>
    <row r="281" spans="1:14" x14ac:dyDescent="0.2">
      <c r="A281" s="237" t="str">
        <f>name!E$4</f>
        <v>Managers, directors and senior officials</v>
      </c>
      <c r="B281" s="302">
        <v>0.61130953109940178</v>
      </c>
      <c r="C281" s="302">
        <v>1.6464736273163925</v>
      </c>
      <c r="D281" s="302">
        <f>SUM(B281:C281)</f>
        <v>2.2577831584157941</v>
      </c>
      <c r="E281" s="303"/>
      <c r="F281" s="302">
        <v>0.66316113476017746</v>
      </c>
      <c r="G281" s="302">
        <v>1.5160514872925839</v>
      </c>
      <c r="H281" s="302">
        <f>SUM(F281:G281)</f>
        <v>2.1792126220527614</v>
      </c>
      <c r="I281" s="303"/>
      <c r="J281" s="302">
        <v>0.88107480305081176</v>
      </c>
      <c r="K281" s="302">
        <v>1.6205759538903461</v>
      </c>
      <c r="L281" s="302">
        <f>SUM(J281:K281)</f>
        <v>2.5016507569411579</v>
      </c>
      <c r="M281" s="236"/>
      <c r="N281" s="236"/>
    </row>
    <row r="282" spans="1:14" x14ac:dyDescent="0.2">
      <c r="A282" s="237" t="str">
        <f>name!E$5</f>
        <v>Professional occupations</v>
      </c>
      <c r="B282" s="302">
        <v>1.8667426566347745</v>
      </c>
      <c r="C282" s="302">
        <v>5.8831991183386814</v>
      </c>
      <c r="D282" s="302">
        <f t="shared" ref="D282:D289" si="91">SUM(B282:C282)</f>
        <v>7.7499417749734558</v>
      </c>
      <c r="E282" s="303"/>
      <c r="F282" s="302">
        <v>2.2595434713882026</v>
      </c>
      <c r="G282" s="302">
        <v>5.3420274138926214</v>
      </c>
      <c r="H282" s="302">
        <f t="shared" ref="H282:H289" si="92">SUM(F282:G282)</f>
        <v>7.6015708852808235</v>
      </c>
      <c r="I282" s="303"/>
      <c r="J282" s="302">
        <v>3.2799912192158325</v>
      </c>
      <c r="K282" s="302">
        <v>5.6511259060492192</v>
      </c>
      <c r="L282" s="302">
        <f t="shared" ref="L282:L289" si="93">SUM(J282:K282)</f>
        <v>8.9311171252650521</v>
      </c>
      <c r="M282" s="236"/>
      <c r="N282" s="236"/>
    </row>
    <row r="283" spans="1:14" x14ac:dyDescent="0.2">
      <c r="A283" s="237" t="str">
        <f>name!E$6</f>
        <v>Associate professional occupations</v>
      </c>
      <c r="B283" s="302">
        <v>1.3432164514768614</v>
      </c>
      <c r="C283" s="302">
        <v>2.5023741533946042</v>
      </c>
      <c r="D283" s="302">
        <f t="shared" si="91"/>
        <v>3.8455906048714654</v>
      </c>
      <c r="E283" s="303"/>
      <c r="F283" s="302">
        <v>1.3803001109897628</v>
      </c>
      <c r="G283" s="302">
        <v>2.3208945003585981</v>
      </c>
      <c r="H283" s="302">
        <f t="shared" si="92"/>
        <v>3.7011946113483609</v>
      </c>
      <c r="I283" s="303"/>
      <c r="J283" s="302">
        <v>1.7907758470502202</v>
      </c>
      <c r="K283" s="302">
        <v>2.0809561111160364</v>
      </c>
      <c r="L283" s="302">
        <f t="shared" si="93"/>
        <v>3.8717319581662566</v>
      </c>
      <c r="M283" s="236"/>
      <c r="N283" s="236"/>
    </row>
    <row r="284" spans="1:14" x14ac:dyDescent="0.2">
      <c r="A284" s="237" t="str">
        <f>name!E$7</f>
        <v>Administrative and secretarial occupations</v>
      </c>
      <c r="B284" s="302">
        <v>4.1148471314068811</v>
      </c>
      <c r="C284" s="302">
        <v>2.4529179008627375</v>
      </c>
      <c r="D284" s="302">
        <f t="shared" si="91"/>
        <v>6.5677650322696186</v>
      </c>
      <c r="E284" s="303"/>
      <c r="F284" s="302">
        <v>3.6587933846967475</v>
      </c>
      <c r="G284" s="302">
        <v>2.2143235403728183</v>
      </c>
      <c r="H284" s="302">
        <f t="shared" si="92"/>
        <v>5.8731169250695654</v>
      </c>
      <c r="I284" s="303"/>
      <c r="J284" s="302">
        <v>3.1024439681601685</v>
      </c>
      <c r="K284" s="302">
        <v>2.7236427024311429</v>
      </c>
      <c r="L284" s="302">
        <f t="shared" si="93"/>
        <v>5.8260866705913115</v>
      </c>
      <c r="M284" s="236"/>
      <c r="N284" s="236"/>
    </row>
    <row r="285" spans="1:14" x14ac:dyDescent="0.2">
      <c r="A285" s="237" t="str">
        <f>name!E$8</f>
        <v>Skilled trades occupations</v>
      </c>
      <c r="B285" s="302">
        <v>7.1570365014431786E-2</v>
      </c>
      <c r="C285" s="302">
        <v>1.2371509827734903</v>
      </c>
      <c r="D285" s="302">
        <f t="shared" si="91"/>
        <v>1.308721347787922</v>
      </c>
      <c r="E285" s="303"/>
      <c r="F285" s="302">
        <v>5.4006403224911383E-2</v>
      </c>
      <c r="G285" s="302">
        <v>0.77328998027682416</v>
      </c>
      <c r="H285" s="302">
        <f t="shared" si="92"/>
        <v>0.82729638350173551</v>
      </c>
      <c r="I285" s="303"/>
      <c r="J285" s="302">
        <v>0.12210053861365631</v>
      </c>
      <c r="K285" s="302">
        <v>0.68239374003826181</v>
      </c>
      <c r="L285" s="302">
        <f t="shared" si="93"/>
        <v>0.80449427865191814</v>
      </c>
      <c r="M285" s="236"/>
      <c r="N285" s="236"/>
    </row>
    <row r="286" spans="1:14" x14ac:dyDescent="0.2">
      <c r="A286" s="237" t="str">
        <f>name!E$9</f>
        <v>Caring, leisure and other service occupations</v>
      </c>
      <c r="B286" s="302">
        <v>0.22680527698793218</v>
      </c>
      <c r="C286" s="302">
        <v>0.18043328305561018</v>
      </c>
      <c r="D286" s="302">
        <f t="shared" si="91"/>
        <v>0.40723856004354236</v>
      </c>
      <c r="E286" s="303"/>
      <c r="F286" s="302">
        <v>0.17802804291193114</v>
      </c>
      <c r="G286" s="302">
        <v>0.17762052140505261</v>
      </c>
      <c r="H286" s="302">
        <f t="shared" si="92"/>
        <v>0.35564856431698377</v>
      </c>
      <c r="I286" s="303"/>
      <c r="J286" s="302">
        <v>0.25368206674121696</v>
      </c>
      <c r="K286" s="302">
        <v>0.306976992177449</v>
      </c>
      <c r="L286" s="302">
        <f t="shared" si="93"/>
        <v>0.56065905891866596</v>
      </c>
      <c r="M286" s="236"/>
      <c r="N286" s="236"/>
    </row>
    <row r="287" spans="1:14" x14ac:dyDescent="0.2">
      <c r="A287" s="237" t="str">
        <f>name!E$10</f>
        <v>Sales and customer service occupations</v>
      </c>
      <c r="B287" s="302">
        <v>0.9020905948567316</v>
      </c>
      <c r="C287" s="302">
        <v>0.65455376397357168</v>
      </c>
      <c r="D287" s="302">
        <f t="shared" si="91"/>
        <v>1.5566443588303032</v>
      </c>
      <c r="E287" s="303"/>
      <c r="F287" s="302">
        <v>0.75957969714214602</v>
      </c>
      <c r="G287" s="302">
        <v>0.59090320936806562</v>
      </c>
      <c r="H287" s="302">
        <f t="shared" si="92"/>
        <v>1.3504829065102117</v>
      </c>
      <c r="I287" s="303"/>
      <c r="J287" s="302">
        <v>0.87041510889774032</v>
      </c>
      <c r="K287" s="302">
        <v>0.81931568771166663</v>
      </c>
      <c r="L287" s="302">
        <f t="shared" si="93"/>
        <v>1.6897307966094068</v>
      </c>
      <c r="M287" s="236"/>
      <c r="N287" s="236"/>
    </row>
    <row r="288" spans="1:14" x14ac:dyDescent="0.2">
      <c r="A288" s="237" t="str">
        <f>name!E$11</f>
        <v>Process, plant and machine operatives</v>
      </c>
      <c r="B288" s="302">
        <v>3.3650409719548253E-2</v>
      </c>
      <c r="C288" s="302">
        <v>0.63147493953807199</v>
      </c>
      <c r="D288" s="302">
        <f t="shared" si="91"/>
        <v>0.66512534925762024</v>
      </c>
      <c r="E288" s="303"/>
      <c r="F288" s="302">
        <v>2.2673548272257697E-2</v>
      </c>
      <c r="G288" s="302">
        <v>0.40431133861642254</v>
      </c>
      <c r="H288" s="302">
        <f t="shared" si="92"/>
        <v>0.42698488688868025</v>
      </c>
      <c r="I288" s="303"/>
      <c r="J288" s="302">
        <v>3.5545420610676309E-2</v>
      </c>
      <c r="K288" s="302">
        <v>0.44750518804551076</v>
      </c>
      <c r="L288" s="302">
        <f t="shared" si="93"/>
        <v>0.4830506086561871</v>
      </c>
      <c r="M288" s="236"/>
      <c r="N288" s="236"/>
    </row>
    <row r="289" spans="1:14" x14ac:dyDescent="0.2">
      <c r="A289" s="237" t="str">
        <f>name!E$12</f>
        <v>Elementary occupations</v>
      </c>
      <c r="B289" s="302">
        <v>0.31475205118090499</v>
      </c>
      <c r="C289" s="302">
        <v>0.69043776236938037</v>
      </c>
      <c r="D289" s="302">
        <f t="shared" si="91"/>
        <v>1.0051898135502855</v>
      </c>
      <c r="E289" s="303"/>
      <c r="F289" s="302">
        <v>0.22559475342292476</v>
      </c>
      <c r="G289" s="302">
        <v>0.55289746160798148</v>
      </c>
      <c r="H289" s="302">
        <f t="shared" si="92"/>
        <v>0.77849221503090626</v>
      </c>
      <c r="I289" s="303"/>
      <c r="J289" s="302">
        <v>0.23559912609654254</v>
      </c>
      <c r="K289" s="302">
        <v>0.67087962010353464</v>
      </c>
      <c r="L289" s="302">
        <f t="shared" si="93"/>
        <v>0.90647874620007718</v>
      </c>
      <c r="M289" s="236"/>
      <c r="N289" s="236"/>
    </row>
    <row r="290" spans="1:14" x14ac:dyDescent="0.2">
      <c r="A290" s="237"/>
      <c r="B290" s="302"/>
      <c r="C290" s="302"/>
      <c r="D290" s="302"/>
      <c r="E290" s="303"/>
      <c r="F290" s="302"/>
      <c r="G290" s="302"/>
      <c r="H290" s="302"/>
      <c r="I290" s="303"/>
      <c r="J290" s="302"/>
      <c r="K290" s="302"/>
      <c r="L290" s="302"/>
      <c r="M290" s="236"/>
      <c r="N290" s="236"/>
    </row>
    <row r="291" spans="1:14" x14ac:dyDescent="0.2">
      <c r="A291" s="244" t="s">
        <v>33</v>
      </c>
      <c r="B291" s="311">
        <f>SUM(B281:B289)</f>
        <v>9.4849844683774691</v>
      </c>
      <c r="C291" s="311">
        <f t="shared" ref="C291:D291" si="94">SUM(C281:C289)</f>
        <v>15.879015531622541</v>
      </c>
      <c r="D291" s="311">
        <f t="shared" si="94"/>
        <v>25.364000000000011</v>
      </c>
      <c r="E291" s="311"/>
      <c r="F291" s="311">
        <f t="shared" ref="F291:H291" si="95">SUM(F281:F289)</f>
        <v>9.2016805468090599</v>
      </c>
      <c r="G291" s="311">
        <f t="shared" si="95"/>
        <v>13.892319453190968</v>
      </c>
      <c r="H291" s="311">
        <f t="shared" si="95"/>
        <v>23.094000000000026</v>
      </c>
      <c r="I291" s="311"/>
      <c r="J291" s="311">
        <f t="shared" ref="J291:L291" si="96">SUM(J281:J289)</f>
        <v>10.571628098436864</v>
      </c>
      <c r="K291" s="311">
        <f t="shared" si="96"/>
        <v>15.003371901563165</v>
      </c>
      <c r="L291" s="311">
        <f t="shared" si="96"/>
        <v>25.575000000000031</v>
      </c>
      <c r="M291" s="236"/>
      <c r="N291" s="236"/>
    </row>
    <row r="292" spans="1:14" x14ac:dyDescent="0.2">
      <c r="A292" s="237"/>
      <c r="B292" s="237"/>
      <c r="C292" s="237"/>
      <c r="D292" s="237"/>
      <c r="E292" s="237"/>
      <c r="F292" s="237"/>
      <c r="G292" s="237"/>
      <c r="H292" s="237"/>
      <c r="I292" s="237"/>
      <c r="J292" s="237"/>
      <c r="K292" s="237"/>
      <c r="L292" s="240"/>
      <c r="M292" s="236"/>
      <c r="N292" s="236"/>
    </row>
    <row r="293" spans="1:14" x14ac:dyDescent="0.2">
      <c r="A293" s="237"/>
      <c r="B293" s="237"/>
      <c r="C293" s="237"/>
      <c r="D293" s="237"/>
      <c r="E293" s="237"/>
      <c r="F293" s="237"/>
      <c r="G293" s="237"/>
      <c r="H293" s="237"/>
      <c r="I293" s="237"/>
      <c r="J293" s="237"/>
      <c r="K293" s="237"/>
      <c r="L293" s="256" t="s">
        <v>36</v>
      </c>
      <c r="M293" s="236"/>
      <c r="N293" s="236"/>
    </row>
    <row r="294" spans="1:14" x14ac:dyDescent="0.2">
      <c r="A294" s="242"/>
      <c r="B294" s="250"/>
      <c r="C294" s="250"/>
      <c r="D294" s="250"/>
      <c r="E294" s="250"/>
      <c r="F294" s="250"/>
      <c r="G294" s="250"/>
      <c r="H294" s="250"/>
      <c r="I294" s="250"/>
      <c r="J294" s="250"/>
      <c r="K294" s="250"/>
      <c r="L294" s="236"/>
      <c r="M294" s="236"/>
      <c r="N294" s="236"/>
    </row>
    <row r="295" spans="1:14" x14ac:dyDescent="0.2">
      <c r="A295" s="241" t="str">
        <f>name!B20</f>
        <v>Support services</v>
      </c>
      <c r="B295" s="375">
        <f>B$6</f>
        <v>2015</v>
      </c>
      <c r="C295" s="375"/>
      <c r="D295" s="375"/>
      <c r="E295" s="253"/>
      <c r="F295" s="375">
        <f>F278</f>
        <v>2020</v>
      </c>
      <c r="G295" s="375"/>
      <c r="H295" s="375"/>
      <c r="I295" s="253"/>
      <c r="J295" s="375">
        <f>J278</f>
        <v>2035</v>
      </c>
      <c r="K295" s="375"/>
      <c r="L295" s="375"/>
      <c r="M295" s="236"/>
      <c r="N295" s="236"/>
    </row>
    <row r="296" spans="1:14" x14ac:dyDescent="0.2">
      <c r="A296" s="254"/>
      <c r="B296" s="255" t="s">
        <v>361</v>
      </c>
      <c r="C296" s="255" t="s">
        <v>362</v>
      </c>
      <c r="D296" s="255" t="s">
        <v>33</v>
      </c>
      <c r="E296" s="255"/>
      <c r="F296" s="255" t="s">
        <v>361</v>
      </c>
      <c r="G296" s="255" t="s">
        <v>362</v>
      </c>
      <c r="H296" s="255" t="s">
        <v>33</v>
      </c>
      <c r="I296" s="255"/>
      <c r="J296" s="255" t="s">
        <v>361</v>
      </c>
      <c r="K296" s="255" t="s">
        <v>362</v>
      </c>
      <c r="L296" s="255" t="s">
        <v>33</v>
      </c>
      <c r="M296" s="236"/>
      <c r="N296" s="236"/>
    </row>
    <row r="297" spans="1:14" x14ac:dyDescent="0.2">
      <c r="A297" s="258"/>
      <c r="B297" s="259"/>
      <c r="C297" s="259"/>
      <c r="D297" s="259"/>
      <c r="E297" s="259"/>
      <c r="F297" s="259"/>
      <c r="G297" s="259"/>
      <c r="H297" s="259"/>
      <c r="I297" s="259"/>
      <c r="J297" s="259"/>
      <c r="K297" s="259"/>
      <c r="L297" s="259"/>
      <c r="M297" s="236"/>
      <c r="N297" s="236"/>
    </row>
    <row r="298" spans="1:14" x14ac:dyDescent="0.2">
      <c r="A298" s="237" t="str">
        <f>name!E$4</f>
        <v>Managers, directors and senior officials</v>
      </c>
      <c r="B298" s="302">
        <v>0.70651948467142223</v>
      </c>
      <c r="C298" s="302">
        <v>0.81708410041169077</v>
      </c>
      <c r="D298" s="302">
        <f>SUM(B298:C298)</f>
        <v>1.5236035850831131</v>
      </c>
      <c r="E298" s="303"/>
      <c r="F298" s="302">
        <v>0.75810200504859271</v>
      </c>
      <c r="G298" s="302">
        <v>1.201501161831692</v>
      </c>
      <c r="H298" s="302">
        <f>SUM(F298:G298)</f>
        <v>1.9596031668802847</v>
      </c>
      <c r="I298" s="303"/>
      <c r="J298" s="302">
        <v>0.88257217816104339</v>
      </c>
      <c r="K298" s="302">
        <v>1.2952653698279681</v>
      </c>
      <c r="L298" s="302">
        <f>SUM(J298:K298)</f>
        <v>2.1778375479890117</v>
      </c>
      <c r="M298" s="236"/>
      <c r="N298" s="236"/>
    </row>
    <row r="299" spans="1:14" x14ac:dyDescent="0.2">
      <c r="A299" s="237" t="str">
        <f>name!E$5</f>
        <v>Professional occupations</v>
      </c>
      <c r="B299" s="302">
        <v>1.2649127321883411</v>
      </c>
      <c r="C299" s="302">
        <v>0.84725616687094341</v>
      </c>
      <c r="D299" s="302">
        <f t="shared" ref="D299:D306" si="97">SUM(B299:C299)</f>
        <v>2.1121688990592844</v>
      </c>
      <c r="E299" s="303"/>
      <c r="F299" s="302">
        <v>1.4705212404019854</v>
      </c>
      <c r="G299" s="302">
        <v>1.3133494775558781</v>
      </c>
      <c r="H299" s="302">
        <f t="shared" ref="H299:H306" si="98">SUM(F299:G299)</f>
        <v>2.7838707179578632</v>
      </c>
      <c r="I299" s="303"/>
      <c r="J299" s="302">
        <v>1.8353952745936457</v>
      </c>
      <c r="K299" s="302">
        <v>1.4689688982875222</v>
      </c>
      <c r="L299" s="302">
        <f t="shared" ref="L299:L306" si="99">SUM(J299:K299)</f>
        <v>3.3043641728811677</v>
      </c>
      <c r="M299" s="236"/>
      <c r="N299" s="236"/>
    </row>
    <row r="300" spans="1:14" x14ac:dyDescent="0.2">
      <c r="A300" s="237" t="str">
        <f>name!E$6</f>
        <v>Associate professional occupations</v>
      </c>
      <c r="B300" s="302">
        <v>1.6504022972049119</v>
      </c>
      <c r="C300" s="302">
        <v>1.3216532932000427</v>
      </c>
      <c r="D300" s="302">
        <f t="shared" si="97"/>
        <v>2.9720555904049544</v>
      </c>
      <c r="E300" s="303"/>
      <c r="F300" s="302">
        <v>1.7115083936860487</v>
      </c>
      <c r="G300" s="302">
        <v>1.8199900692468363</v>
      </c>
      <c r="H300" s="302">
        <f t="shared" si="98"/>
        <v>3.5314984629328849</v>
      </c>
      <c r="I300" s="303"/>
      <c r="J300" s="302">
        <v>1.9312082206718446</v>
      </c>
      <c r="K300" s="302">
        <v>1.6001387257690025</v>
      </c>
      <c r="L300" s="302">
        <f t="shared" si="99"/>
        <v>3.5313469464408471</v>
      </c>
      <c r="M300" s="236"/>
      <c r="N300" s="236"/>
    </row>
    <row r="301" spans="1:14" x14ac:dyDescent="0.2">
      <c r="A301" s="237" t="str">
        <f>name!E$7</f>
        <v>Administrative and secretarial occupations</v>
      </c>
      <c r="B301" s="302">
        <v>4.6858494063973293</v>
      </c>
      <c r="C301" s="302">
        <v>1.6659532001962691</v>
      </c>
      <c r="D301" s="302">
        <f t="shared" si="97"/>
        <v>6.3518026065935986</v>
      </c>
      <c r="E301" s="303"/>
      <c r="F301" s="302">
        <v>4.2087258650198391</v>
      </c>
      <c r="G301" s="302">
        <v>2.1872193694315398</v>
      </c>
      <c r="H301" s="302">
        <f t="shared" si="98"/>
        <v>6.3959452344513785</v>
      </c>
      <c r="I301" s="303"/>
      <c r="J301" s="302">
        <v>4.0916846086853829</v>
      </c>
      <c r="K301" s="302">
        <v>2.6012645261877032</v>
      </c>
      <c r="L301" s="302">
        <f t="shared" si="99"/>
        <v>6.6929491348730856</v>
      </c>
      <c r="M301" s="236"/>
      <c r="N301" s="236"/>
    </row>
    <row r="302" spans="1:14" x14ac:dyDescent="0.2">
      <c r="A302" s="237" t="str">
        <f>name!E$8</f>
        <v>Skilled trades occupations</v>
      </c>
      <c r="B302" s="302">
        <v>0.16918380237248906</v>
      </c>
      <c r="C302" s="302">
        <v>1.0169837451914479</v>
      </c>
      <c r="D302" s="302">
        <f t="shared" si="97"/>
        <v>1.1861675475639368</v>
      </c>
      <c r="E302" s="303"/>
      <c r="F302" s="302">
        <v>0.14668657428360996</v>
      </c>
      <c r="G302" s="302">
        <v>1.0618264517545382</v>
      </c>
      <c r="H302" s="302">
        <f t="shared" si="98"/>
        <v>1.208513026038148</v>
      </c>
      <c r="I302" s="303"/>
      <c r="J302" s="302">
        <v>0.24249506201085019</v>
      </c>
      <c r="K302" s="302">
        <v>0.88871427876249298</v>
      </c>
      <c r="L302" s="302">
        <f t="shared" si="99"/>
        <v>1.1312093407733432</v>
      </c>
      <c r="M302" s="236"/>
      <c r="N302" s="236"/>
    </row>
    <row r="303" spans="1:14" x14ac:dyDescent="0.2">
      <c r="A303" s="237" t="str">
        <f>name!E$9</f>
        <v>Caring, leisure and other service occupations</v>
      </c>
      <c r="B303" s="302">
        <v>1.8170236860918034</v>
      </c>
      <c r="C303" s="302">
        <v>0.68049944482582114</v>
      </c>
      <c r="D303" s="302">
        <f t="shared" si="97"/>
        <v>2.4975231309176245</v>
      </c>
      <c r="E303" s="303"/>
      <c r="F303" s="302">
        <v>1.4697686804580321</v>
      </c>
      <c r="G303" s="302">
        <v>0.86514000000679225</v>
      </c>
      <c r="H303" s="302">
        <f t="shared" si="98"/>
        <v>2.3349086804648245</v>
      </c>
      <c r="I303" s="303"/>
      <c r="J303" s="302">
        <v>1.5397552806962183</v>
      </c>
      <c r="K303" s="302">
        <v>1.0085209378028801</v>
      </c>
      <c r="L303" s="302">
        <f t="shared" si="99"/>
        <v>2.5482762184990984</v>
      </c>
      <c r="M303" s="236"/>
      <c r="N303" s="236"/>
    </row>
    <row r="304" spans="1:14" x14ac:dyDescent="0.2">
      <c r="A304" s="237" t="str">
        <f>name!E$10</f>
        <v>Sales and customer service occupations</v>
      </c>
      <c r="B304" s="302">
        <v>1.9555363586899253</v>
      </c>
      <c r="C304" s="302">
        <v>1.8206683309717022</v>
      </c>
      <c r="D304" s="302">
        <f t="shared" si="97"/>
        <v>3.7762046896616273</v>
      </c>
      <c r="E304" s="303"/>
      <c r="F304" s="302">
        <v>1.8646844945067624</v>
      </c>
      <c r="G304" s="302">
        <v>1.9816872324988113</v>
      </c>
      <c r="H304" s="302">
        <f t="shared" si="98"/>
        <v>3.8463717270055735</v>
      </c>
      <c r="I304" s="303"/>
      <c r="J304" s="302">
        <v>2.6754088022839042</v>
      </c>
      <c r="K304" s="302">
        <v>2.4278172848965913</v>
      </c>
      <c r="L304" s="302">
        <f t="shared" si="99"/>
        <v>5.1032260871804951</v>
      </c>
      <c r="M304" s="236"/>
      <c r="N304" s="236"/>
    </row>
    <row r="305" spans="1:14" x14ac:dyDescent="0.2">
      <c r="A305" s="237" t="str">
        <f>name!E$11</f>
        <v>Process, plant and machine operatives</v>
      </c>
      <c r="B305" s="302">
        <v>0.17670692430082369</v>
      </c>
      <c r="C305" s="302">
        <v>1.6442413066850041</v>
      </c>
      <c r="D305" s="302">
        <f t="shared" si="97"/>
        <v>1.8209482309858278</v>
      </c>
      <c r="E305" s="303"/>
      <c r="F305" s="302">
        <v>0.13072342375699009</v>
      </c>
      <c r="G305" s="302">
        <v>1.7044764817285929</v>
      </c>
      <c r="H305" s="302">
        <f t="shared" si="98"/>
        <v>1.835199905485583</v>
      </c>
      <c r="I305" s="303"/>
      <c r="J305" s="302">
        <v>0.24639632038769174</v>
      </c>
      <c r="K305" s="302">
        <v>1.6605912160711396</v>
      </c>
      <c r="L305" s="302">
        <f t="shared" si="99"/>
        <v>1.9069875364588313</v>
      </c>
      <c r="M305" s="236"/>
      <c r="N305" s="236"/>
    </row>
    <row r="306" spans="1:14" x14ac:dyDescent="0.2">
      <c r="A306" s="237" t="str">
        <f>name!E$12</f>
        <v>Elementary occupations</v>
      </c>
      <c r="B306" s="302">
        <v>4.0007634085512516</v>
      </c>
      <c r="C306" s="302">
        <v>8.9267623111788268</v>
      </c>
      <c r="D306" s="302">
        <f t="shared" si="97"/>
        <v>12.927525719730077</v>
      </c>
      <c r="E306" s="303"/>
      <c r="F306" s="302">
        <v>2.9337482977453595</v>
      </c>
      <c r="G306" s="302">
        <v>8.3603407810381434</v>
      </c>
      <c r="H306" s="302">
        <f t="shared" si="98"/>
        <v>11.294089078783504</v>
      </c>
      <c r="I306" s="303"/>
      <c r="J306" s="302">
        <v>2.2896897124283013</v>
      </c>
      <c r="K306" s="302">
        <v>9.0011133024757832</v>
      </c>
      <c r="L306" s="302">
        <f t="shared" si="99"/>
        <v>11.290803014904085</v>
      </c>
      <c r="M306" s="236"/>
      <c r="N306" s="236"/>
    </row>
    <row r="307" spans="1:14" x14ac:dyDescent="0.2">
      <c r="A307" s="237"/>
      <c r="B307" s="302"/>
      <c r="C307" s="302"/>
      <c r="D307" s="302"/>
      <c r="E307" s="303"/>
      <c r="F307" s="302"/>
      <c r="G307" s="302"/>
      <c r="H307" s="302"/>
      <c r="I307" s="303"/>
      <c r="J307" s="302"/>
      <c r="K307" s="302"/>
      <c r="L307" s="302"/>
      <c r="M307" s="236"/>
      <c r="N307" s="236"/>
    </row>
    <row r="308" spans="1:14" x14ac:dyDescent="0.2">
      <c r="A308" s="244" t="s">
        <v>33</v>
      </c>
      <c r="B308" s="311">
        <f>SUM(B298:B306)</f>
        <v>16.426898100468296</v>
      </c>
      <c r="C308" s="311">
        <f t="shared" ref="C308:D308" si="100">SUM(C298:C306)</f>
        <v>18.741101899531749</v>
      </c>
      <c r="D308" s="311">
        <f t="shared" si="100"/>
        <v>35.168000000000042</v>
      </c>
      <c r="E308" s="311"/>
      <c r="F308" s="311">
        <f t="shared" ref="F308:H308" si="101">SUM(F298:F306)</f>
        <v>14.69446897490722</v>
      </c>
      <c r="G308" s="311">
        <f t="shared" si="101"/>
        <v>20.495531025092824</v>
      </c>
      <c r="H308" s="311">
        <f t="shared" si="101"/>
        <v>35.190000000000047</v>
      </c>
      <c r="I308" s="311"/>
      <c r="J308" s="311">
        <f t="shared" ref="J308:L308" si="102">SUM(J298:J306)</f>
        <v>15.734605459918882</v>
      </c>
      <c r="K308" s="311">
        <f t="shared" si="102"/>
        <v>21.952394540081084</v>
      </c>
      <c r="L308" s="311">
        <f t="shared" si="102"/>
        <v>37.686999999999969</v>
      </c>
      <c r="M308" s="236"/>
      <c r="N308" s="236"/>
    </row>
    <row r="309" spans="1:14" x14ac:dyDescent="0.2">
      <c r="A309" s="237"/>
      <c r="B309" s="237"/>
      <c r="C309" s="237"/>
      <c r="D309" s="237"/>
      <c r="E309" s="237"/>
      <c r="F309" s="237"/>
      <c r="G309" s="237"/>
      <c r="H309" s="237"/>
      <c r="I309" s="237"/>
      <c r="J309" s="237"/>
      <c r="K309" s="237"/>
      <c r="L309" s="240"/>
      <c r="M309" s="236"/>
      <c r="N309" s="236"/>
    </row>
    <row r="310" spans="1:14" x14ac:dyDescent="0.2">
      <c r="A310" s="237"/>
      <c r="B310" s="237"/>
      <c r="C310" s="237"/>
      <c r="D310" s="237"/>
      <c r="E310" s="237"/>
      <c r="F310" s="237"/>
      <c r="G310" s="237"/>
      <c r="H310" s="237"/>
      <c r="I310" s="237"/>
      <c r="J310" s="237"/>
      <c r="K310" s="237"/>
      <c r="L310" s="256" t="s">
        <v>36</v>
      </c>
      <c r="M310" s="236"/>
      <c r="N310" s="236"/>
    </row>
    <row r="311" spans="1:14" x14ac:dyDescent="0.2">
      <c r="A311" s="242"/>
      <c r="B311" s="250"/>
      <c r="C311" s="250"/>
      <c r="D311" s="250"/>
      <c r="E311" s="250"/>
      <c r="F311" s="250"/>
      <c r="G311" s="250"/>
      <c r="H311" s="250"/>
      <c r="I311" s="250"/>
      <c r="J311" s="250"/>
      <c r="K311" s="250"/>
      <c r="L311" s="236"/>
      <c r="M311" s="236"/>
      <c r="N311" s="236"/>
    </row>
    <row r="312" spans="1:14" x14ac:dyDescent="0.2">
      <c r="A312" s="241" t="str">
        <f>name!B21</f>
        <v>Public admin. and defence</v>
      </c>
      <c r="B312" s="375">
        <f>B$6</f>
        <v>2015</v>
      </c>
      <c r="C312" s="375"/>
      <c r="D312" s="375"/>
      <c r="E312" s="253"/>
      <c r="F312" s="375">
        <f>F295</f>
        <v>2020</v>
      </c>
      <c r="G312" s="375"/>
      <c r="H312" s="375"/>
      <c r="I312" s="253"/>
      <c r="J312" s="375">
        <f>J295</f>
        <v>2035</v>
      </c>
      <c r="K312" s="375"/>
      <c r="L312" s="375"/>
      <c r="M312" s="236"/>
      <c r="N312" s="236"/>
    </row>
    <row r="313" spans="1:14" x14ac:dyDescent="0.2">
      <c r="A313" s="254"/>
      <c r="B313" s="255" t="s">
        <v>361</v>
      </c>
      <c r="C313" s="255" t="s">
        <v>362</v>
      </c>
      <c r="D313" s="255" t="s">
        <v>33</v>
      </c>
      <c r="E313" s="255"/>
      <c r="F313" s="255" t="s">
        <v>361</v>
      </c>
      <c r="G313" s="255" t="s">
        <v>362</v>
      </c>
      <c r="H313" s="255" t="s">
        <v>33</v>
      </c>
      <c r="I313" s="255"/>
      <c r="J313" s="255" t="s">
        <v>361</v>
      </c>
      <c r="K313" s="255" t="s">
        <v>362</v>
      </c>
      <c r="L313" s="255" t="s">
        <v>33</v>
      </c>
      <c r="M313" s="236"/>
      <c r="N313" s="236"/>
    </row>
    <row r="314" spans="1:14" x14ac:dyDescent="0.2">
      <c r="A314" s="258"/>
      <c r="B314" s="259"/>
      <c r="C314" s="259"/>
      <c r="D314" s="259"/>
      <c r="E314" s="259"/>
      <c r="F314" s="259"/>
      <c r="G314" s="259"/>
      <c r="H314" s="259"/>
      <c r="I314" s="259"/>
      <c r="J314" s="259"/>
      <c r="K314" s="259"/>
      <c r="L314" s="259"/>
      <c r="M314" s="236"/>
      <c r="N314" s="236"/>
    </row>
    <row r="315" spans="1:14" x14ac:dyDescent="0.2">
      <c r="A315" s="237" t="str">
        <f>name!E$4</f>
        <v>Managers, directors and senior officials</v>
      </c>
      <c r="B315" s="302">
        <v>0.90185211144974964</v>
      </c>
      <c r="C315" s="302">
        <v>1.3111724953818593</v>
      </c>
      <c r="D315" s="302">
        <f>SUM(B315:C315)</f>
        <v>2.2130246068316088</v>
      </c>
      <c r="E315" s="303"/>
      <c r="F315" s="302">
        <v>1.1768556843189135</v>
      </c>
      <c r="G315" s="302">
        <v>1.337598261537909</v>
      </c>
      <c r="H315" s="302">
        <f>SUM(F315:G315)</f>
        <v>2.5144539458568227</v>
      </c>
      <c r="I315" s="303"/>
      <c r="J315" s="302">
        <v>1.3057922952215466</v>
      </c>
      <c r="K315" s="302">
        <v>1.2290245375403761</v>
      </c>
      <c r="L315" s="302">
        <f>SUM(J315:K315)</f>
        <v>2.5348168327619227</v>
      </c>
      <c r="M315" s="236"/>
      <c r="N315" s="236"/>
    </row>
    <row r="316" spans="1:14" x14ac:dyDescent="0.2">
      <c r="A316" s="237" t="str">
        <f>name!E$5</f>
        <v>Professional occupations</v>
      </c>
      <c r="B316" s="302">
        <v>3.5786355353489259</v>
      </c>
      <c r="C316" s="302">
        <v>2.2996430889887813</v>
      </c>
      <c r="D316" s="302">
        <f t="shared" ref="D316:D323" si="103">SUM(B316:C316)</f>
        <v>5.8782786243377068</v>
      </c>
      <c r="E316" s="303"/>
      <c r="F316" s="302">
        <v>4.7985081886839414</v>
      </c>
      <c r="G316" s="302">
        <v>2.6424456039120074</v>
      </c>
      <c r="H316" s="302">
        <f t="shared" ref="H316:H323" si="104">SUM(F316:G316)</f>
        <v>7.4409537925959484</v>
      </c>
      <c r="I316" s="303"/>
      <c r="J316" s="302">
        <v>5.3962996316276586</v>
      </c>
      <c r="K316" s="302">
        <v>2.9456987409731918</v>
      </c>
      <c r="L316" s="302">
        <f t="shared" ref="L316:L323" si="105">SUM(J316:K316)</f>
        <v>8.34199837260085</v>
      </c>
      <c r="M316" s="236"/>
      <c r="N316" s="236"/>
    </row>
    <row r="317" spans="1:14" x14ac:dyDescent="0.2">
      <c r="A317" s="237" t="str">
        <f>name!E$6</f>
        <v>Associate professional occupations</v>
      </c>
      <c r="B317" s="302">
        <v>3.7242503641404268</v>
      </c>
      <c r="C317" s="302">
        <v>4.946753266385536</v>
      </c>
      <c r="D317" s="302">
        <f t="shared" si="103"/>
        <v>8.6710036305259628</v>
      </c>
      <c r="E317" s="303"/>
      <c r="F317" s="302">
        <v>4.3356529923971774</v>
      </c>
      <c r="G317" s="302">
        <v>5.1154007724961508</v>
      </c>
      <c r="H317" s="302">
        <f t="shared" si="104"/>
        <v>9.4510537648933273</v>
      </c>
      <c r="I317" s="303"/>
      <c r="J317" s="302">
        <v>5.2979162230790253</v>
      </c>
      <c r="K317" s="302">
        <v>4.8038929259145853</v>
      </c>
      <c r="L317" s="302">
        <f t="shared" si="105"/>
        <v>10.10180914899361</v>
      </c>
      <c r="M317" s="236"/>
      <c r="N317" s="236"/>
    </row>
    <row r="318" spans="1:14" x14ac:dyDescent="0.2">
      <c r="A318" s="237" t="str">
        <f>name!E$7</f>
        <v>Administrative and secretarial occupations</v>
      </c>
      <c r="B318" s="302">
        <v>7.7315875904977185</v>
      </c>
      <c r="C318" s="302">
        <v>1.9082046005312949</v>
      </c>
      <c r="D318" s="302">
        <f t="shared" si="103"/>
        <v>9.639792191029013</v>
      </c>
      <c r="E318" s="303"/>
      <c r="F318" s="302">
        <v>6.8148588670818402</v>
      </c>
      <c r="G318" s="302">
        <v>1.8777369800277257</v>
      </c>
      <c r="H318" s="302">
        <f t="shared" si="104"/>
        <v>8.6925958471095655</v>
      </c>
      <c r="I318" s="303"/>
      <c r="J318" s="302">
        <v>4.7046967958893822</v>
      </c>
      <c r="K318" s="302">
        <v>1.4908157594805007</v>
      </c>
      <c r="L318" s="302">
        <f t="shared" si="105"/>
        <v>6.1955125553698824</v>
      </c>
      <c r="M318" s="236"/>
      <c r="N318" s="236"/>
    </row>
    <row r="319" spans="1:14" x14ac:dyDescent="0.2">
      <c r="A319" s="237" t="str">
        <f>name!E$8</f>
        <v>Skilled trades occupations</v>
      </c>
      <c r="B319" s="302">
        <v>7.1535652624983945E-2</v>
      </c>
      <c r="C319" s="302">
        <v>0.40006180741737812</v>
      </c>
      <c r="D319" s="302">
        <f t="shared" si="103"/>
        <v>0.47159746004236208</v>
      </c>
      <c r="E319" s="303"/>
      <c r="F319" s="302">
        <v>8.4113151705781208E-2</v>
      </c>
      <c r="G319" s="302">
        <v>0.24615342418831479</v>
      </c>
      <c r="H319" s="302">
        <f t="shared" si="104"/>
        <v>0.33026657589409603</v>
      </c>
      <c r="I319" s="303"/>
      <c r="J319" s="302">
        <v>0.18050154395297391</v>
      </c>
      <c r="K319" s="302">
        <v>0.19766477858045314</v>
      </c>
      <c r="L319" s="302">
        <f t="shared" si="105"/>
        <v>0.37816632253342708</v>
      </c>
      <c r="M319" s="236"/>
      <c r="N319" s="236"/>
    </row>
    <row r="320" spans="1:14" x14ac:dyDescent="0.2">
      <c r="A320" s="237" t="str">
        <f>name!E$9</f>
        <v>Caring, leisure and other service occupations</v>
      </c>
      <c r="B320" s="302">
        <v>0.91530013624730877</v>
      </c>
      <c r="C320" s="302">
        <v>0.32448290625942572</v>
      </c>
      <c r="D320" s="302">
        <f t="shared" si="103"/>
        <v>1.2397830425067344</v>
      </c>
      <c r="E320" s="303"/>
      <c r="F320" s="302">
        <v>0.88824420589750819</v>
      </c>
      <c r="G320" s="302">
        <v>0.30440051203989221</v>
      </c>
      <c r="H320" s="302">
        <f t="shared" si="104"/>
        <v>1.1926447179374005</v>
      </c>
      <c r="I320" s="303"/>
      <c r="J320" s="302">
        <v>0.89290324198156446</v>
      </c>
      <c r="K320" s="302">
        <v>0.30264296863834039</v>
      </c>
      <c r="L320" s="302">
        <f t="shared" si="105"/>
        <v>1.1955462106199048</v>
      </c>
      <c r="M320" s="236"/>
      <c r="N320" s="236"/>
    </row>
    <row r="321" spans="1:14" x14ac:dyDescent="0.2">
      <c r="A321" s="237" t="str">
        <f>name!E$10</f>
        <v>Sales and customer service occupations</v>
      </c>
      <c r="B321" s="302">
        <v>0.70314268423071347</v>
      </c>
      <c r="C321" s="302">
        <v>0.22317891583393559</v>
      </c>
      <c r="D321" s="302">
        <f t="shared" si="103"/>
        <v>0.92632160006464903</v>
      </c>
      <c r="E321" s="303"/>
      <c r="F321" s="302">
        <v>0.67407964790288899</v>
      </c>
      <c r="G321" s="302">
        <v>0.18842709194389709</v>
      </c>
      <c r="H321" s="302">
        <f t="shared" si="104"/>
        <v>0.86250673984678605</v>
      </c>
      <c r="I321" s="303"/>
      <c r="J321" s="302">
        <v>0.74272264452132863</v>
      </c>
      <c r="K321" s="302">
        <v>0.23097760045366036</v>
      </c>
      <c r="L321" s="302">
        <f t="shared" si="105"/>
        <v>0.97370024497498897</v>
      </c>
      <c r="M321" s="236"/>
      <c r="N321" s="236"/>
    </row>
    <row r="322" spans="1:14" x14ac:dyDescent="0.2">
      <c r="A322" s="237" t="str">
        <f>name!E$11</f>
        <v>Process, plant and machine operatives</v>
      </c>
      <c r="B322" s="302">
        <v>6.9837502038681207E-2</v>
      </c>
      <c r="C322" s="302">
        <v>0.29193066317932143</v>
      </c>
      <c r="D322" s="302">
        <f t="shared" si="103"/>
        <v>0.36176816521800265</v>
      </c>
      <c r="E322" s="303"/>
      <c r="F322" s="302">
        <v>5.3600497701659915E-2</v>
      </c>
      <c r="G322" s="302">
        <v>0.20885204426335657</v>
      </c>
      <c r="H322" s="302">
        <f t="shared" si="104"/>
        <v>0.26245254196501649</v>
      </c>
      <c r="I322" s="303"/>
      <c r="J322" s="302">
        <v>7.9823486134148053E-2</v>
      </c>
      <c r="K322" s="302">
        <v>0.19520281902824504</v>
      </c>
      <c r="L322" s="302">
        <f t="shared" si="105"/>
        <v>0.27502630516239313</v>
      </c>
      <c r="M322" s="236"/>
      <c r="N322" s="236"/>
    </row>
    <row r="323" spans="1:14" x14ac:dyDescent="0.2">
      <c r="A323" s="237" t="str">
        <f>name!E$12</f>
        <v>Elementary occupations</v>
      </c>
      <c r="B323" s="302">
        <v>0.59684380691636263</v>
      </c>
      <c r="C323" s="302">
        <v>0.57358687252766205</v>
      </c>
      <c r="D323" s="302">
        <f t="shared" si="103"/>
        <v>1.1704306794440247</v>
      </c>
      <c r="E323" s="303"/>
      <c r="F323" s="302">
        <v>0.44443866245027702</v>
      </c>
      <c r="G323" s="302">
        <v>0.41563341145078114</v>
      </c>
      <c r="H323" s="302">
        <f t="shared" si="104"/>
        <v>0.86007207390105811</v>
      </c>
      <c r="I323" s="303"/>
      <c r="J323" s="302">
        <v>0.32579257565545239</v>
      </c>
      <c r="K323" s="302">
        <v>0.32463143132756728</v>
      </c>
      <c r="L323" s="302">
        <f t="shared" si="105"/>
        <v>0.65042400698301961</v>
      </c>
      <c r="M323" s="236"/>
      <c r="N323" s="236"/>
    </row>
    <row r="324" spans="1:14" x14ac:dyDescent="0.2">
      <c r="A324" s="237"/>
      <c r="B324" s="302"/>
      <c r="C324" s="302"/>
      <c r="D324" s="302"/>
      <c r="E324" s="303"/>
      <c r="F324" s="302"/>
      <c r="G324" s="302"/>
      <c r="H324" s="302"/>
      <c r="I324" s="303"/>
      <c r="J324" s="302"/>
      <c r="K324" s="302"/>
      <c r="L324" s="302"/>
      <c r="M324" s="236"/>
      <c r="N324" s="236"/>
    </row>
    <row r="325" spans="1:14" x14ac:dyDescent="0.2">
      <c r="A325" s="244" t="s">
        <v>33</v>
      </c>
      <c r="B325" s="311">
        <f>SUM(B315:B323)</f>
        <v>18.292985383494866</v>
      </c>
      <c r="C325" s="311">
        <f t="shared" ref="C325:D325" si="106">SUM(C315:C323)</f>
        <v>12.279014616505195</v>
      </c>
      <c r="D325" s="311">
        <f t="shared" si="106"/>
        <v>30.572000000000063</v>
      </c>
      <c r="E325" s="311"/>
      <c r="F325" s="311">
        <f t="shared" ref="F325:H325" si="107">SUM(F315:F323)</f>
        <v>19.270351898139989</v>
      </c>
      <c r="G325" s="311">
        <f t="shared" si="107"/>
        <v>12.336648101860032</v>
      </c>
      <c r="H325" s="311">
        <f t="shared" si="107"/>
        <v>31.607000000000021</v>
      </c>
      <c r="I325" s="311"/>
      <c r="J325" s="311">
        <f t="shared" ref="J325:L325" si="108">SUM(J315:J323)</f>
        <v>18.926448438063083</v>
      </c>
      <c r="K325" s="311">
        <f t="shared" si="108"/>
        <v>11.72055156193692</v>
      </c>
      <c r="L325" s="311">
        <f t="shared" si="108"/>
        <v>30.646999999999998</v>
      </c>
      <c r="M325" s="236"/>
      <c r="N325" s="236"/>
    </row>
    <row r="326" spans="1:14" x14ac:dyDescent="0.2">
      <c r="A326" s="237"/>
      <c r="B326" s="237"/>
      <c r="C326" s="237"/>
      <c r="D326" s="237"/>
      <c r="E326" s="237"/>
      <c r="F326" s="237"/>
      <c r="G326" s="237"/>
      <c r="H326" s="237"/>
      <c r="I326" s="237"/>
      <c r="J326" s="237"/>
      <c r="K326" s="237"/>
      <c r="L326" s="240"/>
      <c r="M326" s="236"/>
      <c r="N326" s="236"/>
    </row>
    <row r="327" spans="1:14" x14ac:dyDescent="0.2">
      <c r="A327" s="237"/>
      <c r="B327" s="237"/>
      <c r="C327" s="237"/>
      <c r="D327" s="237"/>
      <c r="E327" s="237"/>
      <c r="F327" s="237"/>
      <c r="G327" s="237"/>
      <c r="H327" s="237"/>
      <c r="I327" s="237"/>
      <c r="J327" s="237"/>
      <c r="K327" s="237"/>
      <c r="L327" s="256" t="s">
        <v>36</v>
      </c>
      <c r="M327" s="236"/>
      <c r="N327" s="236"/>
    </row>
    <row r="328" spans="1:14" x14ac:dyDescent="0.2">
      <c r="A328" s="242"/>
      <c r="B328" s="250"/>
      <c r="C328" s="250"/>
      <c r="D328" s="250"/>
      <c r="E328" s="250"/>
      <c r="F328" s="250"/>
      <c r="G328" s="250"/>
      <c r="H328" s="250"/>
      <c r="I328" s="250"/>
      <c r="J328" s="250"/>
      <c r="K328" s="250"/>
      <c r="L328" s="236"/>
      <c r="M328" s="236"/>
      <c r="N328" s="236"/>
    </row>
    <row r="329" spans="1:14" x14ac:dyDescent="0.2">
      <c r="A329" s="241" t="str">
        <f>name!B22</f>
        <v>Education</v>
      </c>
      <c r="B329" s="375">
        <f>B$6</f>
        <v>2015</v>
      </c>
      <c r="C329" s="375"/>
      <c r="D329" s="375"/>
      <c r="E329" s="253"/>
      <c r="F329" s="375">
        <f>F312</f>
        <v>2020</v>
      </c>
      <c r="G329" s="375"/>
      <c r="H329" s="375"/>
      <c r="I329" s="253"/>
      <c r="J329" s="375">
        <f>J312</f>
        <v>2035</v>
      </c>
      <c r="K329" s="375"/>
      <c r="L329" s="375"/>
      <c r="M329" s="236"/>
      <c r="N329" s="236"/>
    </row>
    <row r="330" spans="1:14" x14ac:dyDescent="0.2">
      <c r="A330" s="254"/>
      <c r="B330" s="255" t="s">
        <v>361</v>
      </c>
      <c r="C330" s="255" t="s">
        <v>362</v>
      </c>
      <c r="D330" s="255" t="s">
        <v>33</v>
      </c>
      <c r="E330" s="255"/>
      <c r="F330" s="255" t="s">
        <v>361</v>
      </c>
      <c r="G330" s="255" t="s">
        <v>362</v>
      </c>
      <c r="H330" s="255" t="s">
        <v>33</v>
      </c>
      <c r="I330" s="255"/>
      <c r="J330" s="255" t="s">
        <v>361</v>
      </c>
      <c r="K330" s="255" t="s">
        <v>362</v>
      </c>
      <c r="L330" s="255" t="s">
        <v>33</v>
      </c>
      <c r="M330" s="236"/>
      <c r="N330" s="236"/>
    </row>
    <row r="331" spans="1:14" x14ac:dyDescent="0.2">
      <c r="A331" s="258"/>
      <c r="B331" s="259"/>
      <c r="C331" s="259"/>
      <c r="D331" s="259"/>
      <c r="E331" s="259"/>
      <c r="F331" s="259"/>
      <c r="G331" s="259"/>
      <c r="H331" s="259"/>
      <c r="I331" s="259"/>
      <c r="J331" s="259"/>
      <c r="K331" s="259"/>
      <c r="L331" s="259"/>
      <c r="M331" s="236"/>
      <c r="N331" s="236"/>
    </row>
    <row r="332" spans="1:14" x14ac:dyDescent="0.2">
      <c r="A332" s="237" t="str">
        <f>name!E$4</f>
        <v>Managers, directors and senior officials</v>
      </c>
      <c r="B332" s="302">
        <v>0.48970729763696924</v>
      </c>
      <c r="C332" s="302">
        <v>0.62240096502790276</v>
      </c>
      <c r="D332" s="302">
        <f>SUM(B332:C332)</f>
        <v>1.1121082626648719</v>
      </c>
      <c r="E332" s="303"/>
      <c r="F332" s="302">
        <v>0.53548348746648278</v>
      </c>
      <c r="G332" s="302">
        <v>0.50029993840934095</v>
      </c>
      <c r="H332" s="302">
        <f>SUM(F332:G332)</f>
        <v>1.0357834258758238</v>
      </c>
      <c r="I332" s="303"/>
      <c r="J332" s="302">
        <v>0.65037521375960528</v>
      </c>
      <c r="K332" s="302">
        <v>0.44013872647221386</v>
      </c>
      <c r="L332" s="302">
        <f>SUM(J332:K332)</f>
        <v>1.0905139402318191</v>
      </c>
      <c r="M332" s="236"/>
      <c r="N332" s="236"/>
    </row>
    <row r="333" spans="1:14" x14ac:dyDescent="0.2">
      <c r="A333" s="237" t="str">
        <f>name!E$5</f>
        <v>Professional occupations</v>
      </c>
      <c r="B333" s="302">
        <v>11.65380743304943</v>
      </c>
      <c r="C333" s="302">
        <v>9.8359918965485384</v>
      </c>
      <c r="D333" s="302">
        <f t="shared" ref="D333:D340" si="109">SUM(B333:C333)</f>
        <v>21.489799329597968</v>
      </c>
      <c r="E333" s="303"/>
      <c r="F333" s="302">
        <v>14.335117695929172</v>
      </c>
      <c r="G333" s="302">
        <v>7.8962547663433096</v>
      </c>
      <c r="H333" s="302">
        <f t="shared" ref="H333:H340" si="110">SUM(F333:G333)</f>
        <v>22.231372462272482</v>
      </c>
      <c r="I333" s="303"/>
      <c r="J333" s="302">
        <v>17.333674957897042</v>
      </c>
      <c r="K333" s="302">
        <v>9.0792271296552123</v>
      </c>
      <c r="L333" s="302">
        <f t="shared" ref="L333:L340" si="111">SUM(J333:K333)</f>
        <v>26.412902087552254</v>
      </c>
      <c r="M333" s="236"/>
      <c r="N333" s="236"/>
    </row>
    <row r="334" spans="1:14" x14ac:dyDescent="0.2">
      <c r="A334" s="237" t="str">
        <f>name!E$6</f>
        <v>Associate professional occupations</v>
      </c>
      <c r="B334" s="302">
        <v>1.5574033032242394</v>
      </c>
      <c r="C334" s="302">
        <v>1.6573084035389565</v>
      </c>
      <c r="D334" s="302">
        <f t="shared" si="109"/>
        <v>3.2147117067631958</v>
      </c>
      <c r="E334" s="303"/>
      <c r="F334" s="302">
        <v>1.8055039876372689</v>
      </c>
      <c r="G334" s="302">
        <v>1.3372053910324617</v>
      </c>
      <c r="H334" s="302">
        <f t="shared" si="110"/>
        <v>3.1427093786697307</v>
      </c>
      <c r="I334" s="303"/>
      <c r="J334" s="302">
        <v>2.0624503767765363</v>
      </c>
      <c r="K334" s="302">
        <v>1.0187544447838526</v>
      </c>
      <c r="L334" s="302">
        <f t="shared" si="111"/>
        <v>3.0812048215603891</v>
      </c>
      <c r="M334" s="236"/>
      <c r="N334" s="236"/>
    </row>
    <row r="335" spans="1:14" x14ac:dyDescent="0.2">
      <c r="A335" s="237" t="str">
        <f>name!E$7</f>
        <v>Administrative and secretarial occupations</v>
      </c>
      <c r="B335" s="302">
        <v>2.5290013525211483</v>
      </c>
      <c r="C335" s="302">
        <v>0.45488767201580982</v>
      </c>
      <c r="D335" s="302">
        <f t="shared" si="109"/>
        <v>2.9838890245369583</v>
      </c>
      <c r="E335" s="303"/>
      <c r="F335" s="302">
        <v>2.3372913743388795</v>
      </c>
      <c r="G335" s="302">
        <v>0.33033963701646235</v>
      </c>
      <c r="H335" s="302">
        <f t="shared" si="110"/>
        <v>2.6676310113553416</v>
      </c>
      <c r="I335" s="303"/>
      <c r="J335" s="302">
        <v>1.5304718451881372</v>
      </c>
      <c r="K335" s="302">
        <v>0.31136167579549995</v>
      </c>
      <c r="L335" s="302">
        <f t="shared" si="111"/>
        <v>1.8418335209836372</v>
      </c>
      <c r="M335" s="236"/>
      <c r="N335" s="236"/>
    </row>
    <row r="336" spans="1:14" x14ac:dyDescent="0.2">
      <c r="A336" s="237" t="str">
        <f>name!E$8</f>
        <v>Skilled trades occupations</v>
      </c>
      <c r="B336" s="302">
        <v>0.50150655285938062</v>
      </c>
      <c r="C336" s="302">
        <v>0.58504374627686639</v>
      </c>
      <c r="D336" s="302">
        <f t="shared" si="109"/>
        <v>1.086550299136247</v>
      </c>
      <c r="E336" s="303"/>
      <c r="F336" s="302">
        <v>0.36158547469800228</v>
      </c>
      <c r="G336" s="302">
        <v>0.42781130529569694</v>
      </c>
      <c r="H336" s="302">
        <f t="shared" si="110"/>
        <v>0.78939677999369917</v>
      </c>
      <c r="I336" s="303"/>
      <c r="J336" s="302">
        <v>0.34148293955598746</v>
      </c>
      <c r="K336" s="302">
        <v>0.47443187843958823</v>
      </c>
      <c r="L336" s="302">
        <f t="shared" si="111"/>
        <v>0.81591481799557575</v>
      </c>
      <c r="M336" s="236"/>
      <c r="N336" s="236"/>
    </row>
    <row r="337" spans="1:14" x14ac:dyDescent="0.2">
      <c r="A337" s="237" t="str">
        <f>name!E$9</f>
        <v>Caring, leisure and other service occupations</v>
      </c>
      <c r="B337" s="302">
        <v>9.1405626313250075</v>
      </c>
      <c r="C337" s="302">
        <v>1.2168241097099719</v>
      </c>
      <c r="D337" s="302">
        <f t="shared" si="109"/>
        <v>10.357386741034979</v>
      </c>
      <c r="E337" s="303"/>
      <c r="F337" s="302">
        <v>8.8831256136462358</v>
      </c>
      <c r="G337" s="302">
        <v>0.85325100427048906</v>
      </c>
      <c r="H337" s="302">
        <f t="shared" si="110"/>
        <v>9.7363766179167257</v>
      </c>
      <c r="I337" s="303"/>
      <c r="J337" s="302">
        <v>10.507466721502443</v>
      </c>
      <c r="K337" s="302">
        <v>0.92578026279780612</v>
      </c>
      <c r="L337" s="302">
        <f t="shared" si="111"/>
        <v>11.433246984300249</v>
      </c>
      <c r="M337" s="236"/>
      <c r="N337" s="236"/>
    </row>
    <row r="338" spans="1:14" x14ac:dyDescent="0.2">
      <c r="A338" s="237" t="str">
        <f>name!E$10</f>
        <v>Sales and customer service occupations</v>
      </c>
      <c r="B338" s="302">
        <v>0.30812561357972118</v>
      </c>
      <c r="C338" s="302">
        <v>0.15141169444432279</v>
      </c>
      <c r="D338" s="302">
        <f t="shared" si="109"/>
        <v>0.45953730802404397</v>
      </c>
      <c r="E338" s="303"/>
      <c r="F338" s="302">
        <v>0.23490785961123936</v>
      </c>
      <c r="G338" s="302">
        <v>0.14361531969110183</v>
      </c>
      <c r="H338" s="302">
        <f t="shared" si="110"/>
        <v>0.3785231793023412</v>
      </c>
      <c r="I338" s="303"/>
      <c r="J338" s="302">
        <v>0.24370740915410868</v>
      </c>
      <c r="K338" s="302">
        <v>0.16638777234942209</v>
      </c>
      <c r="L338" s="302">
        <f t="shared" si="111"/>
        <v>0.41009518150353075</v>
      </c>
      <c r="M338" s="236"/>
      <c r="N338" s="236"/>
    </row>
    <row r="339" spans="1:14" x14ac:dyDescent="0.2">
      <c r="A339" s="237" t="str">
        <f>name!E$11</f>
        <v>Process, plant and machine operatives</v>
      </c>
      <c r="B339" s="302">
        <v>0.18722802039463948</v>
      </c>
      <c r="C339" s="302">
        <v>0.67258412461363559</v>
      </c>
      <c r="D339" s="302">
        <f t="shared" si="109"/>
        <v>0.85981214500827507</v>
      </c>
      <c r="E339" s="303"/>
      <c r="F339" s="302">
        <v>0.14029889918548305</v>
      </c>
      <c r="G339" s="302">
        <v>0.89320290102685262</v>
      </c>
      <c r="H339" s="302">
        <f t="shared" si="110"/>
        <v>1.0335018002123357</v>
      </c>
      <c r="I339" s="303"/>
      <c r="J339" s="302">
        <v>0.16481704186200782</v>
      </c>
      <c r="K339" s="302">
        <v>0.8759696781667925</v>
      </c>
      <c r="L339" s="302">
        <f t="shared" si="111"/>
        <v>1.0407867200288003</v>
      </c>
      <c r="M339" s="236"/>
      <c r="N339" s="236"/>
    </row>
    <row r="340" spans="1:14" x14ac:dyDescent="0.2">
      <c r="A340" s="237" t="str">
        <f>name!E$12</f>
        <v>Elementary occupations</v>
      </c>
      <c r="B340" s="302">
        <v>2.1976708098775148</v>
      </c>
      <c r="C340" s="302">
        <v>0.46653437335601089</v>
      </c>
      <c r="D340" s="302">
        <f t="shared" si="109"/>
        <v>2.6642051832335256</v>
      </c>
      <c r="E340" s="303"/>
      <c r="F340" s="302">
        <v>1.5993466973822066</v>
      </c>
      <c r="G340" s="302">
        <v>0.38635864701936895</v>
      </c>
      <c r="H340" s="302">
        <f t="shared" si="110"/>
        <v>1.9857053444015755</v>
      </c>
      <c r="I340" s="303"/>
      <c r="J340" s="302">
        <v>0.54248546940848941</v>
      </c>
      <c r="K340" s="302">
        <v>0.47301645643530221</v>
      </c>
      <c r="L340" s="302">
        <f t="shared" si="111"/>
        <v>1.0155019258437916</v>
      </c>
      <c r="M340" s="236"/>
      <c r="N340" s="236"/>
    </row>
    <row r="341" spans="1:14" x14ac:dyDescent="0.2">
      <c r="A341" s="237"/>
      <c r="B341" s="302"/>
      <c r="C341" s="302"/>
      <c r="D341" s="302"/>
      <c r="E341" s="303"/>
      <c r="F341" s="302"/>
      <c r="G341" s="302"/>
      <c r="H341" s="302"/>
      <c r="I341" s="303"/>
      <c r="J341" s="302"/>
      <c r="K341" s="302"/>
      <c r="L341" s="302"/>
      <c r="M341" s="236"/>
      <c r="N341" s="236"/>
    </row>
    <row r="342" spans="1:14" x14ac:dyDescent="0.2">
      <c r="A342" s="244" t="s">
        <v>33</v>
      </c>
      <c r="B342" s="311">
        <f>SUM(B332:B340)</f>
        <v>28.56501301446805</v>
      </c>
      <c r="C342" s="311">
        <f t="shared" ref="C342:D342" si="112">SUM(C332:C340)</f>
        <v>15.662986985532013</v>
      </c>
      <c r="D342" s="311">
        <f t="shared" si="112"/>
        <v>44.228000000000065</v>
      </c>
      <c r="E342" s="311"/>
      <c r="F342" s="311">
        <f t="shared" ref="F342:H342" si="113">SUM(F332:F340)</f>
        <v>30.232661089894972</v>
      </c>
      <c r="G342" s="311">
        <f t="shared" si="113"/>
        <v>12.768338910105085</v>
      </c>
      <c r="H342" s="311">
        <f t="shared" si="113"/>
        <v>43.001000000000047</v>
      </c>
      <c r="I342" s="311"/>
      <c r="J342" s="311">
        <f t="shared" ref="J342:L342" si="114">SUM(J332:J340)</f>
        <v>33.376931975104362</v>
      </c>
      <c r="K342" s="311">
        <f t="shared" si="114"/>
        <v>13.765068024895688</v>
      </c>
      <c r="L342" s="311">
        <f t="shared" si="114"/>
        <v>47.142000000000039</v>
      </c>
      <c r="M342" s="236"/>
      <c r="N342" s="236"/>
    </row>
    <row r="343" spans="1:14" x14ac:dyDescent="0.2">
      <c r="A343" s="237"/>
      <c r="B343" s="237"/>
      <c r="C343" s="237"/>
      <c r="D343" s="237"/>
      <c r="E343" s="237"/>
      <c r="F343" s="237"/>
      <c r="G343" s="237"/>
      <c r="H343" s="237"/>
      <c r="I343" s="237"/>
      <c r="J343" s="237"/>
      <c r="K343" s="237"/>
      <c r="L343" s="240"/>
      <c r="M343" s="236"/>
      <c r="N343" s="236"/>
    </row>
    <row r="344" spans="1:14" x14ac:dyDescent="0.2">
      <c r="A344" s="237"/>
      <c r="B344" s="237"/>
      <c r="C344" s="237"/>
      <c r="D344" s="237"/>
      <c r="E344" s="237"/>
      <c r="F344" s="237"/>
      <c r="G344" s="237"/>
      <c r="H344" s="237"/>
      <c r="I344" s="237"/>
      <c r="J344" s="237"/>
      <c r="K344" s="237"/>
      <c r="L344" s="256" t="s">
        <v>36</v>
      </c>
      <c r="M344" s="236"/>
      <c r="N344" s="236"/>
    </row>
    <row r="345" spans="1:14" x14ac:dyDescent="0.2">
      <c r="A345" s="242"/>
      <c r="B345" s="250"/>
      <c r="C345" s="250"/>
      <c r="D345" s="250"/>
      <c r="E345" s="250"/>
      <c r="F345" s="250"/>
      <c r="G345" s="250"/>
      <c r="H345" s="250"/>
      <c r="I345" s="250"/>
      <c r="J345" s="250"/>
      <c r="K345" s="250"/>
      <c r="L345" s="236"/>
      <c r="M345" s="236"/>
      <c r="N345" s="236"/>
    </row>
    <row r="346" spans="1:14" x14ac:dyDescent="0.2">
      <c r="A346" s="241" t="str">
        <f>name!B23</f>
        <v>Health and social work</v>
      </c>
      <c r="B346" s="375">
        <f>B$6</f>
        <v>2015</v>
      </c>
      <c r="C346" s="375"/>
      <c r="D346" s="375"/>
      <c r="E346" s="253"/>
      <c r="F346" s="375">
        <f>F329</f>
        <v>2020</v>
      </c>
      <c r="G346" s="375"/>
      <c r="H346" s="375"/>
      <c r="I346" s="253"/>
      <c r="J346" s="375">
        <f>J329</f>
        <v>2035</v>
      </c>
      <c r="K346" s="375"/>
      <c r="L346" s="375"/>
      <c r="M346" s="236"/>
      <c r="N346" s="236"/>
    </row>
    <row r="347" spans="1:14" x14ac:dyDescent="0.2">
      <c r="A347" s="254"/>
      <c r="B347" s="255" t="s">
        <v>361</v>
      </c>
      <c r="C347" s="255" t="s">
        <v>362</v>
      </c>
      <c r="D347" s="255" t="s">
        <v>33</v>
      </c>
      <c r="E347" s="255"/>
      <c r="F347" s="255" t="s">
        <v>361</v>
      </c>
      <c r="G347" s="255" t="s">
        <v>362</v>
      </c>
      <c r="H347" s="255" t="s">
        <v>33</v>
      </c>
      <c r="I347" s="255"/>
      <c r="J347" s="255" t="s">
        <v>361</v>
      </c>
      <c r="K347" s="255" t="s">
        <v>362</v>
      </c>
      <c r="L347" s="255" t="s">
        <v>33</v>
      </c>
      <c r="M347" s="236"/>
      <c r="N347" s="236"/>
    </row>
    <row r="348" spans="1:14" x14ac:dyDescent="0.2">
      <c r="A348" s="258"/>
      <c r="B348" s="259"/>
      <c r="C348" s="259"/>
      <c r="D348" s="259"/>
      <c r="E348" s="259"/>
      <c r="F348" s="259"/>
      <c r="G348" s="259"/>
      <c r="H348" s="259"/>
      <c r="I348" s="259"/>
      <c r="J348" s="259"/>
      <c r="K348" s="259"/>
      <c r="L348" s="259"/>
      <c r="M348" s="236"/>
      <c r="N348" s="236"/>
    </row>
    <row r="349" spans="1:14" x14ac:dyDescent="0.2">
      <c r="A349" s="237" t="str">
        <f>name!E$4</f>
        <v>Managers, directors and senior officials</v>
      </c>
      <c r="B349" s="302">
        <v>2.0384909859833171</v>
      </c>
      <c r="C349" s="302">
        <v>0.92413699563541418</v>
      </c>
      <c r="D349" s="302">
        <f>SUM(B349:C349)</f>
        <v>2.9626279816187315</v>
      </c>
      <c r="E349" s="303"/>
      <c r="F349" s="302">
        <v>2.158281939384211</v>
      </c>
      <c r="G349" s="302">
        <v>0.8726652227969155</v>
      </c>
      <c r="H349" s="302">
        <f>SUM(F349:G349)</f>
        <v>3.0309471621811266</v>
      </c>
      <c r="I349" s="303"/>
      <c r="J349" s="302">
        <v>2.7864950071140702</v>
      </c>
      <c r="K349" s="302">
        <v>0.94149477225440625</v>
      </c>
      <c r="L349" s="302">
        <f>SUM(J349:K349)</f>
        <v>3.7279897793684764</v>
      </c>
      <c r="M349" s="236"/>
      <c r="N349" s="236"/>
    </row>
    <row r="350" spans="1:14" x14ac:dyDescent="0.2">
      <c r="A350" s="237" t="str">
        <f>name!E$5</f>
        <v>Professional occupations</v>
      </c>
      <c r="B350" s="302">
        <v>18.996203941011505</v>
      </c>
      <c r="C350" s="302">
        <v>5.7650989747012735</v>
      </c>
      <c r="D350" s="302">
        <f t="shared" ref="D350:D357" si="115">SUM(B350:C350)</f>
        <v>24.761302915712779</v>
      </c>
      <c r="E350" s="303"/>
      <c r="F350" s="302">
        <v>19.493868824072994</v>
      </c>
      <c r="G350" s="302">
        <v>6.2100128317866634</v>
      </c>
      <c r="H350" s="302">
        <f t="shared" ref="H350:H357" si="116">SUM(F350:G350)</f>
        <v>25.703881655859657</v>
      </c>
      <c r="I350" s="303"/>
      <c r="J350" s="302">
        <v>24.449131374150578</v>
      </c>
      <c r="K350" s="302">
        <v>7.3449918530529867</v>
      </c>
      <c r="L350" s="302">
        <f t="shared" ref="L350:L357" si="117">SUM(J350:K350)</f>
        <v>31.794123227203563</v>
      </c>
      <c r="M350" s="236"/>
      <c r="N350" s="236"/>
    </row>
    <row r="351" spans="1:14" x14ac:dyDescent="0.2">
      <c r="A351" s="237" t="str">
        <f>name!E$6</f>
        <v>Associate professional occupations</v>
      </c>
      <c r="B351" s="302">
        <v>6.8128528419383327</v>
      </c>
      <c r="C351" s="302">
        <v>2.3616641062501236</v>
      </c>
      <c r="D351" s="302">
        <f t="shared" si="115"/>
        <v>9.1745169481884563</v>
      </c>
      <c r="E351" s="303"/>
      <c r="F351" s="302">
        <v>7.0947272394042376</v>
      </c>
      <c r="G351" s="302">
        <v>2.3579373825330268</v>
      </c>
      <c r="H351" s="302">
        <f t="shared" si="116"/>
        <v>9.4526646219372648</v>
      </c>
      <c r="I351" s="303"/>
      <c r="J351" s="302">
        <v>8.0128560474933348</v>
      </c>
      <c r="K351" s="302">
        <v>2.2991031046481321</v>
      </c>
      <c r="L351" s="302">
        <f t="shared" si="117"/>
        <v>10.311959152141467</v>
      </c>
      <c r="M351" s="236"/>
      <c r="N351" s="236"/>
    </row>
    <row r="352" spans="1:14" x14ac:dyDescent="0.2">
      <c r="A352" s="237" t="str">
        <f>name!E$7</f>
        <v>Administrative and secretarial occupations</v>
      </c>
      <c r="B352" s="302">
        <v>5.3079750921191096</v>
      </c>
      <c r="C352" s="302">
        <v>0.49968504784861439</v>
      </c>
      <c r="D352" s="302">
        <f t="shared" si="115"/>
        <v>5.8076601399677239</v>
      </c>
      <c r="E352" s="303"/>
      <c r="F352" s="302">
        <v>4.4972562667187761</v>
      </c>
      <c r="G352" s="302">
        <v>0.4817747534449538</v>
      </c>
      <c r="H352" s="302">
        <f t="shared" si="116"/>
        <v>4.9790310201637302</v>
      </c>
      <c r="I352" s="303"/>
      <c r="J352" s="302">
        <v>2.5714052633757301</v>
      </c>
      <c r="K352" s="302">
        <v>0.35134385547723423</v>
      </c>
      <c r="L352" s="302">
        <f t="shared" si="117"/>
        <v>2.9227491188529644</v>
      </c>
      <c r="M352" s="236"/>
      <c r="N352" s="236"/>
    </row>
    <row r="353" spans="1:14" x14ac:dyDescent="0.2">
      <c r="A353" s="237" t="str">
        <f>name!E$8</f>
        <v>Skilled trades occupations</v>
      </c>
      <c r="B353" s="302">
        <v>0.58375460725976447</v>
      </c>
      <c r="C353" s="302">
        <v>0.41847172215713191</v>
      </c>
      <c r="D353" s="302">
        <f t="shared" si="115"/>
        <v>1.0022263294168963</v>
      </c>
      <c r="E353" s="303"/>
      <c r="F353" s="302">
        <v>0.44992738259075865</v>
      </c>
      <c r="G353" s="302">
        <v>0.26984841219421446</v>
      </c>
      <c r="H353" s="302">
        <f t="shared" si="116"/>
        <v>0.71977579478497311</v>
      </c>
      <c r="I353" s="303"/>
      <c r="J353" s="302">
        <v>0.30083816352774084</v>
      </c>
      <c r="K353" s="302">
        <v>0.21037055778423444</v>
      </c>
      <c r="L353" s="302">
        <f t="shared" si="117"/>
        <v>0.51120872131197526</v>
      </c>
      <c r="M353" s="236"/>
      <c r="N353" s="236"/>
    </row>
    <row r="354" spans="1:14" x14ac:dyDescent="0.2">
      <c r="A354" s="237" t="str">
        <f>name!E$9</f>
        <v>Caring, leisure and other service occupations</v>
      </c>
      <c r="B354" s="302">
        <v>18.130801292498258</v>
      </c>
      <c r="C354" s="302">
        <v>2.1596921546852692</v>
      </c>
      <c r="D354" s="302">
        <f t="shared" si="115"/>
        <v>20.290493447183529</v>
      </c>
      <c r="E354" s="303"/>
      <c r="F354" s="302">
        <v>16.166998741758785</v>
      </c>
      <c r="G354" s="302">
        <v>2.1687928332966173</v>
      </c>
      <c r="H354" s="302">
        <f t="shared" si="116"/>
        <v>18.335791575055403</v>
      </c>
      <c r="I354" s="303"/>
      <c r="J354" s="302">
        <v>16.425382822215692</v>
      </c>
      <c r="K354" s="302">
        <v>2.852996855472115</v>
      </c>
      <c r="L354" s="302">
        <f t="shared" si="117"/>
        <v>19.278379677687806</v>
      </c>
      <c r="M354" s="236"/>
      <c r="N354" s="236"/>
    </row>
    <row r="355" spans="1:14" x14ac:dyDescent="0.2">
      <c r="A355" s="237" t="str">
        <f>name!E$10</f>
        <v>Sales and customer service occupations</v>
      </c>
      <c r="B355" s="302">
        <v>0.89488844850586602</v>
      </c>
      <c r="C355" s="302">
        <v>0.15176245791874837</v>
      </c>
      <c r="D355" s="302">
        <f t="shared" si="115"/>
        <v>1.0466509064246143</v>
      </c>
      <c r="E355" s="303"/>
      <c r="F355" s="302">
        <v>0.74832593938567504</v>
      </c>
      <c r="G355" s="302">
        <v>0.12267736075692483</v>
      </c>
      <c r="H355" s="302">
        <f t="shared" si="116"/>
        <v>0.87100330014259986</v>
      </c>
      <c r="I355" s="303"/>
      <c r="J355" s="302">
        <v>0.8169932133190978</v>
      </c>
      <c r="K355" s="302">
        <v>0.11515979087089814</v>
      </c>
      <c r="L355" s="302">
        <f t="shared" si="117"/>
        <v>0.93215300418999592</v>
      </c>
      <c r="M355" s="236"/>
      <c r="N355" s="236"/>
    </row>
    <row r="356" spans="1:14" x14ac:dyDescent="0.2">
      <c r="A356" s="237" t="str">
        <f>name!E$11</f>
        <v>Process, plant and machine operatives</v>
      </c>
      <c r="B356" s="302">
        <v>0.26479606752983131</v>
      </c>
      <c r="C356" s="302">
        <v>0.19087650649945878</v>
      </c>
      <c r="D356" s="302">
        <f t="shared" si="115"/>
        <v>0.45567257402929007</v>
      </c>
      <c r="E356" s="303"/>
      <c r="F356" s="302">
        <v>0.19358989474397464</v>
      </c>
      <c r="G356" s="302">
        <v>0.1606047005787728</v>
      </c>
      <c r="H356" s="302">
        <f t="shared" si="116"/>
        <v>0.35419459532274744</v>
      </c>
      <c r="I356" s="303"/>
      <c r="J356" s="302">
        <v>0.13216422392993085</v>
      </c>
      <c r="K356" s="302">
        <v>0.10944060254801369</v>
      </c>
      <c r="L356" s="302">
        <f t="shared" si="117"/>
        <v>0.24160482647794454</v>
      </c>
      <c r="M356" s="236"/>
      <c r="N356" s="236"/>
    </row>
    <row r="357" spans="1:14" x14ac:dyDescent="0.2">
      <c r="A357" s="237" t="str">
        <f>name!E$12</f>
        <v>Elementary occupations</v>
      </c>
      <c r="B357" s="302">
        <v>2.9275476028154181</v>
      </c>
      <c r="C357" s="302">
        <v>0.50130115464257263</v>
      </c>
      <c r="D357" s="302">
        <f t="shared" si="115"/>
        <v>3.4288487574579909</v>
      </c>
      <c r="E357" s="303"/>
      <c r="F357" s="302">
        <v>2.0043153497939739</v>
      </c>
      <c r="G357" s="302">
        <v>0.38439492475855941</v>
      </c>
      <c r="H357" s="302">
        <f t="shared" si="116"/>
        <v>2.3887102745525333</v>
      </c>
      <c r="I357" s="303"/>
      <c r="J357" s="302">
        <v>2.533910699524184</v>
      </c>
      <c r="K357" s="302">
        <v>0.22292179324163106</v>
      </c>
      <c r="L357" s="302">
        <f t="shared" si="117"/>
        <v>2.756832492765815</v>
      </c>
      <c r="M357" s="236"/>
      <c r="N357" s="236"/>
    </row>
    <row r="358" spans="1:14" x14ac:dyDescent="0.2">
      <c r="A358" s="237"/>
      <c r="B358" s="302"/>
      <c r="C358" s="302"/>
      <c r="D358" s="302"/>
      <c r="E358" s="303"/>
      <c r="F358" s="302"/>
      <c r="G358" s="302"/>
      <c r="H358" s="302"/>
      <c r="I358" s="303"/>
      <c r="J358" s="302"/>
      <c r="K358" s="302"/>
      <c r="L358" s="302"/>
      <c r="M358" s="236"/>
      <c r="N358" s="236"/>
    </row>
    <row r="359" spans="1:14" x14ac:dyDescent="0.2">
      <c r="A359" s="244" t="s">
        <v>33</v>
      </c>
      <c r="B359" s="311">
        <f>SUM(B349:B357)</f>
        <v>55.957310879661399</v>
      </c>
      <c r="C359" s="311">
        <f t="shared" ref="C359:D359" si="118">SUM(C349:C357)</f>
        <v>12.972689120338606</v>
      </c>
      <c r="D359" s="311">
        <f t="shared" si="118"/>
        <v>68.930000000000007</v>
      </c>
      <c r="E359" s="311"/>
      <c r="F359" s="311">
        <f t="shared" ref="F359:H359" si="119">SUM(F349:F357)</f>
        <v>52.807291577853384</v>
      </c>
      <c r="G359" s="311">
        <f t="shared" si="119"/>
        <v>13.028708422146648</v>
      </c>
      <c r="H359" s="311">
        <f t="shared" si="119"/>
        <v>65.836000000000027</v>
      </c>
      <c r="I359" s="311"/>
      <c r="J359" s="311">
        <f t="shared" ref="J359:L359" si="120">SUM(J349:J357)</f>
        <v>58.029176814650363</v>
      </c>
      <c r="K359" s="311">
        <f t="shared" si="120"/>
        <v>14.447823185349653</v>
      </c>
      <c r="L359" s="311">
        <f t="shared" si="120"/>
        <v>72.477000000000004</v>
      </c>
      <c r="M359" s="236"/>
      <c r="N359" s="236"/>
    </row>
    <row r="360" spans="1:14" x14ac:dyDescent="0.2">
      <c r="A360" s="237"/>
      <c r="B360" s="237"/>
      <c r="C360" s="237"/>
      <c r="D360" s="237"/>
      <c r="E360" s="237"/>
      <c r="F360" s="237"/>
      <c r="G360" s="237"/>
      <c r="H360" s="237"/>
      <c r="I360" s="237"/>
      <c r="J360" s="237"/>
      <c r="K360" s="237"/>
      <c r="L360" s="240"/>
      <c r="M360" s="236"/>
      <c r="N360" s="236"/>
    </row>
    <row r="361" spans="1:14" x14ac:dyDescent="0.2">
      <c r="A361" s="237"/>
      <c r="B361" s="237"/>
      <c r="C361" s="237"/>
      <c r="D361" s="237"/>
      <c r="E361" s="237"/>
      <c r="F361" s="237"/>
      <c r="G361" s="237"/>
      <c r="H361" s="237"/>
      <c r="I361" s="237"/>
      <c r="J361" s="237"/>
      <c r="K361" s="237"/>
      <c r="L361" s="256" t="s">
        <v>36</v>
      </c>
      <c r="M361" s="236"/>
      <c r="N361" s="236"/>
    </row>
    <row r="362" spans="1:14" x14ac:dyDescent="0.2">
      <c r="A362" s="242"/>
      <c r="B362" s="250"/>
      <c r="C362" s="250"/>
      <c r="D362" s="250"/>
      <c r="E362" s="250"/>
      <c r="F362" s="250"/>
      <c r="G362" s="250"/>
      <c r="H362" s="250"/>
      <c r="I362" s="250"/>
      <c r="J362" s="250"/>
      <c r="K362" s="250"/>
      <c r="L362" s="236"/>
      <c r="M362" s="236"/>
      <c r="N362" s="236"/>
    </row>
    <row r="363" spans="1:14" x14ac:dyDescent="0.2">
      <c r="A363" s="241" t="str">
        <f>name!B24</f>
        <v>Arts and entertainment</v>
      </c>
      <c r="B363" s="375">
        <f>B$6</f>
        <v>2015</v>
      </c>
      <c r="C363" s="375"/>
      <c r="D363" s="375"/>
      <c r="E363" s="253"/>
      <c r="F363" s="375">
        <f>F346</f>
        <v>2020</v>
      </c>
      <c r="G363" s="375"/>
      <c r="H363" s="375"/>
      <c r="I363" s="253"/>
      <c r="J363" s="375">
        <f>J346</f>
        <v>2035</v>
      </c>
      <c r="K363" s="375"/>
      <c r="L363" s="375"/>
      <c r="M363" s="236"/>
      <c r="N363" s="236"/>
    </row>
    <row r="364" spans="1:14" x14ac:dyDescent="0.2">
      <c r="A364" s="254"/>
      <c r="B364" s="255" t="s">
        <v>361</v>
      </c>
      <c r="C364" s="255" t="s">
        <v>362</v>
      </c>
      <c r="D364" s="255" t="s">
        <v>33</v>
      </c>
      <c r="E364" s="255"/>
      <c r="F364" s="255" t="s">
        <v>361</v>
      </c>
      <c r="G364" s="255" t="s">
        <v>362</v>
      </c>
      <c r="H364" s="255" t="s">
        <v>33</v>
      </c>
      <c r="I364" s="255"/>
      <c r="J364" s="255" t="s">
        <v>361</v>
      </c>
      <c r="K364" s="255" t="s">
        <v>362</v>
      </c>
      <c r="L364" s="255" t="s">
        <v>33</v>
      </c>
      <c r="M364" s="236"/>
      <c r="N364" s="236"/>
    </row>
    <row r="365" spans="1:14" x14ac:dyDescent="0.2">
      <c r="A365" s="258"/>
      <c r="B365" s="259"/>
      <c r="C365" s="259"/>
      <c r="D365" s="259"/>
      <c r="E365" s="259"/>
      <c r="F365" s="259"/>
      <c r="G365" s="259"/>
      <c r="H365" s="259"/>
      <c r="I365" s="259"/>
      <c r="J365" s="259"/>
      <c r="K365" s="259"/>
      <c r="L365" s="259"/>
      <c r="M365" s="236"/>
      <c r="N365" s="236"/>
    </row>
    <row r="366" spans="1:14" x14ac:dyDescent="0.2">
      <c r="A366" s="237" t="str">
        <f>name!E$4</f>
        <v>Managers, directors and senior officials</v>
      </c>
      <c r="B366" s="302">
        <v>0.30332205528355838</v>
      </c>
      <c r="C366" s="302">
        <v>0.3131000920203949</v>
      </c>
      <c r="D366" s="302">
        <f>SUM(B366:C366)</f>
        <v>0.61642214730395328</v>
      </c>
      <c r="E366" s="303"/>
      <c r="F366" s="302">
        <v>0.27343074267498763</v>
      </c>
      <c r="G366" s="302">
        <v>0.4106872077381436</v>
      </c>
      <c r="H366" s="302">
        <f>SUM(F366:G366)</f>
        <v>0.68411795041313117</v>
      </c>
      <c r="I366" s="303"/>
      <c r="J366" s="302">
        <v>0.34610899164102898</v>
      </c>
      <c r="K366" s="302">
        <v>0.51533368891033915</v>
      </c>
      <c r="L366" s="302">
        <f>SUM(J366:K366)</f>
        <v>0.86144268055136819</v>
      </c>
      <c r="M366" s="236"/>
      <c r="N366" s="236"/>
    </row>
    <row r="367" spans="1:14" x14ac:dyDescent="0.2">
      <c r="A367" s="237" t="str">
        <f>name!E$5</f>
        <v>Professional occupations</v>
      </c>
      <c r="B367" s="302">
        <v>0.86858269898790896</v>
      </c>
      <c r="C367" s="302">
        <v>0.53901955945025881</v>
      </c>
      <c r="D367" s="302">
        <f t="shared" ref="D367:D374" si="121">SUM(B367:C367)</f>
        <v>1.4076022584381678</v>
      </c>
      <c r="E367" s="303"/>
      <c r="F367" s="302">
        <v>0.95453696190190296</v>
      </c>
      <c r="G367" s="302">
        <v>0.69590996105789049</v>
      </c>
      <c r="H367" s="302">
        <f t="shared" ref="H367:H374" si="122">SUM(F367:G367)</f>
        <v>1.6504469229597936</v>
      </c>
      <c r="I367" s="303"/>
      <c r="J367" s="302">
        <v>1.2061133326173228</v>
      </c>
      <c r="K367" s="302">
        <v>0.75629003249816118</v>
      </c>
      <c r="L367" s="302">
        <f t="shared" ref="L367:L374" si="123">SUM(J367:K367)</f>
        <v>1.962403365115484</v>
      </c>
      <c r="M367" s="236"/>
      <c r="N367" s="236"/>
    </row>
    <row r="368" spans="1:14" x14ac:dyDescent="0.2">
      <c r="A368" s="237" t="str">
        <f>name!E$6</f>
        <v>Associate professional occupations</v>
      </c>
      <c r="B368" s="302">
        <v>1.5522541998560642</v>
      </c>
      <c r="C368" s="302">
        <v>1.214644951176175</v>
      </c>
      <c r="D368" s="302">
        <f t="shared" si="121"/>
        <v>2.7668991510322392</v>
      </c>
      <c r="E368" s="303"/>
      <c r="F368" s="302">
        <v>1.0816905895070068</v>
      </c>
      <c r="G368" s="302">
        <v>1.6020069388269593</v>
      </c>
      <c r="H368" s="302">
        <f t="shared" si="122"/>
        <v>2.6836975283339664</v>
      </c>
      <c r="I368" s="303"/>
      <c r="J368" s="302">
        <v>1.2813678751796487</v>
      </c>
      <c r="K368" s="302">
        <v>1.7213510284383013</v>
      </c>
      <c r="L368" s="302">
        <f t="shared" si="123"/>
        <v>3.00271890361795</v>
      </c>
      <c r="M368" s="236"/>
      <c r="N368" s="236"/>
    </row>
    <row r="369" spans="1:14" x14ac:dyDescent="0.2">
      <c r="A369" s="237" t="str">
        <f>name!E$7</f>
        <v>Administrative and secretarial occupations</v>
      </c>
      <c r="B369" s="302">
        <v>1.473846283326268</v>
      </c>
      <c r="C369" s="302">
        <v>0.45903080169423049</v>
      </c>
      <c r="D369" s="302">
        <f t="shared" si="121"/>
        <v>1.9328770850204986</v>
      </c>
      <c r="E369" s="303"/>
      <c r="F369" s="302">
        <v>1.6427684274520677</v>
      </c>
      <c r="G369" s="302">
        <v>0.57207716614465665</v>
      </c>
      <c r="H369" s="302">
        <f t="shared" si="122"/>
        <v>2.2148455935967242</v>
      </c>
      <c r="I369" s="303"/>
      <c r="J369" s="302">
        <v>1.6561028781910545</v>
      </c>
      <c r="K369" s="302">
        <v>0.70016855218658525</v>
      </c>
      <c r="L369" s="302">
        <f t="shared" si="123"/>
        <v>2.3562714303776398</v>
      </c>
      <c r="M369" s="236"/>
      <c r="N369" s="236"/>
    </row>
    <row r="370" spans="1:14" x14ac:dyDescent="0.2">
      <c r="A370" s="237" t="str">
        <f>name!E$8</f>
        <v>Skilled trades occupations</v>
      </c>
      <c r="B370" s="302">
        <v>0.1781396158502363</v>
      </c>
      <c r="C370" s="302">
        <v>1.005675199843207</v>
      </c>
      <c r="D370" s="302">
        <f t="shared" si="121"/>
        <v>1.1838148156934434</v>
      </c>
      <c r="E370" s="303"/>
      <c r="F370" s="302">
        <v>9.8800240356669469E-2</v>
      </c>
      <c r="G370" s="302">
        <v>0.97385884199204242</v>
      </c>
      <c r="H370" s="302">
        <f t="shared" si="122"/>
        <v>1.0726590823487119</v>
      </c>
      <c r="I370" s="303"/>
      <c r="J370" s="302">
        <v>0.12396560774212388</v>
      </c>
      <c r="K370" s="302">
        <v>1.0063976025865573</v>
      </c>
      <c r="L370" s="302">
        <f t="shared" si="123"/>
        <v>1.1303632103286811</v>
      </c>
      <c r="M370" s="236"/>
      <c r="N370" s="236"/>
    </row>
    <row r="371" spans="1:14" x14ac:dyDescent="0.2">
      <c r="A371" s="237" t="str">
        <f>name!E$9</f>
        <v>Caring, leisure and other service occupations</v>
      </c>
      <c r="B371" s="302">
        <v>0.58745875274192372</v>
      </c>
      <c r="C371" s="302">
        <v>0.54746419182471606</v>
      </c>
      <c r="D371" s="302">
        <f t="shared" si="121"/>
        <v>1.1349229445666398</v>
      </c>
      <c r="E371" s="303"/>
      <c r="F371" s="302">
        <v>0.54873508982789643</v>
      </c>
      <c r="G371" s="302">
        <v>0.61878544522327295</v>
      </c>
      <c r="H371" s="302">
        <f t="shared" si="122"/>
        <v>1.1675205350511693</v>
      </c>
      <c r="I371" s="303"/>
      <c r="J371" s="302">
        <v>0.53111956453755971</v>
      </c>
      <c r="K371" s="302">
        <v>0.77758341487159688</v>
      </c>
      <c r="L371" s="302">
        <f t="shared" si="123"/>
        <v>1.3087029794091567</v>
      </c>
      <c r="M371" s="236"/>
      <c r="N371" s="236"/>
    </row>
    <row r="372" spans="1:14" x14ac:dyDescent="0.2">
      <c r="A372" s="237" t="str">
        <f>name!E$10</f>
        <v>Sales and customer service occupations</v>
      </c>
      <c r="B372" s="302">
        <v>0.51982532849863294</v>
      </c>
      <c r="C372" s="302">
        <v>0.4942180017581595</v>
      </c>
      <c r="D372" s="302">
        <f t="shared" si="121"/>
        <v>1.0140433302567924</v>
      </c>
      <c r="E372" s="303"/>
      <c r="F372" s="302">
        <v>0.53408898692906015</v>
      </c>
      <c r="G372" s="302">
        <v>0.57231603487187155</v>
      </c>
      <c r="H372" s="302">
        <f t="shared" si="122"/>
        <v>1.1064050218009318</v>
      </c>
      <c r="I372" s="303"/>
      <c r="J372" s="302">
        <v>0.56755285364635555</v>
      </c>
      <c r="K372" s="302">
        <v>0.81023099156628053</v>
      </c>
      <c r="L372" s="302">
        <f t="shared" si="123"/>
        <v>1.3777838452126361</v>
      </c>
      <c r="M372" s="236"/>
      <c r="N372" s="236"/>
    </row>
    <row r="373" spans="1:14" x14ac:dyDescent="0.2">
      <c r="A373" s="237" t="str">
        <f>name!E$11</f>
        <v>Process, plant and machine operatives</v>
      </c>
      <c r="B373" s="302">
        <v>1.6334669668639164E-2</v>
      </c>
      <c r="C373" s="302">
        <v>0.17882813583044996</v>
      </c>
      <c r="D373" s="302">
        <f t="shared" si="121"/>
        <v>0.19516280549908913</v>
      </c>
      <c r="E373" s="303"/>
      <c r="F373" s="302">
        <v>1.3147457645285823E-2</v>
      </c>
      <c r="G373" s="302">
        <v>0.178692699910736</v>
      </c>
      <c r="H373" s="302">
        <f t="shared" si="122"/>
        <v>0.19184015755602182</v>
      </c>
      <c r="I373" s="303"/>
      <c r="J373" s="302">
        <v>3.2848621954567489E-2</v>
      </c>
      <c r="K373" s="302">
        <v>0.22782096885535963</v>
      </c>
      <c r="L373" s="302">
        <f t="shared" si="123"/>
        <v>0.26066959080992713</v>
      </c>
      <c r="M373" s="236"/>
      <c r="N373" s="236"/>
    </row>
    <row r="374" spans="1:14" x14ac:dyDescent="0.2">
      <c r="A374" s="237" t="str">
        <f>name!E$12</f>
        <v>Elementary occupations</v>
      </c>
      <c r="B374" s="302">
        <v>0.63847615973634764</v>
      </c>
      <c r="C374" s="302">
        <v>1.2527793024528229</v>
      </c>
      <c r="D374" s="302">
        <f t="shared" si="121"/>
        <v>1.8912554621891706</v>
      </c>
      <c r="E374" s="303"/>
      <c r="F374" s="302">
        <v>0.66528153917532928</v>
      </c>
      <c r="G374" s="302">
        <v>1.1781856687642209</v>
      </c>
      <c r="H374" s="302">
        <f t="shared" si="122"/>
        <v>1.8434672079395502</v>
      </c>
      <c r="I374" s="303"/>
      <c r="J374" s="302">
        <v>0.57966320240348934</v>
      </c>
      <c r="K374" s="302">
        <v>1.1829807921736764</v>
      </c>
      <c r="L374" s="302">
        <f t="shared" si="123"/>
        <v>1.7626439945771657</v>
      </c>
      <c r="M374" s="236"/>
      <c r="N374" s="236"/>
    </row>
    <row r="375" spans="1:14" x14ac:dyDescent="0.2">
      <c r="A375" s="237"/>
      <c r="B375" s="302"/>
      <c r="C375" s="302"/>
      <c r="D375" s="302"/>
      <c r="E375" s="303"/>
      <c r="F375" s="302"/>
      <c r="G375" s="302"/>
      <c r="H375" s="302"/>
      <c r="I375" s="303"/>
      <c r="J375" s="302"/>
      <c r="K375" s="302"/>
      <c r="L375" s="302"/>
      <c r="M375" s="236"/>
      <c r="N375" s="236"/>
    </row>
    <row r="376" spans="1:14" x14ac:dyDescent="0.2">
      <c r="A376" s="244" t="s">
        <v>33</v>
      </c>
      <c r="B376" s="311">
        <f>SUM(B366:B374)</f>
        <v>6.1382397639495796</v>
      </c>
      <c r="C376" s="311">
        <f t="shared" ref="C376:D376" si="124">SUM(C366:C374)</f>
        <v>6.0047602360504149</v>
      </c>
      <c r="D376" s="311">
        <f t="shared" si="124"/>
        <v>12.142999999999994</v>
      </c>
      <c r="E376" s="311"/>
      <c r="F376" s="311">
        <f t="shared" ref="F376:H376" si="125">SUM(F366:F374)</f>
        <v>5.8124800354702071</v>
      </c>
      <c r="G376" s="311">
        <f t="shared" si="125"/>
        <v>6.802519964529794</v>
      </c>
      <c r="H376" s="311">
        <f t="shared" si="125"/>
        <v>12.615</v>
      </c>
      <c r="I376" s="311"/>
      <c r="J376" s="311">
        <f t="shared" ref="J376:L376" si="126">SUM(J366:J374)</f>
        <v>6.3248429279131519</v>
      </c>
      <c r="K376" s="311">
        <f t="shared" si="126"/>
        <v>7.6981570720868575</v>
      </c>
      <c r="L376" s="311">
        <f t="shared" si="126"/>
        <v>14.02300000000001</v>
      </c>
      <c r="M376" s="236"/>
      <c r="N376" s="236"/>
    </row>
    <row r="377" spans="1:14" x14ac:dyDescent="0.2">
      <c r="A377" s="237"/>
      <c r="B377" s="237"/>
      <c r="C377" s="237"/>
      <c r="D377" s="237"/>
      <c r="E377" s="237"/>
      <c r="F377" s="237"/>
      <c r="G377" s="237"/>
      <c r="H377" s="237"/>
      <c r="I377" s="237"/>
      <c r="J377" s="237"/>
      <c r="K377" s="237"/>
      <c r="L377" s="240"/>
      <c r="M377" s="236"/>
      <c r="N377" s="236"/>
    </row>
    <row r="378" spans="1:14" x14ac:dyDescent="0.2">
      <c r="A378" s="237"/>
      <c r="B378" s="237"/>
      <c r="C378" s="237"/>
      <c r="D378" s="237"/>
      <c r="E378" s="237"/>
      <c r="F378" s="237"/>
      <c r="G378" s="237"/>
      <c r="H378" s="237"/>
      <c r="I378" s="237"/>
      <c r="J378" s="237"/>
      <c r="K378" s="237"/>
      <c r="L378" s="256" t="s">
        <v>36</v>
      </c>
      <c r="M378" s="236"/>
      <c r="N378" s="236"/>
    </row>
    <row r="379" spans="1:14" x14ac:dyDescent="0.2">
      <c r="A379" s="242"/>
      <c r="B379" s="250"/>
      <c r="C379" s="250"/>
      <c r="D379" s="250"/>
      <c r="E379" s="250"/>
      <c r="F379" s="250"/>
      <c r="G379" s="250"/>
      <c r="H379" s="250"/>
      <c r="I379" s="250"/>
      <c r="J379" s="250"/>
      <c r="K379" s="250"/>
      <c r="L379" s="236"/>
      <c r="M379" s="236"/>
      <c r="N379" s="236"/>
    </row>
    <row r="380" spans="1:14" x14ac:dyDescent="0.2">
      <c r="A380" s="241" t="str">
        <f>name!B25</f>
        <v>Other services</v>
      </c>
      <c r="B380" s="375">
        <f>B$6</f>
        <v>2015</v>
      </c>
      <c r="C380" s="375"/>
      <c r="D380" s="375"/>
      <c r="E380" s="253"/>
      <c r="F380" s="375">
        <f>F363</f>
        <v>2020</v>
      </c>
      <c r="G380" s="375"/>
      <c r="H380" s="375"/>
      <c r="I380" s="253"/>
      <c r="J380" s="375">
        <f>J363</f>
        <v>2035</v>
      </c>
      <c r="K380" s="375"/>
      <c r="L380" s="375"/>
      <c r="M380" s="236"/>
      <c r="N380" s="236"/>
    </row>
    <row r="381" spans="1:14" x14ac:dyDescent="0.2">
      <c r="A381" s="254"/>
      <c r="B381" s="255" t="s">
        <v>361</v>
      </c>
      <c r="C381" s="255" t="s">
        <v>362</v>
      </c>
      <c r="D381" s="255" t="s">
        <v>33</v>
      </c>
      <c r="E381" s="255"/>
      <c r="F381" s="255" t="s">
        <v>361</v>
      </c>
      <c r="G381" s="255" t="s">
        <v>362</v>
      </c>
      <c r="H381" s="255" t="s">
        <v>33</v>
      </c>
      <c r="I381" s="255"/>
      <c r="J381" s="255" t="s">
        <v>361</v>
      </c>
      <c r="K381" s="255" t="s">
        <v>362</v>
      </c>
      <c r="L381" s="255" t="s">
        <v>33</v>
      </c>
      <c r="M381" s="236"/>
      <c r="N381" s="236"/>
    </row>
    <row r="382" spans="1:14" x14ac:dyDescent="0.2">
      <c r="A382" s="258"/>
      <c r="B382" s="259"/>
      <c r="C382" s="259"/>
      <c r="D382" s="259"/>
      <c r="E382" s="259"/>
      <c r="F382" s="259"/>
      <c r="G382" s="259"/>
      <c r="H382" s="259"/>
      <c r="I382" s="259"/>
      <c r="J382" s="259"/>
      <c r="K382" s="259"/>
      <c r="L382" s="259"/>
      <c r="M382" s="236"/>
      <c r="N382" s="236"/>
    </row>
    <row r="383" spans="1:14" x14ac:dyDescent="0.2">
      <c r="A383" s="237" t="str">
        <f>name!E$4</f>
        <v>Managers, directors and senior officials</v>
      </c>
      <c r="B383" s="302">
        <v>0.433277170767984</v>
      </c>
      <c r="C383" s="302">
        <v>0.54854260621807494</v>
      </c>
      <c r="D383" s="302">
        <f>SUM(B383:C383)</f>
        <v>0.98181977698605893</v>
      </c>
      <c r="E383" s="303"/>
      <c r="F383" s="302">
        <v>0.67350423320730401</v>
      </c>
      <c r="G383" s="302">
        <v>0.30521441510155306</v>
      </c>
      <c r="H383" s="302">
        <f>SUM(F383:G383)</f>
        <v>0.97871864830885702</v>
      </c>
      <c r="I383" s="303"/>
      <c r="J383" s="302">
        <v>0.46982267612041312</v>
      </c>
      <c r="K383" s="302">
        <v>0.30556029476268598</v>
      </c>
      <c r="L383" s="302">
        <f>SUM(J383:K383)</f>
        <v>0.77538297088309904</v>
      </c>
      <c r="M383" s="236"/>
      <c r="N383" s="236"/>
    </row>
    <row r="384" spans="1:14" x14ac:dyDescent="0.2">
      <c r="A384" s="237" t="str">
        <f>name!E$5</f>
        <v>Professional occupations</v>
      </c>
      <c r="B384" s="302">
        <v>1.831336895186449</v>
      </c>
      <c r="C384" s="302">
        <v>1.2434485092118335</v>
      </c>
      <c r="D384" s="302">
        <f t="shared" ref="D384:D391" si="127">SUM(B384:C384)</f>
        <v>3.0747854043982823</v>
      </c>
      <c r="E384" s="303"/>
      <c r="F384" s="302">
        <v>1.9959359644430861</v>
      </c>
      <c r="G384" s="302">
        <v>0.73502900640452118</v>
      </c>
      <c r="H384" s="302">
        <f t="shared" ref="H384:H391" si="128">SUM(F384:G384)</f>
        <v>2.7309649708476074</v>
      </c>
      <c r="I384" s="303"/>
      <c r="J384" s="302">
        <v>1.6074935967995325</v>
      </c>
      <c r="K384" s="302">
        <v>0.66308636842443758</v>
      </c>
      <c r="L384" s="302">
        <f t="shared" ref="L384:L391" si="129">SUM(J384:K384)</f>
        <v>2.2705799652239702</v>
      </c>
      <c r="M384" s="236"/>
      <c r="N384" s="236"/>
    </row>
    <row r="385" spans="1:14" x14ac:dyDescent="0.2">
      <c r="A385" s="237" t="str">
        <f>name!E$6</f>
        <v>Associate professional occupations</v>
      </c>
      <c r="B385" s="302">
        <v>1.1376720022795022</v>
      </c>
      <c r="C385" s="302">
        <v>0.87616844209332345</v>
      </c>
      <c r="D385" s="302">
        <f t="shared" si="127"/>
        <v>2.0138404443728257</v>
      </c>
      <c r="E385" s="303"/>
      <c r="F385" s="302">
        <v>1.4478991993177572</v>
      </c>
      <c r="G385" s="302">
        <v>0.4506142948832047</v>
      </c>
      <c r="H385" s="302">
        <f t="shared" si="128"/>
        <v>1.8985134942009618</v>
      </c>
      <c r="I385" s="303"/>
      <c r="J385" s="302">
        <v>1.2347931997755597</v>
      </c>
      <c r="K385" s="302">
        <v>0.38694712153007471</v>
      </c>
      <c r="L385" s="302">
        <f t="shared" si="129"/>
        <v>1.6217403213056345</v>
      </c>
      <c r="M385" s="236"/>
      <c r="N385" s="236"/>
    </row>
    <row r="386" spans="1:14" x14ac:dyDescent="0.2">
      <c r="A386" s="237" t="str">
        <f>name!E$7</f>
        <v>Administrative and secretarial occupations</v>
      </c>
      <c r="B386" s="302">
        <v>1.4794126917808113</v>
      </c>
      <c r="C386" s="302">
        <v>0.46644195638897473</v>
      </c>
      <c r="D386" s="302">
        <f t="shared" si="127"/>
        <v>1.945854648169786</v>
      </c>
      <c r="E386" s="303"/>
      <c r="F386" s="302">
        <v>1.1723521795333764</v>
      </c>
      <c r="G386" s="302">
        <v>0.52436807072785774</v>
      </c>
      <c r="H386" s="302">
        <f t="shared" si="128"/>
        <v>1.6967202502612342</v>
      </c>
      <c r="I386" s="303"/>
      <c r="J386" s="302">
        <v>0.81339450743148178</v>
      </c>
      <c r="K386" s="302">
        <v>0.50476462765762875</v>
      </c>
      <c r="L386" s="302">
        <f t="shared" si="129"/>
        <v>1.3181591350891106</v>
      </c>
      <c r="M386" s="236"/>
      <c r="N386" s="236"/>
    </row>
    <row r="387" spans="1:14" x14ac:dyDescent="0.2">
      <c r="A387" s="237" t="str">
        <f>name!E$8</f>
        <v>Skilled trades occupations</v>
      </c>
      <c r="B387" s="302">
        <v>0.10557232259925002</v>
      </c>
      <c r="C387" s="302">
        <v>0.91135437172676259</v>
      </c>
      <c r="D387" s="302">
        <f t="shared" si="127"/>
        <v>1.0169266943260127</v>
      </c>
      <c r="E387" s="303"/>
      <c r="F387" s="302">
        <v>0.18035306050747699</v>
      </c>
      <c r="G387" s="302">
        <v>0.37946421020598103</v>
      </c>
      <c r="H387" s="302">
        <f t="shared" si="128"/>
        <v>0.55981727071345799</v>
      </c>
      <c r="I387" s="303"/>
      <c r="J387" s="302">
        <v>0.22060457569650208</v>
      </c>
      <c r="K387" s="302">
        <v>0.32781048863297363</v>
      </c>
      <c r="L387" s="302">
        <f t="shared" si="129"/>
        <v>0.54841506432947573</v>
      </c>
      <c r="M387" s="236"/>
      <c r="N387" s="236"/>
    </row>
    <row r="388" spans="1:14" x14ac:dyDescent="0.2">
      <c r="A388" s="237" t="str">
        <f>name!E$9</f>
        <v>Caring, leisure and other service occupations</v>
      </c>
      <c r="B388" s="302">
        <v>2.0053189246416472</v>
      </c>
      <c r="C388" s="302">
        <v>0.78860794777176679</v>
      </c>
      <c r="D388" s="302">
        <f t="shared" si="127"/>
        <v>2.7939268724134139</v>
      </c>
      <c r="E388" s="303"/>
      <c r="F388" s="302">
        <v>2.5086354798847261</v>
      </c>
      <c r="G388" s="302">
        <v>0.66822736998446441</v>
      </c>
      <c r="H388" s="302">
        <f t="shared" si="128"/>
        <v>3.1768628498691904</v>
      </c>
      <c r="I388" s="303"/>
      <c r="J388" s="302">
        <v>1.6503466571921146</v>
      </c>
      <c r="K388" s="302">
        <v>0.3881529427729522</v>
      </c>
      <c r="L388" s="302">
        <f t="shared" si="129"/>
        <v>2.0384995999650668</v>
      </c>
      <c r="M388" s="236"/>
      <c r="N388" s="236"/>
    </row>
    <row r="389" spans="1:14" x14ac:dyDescent="0.2">
      <c r="A389" s="237" t="str">
        <f>name!E$10</f>
        <v>Sales and customer service occupations</v>
      </c>
      <c r="B389" s="302">
        <v>0.36253161748952972</v>
      </c>
      <c r="C389" s="302">
        <v>0.32135396362614849</v>
      </c>
      <c r="D389" s="302">
        <f t="shared" si="127"/>
        <v>0.68388558111567821</v>
      </c>
      <c r="E389" s="303"/>
      <c r="F389" s="302">
        <v>0.35423089090709697</v>
      </c>
      <c r="G389" s="302">
        <v>0.35145260978509996</v>
      </c>
      <c r="H389" s="302">
        <f t="shared" si="128"/>
        <v>0.70568350069219687</v>
      </c>
      <c r="I389" s="303"/>
      <c r="J389" s="302">
        <v>0.2042852787636969</v>
      </c>
      <c r="K389" s="302">
        <v>0.3591955477515909</v>
      </c>
      <c r="L389" s="302">
        <f t="shared" si="129"/>
        <v>0.56348082651528775</v>
      </c>
      <c r="M389" s="236"/>
      <c r="N389" s="236"/>
    </row>
    <row r="390" spans="1:14" x14ac:dyDescent="0.2">
      <c r="A390" s="237" t="str">
        <f>name!E$11</f>
        <v>Process, plant and machine operatives</v>
      </c>
      <c r="B390" s="302">
        <v>7.9188353637805853E-2</v>
      </c>
      <c r="C390" s="302">
        <v>0.31409199254979753</v>
      </c>
      <c r="D390" s="302">
        <f t="shared" si="127"/>
        <v>0.39328034618760338</v>
      </c>
      <c r="E390" s="303"/>
      <c r="F390" s="302">
        <v>7.9337899491998196E-2</v>
      </c>
      <c r="G390" s="302">
        <v>0.24399786388276617</v>
      </c>
      <c r="H390" s="302">
        <f t="shared" si="128"/>
        <v>0.32333576337476438</v>
      </c>
      <c r="I390" s="303"/>
      <c r="J390" s="302">
        <v>5.8867289137727381E-2</v>
      </c>
      <c r="K390" s="302">
        <v>0.12452322747111377</v>
      </c>
      <c r="L390" s="302">
        <f t="shared" si="129"/>
        <v>0.18339051660884115</v>
      </c>
      <c r="M390" s="236"/>
      <c r="N390" s="236"/>
    </row>
    <row r="391" spans="1:14" x14ac:dyDescent="0.2">
      <c r="A391" s="237" t="str">
        <f>name!E$12</f>
        <v>Elementary occupations</v>
      </c>
      <c r="B391" s="302">
        <v>0.66701469984130524</v>
      </c>
      <c r="C391" s="302">
        <v>0.83366553218904005</v>
      </c>
      <c r="D391" s="302">
        <f t="shared" si="127"/>
        <v>1.5006802320303452</v>
      </c>
      <c r="E391" s="303"/>
      <c r="F391" s="302">
        <v>0.52054663481749985</v>
      </c>
      <c r="G391" s="302">
        <v>0.78483661691424034</v>
      </c>
      <c r="H391" s="302">
        <f t="shared" si="128"/>
        <v>1.3053832517317403</v>
      </c>
      <c r="I391" s="303"/>
      <c r="J391" s="302">
        <v>0.31569479106365667</v>
      </c>
      <c r="K391" s="302">
        <v>0.52665680901585554</v>
      </c>
      <c r="L391" s="302">
        <f t="shared" si="129"/>
        <v>0.84235160007951215</v>
      </c>
      <c r="M391" s="236"/>
      <c r="N391" s="236"/>
    </row>
    <row r="392" spans="1:14" x14ac:dyDescent="0.2">
      <c r="A392" s="237"/>
      <c r="B392" s="302"/>
      <c r="C392" s="302"/>
      <c r="D392" s="302"/>
      <c r="E392" s="303"/>
      <c r="F392" s="302"/>
      <c r="G392" s="302"/>
      <c r="H392" s="302"/>
      <c r="I392" s="303"/>
      <c r="J392" s="302"/>
      <c r="K392" s="302"/>
      <c r="L392" s="302"/>
      <c r="M392" s="236"/>
      <c r="N392" s="236"/>
    </row>
    <row r="393" spans="1:14" x14ac:dyDescent="0.2">
      <c r="A393" s="244" t="s">
        <v>33</v>
      </c>
      <c r="B393" s="311">
        <f>SUM(B383:B391)</f>
        <v>8.1013246782242838</v>
      </c>
      <c r="C393" s="311">
        <f t="shared" ref="C393:D393" si="130">SUM(C383:C391)</f>
        <v>6.3036753217757227</v>
      </c>
      <c r="D393" s="311">
        <f t="shared" si="130"/>
        <v>14.405000000000008</v>
      </c>
      <c r="E393" s="311"/>
      <c r="F393" s="311">
        <f t="shared" ref="F393:H393" si="131">SUM(F383:F391)</f>
        <v>8.9327955421103216</v>
      </c>
      <c r="G393" s="311">
        <f t="shared" si="131"/>
        <v>4.4432044578896885</v>
      </c>
      <c r="H393" s="311">
        <f t="shared" si="131"/>
        <v>13.37600000000001</v>
      </c>
      <c r="I393" s="311"/>
      <c r="J393" s="311">
        <f t="shared" ref="J393:L393" si="132">SUM(J383:J391)</f>
        <v>6.5753025719806848</v>
      </c>
      <c r="K393" s="311">
        <f t="shared" si="132"/>
        <v>3.5866974280193133</v>
      </c>
      <c r="L393" s="311">
        <f t="shared" si="132"/>
        <v>10.161999999999999</v>
      </c>
      <c r="M393" s="236"/>
      <c r="N393" s="236"/>
    </row>
    <row r="394" spans="1:14" x14ac:dyDescent="0.2">
      <c r="A394" s="237"/>
      <c r="B394" s="237"/>
      <c r="C394" s="237"/>
      <c r="D394" s="237"/>
      <c r="E394" s="237"/>
      <c r="F394" s="237"/>
      <c r="G394" s="237"/>
      <c r="H394" s="237"/>
      <c r="I394" s="237"/>
      <c r="J394" s="237"/>
      <c r="K394" s="237"/>
      <c r="L394" s="240"/>
      <c r="M394" s="236"/>
      <c r="N394" s="236"/>
    </row>
  </sheetData>
  <mergeCells count="69">
    <mergeCell ref="B40:D40"/>
    <mergeCell ref="F40:H40"/>
    <mergeCell ref="J40:L40"/>
    <mergeCell ref="B57:D57"/>
    <mergeCell ref="F57:H57"/>
    <mergeCell ref="J57:L57"/>
    <mergeCell ref="B6:D6"/>
    <mergeCell ref="F6:H6"/>
    <mergeCell ref="J6:L6"/>
    <mergeCell ref="B23:D23"/>
    <mergeCell ref="F23:H23"/>
    <mergeCell ref="J23:L23"/>
    <mergeCell ref="B108:D108"/>
    <mergeCell ref="F108:H108"/>
    <mergeCell ref="J108:L108"/>
    <mergeCell ref="B125:D125"/>
    <mergeCell ref="F125:H125"/>
    <mergeCell ref="J125:L125"/>
    <mergeCell ref="B74:D74"/>
    <mergeCell ref="F74:H74"/>
    <mergeCell ref="J74:L74"/>
    <mergeCell ref="B91:D91"/>
    <mergeCell ref="F91:H91"/>
    <mergeCell ref="J91:L91"/>
    <mergeCell ref="B176:D176"/>
    <mergeCell ref="F176:H176"/>
    <mergeCell ref="J176:L176"/>
    <mergeCell ref="B193:D193"/>
    <mergeCell ref="F193:H193"/>
    <mergeCell ref="J193:L193"/>
    <mergeCell ref="B142:D142"/>
    <mergeCell ref="F142:H142"/>
    <mergeCell ref="J142:L142"/>
    <mergeCell ref="B159:D159"/>
    <mergeCell ref="F159:H159"/>
    <mergeCell ref="J159:L159"/>
    <mergeCell ref="B244:D244"/>
    <mergeCell ref="F244:H244"/>
    <mergeCell ref="J244:L244"/>
    <mergeCell ref="B261:D261"/>
    <mergeCell ref="F261:H261"/>
    <mergeCell ref="J261:L261"/>
    <mergeCell ref="B210:D210"/>
    <mergeCell ref="F210:H210"/>
    <mergeCell ref="J210:L210"/>
    <mergeCell ref="B227:D227"/>
    <mergeCell ref="F227:H227"/>
    <mergeCell ref="J227:L227"/>
    <mergeCell ref="B312:D312"/>
    <mergeCell ref="F312:H312"/>
    <mergeCell ref="J312:L312"/>
    <mergeCell ref="B329:D329"/>
    <mergeCell ref="F329:H329"/>
    <mergeCell ref="J329:L329"/>
    <mergeCell ref="B278:D278"/>
    <mergeCell ref="F278:H278"/>
    <mergeCell ref="J278:L278"/>
    <mergeCell ref="B295:D295"/>
    <mergeCell ref="F295:H295"/>
    <mergeCell ref="J295:L295"/>
    <mergeCell ref="B380:D380"/>
    <mergeCell ref="F380:H380"/>
    <mergeCell ref="J380:L380"/>
    <mergeCell ref="B346:D346"/>
    <mergeCell ref="F346:H346"/>
    <mergeCell ref="J346:L346"/>
    <mergeCell ref="B363:D363"/>
    <mergeCell ref="F363:H363"/>
    <mergeCell ref="J363:L363"/>
  </mergeCells>
  <pageMargins left="0.7" right="0.7" top="0.75" bottom="0.75" header="0.3" footer="0.3"/>
  <pageSetup paperSize="9" scale="81" orientation="portrait" r:id="rId1"/>
  <rowBreaks count="5" manualBreakCount="5">
    <brk id="54" max="16383" man="1"/>
    <brk id="122" max="11" man="1"/>
    <brk id="190" max="11" man="1"/>
    <brk id="258" max="11" man="1"/>
    <brk id="326" max="11" man="1"/>
  </rowBreaks>
  <colBreaks count="1" manualBreakCount="1">
    <brk id="12" max="1048575" man="1"/>
  </colBreaks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15">
    <pageSetUpPr fitToPage="1"/>
  </sheetPr>
  <dimension ref="A1:W394"/>
  <sheetViews>
    <sheetView showGridLines="0" zoomScale="85" zoomScaleNormal="85" workbookViewId="0"/>
  </sheetViews>
  <sheetFormatPr defaultRowHeight="12.75" x14ac:dyDescent="0.2"/>
  <cols>
    <col min="1" max="1" width="33.140625" bestFit="1" customWidth="1"/>
    <col min="2" max="15" width="5.7109375" customWidth="1"/>
    <col min="259" max="259" width="33.140625" bestFit="1" customWidth="1"/>
    <col min="260" max="262" width="7.140625" customWidth="1"/>
    <col min="263" max="263" width="5" customWidth="1"/>
    <col min="264" max="266" width="7.140625" customWidth="1"/>
    <col min="267" max="267" width="5" customWidth="1"/>
    <col min="268" max="270" width="7.140625" customWidth="1"/>
    <col min="515" max="515" width="33.140625" bestFit="1" customWidth="1"/>
    <col min="516" max="518" width="7.140625" customWidth="1"/>
    <col min="519" max="519" width="5" customWidth="1"/>
    <col min="520" max="522" width="7.140625" customWidth="1"/>
    <col min="523" max="523" width="5" customWidth="1"/>
    <col min="524" max="526" width="7.140625" customWidth="1"/>
    <col min="771" max="771" width="33.140625" bestFit="1" customWidth="1"/>
    <col min="772" max="774" width="7.140625" customWidth="1"/>
    <col min="775" max="775" width="5" customWidth="1"/>
    <col min="776" max="778" width="7.140625" customWidth="1"/>
    <col min="779" max="779" width="5" customWidth="1"/>
    <col min="780" max="782" width="7.140625" customWidth="1"/>
    <col min="1027" max="1027" width="33.140625" bestFit="1" customWidth="1"/>
    <col min="1028" max="1030" width="7.140625" customWidth="1"/>
    <col min="1031" max="1031" width="5" customWidth="1"/>
    <col min="1032" max="1034" width="7.140625" customWidth="1"/>
    <col min="1035" max="1035" width="5" customWidth="1"/>
    <col min="1036" max="1038" width="7.140625" customWidth="1"/>
    <col min="1283" max="1283" width="33.140625" bestFit="1" customWidth="1"/>
    <col min="1284" max="1286" width="7.140625" customWidth="1"/>
    <col min="1287" max="1287" width="5" customWidth="1"/>
    <col min="1288" max="1290" width="7.140625" customWidth="1"/>
    <col min="1291" max="1291" width="5" customWidth="1"/>
    <col min="1292" max="1294" width="7.140625" customWidth="1"/>
    <col min="1539" max="1539" width="33.140625" bestFit="1" customWidth="1"/>
    <col min="1540" max="1542" width="7.140625" customWidth="1"/>
    <col min="1543" max="1543" width="5" customWidth="1"/>
    <col min="1544" max="1546" width="7.140625" customWidth="1"/>
    <col min="1547" max="1547" width="5" customWidth="1"/>
    <col min="1548" max="1550" width="7.140625" customWidth="1"/>
    <col min="1795" max="1795" width="33.140625" bestFit="1" customWidth="1"/>
    <col min="1796" max="1798" width="7.140625" customWidth="1"/>
    <col min="1799" max="1799" width="5" customWidth="1"/>
    <col min="1800" max="1802" width="7.140625" customWidth="1"/>
    <col min="1803" max="1803" width="5" customWidth="1"/>
    <col min="1804" max="1806" width="7.140625" customWidth="1"/>
    <col min="2051" max="2051" width="33.140625" bestFit="1" customWidth="1"/>
    <col min="2052" max="2054" width="7.140625" customWidth="1"/>
    <col min="2055" max="2055" width="5" customWidth="1"/>
    <col min="2056" max="2058" width="7.140625" customWidth="1"/>
    <col min="2059" max="2059" width="5" customWidth="1"/>
    <col min="2060" max="2062" width="7.140625" customWidth="1"/>
    <col min="2307" max="2307" width="33.140625" bestFit="1" customWidth="1"/>
    <col min="2308" max="2310" width="7.140625" customWidth="1"/>
    <col min="2311" max="2311" width="5" customWidth="1"/>
    <col min="2312" max="2314" width="7.140625" customWidth="1"/>
    <col min="2315" max="2315" width="5" customWidth="1"/>
    <col min="2316" max="2318" width="7.140625" customWidth="1"/>
    <col min="2563" max="2563" width="33.140625" bestFit="1" customWidth="1"/>
    <col min="2564" max="2566" width="7.140625" customWidth="1"/>
    <col min="2567" max="2567" width="5" customWidth="1"/>
    <col min="2568" max="2570" width="7.140625" customWidth="1"/>
    <col min="2571" max="2571" width="5" customWidth="1"/>
    <col min="2572" max="2574" width="7.140625" customWidth="1"/>
    <col min="2819" max="2819" width="33.140625" bestFit="1" customWidth="1"/>
    <col min="2820" max="2822" width="7.140625" customWidth="1"/>
    <col min="2823" max="2823" width="5" customWidth="1"/>
    <col min="2824" max="2826" width="7.140625" customWidth="1"/>
    <col min="2827" max="2827" width="5" customWidth="1"/>
    <col min="2828" max="2830" width="7.140625" customWidth="1"/>
    <col min="3075" max="3075" width="33.140625" bestFit="1" customWidth="1"/>
    <col min="3076" max="3078" width="7.140625" customWidth="1"/>
    <col min="3079" max="3079" width="5" customWidth="1"/>
    <col min="3080" max="3082" width="7.140625" customWidth="1"/>
    <col min="3083" max="3083" width="5" customWidth="1"/>
    <col min="3084" max="3086" width="7.140625" customWidth="1"/>
    <col min="3331" max="3331" width="33.140625" bestFit="1" customWidth="1"/>
    <col min="3332" max="3334" width="7.140625" customWidth="1"/>
    <col min="3335" max="3335" width="5" customWidth="1"/>
    <col min="3336" max="3338" width="7.140625" customWidth="1"/>
    <col min="3339" max="3339" width="5" customWidth="1"/>
    <col min="3340" max="3342" width="7.140625" customWidth="1"/>
    <col min="3587" max="3587" width="33.140625" bestFit="1" customWidth="1"/>
    <col min="3588" max="3590" width="7.140625" customWidth="1"/>
    <col min="3591" max="3591" width="5" customWidth="1"/>
    <col min="3592" max="3594" width="7.140625" customWidth="1"/>
    <col min="3595" max="3595" width="5" customWidth="1"/>
    <col min="3596" max="3598" width="7.140625" customWidth="1"/>
    <col min="3843" max="3843" width="33.140625" bestFit="1" customWidth="1"/>
    <col min="3844" max="3846" width="7.140625" customWidth="1"/>
    <col min="3847" max="3847" width="5" customWidth="1"/>
    <col min="3848" max="3850" width="7.140625" customWidth="1"/>
    <col min="3851" max="3851" width="5" customWidth="1"/>
    <col min="3852" max="3854" width="7.140625" customWidth="1"/>
    <col min="4099" max="4099" width="33.140625" bestFit="1" customWidth="1"/>
    <col min="4100" max="4102" width="7.140625" customWidth="1"/>
    <col min="4103" max="4103" width="5" customWidth="1"/>
    <col min="4104" max="4106" width="7.140625" customWidth="1"/>
    <col min="4107" max="4107" width="5" customWidth="1"/>
    <col min="4108" max="4110" width="7.140625" customWidth="1"/>
    <col min="4355" max="4355" width="33.140625" bestFit="1" customWidth="1"/>
    <col min="4356" max="4358" width="7.140625" customWidth="1"/>
    <col min="4359" max="4359" width="5" customWidth="1"/>
    <col min="4360" max="4362" width="7.140625" customWidth="1"/>
    <col min="4363" max="4363" width="5" customWidth="1"/>
    <col min="4364" max="4366" width="7.140625" customWidth="1"/>
    <col min="4611" max="4611" width="33.140625" bestFit="1" customWidth="1"/>
    <col min="4612" max="4614" width="7.140625" customWidth="1"/>
    <col min="4615" max="4615" width="5" customWidth="1"/>
    <col min="4616" max="4618" width="7.140625" customWidth="1"/>
    <col min="4619" max="4619" width="5" customWidth="1"/>
    <col min="4620" max="4622" width="7.140625" customWidth="1"/>
    <col min="4867" max="4867" width="33.140625" bestFit="1" customWidth="1"/>
    <col min="4868" max="4870" width="7.140625" customWidth="1"/>
    <col min="4871" max="4871" width="5" customWidth="1"/>
    <col min="4872" max="4874" width="7.140625" customWidth="1"/>
    <col min="4875" max="4875" width="5" customWidth="1"/>
    <col min="4876" max="4878" width="7.140625" customWidth="1"/>
    <col min="5123" max="5123" width="33.140625" bestFit="1" customWidth="1"/>
    <col min="5124" max="5126" width="7.140625" customWidth="1"/>
    <col min="5127" max="5127" width="5" customWidth="1"/>
    <col min="5128" max="5130" width="7.140625" customWidth="1"/>
    <col min="5131" max="5131" width="5" customWidth="1"/>
    <col min="5132" max="5134" width="7.140625" customWidth="1"/>
    <col min="5379" max="5379" width="33.140625" bestFit="1" customWidth="1"/>
    <col min="5380" max="5382" width="7.140625" customWidth="1"/>
    <col min="5383" max="5383" width="5" customWidth="1"/>
    <col min="5384" max="5386" width="7.140625" customWidth="1"/>
    <col min="5387" max="5387" width="5" customWidth="1"/>
    <col min="5388" max="5390" width="7.140625" customWidth="1"/>
    <col min="5635" max="5635" width="33.140625" bestFit="1" customWidth="1"/>
    <col min="5636" max="5638" width="7.140625" customWidth="1"/>
    <col min="5639" max="5639" width="5" customWidth="1"/>
    <col min="5640" max="5642" width="7.140625" customWidth="1"/>
    <col min="5643" max="5643" width="5" customWidth="1"/>
    <col min="5644" max="5646" width="7.140625" customWidth="1"/>
    <col min="5891" max="5891" width="33.140625" bestFit="1" customWidth="1"/>
    <col min="5892" max="5894" width="7.140625" customWidth="1"/>
    <col min="5895" max="5895" width="5" customWidth="1"/>
    <col min="5896" max="5898" width="7.140625" customWidth="1"/>
    <col min="5899" max="5899" width="5" customWidth="1"/>
    <col min="5900" max="5902" width="7.140625" customWidth="1"/>
    <col min="6147" max="6147" width="33.140625" bestFit="1" customWidth="1"/>
    <col min="6148" max="6150" width="7.140625" customWidth="1"/>
    <col min="6151" max="6151" width="5" customWidth="1"/>
    <col min="6152" max="6154" width="7.140625" customWidth="1"/>
    <col min="6155" max="6155" width="5" customWidth="1"/>
    <col min="6156" max="6158" width="7.140625" customWidth="1"/>
    <col min="6403" max="6403" width="33.140625" bestFit="1" customWidth="1"/>
    <col min="6404" max="6406" width="7.140625" customWidth="1"/>
    <col min="6407" max="6407" width="5" customWidth="1"/>
    <col min="6408" max="6410" width="7.140625" customWidth="1"/>
    <col min="6411" max="6411" width="5" customWidth="1"/>
    <col min="6412" max="6414" width="7.140625" customWidth="1"/>
    <col min="6659" max="6659" width="33.140625" bestFit="1" customWidth="1"/>
    <col min="6660" max="6662" width="7.140625" customWidth="1"/>
    <col min="6663" max="6663" width="5" customWidth="1"/>
    <col min="6664" max="6666" width="7.140625" customWidth="1"/>
    <col min="6667" max="6667" width="5" customWidth="1"/>
    <col min="6668" max="6670" width="7.140625" customWidth="1"/>
    <col min="6915" max="6915" width="33.140625" bestFit="1" customWidth="1"/>
    <col min="6916" max="6918" width="7.140625" customWidth="1"/>
    <col min="6919" max="6919" width="5" customWidth="1"/>
    <col min="6920" max="6922" width="7.140625" customWidth="1"/>
    <col min="6923" max="6923" width="5" customWidth="1"/>
    <col min="6924" max="6926" width="7.140625" customWidth="1"/>
    <col min="7171" max="7171" width="33.140625" bestFit="1" customWidth="1"/>
    <col min="7172" max="7174" width="7.140625" customWidth="1"/>
    <col min="7175" max="7175" width="5" customWidth="1"/>
    <col min="7176" max="7178" width="7.140625" customWidth="1"/>
    <col min="7179" max="7179" width="5" customWidth="1"/>
    <col min="7180" max="7182" width="7.140625" customWidth="1"/>
    <col min="7427" max="7427" width="33.140625" bestFit="1" customWidth="1"/>
    <col min="7428" max="7430" width="7.140625" customWidth="1"/>
    <col min="7431" max="7431" width="5" customWidth="1"/>
    <col min="7432" max="7434" width="7.140625" customWidth="1"/>
    <col min="7435" max="7435" width="5" customWidth="1"/>
    <col min="7436" max="7438" width="7.140625" customWidth="1"/>
    <col min="7683" max="7683" width="33.140625" bestFit="1" customWidth="1"/>
    <col min="7684" max="7686" width="7.140625" customWidth="1"/>
    <col min="7687" max="7687" width="5" customWidth="1"/>
    <col min="7688" max="7690" width="7.140625" customWidth="1"/>
    <col min="7691" max="7691" width="5" customWidth="1"/>
    <col min="7692" max="7694" width="7.140625" customWidth="1"/>
    <col min="7939" max="7939" width="33.140625" bestFit="1" customWidth="1"/>
    <col min="7940" max="7942" width="7.140625" customWidth="1"/>
    <col min="7943" max="7943" width="5" customWidth="1"/>
    <col min="7944" max="7946" width="7.140625" customWidth="1"/>
    <col min="7947" max="7947" width="5" customWidth="1"/>
    <col min="7948" max="7950" width="7.140625" customWidth="1"/>
    <col min="8195" max="8195" width="33.140625" bestFit="1" customWidth="1"/>
    <col min="8196" max="8198" width="7.140625" customWidth="1"/>
    <col min="8199" max="8199" width="5" customWidth="1"/>
    <col min="8200" max="8202" width="7.140625" customWidth="1"/>
    <col min="8203" max="8203" width="5" customWidth="1"/>
    <col min="8204" max="8206" width="7.140625" customWidth="1"/>
    <col min="8451" max="8451" width="33.140625" bestFit="1" customWidth="1"/>
    <col min="8452" max="8454" width="7.140625" customWidth="1"/>
    <col min="8455" max="8455" width="5" customWidth="1"/>
    <col min="8456" max="8458" width="7.140625" customWidth="1"/>
    <col min="8459" max="8459" width="5" customWidth="1"/>
    <col min="8460" max="8462" width="7.140625" customWidth="1"/>
    <col min="8707" max="8707" width="33.140625" bestFit="1" customWidth="1"/>
    <col min="8708" max="8710" width="7.140625" customWidth="1"/>
    <col min="8711" max="8711" width="5" customWidth="1"/>
    <col min="8712" max="8714" width="7.140625" customWidth="1"/>
    <col min="8715" max="8715" width="5" customWidth="1"/>
    <col min="8716" max="8718" width="7.140625" customWidth="1"/>
    <col min="8963" max="8963" width="33.140625" bestFit="1" customWidth="1"/>
    <col min="8964" max="8966" width="7.140625" customWidth="1"/>
    <col min="8967" max="8967" width="5" customWidth="1"/>
    <col min="8968" max="8970" width="7.140625" customWidth="1"/>
    <col min="8971" max="8971" width="5" customWidth="1"/>
    <col min="8972" max="8974" width="7.140625" customWidth="1"/>
    <col min="9219" max="9219" width="33.140625" bestFit="1" customWidth="1"/>
    <col min="9220" max="9222" width="7.140625" customWidth="1"/>
    <col min="9223" max="9223" width="5" customWidth="1"/>
    <col min="9224" max="9226" width="7.140625" customWidth="1"/>
    <col min="9227" max="9227" width="5" customWidth="1"/>
    <col min="9228" max="9230" width="7.140625" customWidth="1"/>
    <col min="9475" max="9475" width="33.140625" bestFit="1" customWidth="1"/>
    <col min="9476" max="9478" width="7.140625" customWidth="1"/>
    <col min="9479" max="9479" width="5" customWidth="1"/>
    <col min="9480" max="9482" width="7.140625" customWidth="1"/>
    <col min="9483" max="9483" width="5" customWidth="1"/>
    <col min="9484" max="9486" width="7.140625" customWidth="1"/>
    <col min="9731" max="9731" width="33.140625" bestFit="1" customWidth="1"/>
    <col min="9732" max="9734" width="7.140625" customWidth="1"/>
    <col min="9735" max="9735" width="5" customWidth="1"/>
    <col min="9736" max="9738" width="7.140625" customWidth="1"/>
    <col min="9739" max="9739" width="5" customWidth="1"/>
    <col min="9740" max="9742" width="7.140625" customWidth="1"/>
    <col min="9987" max="9987" width="33.140625" bestFit="1" customWidth="1"/>
    <col min="9988" max="9990" width="7.140625" customWidth="1"/>
    <col min="9991" max="9991" width="5" customWidth="1"/>
    <col min="9992" max="9994" width="7.140625" customWidth="1"/>
    <col min="9995" max="9995" width="5" customWidth="1"/>
    <col min="9996" max="9998" width="7.140625" customWidth="1"/>
    <col min="10243" max="10243" width="33.140625" bestFit="1" customWidth="1"/>
    <col min="10244" max="10246" width="7.140625" customWidth="1"/>
    <col min="10247" max="10247" width="5" customWidth="1"/>
    <col min="10248" max="10250" width="7.140625" customWidth="1"/>
    <col min="10251" max="10251" width="5" customWidth="1"/>
    <col min="10252" max="10254" width="7.140625" customWidth="1"/>
    <col min="10499" max="10499" width="33.140625" bestFit="1" customWidth="1"/>
    <col min="10500" max="10502" width="7.140625" customWidth="1"/>
    <col min="10503" max="10503" width="5" customWidth="1"/>
    <col min="10504" max="10506" width="7.140625" customWidth="1"/>
    <col min="10507" max="10507" width="5" customWidth="1"/>
    <col min="10508" max="10510" width="7.140625" customWidth="1"/>
    <col min="10755" max="10755" width="33.140625" bestFit="1" customWidth="1"/>
    <col min="10756" max="10758" width="7.140625" customWidth="1"/>
    <col min="10759" max="10759" width="5" customWidth="1"/>
    <col min="10760" max="10762" width="7.140625" customWidth="1"/>
    <col min="10763" max="10763" width="5" customWidth="1"/>
    <col min="10764" max="10766" width="7.140625" customWidth="1"/>
    <col min="11011" max="11011" width="33.140625" bestFit="1" customWidth="1"/>
    <col min="11012" max="11014" width="7.140625" customWidth="1"/>
    <col min="11015" max="11015" width="5" customWidth="1"/>
    <col min="11016" max="11018" width="7.140625" customWidth="1"/>
    <col min="11019" max="11019" width="5" customWidth="1"/>
    <col min="11020" max="11022" width="7.140625" customWidth="1"/>
    <col min="11267" max="11267" width="33.140625" bestFit="1" customWidth="1"/>
    <col min="11268" max="11270" width="7.140625" customWidth="1"/>
    <col min="11271" max="11271" width="5" customWidth="1"/>
    <col min="11272" max="11274" width="7.140625" customWidth="1"/>
    <col min="11275" max="11275" width="5" customWidth="1"/>
    <col min="11276" max="11278" width="7.140625" customWidth="1"/>
    <col min="11523" max="11523" width="33.140625" bestFit="1" customWidth="1"/>
    <col min="11524" max="11526" width="7.140625" customWidth="1"/>
    <col min="11527" max="11527" width="5" customWidth="1"/>
    <col min="11528" max="11530" width="7.140625" customWidth="1"/>
    <col min="11531" max="11531" width="5" customWidth="1"/>
    <col min="11532" max="11534" width="7.140625" customWidth="1"/>
    <col min="11779" max="11779" width="33.140625" bestFit="1" customWidth="1"/>
    <col min="11780" max="11782" width="7.140625" customWidth="1"/>
    <col min="11783" max="11783" width="5" customWidth="1"/>
    <col min="11784" max="11786" width="7.140625" customWidth="1"/>
    <col min="11787" max="11787" width="5" customWidth="1"/>
    <col min="11788" max="11790" width="7.140625" customWidth="1"/>
    <col min="12035" max="12035" width="33.140625" bestFit="1" customWidth="1"/>
    <col min="12036" max="12038" width="7.140625" customWidth="1"/>
    <col min="12039" max="12039" width="5" customWidth="1"/>
    <col min="12040" max="12042" width="7.140625" customWidth="1"/>
    <col min="12043" max="12043" width="5" customWidth="1"/>
    <col min="12044" max="12046" width="7.140625" customWidth="1"/>
    <col min="12291" max="12291" width="33.140625" bestFit="1" customWidth="1"/>
    <col min="12292" max="12294" width="7.140625" customWidth="1"/>
    <col min="12295" max="12295" width="5" customWidth="1"/>
    <col min="12296" max="12298" width="7.140625" customWidth="1"/>
    <col min="12299" max="12299" width="5" customWidth="1"/>
    <col min="12300" max="12302" width="7.140625" customWidth="1"/>
    <col min="12547" max="12547" width="33.140625" bestFit="1" customWidth="1"/>
    <col min="12548" max="12550" width="7.140625" customWidth="1"/>
    <col min="12551" max="12551" width="5" customWidth="1"/>
    <col min="12552" max="12554" width="7.140625" customWidth="1"/>
    <col min="12555" max="12555" width="5" customWidth="1"/>
    <col min="12556" max="12558" width="7.140625" customWidth="1"/>
    <col min="12803" max="12803" width="33.140625" bestFit="1" customWidth="1"/>
    <col min="12804" max="12806" width="7.140625" customWidth="1"/>
    <col min="12807" max="12807" width="5" customWidth="1"/>
    <col min="12808" max="12810" width="7.140625" customWidth="1"/>
    <col min="12811" max="12811" width="5" customWidth="1"/>
    <col min="12812" max="12814" width="7.140625" customWidth="1"/>
    <col min="13059" max="13059" width="33.140625" bestFit="1" customWidth="1"/>
    <col min="13060" max="13062" width="7.140625" customWidth="1"/>
    <col min="13063" max="13063" width="5" customWidth="1"/>
    <col min="13064" max="13066" width="7.140625" customWidth="1"/>
    <col min="13067" max="13067" width="5" customWidth="1"/>
    <col min="13068" max="13070" width="7.140625" customWidth="1"/>
    <col min="13315" max="13315" width="33.140625" bestFit="1" customWidth="1"/>
    <col min="13316" max="13318" width="7.140625" customWidth="1"/>
    <col min="13319" max="13319" width="5" customWidth="1"/>
    <col min="13320" max="13322" width="7.140625" customWidth="1"/>
    <col min="13323" max="13323" width="5" customWidth="1"/>
    <col min="13324" max="13326" width="7.140625" customWidth="1"/>
    <col min="13571" max="13571" width="33.140625" bestFit="1" customWidth="1"/>
    <col min="13572" max="13574" width="7.140625" customWidth="1"/>
    <col min="13575" max="13575" width="5" customWidth="1"/>
    <col min="13576" max="13578" width="7.140625" customWidth="1"/>
    <col min="13579" max="13579" width="5" customWidth="1"/>
    <col min="13580" max="13582" width="7.140625" customWidth="1"/>
    <col min="13827" max="13827" width="33.140625" bestFit="1" customWidth="1"/>
    <col min="13828" max="13830" width="7.140625" customWidth="1"/>
    <col min="13831" max="13831" width="5" customWidth="1"/>
    <col min="13832" max="13834" width="7.140625" customWidth="1"/>
    <col min="13835" max="13835" width="5" customWidth="1"/>
    <col min="13836" max="13838" width="7.140625" customWidth="1"/>
    <col min="14083" max="14083" width="33.140625" bestFit="1" customWidth="1"/>
    <col min="14084" max="14086" width="7.140625" customWidth="1"/>
    <col min="14087" max="14087" width="5" customWidth="1"/>
    <col min="14088" max="14090" width="7.140625" customWidth="1"/>
    <col min="14091" max="14091" width="5" customWidth="1"/>
    <col min="14092" max="14094" width="7.140625" customWidth="1"/>
    <col min="14339" max="14339" width="33.140625" bestFit="1" customWidth="1"/>
    <col min="14340" max="14342" width="7.140625" customWidth="1"/>
    <col min="14343" max="14343" width="5" customWidth="1"/>
    <col min="14344" max="14346" width="7.140625" customWidth="1"/>
    <col min="14347" max="14347" width="5" customWidth="1"/>
    <col min="14348" max="14350" width="7.140625" customWidth="1"/>
    <col min="14595" max="14595" width="33.140625" bestFit="1" customWidth="1"/>
    <col min="14596" max="14598" width="7.140625" customWidth="1"/>
    <col min="14599" max="14599" width="5" customWidth="1"/>
    <col min="14600" max="14602" width="7.140625" customWidth="1"/>
    <col min="14603" max="14603" width="5" customWidth="1"/>
    <col min="14604" max="14606" width="7.140625" customWidth="1"/>
    <col min="14851" max="14851" width="33.140625" bestFit="1" customWidth="1"/>
    <col min="14852" max="14854" width="7.140625" customWidth="1"/>
    <col min="14855" max="14855" width="5" customWidth="1"/>
    <col min="14856" max="14858" width="7.140625" customWidth="1"/>
    <col min="14859" max="14859" width="5" customWidth="1"/>
    <col min="14860" max="14862" width="7.140625" customWidth="1"/>
    <col min="15107" max="15107" width="33.140625" bestFit="1" customWidth="1"/>
    <col min="15108" max="15110" width="7.140625" customWidth="1"/>
    <col min="15111" max="15111" width="5" customWidth="1"/>
    <col min="15112" max="15114" width="7.140625" customWidth="1"/>
    <col min="15115" max="15115" width="5" customWidth="1"/>
    <col min="15116" max="15118" width="7.140625" customWidth="1"/>
    <col min="15363" max="15363" width="33.140625" bestFit="1" customWidth="1"/>
    <col min="15364" max="15366" width="7.140625" customWidth="1"/>
    <col min="15367" max="15367" width="5" customWidth="1"/>
    <col min="15368" max="15370" width="7.140625" customWidth="1"/>
    <col min="15371" max="15371" width="5" customWidth="1"/>
    <col min="15372" max="15374" width="7.140625" customWidth="1"/>
    <col min="15619" max="15619" width="33.140625" bestFit="1" customWidth="1"/>
    <col min="15620" max="15622" width="7.140625" customWidth="1"/>
    <col min="15623" max="15623" width="5" customWidth="1"/>
    <col min="15624" max="15626" width="7.140625" customWidth="1"/>
    <col min="15627" max="15627" width="5" customWidth="1"/>
    <col min="15628" max="15630" width="7.140625" customWidth="1"/>
    <col min="15875" max="15875" width="33.140625" bestFit="1" customWidth="1"/>
    <col min="15876" max="15878" width="7.140625" customWidth="1"/>
    <col min="15879" max="15879" width="5" customWidth="1"/>
    <col min="15880" max="15882" width="7.140625" customWidth="1"/>
    <col min="15883" max="15883" width="5" customWidth="1"/>
    <col min="15884" max="15886" width="7.140625" customWidth="1"/>
    <col min="16131" max="16131" width="33.140625" bestFit="1" customWidth="1"/>
    <col min="16132" max="16134" width="7.140625" customWidth="1"/>
    <col min="16135" max="16135" width="5" customWidth="1"/>
    <col min="16136" max="16138" width="7.140625" customWidth="1"/>
    <col min="16139" max="16139" width="5" customWidth="1"/>
    <col min="16140" max="16142" width="7.140625" customWidth="1"/>
  </cols>
  <sheetData>
    <row r="1" spans="1:23" ht="15.75" x14ac:dyDescent="0.25">
      <c r="A1" s="19" t="str">
        <f>CONCATENATE("Industry and Occupation Table 2  Occupation composition (SOC2020) by employment status, ",B$6,"-",L$6,", ",Info!B5)</f>
        <v>Industry and Occupation Table 2  Occupation composition (SOC2020) by employment status, 2015-2035, North East</v>
      </c>
    </row>
    <row r="2" spans="1:23" x14ac:dyDescent="0.2">
      <c r="A2" s="258" t="s">
        <v>516</v>
      </c>
    </row>
    <row r="4" spans="1:23" x14ac:dyDescent="0.2">
      <c r="O4" s="251" t="s">
        <v>36</v>
      </c>
    </row>
    <row r="5" spans="1:23" s="258" customFormat="1" x14ac:dyDescent="0.2">
      <c r="A5" s="242"/>
      <c r="B5" s="242"/>
      <c r="C5" s="242"/>
      <c r="D5" s="242"/>
      <c r="E5" s="242"/>
      <c r="F5" s="242"/>
      <c r="G5" s="242"/>
      <c r="H5" s="242"/>
      <c r="I5" s="242"/>
      <c r="J5" s="242"/>
      <c r="K5" s="242"/>
      <c r="L5" s="242"/>
      <c r="M5" s="242"/>
      <c r="N5" s="242"/>
    </row>
    <row r="6" spans="1:23" s="258" customFormat="1" x14ac:dyDescent="0.2">
      <c r="A6" s="241" t="s">
        <v>0</v>
      </c>
      <c r="B6" s="375">
        <v>2015</v>
      </c>
      <c r="C6" s="375"/>
      <c r="D6" s="375"/>
      <c r="E6" s="375"/>
      <c r="F6" s="246"/>
      <c r="G6" s="375">
        <v>2020</v>
      </c>
      <c r="H6" s="375"/>
      <c r="I6" s="375"/>
      <c r="J6" s="375"/>
      <c r="K6" s="278"/>
      <c r="L6" s="375">
        <v>2035</v>
      </c>
      <c r="M6" s="375"/>
      <c r="N6" s="375"/>
      <c r="O6" s="375"/>
      <c r="S6" s="279"/>
      <c r="T6" s="279"/>
      <c r="U6" s="279"/>
      <c r="V6" s="279"/>
      <c r="W6" s="279"/>
    </row>
    <row r="7" spans="1:23" s="258" customFormat="1" x14ac:dyDescent="0.2">
      <c r="A7" s="252"/>
      <c r="B7" s="268" t="str">
        <f>name!$J$5</f>
        <v>FT</v>
      </c>
      <c r="C7" s="268" t="str">
        <f>name!$J$6</f>
        <v>PT</v>
      </c>
      <c r="D7" s="268" t="str">
        <f>name!$J$4</f>
        <v>SE</v>
      </c>
      <c r="E7" s="268" t="s">
        <v>33</v>
      </c>
      <c r="F7" s="280"/>
      <c r="G7" s="268" t="str">
        <f>name!$J$5</f>
        <v>FT</v>
      </c>
      <c r="H7" s="268" t="str">
        <f>name!$J$6</f>
        <v>PT</v>
      </c>
      <c r="I7" s="268" t="str">
        <f>name!$J$4</f>
        <v>SE</v>
      </c>
      <c r="J7" s="268" t="s">
        <v>33</v>
      </c>
      <c r="K7" s="280"/>
      <c r="L7" s="268" t="str">
        <f>name!$J$5</f>
        <v>FT</v>
      </c>
      <c r="M7" s="268" t="str">
        <f>name!$J$6</f>
        <v>PT</v>
      </c>
      <c r="N7" s="268" t="str">
        <f>name!$J$4</f>
        <v>SE</v>
      </c>
      <c r="O7" s="268" t="s">
        <v>33</v>
      </c>
      <c r="T7" s="281"/>
      <c r="V7" s="281"/>
    </row>
    <row r="8" spans="1:23" s="236" customFormat="1" x14ac:dyDescent="0.2">
      <c r="B8" s="239"/>
      <c r="C8" s="239"/>
      <c r="D8" s="239"/>
      <c r="E8" s="239"/>
      <c r="F8" s="239"/>
      <c r="G8" s="239"/>
      <c r="H8" s="239"/>
      <c r="I8" s="239"/>
      <c r="J8" s="239"/>
      <c r="K8" s="239"/>
      <c r="L8" s="239"/>
      <c r="M8" s="239"/>
      <c r="N8" s="239"/>
      <c r="O8" s="239"/>
      <c r="T8" s="249"/>
      <c r="V8" s="249"/>
    </row>
    <row r="9" spans="1:23" s="236" customFormat="1" x14ac:dyDescent="0.2">
      <c r="A9" s="237" t="str">
        <f>name!E$4</f>
        <v>Managers, directors and senior officials</v>
      </c>
      <c r="B9" s="249">
        <f>SUM(B26,B43,B60,B77,B94,B111,B128,B145,B162,B179,B196,B213,B230,B247,B264,B281,B298,B315,B332,B349,B366,B383)</f>
        <v>24.540461071855844</v>
      </c>
      <c r="C9" s="249">
        <f t="shared" ref="C9:D9" si="0">SUM(C26,C43,C60,C77,C94,C111,C128,C145,C162,C179,C196,C213,C230,C247,C264,C281,C298,C315,C332,C349,C366,C383)</f>
        <v>3.1682116252601249</v>
      </c>
      <c r="D9" s="249">
        <f t="shared" si="0"/>
        <v>8.2975332651512179</v>
      </c>
      <c r="E9" s="249">
        <f>SUM(B9:D9)</f>
        <v>36.006205962267188</v>
      </c>
      <c r="F9" s="238"/>
      <c r="G9" s="249">
        <f>SUM(G26,G43,G60,G77,G94,G111,G128,G145,G162,G179,G196,G213,G230,G247,G264,G281,G298,G315,G332,G349,G366,G383)</f>
        <v>27.996505456815999</v>
      </c>
      <c r="H9" s="249">
        <f t="shared" ref="H9:I9" si="1">SUM(H26,H43,H60,H77,H94,H111,H128,H145,H162,H179,H196,H213,H230,H247,H264,H281,H298,H315,H332,H349,H366,H383)</f>
        <v>4.5655591754447533</v>
      </c>
      <c r="I9" s="249">
        <f t="shared" si="1"/>
        <v>7.6830140925004127</v>
      </c>
      <c r="J9" s="249">
        <f>SUM(G9:I9)</f>
        <v>40.245078724761164</v>
      </c>
      <c r="K9" s="238"/>
      <c r="L9" s="249">
        <f>SUM(L26,L43,L60,L77,L94,L111,L128,L145,L162,L179,L196,L213,L230,L247,L264,L281,L298,L315,L332,L349,L366,L383)</f>
        <v>31.582203795146043</v>
      </c>
      <c r="M9" s="249">
        <f t="shared" ref="M9:N9" si="2">SUM(M26,M43,M60,M77,M94,M111,M128,M145,M162,M179,M196,M213,M230,M247,M264,M281,M298,M315,M332,M349,M366,M383)</f>
        <v>5.8640761301918767</v>
      </c>
      <c r="N9" s="249">
        <f t="shared" si="2"/>
        <v>8.2428578905780281</v>
      </c>
      <c r="O9" s="249">
        <f>SUM(L9:N9)</f>
        <v>45.689137815915949</v>
      </c>
      <c r="T9" s="249"/>
      <c r="V9" s="249"/>
    </row>
    <row r="10" spans="1:23" s="236" customFormat="1" x14ac:dyDescent="0.2">
      <c r="A10" s="237" t="str">
        <f>name!E$5</f>
        <v>Professional occupations</v>
      </c>
      <c r="B10" s="249">
        <f t="shared" ref="B10:D17" si="3">SUM(B27,B44,B61,B78,B95,B112,B129,B146,B163,B180,B197,B214,B231,B248,B265,B282,B299,B316,B333,B350,B367,B384)</f>
        <v>65.643671698198403</v>
      </c>
      <c r="C10" s="249">
        <f t="shared" si="3"/>
        <v>16.50243590542312</v>
      </c>
      <c r="D10" s="249">
        <f t="shared" si="3"/>
        <v>7.9791690316991035</v>
      </c>
      <c r="E10" s="249">
        <f t="shared" ref="E10:E17" si="4">SUM(B10:D10)</f>
        <v>90.125276635320617</v>
      </c>
      <c r="F10" s="238"/>
      <c r="G10" s="249">
        <f t="shared" ref="G10:I10" si="5">SUM(G27,G44,G61,G78,G95,G112,G129,G146,G163,G180,G197,G214,G231,G248,G265,G282,G299,G316,G333,G350,G367,G384)</f>
        <v>72.580413233289306</v>
      </c>
      <c r="H10" s="249">
        <f t="shared" si="5"/>
        <v>19.805167002485433</v>
      </c>
      <c r="I10" s="249">
        <f t="shared" si="5"/>
        <v>6.6819507226864081</v>
      </c>
      <c r="J10" s="249">
        <f t="shared" ref="J10:J17" si="6">SUM(G10:I10)</f>
        <v>99.067530958461148</v>
      </c>
      <c r="K10" s="238"/>
      <c r="L10" s="249">
        <f t="shared" ref="L10:N10" si="7">SUM(L27,L44,L61,L78,L95,L112,L129,L146,L163,L180,L197,L214,L231,L248,L265,L282,L299,L316,L333,L350,L367,L384)</f>
        <v>86.397679112451058</v>
      </c>
      <c r="M10" s="249">
        <f t="shared" si="7"/>
        <v>24.713860927836791</v>
      </c>
      <c r="N10" s="249">
        <f t="shared" si="7"/>
        <v>5.6923610924128711</v>
      </c>
      <c r="O10" s="249">
        <f t="shared" ref="O10:O17" si="8">SUM(L10:N10)</f>
        <v>116.80390113270072</v>
      </c>
      <c r="T10" s="249"/>
      <c r="V10" s="249"/>
    </row>
    <row r="11" spans="1:23" s="236" customFormat="1" x14ac:dyDescent="0.2">
      <c r="A11" s="237" t="str">
        <f>name!E$6</f>
        <v>Associate professional occupations</v>
      </c>
      <c r="B11" s="249">
        <f t="shared" si="3"/>
        <v>35.449971399396908</v>
      </c>
      <c r="C11" s="249">
        <f t="shared" si="3"/>
        <v>9.704730585696435</v>
      </c>
      <c r="D11" s="249">
        <f t="shared" si="3"/>
        <v>6.3922229392886072</v>
      </c>
      <c r="E11" s="249">
        <f t="shared" si="4"/>
        <v>51.546924924381948</v>
      </c>
      <c r="F11" s="238"/>
      <c r="G11" s="249">
        <f t="shared" ref="G11:I11" si="9">SUM(G28,G45,G62,G79,G96,G113,G130,G147,G164,G181,G198,G215,G232,G249,G266,G283,G300,G317,G334,G351,G368,G385)</f>
        <v>39.478327797852046</v>
      </c>
      <c r="H11" s="249">
        <f t="shared" si="9"/>
        <v>11.162282376459483</v>
      </c>
      <c r="I11" s="249">
        <f t="shared" si="9"/>
        <v>5.4364460586088361</v>
      </c>
      <c r="J11" s="249">
        <f t="shared" si="6"/>
        <v>56.07705623292037</v>
      </c>
      <c r="K11" s="238"/>
      <c r="L11" s="249">
        <f t="shared" ref="L11:N11" si="10">SUM(L28,L45,L62,L79,L96,L113,L130,L147,L164,L181,L198,L215,L232,L249,L266,L283,L300,L317,L334,L351,L368,L385)</f>
        <v>40.207711227964445</v>
      </c>
      <c r="M11" s="249">
        <f t="shared" si="10"/>
        <v>11.963600134465032</v>
      </c>
      <c r="N11" s="249">
        <f t="shared" si="10"/>
        <v>5.2477614282959362</v>
      </c>
      <c r="O11" s="249">
        <f t="shared" si="8"/>
        <v>57.419072790725416</v>
      </c>
      <c r="T11" s="249"/>
      <c r="V11" s="249"/>
    </row>
    <row r="12" spans="1:23" s="236" customFormat="1" x14ac:dyDescent="0.2">
      <c r="A12" s="237" t="str">
        <f>name!E$7</f>
        <v>Administrative and secretarial occupations</v>
      </c>
      <c r="B12" s="249">
        <f t="shared" si="3"/>
        <v>31.780227216891276</v>
      </c>
      <c r="C12" s="249">
        <f t="shared" si="3"/>
        <v>21.207020167294996</v>
      </c>
      <c r="D12" s="249">
        <f t="shared" si="3"/>
        <v>2.2983788109937935</v>
      </c>
      <c r="E12" s="249">
        <f t="shared" si="4"/>
        <v>55.285626195180072</v>
      </c>
      <c r="F12" s="238"/>
      <c r="G12" s="249">
        <f t="shared" ref="G12:I12" si="11">SUM(G29,G46,G63,G80,G97,G114,G131,G148,G165,G182,G199,G216,G233,G250,G267,G284,G301,G318,G335,G352,G369,G386)</f>
        <v>30.49660679005714</v>
      </c>
      <c r="H12" s="249">
        <f t="shared" si="11"/>
        <v>20.152048536108918</v>
      </c>
      <c r="I12" s="249">
        <f t="shared" si="11"/>
        <v>1.8544404888863997</v>
      </c>
      <c r="J12" s="249">
        <f t="shared" si="6"/>
        <v>52.503095815052454</v>
      </c>
      <c r="K12" s="238"/>
      <c r="L12" s="249">
        <f t="shared" ref="L12:N12" si="12">SUM(L29,L46,L63,L80,L97,L114,L131,L148,L165,L182,L199,L216,L233,L250,L267,L284,L301,L318,L335,L352,L369,L386)</f>
        <v>26.410641389027269</v>
      </c>
      <c r="M12" s="249">
        <f t="shared" si="12"/>
        <v>17.057691568874873</v>
      </c>
      <c r="N12" s="249">
        <f t="shared" si="12"/>
        <v>2.4002630588575058</v>
      </c>
      <c r="O12" s="249">
        <f t="shared" si="8"/>
        <v>45.868596016759646</v>
      </c>
      <c r="T12" s="249"/>
      <c r="V12" s="249"/>
    </row>
    <row r="13" spans="1:23" s="236" customFormat="1" x14ac:dyDescent="0.2">
      <c r="A13" s="237" t="str">
        <f>name!E$8</f>
        <v>Skilled trades occupations</v>
      </c>
      <c r="B13" s="249">
        <f t="shared" si="3"/>
        <v>39.621325849380966</v>
      </c>
      <c r="C13" s="249">
        <f t="shared" si="3"/>
        <v>4.3456129448680025</v>
      </c>
      <c r="D13" s="249">
        <f t="shared" si="3"/>
        <v>13.055343084123695</v>
      </c>
      <c r="E13" s="249">
        <f t="shared" si="4"/>
        <v>57.022281878372667</v>
      </c>
      <c r="F13" s="238"/>
      <c r="G13" s="249">
        <f t="shared" ref="G13:I13" si="13">SUM(G30,G47,G64,G81,G98,G115,G132,G149,G166,G183,G200,G217,G234,G251,G268,G285,G302,G319,G336,G353,G370,G387)</f>
        <v>32.743336645478315</v>
      </c>
      <c r="H13" s="249">
        <f t="shared" si="13"/>
        <v>3.5032012514430884</v>
      </c>
      <c r="I13" s="249">
        <f t="shared" si="13"/>
        <v>11.999174652410813</v>
      </c>
      <c r="J13" s="249">
        <f t="shared" si="6"/>
        <v>48.245712549332218</v>
      </c>
      <c r="K13" s="238"/>
      <c r="L13" s="249">
        <f t="shared" ref="L13:N13" si="14">SUM(L30,L47,L64,L81,L98,L115,L132,L149,L166,L183,L200,L217,L234,L251,L268,L285,L302,L319,L336,L353,L370,L387)</f>
        <v>27.091238969198034</v>
      </c>
      <c r="M13" s="249">
        <f t="shared" si="14"/>
        <v>3.7988103709908398</v>
      </c>
      <c r="N13" s="249">
        <f t="shared" si="14"/>
        <v>12.286438179015875</v>
      </c>
      <c r="O13" s="249">
        <f t="shared" si="8"/>
        <v>43.176487519204748</v>
      </c>
      <c r="T13" s="249"/>
      <c r="V13" s="249"/>
    </row>
    <row r="14" spans="1:23" s="236" customFormat="1" x14ac:dyDescent="0.2">
      <c r="A14" s="237" t="str">
        <f>name!E$9</f>
        <v>Caring, leisure and other service occupations</v>
      </c>
      <c r="B14" s="249">
        <f t="shared" si="3"/>
        <v>22.305209603863247</v>
      </c>
      <c r="C14" s="249">
        <f t="shared" si="3"/>
        <v>18.765721702019139</v>
      </c>
      <c r="D14" s="249">
        <f t="shared" si="3"/>
        <v>3.8176127940375677</v>
      </c>
      <c r="E14" s="249">
        <f t="shared" si="4"/>
        <v>44.888544099919947</v>
      </c>
      <c r="F14" s="238"/>
      <c r="G14" s="249">
        <f t="shared" ref="G14:I14" si="15">SUM(G31,G48,G65,G82,G99,G116,G133,G150,G167,G184,G201,G218,G235,G252,G269,G286,G303,G320,G337,G354,G371,G388)</f>
        <v>20.72552348108033</v>
      </c>
      <c r="H14" s="249">
        <f t="shared" si="15"/>
        <v>18.111935358550923</v>
      </c>
      <c r="I14" s="249">
        <f t="shared" si="15"/>
        <v>4.0046629013740702</v>
      </c>
      <c r="J14" s="249">
        <f t="shared" si="6"/>
        <v>42.842121741005322</v>
      </c>
      <c r="K14" s="238"/>
      <c r="L14" s="249">
        <f t="shared" ref="L14:N14" si="16">SUM(L31,L48,L65,L82,L99,L116,L133,L150,L167,L184,L201,L218,L235,L252,L269,L286,L303,L320,L337,L354,L371,L388)</f>
        <v>22.732336929690739</v>
      </c>
      <c r="M14" s="249">
        <f t="shared" si="16"/>
        <v>18.97159543710168</v>
      </c>
      <c r="N14" s="249">
        <f t="shared" si="16"/>
        <v>4.3465235190511873</v>
      </c>
      <c r="O14" s="249">
        <f t="shared" si="8"/>
        <v>46.050455885843604</v>
      </c>
      <c r="T14" s="249"/>
      <c r="V14" s="249"/>
    </row>
    <row r="15" spans="1:23" s="236" customFormat="1" x14ac:dyDescent="0.2">
      <c r="A15" s="237" t="str">
        <f>name!E$10</f>
        <v>Sales and customer service occupations</v>
      </c>
      <c r="B15" s="249">
        <f t="shared" si="3"/>
        <v>20.403315937136224</v>
      </c>
      <c r="C15" s="249">
        <f t="shared" si="3"/>
        <v>32.170278594580545</v>
      </c>
      <c r="D15" s="249">
        <f t="shared" si="3"/>
        <v>3.6056558619499892</v>
      </c>
      <c r="E15" s="249">
        <f t="shared" si="4"/>
        <v>56.179250393666756</v>
      </c>
      <c r="F15" s="238"/>
      <c r="G15" s="249">
        <f t="shared" ref="G15:I15" si="17">SUM(G32,G49,G66,G83,G100,G117,G134,G151,G168,G185,G202,G219,G236,G253,G270,G287,G304,G321,G338,G355,G372,G389)</f>
        <v>19.14677242908245</v>
      </c>
      <c r="H15" s="249">
        <f t="shared" si="17"/>
        <v>30.347927165411555</v>
      </c>
      <c r="I15" s="249">
        <f t="shared" si="17"/>
        <v>2.0735616286448684</v>
      </c>
      <c r="J15" s="249">
        <f t="shared" si="6"/>
        <v>51.568261223138876</v>
      </c>
      <c r="K15" s="238"/>
      <c r="L15" s="249">
        <f t="shared" ref="L15:N15" si="18">SUM(L32,L49,L66,L83,L100,L117,L134,L151,L168,L185,L202,L219,L236,L253,L270,L287,L304,L321,L338,L355,L372,L389)</f>
        <v>19.807333235536472</v>
      </c>
      <c r="M15" s="249">
        <f t="shared" si="18"/>
        <v>30.451944429346156</v>
      </c>
      <c r="N15" s="249">
        <f t="shared" si="18"/>
        <v>1.6559516430524894</v>
      </c>
      <c r="O15" s="249">
        <f t="shared" si="8"/>
        <v>51.915229307935121</v>
      </c>
      <c r="T15" s="249"/>
      <c r="V15" s="249"/>
    </row>
    <row r="16" spans="1:23" s="236" customFormat="1" x14ac:dyDescent="0.2">
      <c r="A16" s="237" t="str">
        <f>name!E$11</f>
        <v>Process, plant and machine operatives</v>
      </c>
      <c r="B16" s="249">
        <f t="shared" si="3"/>
        <v>30.322765309608087</v>
      </c>
      <c r="C16" s="249">
        <f t="shared" si="3"/>
        <v>3.9815644119733049</v>
      </c>
      <c r="D16" s="249">
        <f t="shared" si="3"/>
        <v>3.9713308317678493</v>
      </c>
      <c r="E16" s="249">
        <f t="shared" si="4"/>
        <v>38.27566055334924</v>
      </c>
      <c r="F16" s="238"/>
      <c r="G16" s="249">
        <f t="shared" ref="G16:I16" si="19">SUM(G33,G50,G67,G84,G101,G118,G135,G152,G169,G186,G203,G220,G237,G254,G271,G288,G305,G322,G339,G356,G373,G390)</f>
        <v>26.370089892882678</v>
      </c>
      <c r="H16" s="249">
        <f t="shared" si="19"/>
        <v>4.1674736275156423</v>
      </c>
      <c r="I16" s="249">
        <f t="shared" si="19"/>
        <v>5.0416271693817976</v>
      </c>
      <c r="J16" s="249">
        <f t="shared" si="6"/>
        <v>35.57919068978012</v>
      </c>
      <c r="K16" s="238"/>
      <c r="L16" s="249">
        <f t="shared" ref="L16:N16" si="20">SUM(L33,L50,L67,L84,L101,L118,L135,L152,L169,L186,L203,L220,L237,L254,L271,L288,L305,L322,L339,L356,L373,L390)</f>
        <v>25.357642641175492</v>
      </c>
      <c r="M16" s="249">
        <f t="shared" si="20"/>
        <v>5.0969752526915828</v>
      </c>
      <c r="N16" s="249">
        <f t="shared" si="20"/>
        <v>5.676275886227554</v>
      </c>
      <c r="O16" s="249">
        <f t="shared" si="8"/>
        <v>36.130893780094624</v>
      </c>
      <c r="T16" s="249"/>
      <c r="V16" s="249"/>
    </row>
    <row r="17" spans="1:15" s="236" customFormat="1" x14ac:dyDescent="0.2">
      <c r="A17" s="237" t="str">
        <f>name!E$12</f>
        <v>Elementary occupations</v>
      </c>
      <c r="B17" s="249">
        <f t="shared" si="3"/>
        <v>26.407460684418957</v>
      </c>
      <c r="C17" s="249">
        <f t="shared" si="3"/>
        <v>29.894216799614554</v>
      </c>
      <c r="D17" s="249">
        <f t="shared" si="3"/>
        <v>4.0795518735081044</v>
      </c>
      <c r="E17" s="249">
        <f t="shared" si="4"/>
        <v>60.381229357541613</v>
      </c>
      <c r="F17" s="238"/>
      <c r="G17" s="249">
        <f t="shared" ref="G17:I17" si="21">SUM(G34,G51,G68,G85,G102,G119,G136,G153,G170,G187,G204,G221,G238,G255,G272,G289,G306,G323,G340,G357,G374,G391)</f>
        <v>23.998416944535094</v>
      </c>
      <c r="H17" s="249">
        <f t="shared" si="21"/>
        <v>25.854269698019266</v>
      </c>
      <c r="I17" s="249">
        <f t="shared" si="21"/>
        <v>2.9452654229941473</v>
      </c>
      <c r="J17" s="249">
        <f t="shared" si="6"/>
        <v>52.797952065548508</v>
      </c>
      <c r="K17" s="238"/>
      <c r="L17" s="249">
        <f t="shared" ref="L17:N17" si="22">SUM(L34,L51,L68,L85,L102,L119,L136,L153,L170,L187,L204,L221,L238,L255,L272,L289,L306,L323,L340,L357,L374,L391)</f>
        <v>23.636689305978607</v>
      </c>
      <c r="M17" s="249">
        <f t="shared" si="22"/>
        <v>22.166376708555717</v>
      </c>
      <c r="N17" s="249">
        <f t="shared" si="22"/>
        <v>3.9211597362858841</v>
      </c>
      <c r="O17" s="249">
        <f t="shared" si="8"/>
        <v>49.72422575082021</v>
      </c>
    </row>
    <row r="18" spans="1:15" s="236" customFormat="1" x14ac:dyDescent="0.2">
      <c r="A18" s="237"/>
      <c r="B18" s="249"/>
      <c r="C18" s="249"/>
      <c r="D18" s="249"/>
      <c r="E18" s="249"/>
      <c r="F18" s="238"/>
      <c r="G18" s="249"/>
      <c r="H18" s="249"/>
      <c r="I18" s="249"/>
      <c r="J18" s="249"/>
      <c r="K18" s="238"/>
      <c r="L18" s="249"/>
      <c r="M18" s="249"/>
      <c r="N18" s="249"/>
      <c r="O18" s="249"/>
    </row>
    <row r="19" spans="1:15" s="236" customFormat="1" x14ac:dyDescent="0.2">
      <c r="A19" s="244" t="s">
        <v>33</v>
      </c>
      <c r="B19" s="247">
        <f>SUM(B9:B17)</f>
        <v>296.4744087707499</v>
      </c>
      <c r="C19" s="247">
        <f t="shared" ref="C19:O19" si="23">SUM(C9:C17)</f>
        <v>139.73979273673024</v>
      </c>
      <c r="D19" s="247">
        <f t="shared" si="23"/>
        <v>53.496798492519929</v>
      </c>
      <c r="E19" s="247">
        <f t="shared" si="23"/>
        <v>489.71099999999996</v>
      </c>
      <c r="F19" s="247"/>
      <c r="G19" s="247">
        <f t="shared" si="23"/>
        <v>293.53599267107336</v>
      </c>
      <c r="H19" s="247">
        <f t="shared" si="23"/>
        <v>137.66986419143907</v>
      </c>
      <c r="I19" s="247">
        <f t="shared" si="23"/>
        <v>47.720143137487753</v>
      </c>
      <c r="J19" s="247">
        <f t="shared" si="23"/>
        <v>478.92600000000022</v>
      </c>
      <c r="K19" s="247"/>
      <c r="L19" s="247">
        <f t="shared" si="23"/>
        <v>303.22347660616816</v>
      </c>
      <c r="M19" s="247">
        <f t="shared" si="23"/>
        <v>140.08493096005455</v>
      </c>
      <c r="N19" s="247">
        <f t="shared" si="23"/>
        <v>49.469592433777336</v>
      </c>
      <c r="O19" s="247">
        <f t="shared" si="23"/>
        <v>492.77800000000002</v>
      </c>
    </row>
    <row r="20" spans="1:15" s="236" customFormat="1" x14ac:dyDescent="0.2">
      <c r="A20" s="237"/>
      <c r="B20" s="238"/>
      <c r="C20" s="238"/>
      <c r="D20" s="238"/>
      <c r="E20" s="238"/>
      <c r="F20" s="238"/>
      <c r="G20" s="238"/>
      <c r="H20" s="238"/>
      <c r="I20" s="238"/>
      <c r="J20" s="238"/>
      <c r="K20" s="238"/>
      <c r="L20" s="238"/>
      <c r="M20" s="238"/>
      <c r="N20" s="239"/>
    </row>
    <row r="21" spans="1:15" s="236" customFormat="1" x14ac:dyDescent="0.2">
      <c r="A21" s="237"/>
      <c r="B21" s="237"/>
      <c r="C21" s="237"/>
      <c r="D21" s="237"/>
      <c r="E21" s="237"/>
      <c r="F21" s="237"/>
      <c r="G21" s="237"/>
      <c r="H21" s="237"/>
      <c r="I21" s="237"/>
      <c r="J21" s="237"/>
      <c r="K21" s="237"/>
      <c r="L21" s="237"/>
      <c r="M21" s="237"/>
      <c r="N21" s="240"/>
      <c r="O21" s="251" t="s">
        <v>36</v>
      </c>
    </row>
    <row r="22" spans="1:15" s="236" customFormat="1" x14ac:dyDescent="0.2">
      <c r="A22" s="242"/>
      <c r="B22" s="242"/>
      <c r="C22" s="242"/>
      <c r="D22" s="242"/>
      <c r="E22" s="242"/>
      <c r="F22" s="242"/>
      <c r="G22" s="242"/>
      <c r="H22" s="242"/>
      <c r="I22" s="242"/>
      <c r="J22" s="242"/>
      <c r="K22" s="242"/>
      <c r="L22" s="242"/>
      <c r="M22" s="242"/>
      <c r="N22" s="242"/>
      <c r="O22" s="242"/>
    </row>
    <row r="23" spans="1:15" s="236" customFormat="1" x14ac:dyDescent="0.2">
      <c r="A23" s="241" t="str">
        <f>name!B4</f>
        <v>Agriculture</v>
      </c>
      <c r="B23" s="377">
        <f>$B$6</f>
        <v>2015</v>
      </c>
      <c r="C23" s="377"/>
      <c r="D23" s="377"/>
      <c r="E23" s="377"/>
      <c r="F23" s="263"/>
      <c r="G23" s="377">
        <f>$G$6</f>
        <v>2020</v>
      </c>
      <c r="H23" s="377"/>
      <c r="I23" s="377"/>
      <c r="J23" s="377"/>
      <c r="K23" s="263"/>
      <c r="L23" s="377">
        <f>$L$6</f>
        <v>2035</v>
      </c>
      <c r="M23" s="377"/>
      <c r="N23" s="377"/>
      <c r="O23" s="377"/>
    </row>
    <row r="24" spans="1:15" s="236" customFormat="1" x14ac:dyDescent="0.2">
      <c r="A24" s="254"/>
      <c r="B24" s="268" t="str">
        <f>$B$7</f>
        <v>FT</v>
      </c>
      <c r="C24" s="268" t="str">
        <f>$C$7</f>
        <v>PT</v>
      </c>
      <c r="D24" s="268" t="str">
        <f>$D$7</f>
        <v>SE</v>
      </c>
      <c r="E24" s="268" t="str">
        <f>$E$7</f>
        <v>Total</v>
      </c>
      <c r="F24" s="268"/>
      <c r="G24" s="268" t="str">
        <f>$G$7</f>
        <v>FT</v>
      </c>
      <c r="H24" s="268" t="str">
        <f>$H$7</f>
        <v>PT</v>
      </c>
      <c r="I24" s="268" t="str">
        <f>$I$7</f>
        <v>SE</v>
      </c>
      <c r="J24" s="268" t="str">
        <f>$J$7</f>
        <v>Total</v>
      </c>
      <c r="K24" s="268"/>
      <c r="L24" s="268" t="str">
        <f>$L$7</f>
        <v>FT</v>
      </c>
      <c r="M24" s="268" t="str">
        <f>$M$7</f>
        <v>PT</v>
      </c>
      <c r="N24" s="268" t="str">
        <f>$N$7</f>
        <v>SE</v>
      </c>
      <c r="O24" s="268" t="str">
        <f>$O$7</f>
        <v>Total</v>
      </c>
    </row>
    <row r="25" spans="1:15" s="236" customFormat="1" x14ac:dyDescent="0.2">
      <c r="A25" s="258"/>
      <c r="B25" s="239"/>
      <c r="C25" s="239"/>
      <c r="D25" s="239"/>
      <c r="E25" s="239"/>
      <c r="F25" s="239"/>
      <c r="G25" s="239"/>
      <c r="H25" s="239"/>
      <c r="I25" s="239"/>
      <c r="J25" s="239"/>
      <c r="K25" s="239"/>
      <c r="L25" s="239"/>
      <c r="M25" s="239"/>
      <c r="N25" s="239"/>
      <c r="O25" s="239"/>
    </row>
    <row r="26" spans="1:15" s="236" customFormat="1" x14ac:dyDescent="0.2">
      <c r="A26" s="237" t="str">
        <f>name!E$4</f>
        <v>Managers, directors and senior officials</v>
      </c>
      <c r="B26" s="302">
        <v>0.1494618588972795</v>
      </c>
      <c r="C26" s="302">
        <v>1.8302367994248427E-2</v>
      </c>
      <c r="D26" s="302">
        <v>1.7559825192382351E-2</v>
      </c>
      <c r="E26" s="302">
        <f>SUM(B26:D26)</f>
        <v>0.18532405208391028</v>
      </c>
      <c r="F26" s="303"/>
      <c r="G26" s="302">
        <v>7.3337517010916189E-2</v>
      </c>
      <c r="H26" s="302">
        <v>1.7983770529980236E-3</v>
      </c>
      <c r="I26" s="302">
        <v>3.9897960467386841E-2</v>
      </c>
      <c r="J26" s="302">
        <f>SUM(G26:I26)</f>
        <v>0.11503385453130105</v>
      </c>
      <c r="K26" s="303"/>
      <c r="L26" s="302">
        <v>0.12838444117757133</v>
      </c>
      <c r="M26" s="302">
        <v>1.91661721989533E-3</v>
      </c>
      <c r="N26" s="302">
        <v>3.8897943877517424E-2</v>
      </c>
      <c r="O26" s="302">
        <f>SUM(L26:N26)</f>
        <v>0.16919900227498408</v>
      </c>
    </row>
    <row r="27" spans="1:15" s="236" customFormat="1" x14ac:dyDescent="0.2">
      <c r="A27" s="237" t="str">
        <f>name!E$5</f>
        <v>Professional occupations</v>
      </c>
      <c r="B27" s="302">
        <v>5.3333095189652784E-2</v>
      </c>
      <c r="C27" s="302">
        <v>1.7464170682380299E-2</v>
      </c>
      <c r="D27" s="302">
        <v>5.8306349231189427E-3</v>
      </c>
      <c r="E27" s="302">
        <f t="shared" ref="E27:E34" si="24">SUM(B27:D27)</f>
        <v>7.6627900795152026E-2</v>
      </c>
      <c r="F27" s="303"/>
      <c r="G27" s="302">
        <v>3.2597189209522863E-2</v>
      </c>
      <c r="H27" s="302">
        <v>2.3117990529057842E-3</v>
      </c>
      <c r="I27" s="302">
        <v>1.001632085287618E-2</v>
      </c>
      <c r="J27" s="302">
        <f t="shared" ref="J27:J34" si="25">SUM(G27:I27)</f>
        <v>4.4925309115304832E-2</v>
      </c>
      <c r="K27" s="303"/>
      <c r="L27" s="302">
        <v>4.7248665661523019E-2</v>
      </c>
      <c r="M27" s="302">
        <v>2.4820235629768352E-3</v>
      </c>
      <c r="N27" s="302">
        <v>1.3646275699826833E-2</v>
      </c>
      <c r="O27" s="302">
        <f t="shared" ref="O27:O34" si="26">SUM(L27:N27)</f>
        <v>6.3376964924326692E-2</v>
      </c>
    </row>
    <row r="28" spans="1:15" s="236" customFormat="1" x14ac:dyDescent="0.2">
      <c r="A28" s="237" t="str">
        <f>name!E$6</f>
        <v>Associate professional occupations</v>
      </c>
      <c r="B28" s="302">
        <v>3.4719410384887128E-2</v>
      </c>
      <c r="C28" s="302">
        <v>1.59130051218874E-2</v>
      </c>
      <c r="D28" s="302">
        <v>4.0480331198798772E-3</v>
      </c>
      <c r="E28" s="302">
        <f t="shared" si="24"/>
        <v>5.4680448626654402E-2</v>
      </c>
      <c r="F28" s="303"/>
      <c r="G28" s="302">
        <v>1.9595044795432937E-2</v>
      </c>
      <c r="H28" s="302">
        <v>2.0413395737061526E-3</v>
      </c>
      <c r="I28" s="302">
        <v>7.0569681647280743E-3</v>
      </c>
      <c r="J28" s="302">
        <f t="shared" si="25"/>
        <v>2.8693352533867164E-2</v>
      </c>
      <c r="K28" s="303"/>
      <c r="L28" s="302">
        <v>1.732073544191973E-2</v>
      </c>
      <c r="M28" s="302">
        <v>1.6699593602114281E-3</v>
      </c>
      <c r="N28" s="302">
        <v>1.0767673383610803E-2</v>
      </c>
      <c r="O28" s="302">
        <f t="shared" si="26"/>
        <v>2.9758368185741964E-2</v>
      </c>
    </row>
    <row r="29" spans="1:15" s="236" customFormat="1" x14ac:dyDescent="0.2">
      <c r="A29" s="237" t="str">
        <f>name!E$7</f>
        <v>Administrative and secretarial occupations</v>
      </c>
      <c r="B29" s="302">
        <v>1.9922925862928126E-2</v>
      </c>
      <c r="C29" s="302">
        <v>3.5924332007474788E-2</v>
      </c>
      <c r="D29" s="302">
        <v>1.190854046917419E-3</v>
      </c>
      <c r="E29" s="302">
        <f t="shared" si="24"/>
        <v>5.7038111917320333E-2</v>
      </c>
      <c r="F29" s="303"/>
      <c r="G29" s="302">
        <v>1.3327358456003342E-2</v>
      </c>
      <c r="H29" s="302">
        <v>5.8584118640708574E-3</v>
      </c>
      <c r="I29" s="302">
        <v>1.0231085793718448E-2</v>
      </c>
      <c r="J29" s="302">
        <f t="shared" si="25"/>
        <v>2.9416856113792647E-2</v>
      </c>
      <c r="K29" s="303"/>
      <c r="L29" s="302">
        <v>1.469531735261435E-2</v>
      </c>
      <c r="M29" s="302">
        <v>3.1949990760878075E-3</v>
      </c>
      <c r="N29" s="302">
        <v>5.1865953367842008E-3</v>
      </c>
      <c r="O29" s="302">
        <f t="shared" si="26"/>
        <v>2.3076911765486357E-2</v>
      </c>
    </row>
    <row r="30" spans="1:15" s="236" customFormat="1" x14ac:dyDescent="0.2">
      <c r="A30" s="237" t="str">
        <f>name!E$8</f>
        <v>Skilled trades occupations</v>
      </c>
      <c r="B30" s="302">
        <v>0.74871787603775919</v>
      </c>
      <c r="C30" s="302">
        <v>9.4971031699469868E-2</v>
      </c>
      <c r="D30" s="302">
        <v>0.89329208956536199</v>
      </c>
      <c r="E30" s="302">
        <f t="shared" si="24"/>
        <v>1.7369809973025911</v>
      </c>
      <c r="F30" s="303"/>
      <c r="G30" s="302">
        <v>0.3065843108836207</v>
      </c>
      <c r="H30" s="302">
        <v>3.7067001249079822E-3</v>
      </c>
      <c r="I30" s="302">
        <v>1.1608626369646791</v>
      </c>
      <c r="J30" s="302">
        <f>SUM(G30:I30)</f>
        <v>1.4711536479732077</v>
      </c>
      <c r="K30" s="303"/>
      <c r="L30" s="302">
        <v>0.37431532187283367</v>
      </c>
      <c r="M30" s="302">
        <v>5.1619056445681693E-3</v>
      </c>
      <c r="N30" s="302">
        <v>1.1361090356973615</v>
      </c>
      <c r="O30" s="302">
        <f t="shared" si="26"/>
        <v>1.5155862632147634</v>
      </c>
    </row>
    <row r="31" spans="1:15" s="236" customFormat="1" x14ac:dyDescent="0.2">
      <c r="A31" s="237" t="str">
        <f>name!E$9</f>
        <v>Caring, leisure and other service occupations</v>
      </c>
      <c r="B31" s="302">
        <v>2.6419237652485973E-2</v>
      </c>
      <c r="C31" s="302">
        <v>1.0723899015801137E-2</v>
      </c>
      <c r="D31" s="302">
        <v>1.3873919977259784E-2</v>
      </c>
      <c r="E31" s="302">
        <f t="shared" si="24"/>
        <v>5.1017056645546899E-2</v>
      </c>
      <c r="F31" s="303"/>
      <c r="G31" s="302">
        <v>1.6490556270849346E-2</v>
      </c>
      <c r="H31" s="302">
        <v>3.2563933646902344E-3</v>
      </c>
      <c r="I31" s="302">
        <v>1.8069310531621356E-2</v>
      </c>
      <c r="J31" s="302">
        <f t="shared" si="25"/>
        <v>3.7816260167160935E-2</v>
      </c>
      <c r="K31" s="303"/>
      <c r="L31" s="302">
        <v>1.5577840256391388E-2</v>
      </c>
      <c r="M31" s="302">
        <v>2.8463754989932217E-3</v>
      </c>
      <c r="N31" s="302">
        <v>2.1450980272769475E-2</v>
      </c>
      <c r="O31" s="302">
        <f t="shared" si="26"/>
        <v>3.9875196028154085E-2</v>
      </c>
    </row>
    <row r="32" spans="1:15" s="236" customFormat="1" x14ac:dyDescent="0.2">
      <c r="A32" s="237" t="str">
        <f>name!E$10</f>
        <v>Sales and customer service occupations</v>
      </c>
      <c r="B32" s="302">
        <v>2.0967370325007024E-2</v>
      </c>
      <c r="C32" s="302">
        <v>1.9433210994286253E-2</v>
      </c>
      <c r="D32" s="302">
        <v>5.8751135613036593E-3</v>
      </c>
      <c r="E32" s="302">
        <f t="shared" si="24"/>
        <v>4.6275694880596935E-2</v>
      </c>
      <c r="F32" s="303"/>
      <c r="G32" s="302">
        <v>9.963666476541972E-3</v>
      </c>
      <c r="H32" s="302">
        <v>2.1145874582838651E-3</v>
      </c>
      <c r="I32" s="302">
        <v>9.4991115196966167E-3</v>
      </c>
      <c r="J32" s="302">
        <f t="shared" si="25"/>
        <v>2.1577365454522456E-2</v>
      </c>
      <c r="K32" s="303"/>
      <c r="L32" s="302">
        <v>1.3220178218954595E-2</v>
      </c>
      <c r="M32" s="302">
        <v>1.9927070519664535E-3</v>
      </c>
      <c r="N32" s="302">
        <v>6.4121950666329352E-3</v>
      </c>
      <c r="O32" s="302">
        <f t="shared" si="26"/>
        <v>2.1625080337553983E-2</v>
      </c>
    </row>
    <row r="33" spans="1:15" s="236" customFormat="1" x14ac:dyDescent="0.2">
      <c r="A33" s="237" t="str">
        <f>name!E$11</f>
        <v>Process, plant and machine operatives</v>
      </c>
      <c r="B33" s="302">
        <v>4.1355258619564156E-2</v>
      </c>
      <c r="C33" s="302">
        <v>3.4645431909765143E-2</v>
      </c>
      <c r="D33" s="302">
        <v>1.0582288740243331E-2</v>
      </c>
      <c r="E33" s="302">
        <f t="shared" si="24"/>
        <v>8.6582979269572632E-2</v>
      </c>
      <c r="F33" s="303"/>
      <c r="G33" s="302">
        <v>1.4525013482682496E-2</v>
      </c>
      <c r="H33" s="302">
        <v>1.5241215721940398E-3</v>
      </c>
      <c r="I33" s="302">
        <v>1.0934772751869605E-2</v>
      </c>
      <c r="J33" s="302">
        <f t="shared" si="25"/>
        <v>2.6983907806746144E-2</v>
      </c>
      <c r="K33" s="303"/>
      <c r="L33" s="302">
        <v>5.1224189556035981E-3</v>
      </c>
      <c r="M33" s="302">
        <v>3.8128551894386895E-3</v>
      </c>
      <c r="N33" s="302">
        <v>2.3282817462325255E-2</v>
      </c>
      <c r="O33" s="302">
        <f t="shared" si="26"/>
        <v>3.2218091607367542E-2</v>
      </c>
    </row>
    <row r="34" spans="1:15" s="236" customFormat="1" x14ac:dyDescent="0.2">
      <c r="A34" s="237" t="str">
        <f>name!E$12</f>
        <v>Elementary occupations</v>
      </c>
      <c r="B34" s="302">
        <v>0.1099950733371866</v>
      </c>
      <c r="C34" s="302">
        <v>6.0528143593627029E-2</v>
      </c>
      <c r="D34" s="302">
        <v>9.3949541547839771E-2</v>
      </c>
      <c r="E34" s="302">
        <f t="shared" si="24"/>
        <v>0.26447275847865337</v>
      </c>
      <c r="F34" s="303"/>
      <c r="G34" s="302">
        <v>4.1505595487778622E-2</v>
      </c>
      <c r="H34" s="302">
        <v>7.7449017475377116E-3</v>
      </c>
      <c r="I34" s="302">
        <v>7.7148949068777964E-2</v>
      </c>
      <c r="J34" s="302">
        <f t="shared" si="25"/>
        <v>0.1263994463040943</v>
      </c>
      <c r="K34" s="303"/>
      <c r="L34" s="302">
        <v>9.0719776202816144E-3</v>
      </c>
      <c r="M34" s="302">
        <v>7.6466953273107031E-3</v>
      </c>
      <c r="N34" s="302">
        <v>0.11356544871403262</v>
      </c>
      <c r="O34" s="302">
        <f t="shared" si="26"/>
        <v>0.13028412166162495</v>
      </c>
    </row>
    <row r="35" spans="1:15" s="236" customFormat="1" x14ac:dyDescent="0.2">
      <c r="A35" s="237"/>
      <c r="B35" s="302"/>
      <c r="C35" s="302"/>
      <c r="D35" s="302"/>
      <c r="E35" s="302"/>
      <c r="F35" s="303"/>
      <c r="G35" s="302"/>
      <c r="H35" s="302"/>
      <c r="I35" s="302"/>
      <c r="J35" s="302"/>
      <c r="K35" s="303"/>
      <c r="L35" s="302"/>
      <c r="M35" s="302"/>
      <c r="N35" s="302"/>
      <c r="O35" s="302"/>
    </row>
    <row r="36" spans="1:15" s="236" customFormat="1" x14ac:dyDescent="0.2">
      <c r="A36" s="244" t="s">
        <v>33</v>
      </c>
      <c r="B36" s="311">
        <f>SUM(B26:B34)</f>
        <v>1.2048921063067506</v>
      </c>
      <c r="C36" s="311">
        <f t="shared" ref="C36:O36" si="27">SUM(C26:C34)</f>
        <v>0.30790559301894033</v>
      </c>
      <c r="D36" s="311">
        <f t="shared" si="27"/>
        <v>1.0462023006743071</v>
      </c>
      <c r="E36" s="311">
        <f t="shared" si="27"/>
        <v>2.5589999999999979</v>
      </c>
      <c r="F36" s="311"/>
      <c r="G36" s="311">
        <f t="shared" si="27"/>
        <v>0.52792625207334842</v>
      </c>
      <c r="H36" s="311">
        <f t="shared" si="27"/>
        <v>3.0356631811294645E-2</v>
      </c>
      <c r="I36" s="311">
        <f t="shared" si="27"/>
        <v>1.343717116115354</v>
      </c>
      <c r="J36" s="311">
        <f t="shared" si="27"/>
        <v>1.9019999999999972</v>
      </c>
      <c r="K36" s="311"/>
      <c r="L36" s="311">
        <f t="shared" si="27"/>
        <v>0.62495689655769338</v>
      </c>
      <c r="M36" s="311">
        <f t="shared" si="27"/>
        <v>3.0724137931448639E-2</v>
      </c>
      <c r="N36" s="311">
        <f t="shared" si="27"/>
        <v>1.3693189655108609</v>
      </c>
      <c r="O36" s="311">
        <f t="shared" si="27"/>
        <v>2.025000000000003</v>
      </c>
    </row>
    <row r="37" spans="1:15" s="236" customFormat="1" x14ac:dyDescent="0.2">
      <c r="A37" s="237"/>
      <c r="B37" s="237"/>
      <c r="C37" s="237"/>
      <c r="D37" s="237"/>
      <c r="E37" s="237"/>
      <c r="F37" s="237"/>
      <c r="G37" s="237"/>
      <c r="H37" s="237"/>
      <c r="I37" s="237"/>
      <c r="J37" s="237"/>
      <c r="K37" s="237"/>
      <c r="L37" s="237"/>
      <c r="M37" s="237"/>
      <c r="N37" s="240"/>
    </row>
    <row r="38" spans="1:15" s="236" customFormat="1" x14ac:dyDescent="0.2">
      <c r="A38" s="237"/>
      <c r="B38" s="237"/>
      <c r="C38" s="237"/>
      <c r="D38" s="237"/>
      <c r="E38" s="237"/>
      <c r="F38" s="237"/>
      <c r="G38" s="237"/>
      <c r="H38" s="237"/>
      <c r="I38" s="237"/>
      <c r="J38" s="237"/>
      <c r="K38" s="237"/>
      <c r="L38" s="237"/>
      <c r="M38" s="237"/>
      <c r="N38" s="240"/>
      <c r="O38" s="251" t="s">
        <v>36</v>
      </c>
    </row>
    <row r="39" spans="1:15" s="236" customFormat="1" x14ac:dyDescent="0.2">
      <c r="A39" s="242"/>
      <c r="B39" s="242"/>
      <c r="C39" s="242"/>
      <c r="D39" s="242"/>
      <c r="E39" s="242"/>
      <c r="F39" s="242"/>
      <c r="G39" s="242"/>
      <c r="H39" s="242"/>
      <c r="I39" s="242"/>
      <c r="J39" s="242"/>
      <c r="K39" s="242"/>
      <c r="L39" s="242"/>
      <c r="M39" s="242"/>
      <c r="N39" s="242"/>
      <c r="O39" s="242"/>
    </row>
    <row r="40" spans="1:15" s="236" customFormat="1" x14ac:dyDescent="0.2">
      <c r="A40" s="241" t="str">
        <f>name!B5</f>
        <v>Mining and quarrying</v>
      </c>
      <c r="B40" s="377">
        <f>$B$6</f>
        <v>2015</v>
      </c>
      <c r="C40" s="377"/>
      <c r="D40" s="377"/>
      <c r="E40" s="377"/>
      <c r="F40" s="263"/>
      <c r="G40" s="377">
        <f>$G$6</f>
        <v>2020</v>
      </c>
      <c r="H40" s="377"/>
      <c r="I40" s="377"/>
      <c r="J40" s="377"/>
      <c r="K40" s="263"/>
      <c r="L40" s="377">
        <f>$L$6</f>
        <v>2035</v>
      </c>
      <c r="M40" s="377"/>
      <c r="N40" s="377"/>
      <c r="O40" s="377"/>
    </row>
    <row r="41" spans="1:15" s="236" customFormat="1" x14ac:dyDescent="0.2">
      <c r="A41" s="254"/>
      <c r="B41" s="268" t="str">
        <f>$B$7</f>
        <v>FT</v>
      </c>
      <c r="C41" s="268" t="str">
        <f>$C$7</f>
        <v>PT</v>
      </c>
      <c r="D41" s="268" t="str">
        <f>$D$7</f>
        <v>SE</v>
      </c>
      <c r="E41" s="268" t="str">
        <f>$E$7</f>
        <v>Total</v>
      </c>
      <c r="F41" s="268"/>
      <c r="G41" s="268" t="str">
        <f>$G$7</f>
        <v>FT</v>
      </c>
      <c r="H41" s="268" t="str">
        <f>$H$7</f>
        <v>PT</v>
      </c>
      <c r="I41" s="268" t="str">
        <f>$I$7</f>
        <v>SE</v>
      </c>
      <c r="J41" s="268" t="str">
        <f>$J$7</f>
        <v>Total</v>
      </c>
      <c r="K41" s="268"/>
      <c r="L41" s="268" t="str">
        <f>$L$7</f>
        <v>FT</v>
      </c>
      <c r="M41" s="268" t="str">
        <f>$M$7</f>
        <v>PT</v>
      </c>
      <c r="N41" s="268" t="str">
        <f>$N$7</f>
        <v>SE</v>
      </c>
      <c r="O41" s="268" t="str">
        <f>$O$7</f>
        <v>Total</v>
      </c>
    </row>
    <row r="42" spans="1:15" s="236" customFormat="1" x14ac:dyDescent="0.2">
      <c r="A42" s="258"/>
      <c r="B42" s="239"/>
      <c r="C42" s="239"/>
      <c r="D42" s="239"/>
      <c r="E42" s="239"/>
      <c r="F42" s="239"/>
      <c r="G42" s="239"/>
      <c r="H42" s="239"/>
      <c r="I42" s="239"/>
      <c r="J42" s="239"/>
      <c r="K42" s="239"/>
      <c r="L42" s="239"/>
      <c r="M42" s="239"/>
      <c r="N42" s="239"/>
      <c r="O42" s="239"/>
    </row>
    <row r="43" spans="1:15" s="236" customFormat="1" x14ac:dyDescent="0.2">
      <c r="A43" s="237" t="str">
        <f>name!E$4</f>
        <v>Managers, directors and senior officials</v>
      </c>
      <c r="B43" s="302">
        <v>2.2268164937848885E-2</v>
      </c>
      <c r="C43" s="302">
        <v>1.0672144425744506E-4</v>
      </c>
      <c r="D43" s="302">
        <v>2.2352360055688388E-5</v>
      </c>
      <c r="E43" s="302">
        <f>SUM(B43:D43)</f>
        <v>2.2397238742162019E-2</v>
      </c>
      <c r="F43" s="303"/>
      <c r="G43" s="302">
        <v>4.245236437214344E-2</v>
      </c>
      <c r="H43" s="302">
        <v>2.2239298263207188E-3</v>
      </c>
      <c r="I43" s="302">
        <v>0</v>
      </c>
      <c r="J43" s="302">
        <f>SUM(G43:I43)</f>
        <v>4.467629419846416E-2</v>
      </c>
      <c r="K43" s="303"/>
      <c r="L43" s="302">
        <v>4.1645586389652316E-2</v>
      </c>
      <c r="M43" s="302">
        <v>2.1312366449760243E-3</v>
      </c>
      <c r="N43" s="302">
        <v>0</v>
      </c>
      <c r="O43" s="302">
        <f>SUM(L43:N43)</f>
        <v>4.3776823034628341E-2</v>
      </c>
    </row>
    <row r="44" spans="1:15" s="236" customFormat="1" x14ac:dyDescent="0.2">
      <c r="A44" s="237" t="str">
        <f>name!E$5</f>
        <v>Professional occupations</v>
      </c>
      <c r="B44" s="302">
        <v>2.9855819706725305E-2</v>
      </c>
      <c r="C44" s="302">
        <v>3.9656689341877998E-4</v>
      </c>
      <c r="D44" s="302">
        <v>1.1563276410497407E-5</v>
      </c>
      <c r="E44" s="302">
        <f t="shared" ref="E44:E51" si="28">SUM(B44:D44)</f>
        <v>3.0263949876554584E-2</v>
      </c>
      <c r="F44" s="303"/>
      <c r="G44" s="302">
        <v>6.4367528639425992E-2</v>
      </c>
      <c r="H44" s="302">
        <v>5.1363648140946528E-3</v>
      </c>
      <c r="I44" s="302">
        <v>0</v>
      </c>
      <c r="J44" s="302">
        <f t="shared" ref="J44:J46" si="29">SUM(G44:I44)</f>
        <v>6.9503893453520649E-2</v>
      </c>
      <c r="K44" s="303"/>
      <c r="L44" s="302">
        <v>6.6020745485310978E-2</v>
      </c>
      <c r="M44" s="302">
        <v>4.7116454954813708E-3</v>
      </c>
      <c r="N44" s="302">
        <v>0</v>
      </c>
      <c r="O44" s="302">
        <f t="shared" ref="O44:O51" si="30">SUM(L44:N44)</f>
        <v>7.0732390980792342E-2</v>
      </c>
    </row>
    <row r="45" spans="1:15" s="236" customFormat="1" x14ac:dyDescent="0.2">
      <c r="A45" s="237" t="str">
        <f>name!E$6</f>
        <v>Associate professional occupations</v>
      </c>
      <c r="B45" s="302">
        <v>4.2986355484497508E-2</v>
      </c>
      <c r="C45" s="302">
        <v>2.9001472467173094E-4</v>
      </c>
      <c r="D45" s="302">
        <v>1.7076534148863328E-5</v>
      </c>
      <c r="E45" s="302">
        <f t="shared" si="28"/>
        <v>4.3293446743318101E-2</v>
      </c>
      <c r="F45" s="303"/>
      <c r="G45" s="302">
        <v>8.3650845604942833E-2</v>
      </c>
      <c r="H45" s="302">
        <v>2.9996299527951359E-3</v>
      </c>
      <c r="I45" s="302">
        <v>0</v>
      </c>
      <c r="J45" s="302">
        <f t="shared" si="29"/>
        <v>8.6650475557737971E-2</v>
      </c>
      <c r="K45" s="303"/>
      <c r="L45" s="302">
        <v>6.0179415706351796E-2</v>
      </c>
      <c r="M45" s="302">
        <v>2.2111376805722203E-3</v>
      </c>
      <c r="N45" s="302">
        <v>0</v>
      </c>
      <c r="O45" s="302">
        <f t="shared" si="30"/>
        <v>6.2390553386924015E-2</v>
      </c>
    </row>
    <row r="46" spans="1:15" s="236" customFormat="1" x14ac:dyDescent="0.2">
      <c r="A46" s="237" t="str">
        <f>name!E$7</f>
        <v>Administrative and secretarial occupations</v>
      </c>
      <c r="B46" s="302">
        <v>1.0779045044363654E-2</v>
      </c>
      <c r="C46" s="302">
        <v>1.5948935372123482E-3</v>
      </c>
      <c r="D46" s="302">
        <v>4.2872181714810807E-5</v>
      </c>
      <c r="E46" s="302">
        <f t="shared" si="28"/>
        <v>1.2416810763290813E-2</v>
      </c>
      <c r="F46" s="303"/>
      <c r="G46" s="302">
        <v>3.1894035979122957E-2</v>
      </c>
      <c r="H46" s="302">
        <v>7.818110028556105E-3</v>
      </c>
      <c r="I46" s="302">
        <v>0</v>
      </c>
      <c r="J46" s="302">
        <f t="shared" si="29"/>
        <v>3.9712146007679062E-2</v>
      </c>
      <c r="K46" s="303"/>
      <c r="L46" s="302">
        <v>1.0684577589555157E-2</v>
      </c>
      <c r="M46" s="302">
        <v>5.8051111588592278E-3</v>
      </c>
      <c r="N46" s="302">
        <v>0</v>
      </c>
      <c r="O46" s="302">
        <f t="shared" si="30"/>
        <v>1.6489688748414385E-2</v>
      </c>
    </row>
    <row r="47" spans="1:15" s="236" customFormat="1" x14ac:dyDescent="0.2">
      <c r="A47" s="237" t="str">
        <f>name!E$8</f>
        <v>Skilled trades occupations</v>
      </c>
      <c r="B47" s="302">
        <v>6.4831728200314784E-2</v>
      </c>
      <c r="C47" s="302">
        <v>2.4218544548555292E-4</v>
      </c>
      <c r="D47" s="302">
        <v>2.4511950304379498E-6</v>
      </c>
      <c r="E47" s="302">
        <f t="shared" si="28"/>
        <v>6.5076364840830778E-2</v>
      </c>
      <c r="F47" s="303"/>
      <c r="G47" s="302">
        <v>8.3439499821227781E-2</v>
      </c>
      <c r="H47" s="302">
        <v>2.0549939496577194E-3</v>
      </c>
      <c r="I47" s="302">
        <v>0</v>
      </c>
      <c r="J47" s="302">
        <f>SUM(G47:I47)</f>
        <v>8.5494493770885499E-2</v>
      </c>
      <c r="K47" s="303"/>
      <c r="L47" s="302">
        <v>4.4351180320523424E-2</v>
      </c>
      <c r="M47" s="302">
        <v>3.0286384458908522E-3</v>
      </c>
      <c r="N47" s="302">
        <v>0</v>
      </c>
      <c r="O47" s="302">
        <f t="shared" si="30"/>
        <v>4.7379818766414276E-2</v>
      </c>
    </row>
    <row r="48" spans="1:15" s="236" customFormat="1" x14ac:dyDescent="0.2">
      <c r="A48" s="237" t="str">
        <f>name!E$9</f>
        <v>Caring, leisure and other service occupations</v>
      </c>
      <c r="B48" s="302">
        <v>5.076206836469678E-3</v>
      </c>
      <c r="C48" s="302">
        <v>6.3041987949737229E-4</v>
      </c>
      <c r="D48" s="302">
        <v>5.6314966515330201E-6</v>
      </c>
      <c r="E48" s="302">
        <f t="shared" si="28"/>
        <v>5.7122582126185838E-3</v>
      </c>
      <c r="F48" s="303"/>
      <c r="G48" s="302">
        <v>9.4907284213265972E-3</v>
      </c>
      <c r="H48" s="302">
        <v>4.1095280017722164E-3</v>
      </c>
      <c r="I48" s="302">
        <v>0</v>
      </c>
      <c r="J48" s="302">
        <f t="shared" ref="J48:J51" si="31">SUM(G48:I48)</f>
        <v>1.3600256423098814E-2</v>
      </c>
      <c r="K48" s="303"/>
      <c r="L48" s="302">
        <v>9.8328962451209295E-3</v>
      </c>
      <c r="M48" s="302">
        <v>3.5734399095051026E-3</v>
      </c>
      <c r="N48" s="302">
        <v>0</v>
      </c>
      <c r="O48" s="302">
        <f t="shared" si="30"/>
        <v>1.3406336154626032E-2</v>
      </c>
    </row>
    <row r="49" spans="1:15" s="236" customFormat="1" x14ac:dyDescent="0.2">
      <c r="A49" s="237" t="str">
        <f>name!E$10</f>
        <v>Sales and customer service occupations</v>
      </c>
      <c r="B49" s="302">
        <v>4.2965962496280029E-3</v>
      </c>
      <c r="C49" s="302">
        <v>1.2794243572700728E-3</v>
      </c>
      <c r="D49" s="302">
        <v>9.3556637871898388E-6</v>
      </c>
      <c r="E49" s="302">
        <f t="shared" si="28"/>
        <v>5.5853762706852663E-3</v>
      </c>
      <c r="F49" s="303"/>
      <c r="G49" s="302">
        <v>1.0405242180945134E-2</v>
      </c>
      <c r="H49" s="302">
        <v>6.9679227290270146E-3</v>
      </c>
      <c r="I49" s="302">
        <v>0</v>
      </c>
      <c r="J49" s="302">
        <f t="shared" si="31"/>
        <v>1.737316490997215E-2</v>
      </c>
      <c r="K49" s="303"/>
      <c r="L49" s="302">
        <v>4.1090011208196947E-3</v>
      </c>
      <c r="M49" s="302">
        <v>5.5186653967203257E-3</v>
      </c>
      <c r="N49" s="302">
        <v>0</v>
      </c>
      <c r="O49" s="302">
        <f t="shared" si="30"/>
        <v>9.6276665175400213E-3</v>
      </c>
    </row>
    <row r="50" spans="1:15" s="236" customFormat="1" x14ac:dyDescent="0.2">
      <c r="A50" s="237" t="str">
        <f>name!E$11</f>
        <v>Process, plant and machine operatives</v>
      </c>
      <c r="B50" s="302">
        <v>6.7698574917253618E-2</v>
      </c>
      <c r="C50" s="302">
        <v>2.1514901726005171E-4</v>
      </c>
      <c r="D50" s="302">
        <v>3.6738334896458983E-6</v>
      </c>
      <c r="E50" s="302">
        <f t="shared" si="28"/>
        <v>6.7917397768003318E-2</v>
      </c>
      <c r="F50" s="303"/>
      <c r="G50" s="302">
        <v>9.4007159037583554E-2</v>
      </c>
      <c r="H50" s="302">
        <v>4.8872583569971517E-3</v>
      </c>
      <c r="I50" s="302">
        <v>0</v>
      </c>
      <c r="J50" s="302">
        <f t="shared" si="31"/>
        <v>9.88944173945807E-2</v>
      </c>
      <c r="K50" s="303"/>
      <c r="L50" s="302">
        <v>9.190734668766451E-2</v>
      </c>
      <c r="M50" s="302">
        <v>4.9812845467005007E-3</v>
      </c>
      <c r="N50" s="302">
        <v>0</v>
      </c>
      <c r="O50" s="302">
        <f t="shared" si="30"/>
        <v>9.6888631234365016E-2</v>
      </c>
    </row>
    <row r="51" spans="1:15" s="236" customFormat="1" x14ac:dyDescent="0.2">
      <c r="A51" s="237" t="str">
        <f>name!E$12</f>
        <v>Elementary occupations</v>
      </c>
      <c r="B51" s="302">
        <v>5.8371033448194201E-3</v>
      </c>
      <c r="C51" s="302">
        <v>4.9297531359563166E-4</v>
      </c>
      <c r="D51" s="302">
        <v>7.0781241215693736E-6</v>
      </c>
      <c r="E51" s="302">
        <f t="shared" si="28"/>
        <v>6.3371567825366215E-3</v>
      </c>
      <c r="F51" s="303"/>
      <c r="G51" s="302">
        <v>8.3544402280937066E-3</v>
      </c>
      <c r="H51" s="302">
        <v>2.7404180559669248E-3</v>
      </c>
      <c r="I51" s="302">
        <v>0</v>
      </c>
      <c r="J51" s="302">
        <f t="shared" si="31"/>
        <v>1.1094858284060632E-2</v>
      </c>
      <c r="K51" s="303"/>
      <c r="L51" s="302">
        <v>5.1919972357989067E-3</v>
      </c>
      <c r="M51" s="302">
        <v>1.1160939404968864E-3</v>
      </c>
      <c r="N51" s="302">
        <v>0</v>
      </c>
      <c r="O51" s="302">
        <f t="shared" si="30"/>
        <v>6.3080911762957931E-3</v>
      </c>
    </row>
    <row r="52" spans="1:15" s="236" customFormat="1" x14ac:dyDescent="0.2">
      <c r="A52" s="237"/>
      <c r="B52" s="302"/>
      <c r="C52" s="302"/>
      <c r="D52" s="302"/>
      <c r="E52" s="302"/>
      <c r="F52" s="303"/>
      <c r="G52" s="302"/>
      <c r="H52" s="302"/>
      <c r="I52" s="302"/>
      <c r="J52" s="302"/>
      <c r="K52" s="303"/>
      <c r="L52" s="302"/>
      <c r="M52" s="302"/>
      <c r="N52" s="302"/>
      <c r="O52" s="302"/>
    </row>
    <row r="53" spans="1:15" s="236" customFormat="1" x14ac:dyDescent="0.2">
      <c r="A53" s="244" t="s">
        <v>33</v>
      </c>
      <c r="B53" s="311">
        <f>SUM(B43:B51)</f>
        <v>0.25362959472192081</v>
      </c>
      <c r="C53" s="311">
        <f t="shared" ref="C53:E53" si="32">SUM(C43:C51)</f>
        <v>5.2483506126689847E-3</v>
      </c>
      <c r="D53" s="311">
        <f t="shared" si="32"/>
        <v>1.2205466541023602E-4</v>
      </c>
      <c r="E53" s="311">
        <f t="shared" si="32"/>
        <v>0.25900000000000006</v>
      </c>
      <c r="F53" s="311"/>
      <c r="G53" s="311">
        <f t="shared" ref="G53:J53" si="33">SUM(G43:G51)</f>
        <v>0.42806184428481198</v>
      </c>
      <c r="H53" s="311">
        <f t="shared" si="33"/>
        <v>3.893815571518764E-2</v>
      </c>
      <c r="I53" s="311">
        <f t="shared" si="33"/>
        <v>0</v>
      </c>
      <c r="J53" s="311">
        <f t="shared" si="33"/>
        <v>0.46699999999999969</v>
      </c>
      <c r="K53" s="311"/>
      <c r="L53" s="311">
        <f t="shared" ref="L53:O53" si="34">SUM(L43:L51)</f>
        <v>0.3339227467807977</v>
      </c>
      <c r="M53" s="311">
        <f t="shared" si="34"/>
        <v>3.3077253219202511E-2</v>
      </c>
      <c r="N53" s="311">
        <f t="shared" si="34"/>
        <v>0</v>
      </c>
      <c r="O53" s="311">
        <f t="shared" si="34"/>
        <v>0.36700000000000027</v>
      </c>
    </row>
    <row r="54" spans="1:15" s="236" customFormat="1" x14ac:dyDescent="0.2">
      <c r="A54" s="237"/>
      <c r="B54" s="237"/>
      <c r="C54" s="237"/>
      <c r="D54" s="237"/>
      <c r="E54" s="237"/>
      <c r="F54" s="237"/>
      <c r="G54" s="237"/>
      <c r="H54" s="237"/>
      <c r="I54" s="237"/>
      <c r="J54" s="237"/>
      <c r="K54" s="237"/>
      <c r="L54" s="237"/>
      <c r="M54" s="237"/>
      <c r="N54" s="240"/>
    </row>
    <row r="55" spans="1:15" s="236" customFormat="1" x14ac:dyDescent="0.2">
      <c r="A55" s="237"/>
      <c r="B55" s="237"/>
      <c r="C55" s="237"/>
      <c r="D55" s="237"/>
      <c r="E55" s="237"/>
      <c r="F55" s="237"/>
      <c r="G55" s="237"/>
      <c r="H55" s="237"/>
      <c r="I55" s="237"/>
      <c r="J55" s="237"/>
      <c r="K55" s="237"/>
      <c r="L55" s="237"/>
      <c r="M55" s="237"/>
      <c r="N55" s="240"/>
      <c r="O55" s="251" t="s">
        <v>36</v>
      </c>
    </row>
    <row r="56" spans="1:15" s="236" customFormat="1" x14ac:dyDescent="0.2">
      <c r="A56" s="242"/>
      <c r="B56" s="242"/>
      <c r="C56" s="242"/>
      <c r="D56" s="242"/>
      <c r="E56" s="242"/>
      <c r="F56" s="242"/>
      <c r="G56" s="242"/>
      <c r="H56" s="242"/>
      <c r="I56" s="242"/>
      <c r="J56" s="242"/>
      <c r="K56" s="242"/>
      <c r="L56" s="242"/>
      <c r="M56" s="242"/>
      <c r="N56" s="242"/>
      <c r="O56" s="242"/>
    </row>
    <row r="57" spans="1:15" s="236" customFormat="1" x14ac:dyDescent="0.2">
      <c r="A57" s="241" t="str">
        <f>name!B6</f>
        <v>Food drink and tobacco</v>
      </c>
      <c r="B57" s="377">
        <f>$B$6</f>
        <v>2015</v>
      </c>
      <c r="C57" s="377"/>
      <c r="D57" s="377"/>
      <c r="E57" s="377"/>
      <c r="F57" s="263"/>
      <c r="G57" s="377">
        <f>$G$6</f>
        <v>2020</v>
      </c>
      <c r="H57" s="377"/>
      <c r="I57" s="377"/>
      <c r="J57" s="377"/>
      <c r="K57" s="263"/>
      <c r="L57" s="377">
        <f>$L$6</f>
        <v>2035</v>
      </c>
      <c r="M57" s="377"/>
      <c r="N57" s="377"/>
      <c r="O57" s="377"/>
    </row>
    <row r="58" spans="1:15" s="236" customFormat="1" x14ac:dyDescent="0.2">
      <c r="A58" s="254"/>
      <c r="B58" s="268" t="str">
        <f>$B$7</f>
        <v>FT</v>
      </c>
      <c r="C58" s="268" t="str">
        <f>$C$7</f>
        <v>PT</v>
      </c>
      <c r="D58" s="268" t="str">
        <f>$D$7</f>
        <v>SE</v>
      </c>
      <c r="E58" s="268" t="str">
        <f>$E$7</f>
        <v>Total</v>
      </c>
      <c r="F58" s="268"/>
      <c r="G58" s="268" t="str">
        <f>$G$7</f>
        <v>FT</v>
      </c>
      <c r="H58" s="268" t="str">
        <f>$H$7</f>
        <v>PT</v>
      </c>
      <c r="I58" s="268" t="str">
        <f>$I$7</f>
        <v>SE</v>
      </c>
      <c r="J58" s="268" t="str">
        <f>$J$7</f>
        <v>Total</v>
      </c>
      <c r="K58" s="268"/>
      <c r="L58" s="268" t="str">
        <f>$L$7</f>
        <v>FT</v>
      </c>
      <c r="M58" s="268" t="str">
        <f>$M$7</f>
        <v>PT</v>
      </c>
      <c r="N58" s="268" t="str">
        <f>$N$7</f>
        <v>SE</v>
      </c>
      <c r="O58" s="268" t="str">
        <f>$O$7</f>
        <v>Total</v>
      </c>
    </row>
    <row r="59" spans="1:15" s="236" customFormat="1" x14ac:dyDescent="0.2">
      <c r="A59" s="258"/>
      <c r="B59" s="239"/>
      <c r="C59" s="239"/>
      <c r="D59" s="239"/>
      <c r="E59" s="239"/>
      <c r="F59" s="239"/>
      <c r="G59" s="239"/>
      <c r="H59" s="239"/>
      <c r="I59" s="239"/>
      <c r="J59" s="239"/>
      <c r="K59" s="239"/>
      <c r="L59" s="239"/>
      <c r="M59" s="239"/>
      <c r="N59" s="239"/>
      <c r="O59" s="239"/>
    </row>
    <row r="60" spans="1:15" s="236" customFormat="1" x14ac:dyDescent="0.2">
      <c r="A60" s="237" t="str">
        <f>name!E$4</f>
        <v>Managers, directors and senior officials</v>
      </c>
      <c r="B60" s="302">
        <v>0.15382985984667583</v>
      </c>
      <c r="C60" s="302">
        <v>2.6394783230111598E-2</v>
      </c>
      <c r="D60" s="302">
        <v>6.254352499584003E-3</v>
      </c>
      <c r="E60" s="302">
        <f>SUM(B60:D60)</f>
        <v>0.18647899557637143</v>
      </c>
      <c r="F60" s="303"/>
      <c r="G60" s="302">
        <v>0.22081620009141592</v>
      </c>
      <c r="H60" s="302">
        <v>3.5311513136869734E-2</v>
      </c>
      <c r="I60" s="302">
        <v>3.5851451485975185E-3</v>
      </c>
      <c r="J60" s="302">
        <f>SUM(G60:I60)</f>
        <v>0.25971285837688318</v>
      </c>
      <c r="K60" s="303"/>
      <c r="L60" s="302">
        <v>0.24833362469182488</v>
      </c>
      <c r="M60" s="302">
        <v>4.1924798970842898E-2</v>
      </c>
      <c r="N60" s="302">
        <v>3.2986738683559568E-3</v>
      </c>
      <c r="O60" s="302">
        <f>SUM(L60:N60)</f>
        <v>0.29355709753102377</v>
      </c>
    </row>
    <row r="61" spans="1:15" s="236" customFormat="1" x14ac:dyDescent="0.2">
      <c r="A61" s="237" t="str">
        <f>name!E$5</f>
        <v>Professional occupations</v>
      </c>
      <c r="B61" s="302">
        <v>0.15550543815750639</v>
      </c>
      <c r="C61" s="302">
        <v>2.4047355505566931E-2</v>
      </c>
      <c r="D61" s="302">
        <v>2.0662373489599576E-3</v>
      </c>
      <c r="E61" s="302">
        <f t="shared" ref="E61:E68" si="35">SUM(B61:D61)</f>
        <v>0.18161903101203331</v>
      </c>
      <c r="F61" s="303"/>
      <c r="G61" s="302">
        <v>0.24882866526753061</v>
      </c>
      <c r="H61" s="302">
        <v>1.8579478975183094E-2</v>
      </c>
      <c r="I61" s="302">
        <v>8.6793477873616507E-4</v>
      </c>
      <c r="J61" s="302">
        <f t="shared" ref="J61:J63" si="36">SUM(G61:I61)</f>
        <v>0.26827607902144984</v>
      </c>
      <c r="K61" s="303"/>
      <c r="L61" s="302">
        <v>0.32061007285267651</v>
      </c>
      <c r="M61" s="302">
        <v>2.0445206972951768E-2</v>
      </c>
      <c r="N61" s="302">
        <v>5.3236794684789724E-4</v>
      </c>
      <c r="O61" s="302">
        <f t="shared" ref="O61:O68" si="37">SUM(L61:N61)</f>
        <v>0.34158764777247619</v>
      </c>
    </row>
    <row r="62" spans="1:15" s="236" customFormat="1" x14ac:dyDescent="0.2">
      <c r="A62" s="237" t="str">
        <f>name!E$6</f>
        <v>Associate professional occupations</v>
      </c>
      <c r="B62" s="302">
        <v>0.26722464076551139</v>
      </c>
      <c r="C62" s="302">
        <v>3.1571628374219708E-2</v>
      </c>
      <c r="D62" s="302">
        <v>3.2987805742064357E-3</v>
      </c>
      <c r="E62" s="302">
        <f t="shared" si="35"/>
        <v>0.30209504971393758</v>
      </c>
      <c r="F62" s="303"/>
      <c r="G62" s="302">
        <v>0.39932256173188696</v>
      </c>
      <c r="H62" s="302">
        <v>3.2378659333743808E-2</v>
      </c>
      <c r="I62" s="302">
        <v>1.304192344560957E-3</v>
      </c>
      <c r="J62" s="302">
        <f t="shared" si="36"/>
        <v>0.43300541341019172</v>
      </c>
      <c r="K62" s="303"/>
      <c r="L62" s="302">
        <v>0.38491776050954124</v>
      </c>
      <c r="M62" s="302">
        <v>2.8147526999913099E-2</v>
      </c>
      <c r="N62" s="302">
        <v>6.8225203337640814E-4</v>
      </c>
      <c r="O62" s="302">
        <f t="shared" si="37"/>
        <v>0.41374753954283072</v>
      </c>
    </row>
    <row r="63" spans="1:15" s="236" customFormat="1" x14ac:dyDescent="0.2">
      <c r="A63" s="237" t="str">
        <f>name!E$7</f>
        <v>Administrative and secretarial occupations</v>
      </c>
      <c r="B63" s="302">
        <v>0.17634060099181545</v>
      </c>
      <c r="C63" s="302">
        <v>7.9017225434372104E-2</v>
      </c>
      <c r="D63" s="302">
        <v>8.8573717523729304E-4</v>
      </c>
      <c r="E63" s="302">
        <f t="shared" si="35"/>
        <v>0.25624356360142481</v>
      </c>
      <c r="F63" s="303"/>
      <c r="G63" s="302">
        <v>0.23523351705682222</v>
      </c>
      <c r="H63" s="302">
        <v>8.4502348779824474E-2</v>
      </c>
      <c r="I63" s="302">
        <v>5.0384859310728203E-4</v>
      </c>
      <c r="J63" s="302">
        <f t="shared" si="36"/>
        <v>0.32023971442975396</v>
      </c>
      <c r="K63" s="303"/>
      <c r="L63" s="302">
        <v>0.21414367403335241</v>
      </c>
      <c r="M63" s="302">
        <v>9.6352776894897518E-2</v>
      </c>
      <c r="N63" s="302">
        <v>2.3186716887204308E-4</v>
      </c>
      <c r="O63" s="302">
        <f t="shared" si="37"/>
        <v>0.31072831809712198</v>
      </c>
    </row>
    <row r="64" spans="1:15" s="236" customFormat="1" x14ac:dyDescent="0.2">
      <c r="A64" s="237" t="str">
        <f>name!E$8</f>
        <v>Skilled trades occupations</v>
      </c>
      <c r="B64" s="302">
        <v>0.49503913564829433</v>
      </c>
      <c r="C64" s="302">
        <v>1.9612060858320419E-2</v>
      </c>
      <c r="D64" s="302">
        <v>1.3337228668543701E-2</v>
      </c>
      <c r="E64" s="302">
        <f t="shared" si="35"/>
        <v>0.52798842517515843</v>
      </c>
      <c r="F64" s="303"/>
      <c r="G64" s="302">
        <v>0.48080282095498011</v>
      </c>
      <c r="H64" s="302">
        <v>1.4935976257450141E-2</v>
      </c>
      <c r="I64" s="302">
        <v>2.9863174033357039E-3</v>
      </c>
      <c r="J64" s="302">
        <f>SUM(G64:I64)</f>
        <v>0.49872511461576596</v>
      </c>
      <c r="K64" s="303"/>
      <c r="L64" s="302">
        <v>0.42785621940803409</v>
      </c>
      <c r="M64" s="302">
        <v>1.1464945914320318E-2</v>
      </c>
      <c r="N64" s="302">
        <v>1.7884941402079857E-3</v>
      </c>
      <c r="O64" s="302">
        <f t="shared" si="37"/>
        <v>0.44110965946256242</v>
      </c>
    </row>
    <row r="65" spans="1:15" s="236" customFormat="1" x14ac:dyDescent="0.2">
      <c r="A65" s="237" t="str">
        <f>name!E$9</f>
        <v>Caring, leisure and other service occupations</v>
      </c>
      <c r="B65" s="302">
        <v>3.0179951264727594E-2</v>
      </c>
      <c r="C65" s="302">
        <v>2.3685280266854486E-2</v>
      </c>
      <c r="D65" s="302">
        <v>2.0653055201245115E-3</v>
      </c>
      <c r="E65" s="302">
        <f t="shared" si="35"/>
        <v>5.5930537051706593E-2</v>
      </c>
      <c r="F65" s="303"/>
      <c r="G65" s="302">
        <v>3.6554774739012363E-2</v>
      </c>
      <c r="H65" s="302">
        <v>8.5749723862766167E-3</v>
      </c>
      <c r="I65" s="302">
        <v>2.0010039873080278E-3</v>
      </c>
      <c r="J65" s="302">
        <f t="shared" ref="J65:J68" si="38">SUM(G65:I65)</f>
        <v>4.7130751112597007E-2</v>
      </c>
      <c r="K65" s="303"/>
      <c r="L65" s="302">
        <v>3.4889976605170264E-2</v>
      </c>
      <c r="M65" s="302">
        <v>8.6855806545359637E-3</v>
      </c>
      <c r="N65" s="302">
        <v>2.1842807908876868E-3</v>
      </c>
      <c r="O65" s="302">
        <f t="shared" si="37"/>
        <v>4.5759838050593915E-2</v>
      </c>
    </row>
    <row r="66" spans="1:15" s="236" customFormat="1" x14ac:dyDescent="0.2">
      <c r="A66" s="237" t="str">
        <f>name!E$10</f>
        <v>Sales and customer service occupations</v>
      </c>
      <c r="B66" s="302">
        <v>0.12978112271378739</v>
      </c>
      <c r="C66" s="302">
        <v>0.16560597824520784</v>
      </c>
      <c r="D66" s="302">
        <v>1.9980654327978317E-3</v>
      </c>
      <c r="E66" s="302">
        <f t="shared" si="35"/>
        <v>0.29738516639179308</v>
      </c>
      <c r="F66" s="303"/>
      <c r="G66" s="302">
        <v>0.15525857287209788</v>
      </c>
      <c r="H66" s="302">
        <v>0.18131209833349221</v>
      </c>
      <c r="I66" s="302">
        <v>6.5283469064316313E-4</v>
      </c>
      <c r="J66" s="302">
        <f t="shared" si="38"/>
        <v>0.33722350589623323</v>
      </c>
      <c r="K66" s="303"/>
      <c r="L66" s="302">
        <v>0.1607890943544133</v>
      </c>
      <c r="M66" s="302">
        <v>0.23152052510957868</v>
      </c>
      <c r="N66" s="302">
        <v>3.781952672160678E-4</v>
      </c>
      <c r="O66" s="302">
        <f t="shared" si="37"/>
        <v>0.39268781473120806</v>
      </c>
    </row>
    <row r="67" spans="1:15" s="236" customFormat="1" x14ac:dyDescent="0.2">
      <c r="A67" s="237" t="str">
        <f>name!E$11</f>
        <v>Process, plant and machine operatives</v>
      </c>
      <c r="B67" s="302">
        <v>1.3817326932176235</v>
      </c>
      <c r="C67" s="302">
        <v>8.5128373924732104E-2</v>
      </c>
      <c r="D67" s="302">
        <v>1.8833667326327502E-2</v>
      </c>
      <c r="E67" s="302">
        <f t="shared" si="35"/>
        <v>1.4856947344686831</v>
      </c>
      <c r="F67" s="303"/>
      <c r="G67" s="302">
        <v>1.4088895052987882</v>
      </c>
      <c r="H67" s="302">
        <v>9.6441513318688804E-2</v>
      </c>
      <c r="I67" s="302">
        <v>1.7643954931754129E-2</v>
      </c>
      <c r="J67" s="302">
        <f t="shared" si="38"/>
        <v>1.5229749735492313</v>
      </c>
      <c r="K67" s="303"/>
      <c r="L67" s="302">
        <v>1.4245142494241199</v>
      </c>
      <c r="M67" s="302">
        <v>3.0715962253131019E-2</v>
      </c>
      <c r="N67" s="302">
        <v>2.1704589856178878E-2</v>
      </c>
      <c r="O67" s="302">
        <f t="shared" si="37"/>
        <v>1.4769348015334298</v>
      </c>
    </row>
    <row r="68" spans="1:15" s="236" customFormat="1" x14ac:dyDescent="0.2">
      <c r="A68" s="237" t="str">
        <f>name!E$12</f>
        <v>Elementary occupations</v>
      </c>
      <c r="B68" s="302">
        <v>0.61018398514091798</v>
      </c>
      <c r="C68" s="302">
        <v>0.11980308298807939</v>
      </c>
      <c r="D68" s="302">
        <v>1.7577428879894556E-2</v>
      </c>
      <c r="E68" s="302">
        <f t="shared" si="35"/>
        <v>0.74756449700889194</v>
      </c>
      <c r="F68" s="303"/>
      <c r="G68" s="302">
        <v>0.61727195754446917</v>
      </c>
      <c r="H68" s="302">
        <v>0.11019389692751483</v>
      </c>
      <c r="I68" s="302">
        <v>9.2457351159090564E-3</v>
      </c>
      <c r="J68" s="302">
        <f t="shared" si="38"/>
        <v>0.73671158958789307</v>
      </c>
      <c r="K68" s="303"/>
      <c r="L68" s="302">
        <v>0.51389979293148225</v>
      </c>
      <c r="M68" s="302">
        <v>8.9193550609621669E-2</v>
      </c>
      <c r="N68" s="302">
        <v>9.7939397376525465E-3</v>
      </c>
      <c r="O68" s="302">
        <f t="shared" si="37"/>
        <v>0.61288728327875641</v>
      </c>
    </row>
    <row r="69" spans="1:15" s="236" customFormat="1" x14ac:dyDescent="0.2">
      <c r="A69" s="237"/>
      <c r="B69" s="302"/>
      <c r="C69" s="302"/>
      <c r="D69" s="302"/>
      <c r="E69" s="302"/>
      <c r="F69" s="303"/>
      <c r="G69" s="302"/>
      <c r="H69" s="302"/>
      <c r="I69" s="302"/>
      <c r="J69" s="302"/>
      <c r="K69" s="303"/>
      <c r="L69" s="302"/>
      <c r="M69" s="302"/>
      <c r="N69" s="302"/>
      <c r="O69" s="302"/>
    </row>
    <row r="70" spans="1:15" s="236" customFormat="1" x14ac:dyDescent="0.2">
      <c r="A70" s="244" t="s">
        <v>33</v>
      </c>
      <c r="B70" s="311">
        <f>SUM(B60:B68)</f>
        <v>3.3998174277468594</v>
      </c>
      <c r="C70" s="311">
        <f t="shared" ref="C70:E70" si="39">SUM(C60:C68)</f>
        <v>0.57486576882746454</v>
      </c>
      <c r="D70" s="311">
        <f t="shared" si="39"/>
        <v>6.6316803425675794E-2</v>
      </c>
      <c r="E70" s="311">
        <f t="shared" si="39"/>
        <v>4.0410000000000004</v>
      </c>
      <c r="F70" s="311"/>
      <c r="G70" s="311">
        <f t="shared" ref="G70:J70" si="40">SUM(G60:G68)</f>
        <v>3.8029785755570034</v>
      </c>
      <c r="H70" s="311">
        <f t="shared" si="40"/>
        <v>0.58223045744904367</v>
      </c>
      <c r="I70" s="311">
        <f t="shared" si="40"/>
        <v>3.8790966993952007E-2</v>
      </c>
      <c r="J70" s="311">
        <f t="shared" si="40"/>
        <v>4.4239999999999995</v>
      </c>
      <c r="K70" s="311"/>
      <c r="L70" s="311">
        <f t="shared" ref="L70:O70" si="41">SUM(L60:L68)</f>
        <v>3.7299544648106147</v>
      </c>
      <c r="M70" s="311">
        <f t="shared" si="41"/>
        <v>0.55845087437979291</v>
      </c>
      <c r="N70" s="311">
        <f t="shared" si="41"/>
        <v>4.0594660809595472E-2</v>
      </c>
      <c r="O70" s="311">
        <f t="shared" si="41"/>
        <v>4.3290000000000033</v>
      </c>
    </row>
    <row r="71" spans="1:15" s="236" customFormat="1" x14ac:dyDescent="0.2">
      <c r="A71" s="237"/>
      <c r="B71" s="237"/>
      <c r="C71" s="237"/>
      <c r="D71" s="237"/>
      <c r="E71" s="237"/>
      <c r="F71" s="237"/>
      <c r="G71" s="237"/>
      <c r="H71" s="237"/>
      <c r="I71" s="237"/>
      <c r="J71" s="237"/>
      <c r="K71" s="237"/>
      <c r="L71" s="237"/>
      <c r="M71" s="237"/>
      <c r="N71" s="240"/>
    </row>
    <row r="72" spans="1:15" s="236" customFormat="1" x14ac:dyDescent="0.2">
      <c r="A72" s="237"/>
      <c r="B72" s="237"/>
      <c r="C72" s="237"/>
      <c r="D72" s="237"/>
      <c r="E72" s="237"/>
      <c r="F72" s="237"/>
      <c r="G72" s="237"/>
      <c r="H72" s="237"/>
      <c r="I72" s="237"/>
      <c r="J72" s="237"/>
      <c r="K72" s="237"/>
      <c r="L72" s="237"/>
      <c r="M72" s="237"/>
      <c r="N72" s="240"/>
      <c r="O72" s="251" t="s">
        <v>36</v>
      </c>
    </row>
    <row r="73" spans="1:15" s="236" customFormat="1" x14ac:dyDescent="0.2">
      <c r="A73" s="242"/>
      <c r="B73" s="242"/>
      <c r="C73" s="242"/>
      <c r="D73" s="242"/>
      <c r="E73" s="242"/>
      <c r="F73" s="242"/>
      <c r="G73" s="242"/>
      <c r="H73" s="242"/>
      <c r="I73" s="242"/>
      <c r="J73" s="242"/>
      <c r="K73" s="242"/>
      <c r="L73" s="242"/>
      <c r="M73" s="242"/>
      <c r="N73" s="242"/>
      <c r="O73" s="242"/>
    </row>
    <row r="74" spans="1:15" s="236" customFormat="1" x14ac:dyDescent="0.2">
      <c r="A74" s="241" t="str">
        <f>name!B7</f>
        <v>Engineering</v>
      </c>
      <c r="B74" s="377">
        <f>$B$6</f>
        <v>2015</v>
      </c>
      <c r="C74" s="377"/>
      <c r="D74" s="377"/>
      <c r="E74" s="377"/>
      <c r="F74" s="263"/>
      <c r="G74" s="377">
        <f>$G$6</f>
        <v>2020</v>
      </c>
      <c r="H74" s="377"/>
      <c r="I74" s="377"/>
      <c r="J74" s="377"/>
      <c r="K74" s="263"/>
      <c r="L74" s="377">
        <f>$L$6</f>
        <v>2035</v>
      </c>
      <c r="M74" s="377"/>
      <c r="N74" s="377"/>
      <c r="O74" s="377"/>
    </row>
    <row r="75" spans="1:15" s="236" customFormat="1" x14ac:dyDescent="0.2">
      <c r="A75" s="254"/>
      <c r="B75" s="268" t="str">
        <f>$B$7</f>
        <v>FT</v>
      </c>
      <c r="C75" s="268" t="str">
        <f>$C$7</f>
        <v>PT</v>
      </c>
      <c r="D75" s="268" t="str">
        <f>$D$7</f>
        <v>SE</v>
      </c>
      <c r="E75" s="268" t="str">
        <f>$E$7</f>
        <v>Total</v>
      </c>
      <c r="F75" s="268"/>
      <c r="G75" s="268" t="str">
        <f>$G$7</f>
        <v>FT</v>
      </c>
      <c r="H75" s="268" t="str">
        <f>$H$7</f>
        <v>PT</v>
      </c>
      <c r="I75" s="268" t="str">
        <f>$I$7</f>
        <v>SE</v>
      </c>
      <c r="J75" s="268" t="str">
        <f>$J$7</f>
        <v>Total</v>
      </c>
      <c r="K75" s="268"/>
      <c r="L75" s="268" t="str">
        <f>$L$7</f>
        <v>FT</v>
      </c>
      <c r="M75" s="268" t="str">
        <f>$M$7</f>
        <v>PT</v>
      </c>
      <c r="N75" s="268" t="str">
        <f>$N$7</f>
        <v>SE</v>
      </c>
      <c r="O75" s="268" t="str">
        <f>$O$7</f>
        <v>Total</v>
      </c>
    </row>
    <row r="76" spans="1:15" s="236" customFormat="1" x14ac:dyDescent="0.2">
      <c r="A76" s="258"/>
      <c r="B76" s="239"/>
      <c r="C76" s="239"/>
      <c r="D76" s="239"/>
      <c r="E76" s="239"/>
      <c r="F76" s="239"/>
      <c r="G76" s="239"/>
      <c r="H76" s="239"/>
      <c r="I76" s="239"/>
      <c r="J76" s="239"/>
      <c r="K76" s="239"/>
      <c r="L76" s="239"/>
      <c r="M76" s="239"/>
      <c r="N76" s="239"/>
      <c r="O76" s="239"/>
    </row>
    <row r="77" spans="1:15" s="236" customFormat="1" x14ac:dyDescent="0.2">
      <c r="A77" s="237" t="str">
        <f>name!E$4</f>
        <v>Managers, directors and senior officials</v>
      </c>
      <c r="B77" s="302">
        <v>1.0016234127164976</v>
      </c>
      <c r="C77" s="302">
        <v>1.9206448103503283E-2</v>
      </c>
      <c r="D77" s="302">
        <v>3.6917299281579295E-2</v>
      </c>
      <c r="E77" s="302">
        <f>SUM(B77:D77)</f>
        <v>1.0577471601015802</v>
      </c>
      <c r="F77" s="303"/>
      <c r="G77" s="302">
        <v>0.99087299523983763</v>
      </c>
      <c r="H77" s="302">
        <v>3.5954267337665852E-2</v>
      </c>
      <c r="I77" s="302">
        <v>2.4716481722015318E-2</v>
      </c>
      <c r="J77" s="302">
        <f>SUM(G77:I77)</f>
        <v>1.0515437442995188</v>
      </c>
      <c r="K77" s="303"/>
      <c r="L77" s="302">
        <v>0.93779660027198541</v>
      </c>
      <c r="M77" s="302">
        <v>4.2081356754359894E-2</v>
      </c>
      <c r="N77" s="302">
        <v>2.7183608013192213E-2</v>
      </c>
      <c r="O77" s="302">
        <f>SUM(L77:N77)</f>
        <v>1.0070615650395376</v>
      </c>
    </row>
    <row r="78" spans="1:15" s="236" customFormat="1" x14ac:dyDescent="0.2">
      <c r="A78" s="237" t="str">
        <f>name!E$5</f>
        <v>Professional occupations</v>
      </c>
      <c r="B78" s="302">
        <v>2.2064701153742412</v>
      </c>
      <c r="C78" s="302">
        <v>2.1244189880585507E-2</v>
      </c>
      <c r="D78" s="302">
        <v>2.5924111089941804E-2</v>
      </c>
      <c r="E78" s="302">
        <f t="shared" ref="E78:E85" si="42">SUM(B78:D78)</f>
        <v>2.2536384163447685</v>
      </c>
      <c r="F78" s="303"/>
      <c r="G78" s="302">
        <v>2.4405630073817237</v>
      </c>
      <c r="H78" s="302">
        <v>4.3898783244797332E-2</v>
      </c>
      <c r="I78" s="302">
        <v>9.0862592792019543E-3</v>
      </c>
      <c r="J78" s="302">
        <f t="shared" ref="J78:J80" si="43">SUM(G78:I78)</f>
        <v>2.4935480499057232</v>
      </c>
      <c r="K78" s="303"/>
      <c r="L78" s="302">
        <v>2.7527315546537792</v>
      </c>
      <c r="M78" s="302">
        <v>5.8008222476471659E-2</v>
      </c>
      <c r="N78" s="302">
        <v>7.9574573771625766E-3</v>
      </c>
      <c r="O78" s="302">
        <f t="shared" ref="O78:O85" si="44">SUM(L78:N78)</f>
        <v>2.8186972345074133</v>
      </c>
    </row>
    <row r="79" spans="1:15" s="236" customFormat="1" x14ac:dyDescent="0.2">
      <c r="A79" s="237" t="str">
        <f>name!E$6</f>
        <v>Associate professional occupations</v>
      </c>
      <c r="B79" s="302">
        <v>1.4325460132115568</v>
      </c>
      <c r="C79" s="302">
        <v>1.8570672832934988E-2</v>
      </c>
      <c r="D79" s="302">
        <v>1.5827059673953234E-2</v>
      </c>
      <c r="E79" s="302">
        <f t="shared" si="42"/>
        <v>1.4669437457184449</v>
      </c>
      <c r="F79" s="303"/>
      <c r="G79" s="302">
        <v>1.5311680766613589</v>
      </c>
      <c r="H79" s="302">
        <v>3.0688652399088967E-2</v>
      </c>
      <c r="I79" s="302">
        <v>6.1582808537430254E-3</v>
      </c>
      <c r="J79" s="302">
        <f t="shared" si="43"/>
        <v>1.568015009914191</v>
      </c>
      <c r="K79" s="303"/>
      <c r="L79" s="302">
        <v>1.3225214208769871</v>
      </c>
      <c r="M79" s="302">
        <v>2.9156361764017789E-2</v>
      </c>
      <c r="N79" s="302">
        <v>7.2583839086184767E-3</v>
      </c>
      <c r="O79" s="302">
        <f t="shared" si="44"/>
        <v>1.3589361665496233</v>
      </c>
    </row>
    <row r="80" spans="1:15" s="236" customFormat="1" x14ac:dyDescent="0.2">
      <c r="A80" s="237" t="str">
        <f>name!E$7</f>
        <v>Administrative and secretarial occupations</v>
      </c>
      <c r="B80" s="302">
        <v>0.76195700984763071</v>
      </c>
      <c r="C80" s="302">
        <v>6.5536842128580949E-2</v>
      </c>
      <c r="D80" s="302">
        <v>1.6592707319700042E-2</v>
      </c>
      <c r="E80" s="302">
        <f t="shared" si="42"/>
        <v>0.8440865592959117</v>
      </c>
      <c r="F80" s="303"/>
      <c r="G80" s="302">
        <v>0.78974262470740575</v>
      </c>
      <c r="H80" s="302">
        <v>0.10009091458593798</v>
      </c>
      <c r="I80" s="302">
        <v>2.24871893275819E-2</v>
      </c>
      <c r="J80" s="302">
        <f t="shared" si="43"/>
        <v>0.91232072862092561</v>
      </c>
      <c r="K80" s="303"/>
      <c r="L80" s="302">
        <v>0.57570466422400157</v>
      </c>
      <c r="M80" s="302">
        <v>7.7545448374261222E-2</v>
      </c>
      <c r="N80" s="302">
        <v>1.5741188111408802E-2</v>
      </c>
      <c r="O80" s="302">
        <f t="shared" si="44"/>
        <v>0.66899130070967161</v>
      </c>
    </row>
    <row r="81" spans="1:15" s="236" customFormat="1" x14ac:dyDescent="0.2">
      <c r="A81" s="237" t="str">
        <f>name!E$8</f>
        <v>Skilled trades occupations</v>
      </c>
      <c r="B81" s="302">
        <v>3.2321153222843879</v>
      </c>
      <c r="C81" s="302">
        <v>3.8588068271873263E-2</v>
      </c>
      <c r="D81" s="302">
        <v>8.4917338343821883E-2</v>
      </c>
      <c r="E81" s="302">
        <f t="shared" si="42"/>
        <v>3.355620728900083</v>
      </c>
      <c r="F81" s="303"/>
      <c r="G81" s="302">
        <v>2.2929682027058345</v>
      </c>
      <c r="H81" s="302">
        <v>3.1983979385353099E-2</v>
      </c>
      <c r="I81" s="302">
        <v>4.4061659693294163E-3</v>
      </c>
      <c r="J81" s="302">
        <f>SUM(G81:I81)</f>
        <v>2.3293583480605169</v>
      </c>
      <c r="K81" s="303"/>
      <c r="L81" s="302">
        <v>1.7331533371603833</v>
      </c>
      <c r="M81" s="302">
        <v>3.3473150954033311E-2</v>
      </c>
      <c r="N81" s="302">
        <v>4.2482633540951286E-3</v>
      </c>
      <c r="O81" s="302">
        <f t="shared" si="44"/>
        <v>1.7708747514685119</v>
      </c>
    </row>
    <row r="82" spans="1:15" s="236" customFormat="1" x14ac:dyDescent="0.2">
      <c r="A82" s="237" t="str">
        <f>name!E$9</f>
        <v>Caring, leisure and other service occupations</v>
      </c>
      <c r="B82" s="302">
        <v>6.4939404579756277E-2</v>
      </c>
      <c r="C82" s="302">
        <v>4.6320569029450268E-3</v>
      </c>
      <c r="D82" s="302">
        <v>5.8922826586215839E-3</v>
      </c>
      <c r="E82" s="302">
        <f t="shared" si="42"/>
        <v>7.5463744141322883E-2</v>
      </c>
      <c r="F82" s="303"/>
      <c r="G82" s="302">
        <v>5.7247120075343119E-2</v>
      </c>
      <c r="H82" s="302">
        <v>6.1429272619624884E-3</v>
      </c>
      <c r="I82" s="302">
        <v>1.1443386537973353E-2</v>
      </c>
      <c r="J82" s="302">
        <f t="shared" ref="J82:J85" si="45">SUM(G82:I82)</f>
        <v>7.4833433875278965E-2</v>
      </c>
      <c r="K82" s="303"/>
      <c r="L82" s="302">
        <v>5.5378951346475518E-2</v>
      </c>
      <c r="M82" s="302">
        <v>4.8719255787518815E-3</v>
      </c>
      <c r="N82" s="302">
        <v>1.6801028737556217E-2</v>
      </c>
      <c r="O82" s="302">
        <f t="shared" si="44"/>
        <v>7.705190566278361E-2</v>
      </c>
    </row>
    <row r="83" spans="1:15" s="236" customFormat="1" x14ac:dyDescent="0.2">
      <c r="A83" s="237" t="str">
        <f>name!E$10</f>
        <v>Sales and customer service occupations</v>
      </c>
      <c r="B83" s="302">
        <v>0.24938863535812134</v>
      </c>
      <c r="C83" s="302">
        <v>1.409100998130338E-2</v>
      </c>
      <c r="D83" s="302">
        <v>7.3005621283444098E-3</v>
      </c>
      <c r="E83" s="302">
        <f t="shared" si="42"/>
        <v>0.2707802074677691</v>
      </c>
      <c r="F83" s="303"/>
      <c r="G83" s="302">
        <v>0.24530000118802087</v>
      </c>
      <c r="H83" s="302">
        <v>2.1662577162577717E-2</v>
      </c>
      <c r="I83" s="302">
        <v>6.3340089404021263E-3</v>
      </c>
      <c r="J83" s="302">
        <f t="shared" si="45"/>
        <v>0.2732965872910007</v>
      </c>
      <c r="K83" s="303"/>
      <c r="L83" s="302">
        <v>0.21967108105624056</v>
      </c>
      <c r="M83" s="302">
        <v>2.6905403106249233E-2</v>
      </c>
      <c r="N83" s="302">
        <v>7.7942886014613884E-3</v>
      </c>
      <c r="O83" s="302">
        <f t="shared" si="44"/>
        <v>0.25437077276395115</v>
      </c>
    </row>
    <row r="84" spans="1:15" s="236" customFormat="1" x14ac:dyDescent="0.2">
      <c r="A84" s="237" t="str">
        <f>name!E$11</f>
        <v>Process, plant and machine operatives</v>
      </c>
      <c r="B84" s="302">
        <v>1.8803968363724199</v>
      </c>
      <c r="C84" s="302">
        <v>5.0193262782656144E-2</v>
      </c>
      <c r="D84" s="302">
        <v>1.5739143762579257E-2</v>
      </c>
      <c r="E84" s="302">
        <f t="shared" si="42"/>
        <v>1.9463292429176555</v>
      </c>
      <c r="F84" s="303"/>
      <c r="G84" s="302">
        <v>1.2784040096398628</v>
      </c>
      <c r="H84" s="302">
        <v>6.4439178519877544E-2</v>
      </c>
      <c r="I84" s="302">
        <v>8.5903231682250177E-3</v>
      </c>
      <c r="J84" s="302">
        <f t="shared" si="45"/>
        <v>1.3514335113279652</v>
      </c>
      <c r="K84" s="303"/>
      <c r="L84" s="302">
        <v>1.2272300210926619</v>
      </c>
      <c r="M84" s="302">
        <v>0.10025717021669381</v>
      </c>
      <c r="N84" s="302">
        <v>6.4374327144194081E-3</v>
      </c>
      <c r="O84" s="302">
        <f t="shared" si="44"/>
        <v>1.3339246240237752</v>
      </c>
    </row>
    <row r="85" spans="1:15" s="236" customFormat="1" x14ac:dyDescent="0.2">
      <c r="A85" s="237" t="str">
        <f>name!E$12</f>
        <v>Elementary occupations</v>
      </c>
      <c r="B85" s="302">
        <v>0.30588968691901292</v>
      </c>
      <c r="C85" s="302">
        <v>2.5720946618837694E-2</v>
      </c>
      <c r="D85" s="302">
        <v>2.2779561574596107E-2</v>
      </c>
      <c r="E85" s="302">
        <f t="shared" si="42"/>
        <v>0.35439019511244668</v>
      </c>
      <c r="F85" s="303"/>
      <c r="G85" s="302">
        <v>0.21171190005016707</v>
      </c>
      <c r="H85" s="302">
        <v>3.3196873581505505E-2</v>
      </c>
      <c r="I85" s="302">
        <v>1.8741813073204605E-2</v>
      </c>
      <c r="J85" s="302">
        <f t="shared" si="45"/>
        <v>0.26365058670487718</v>
      </c>
      <c r="K85" s="303"/>
      <c r="L85" s="302">
        <v>0.11711301301180825</v>
      </c>
      <c r="M85" s="302">
        <v>2.8458249681958776E-2</v>
      </c>
      <c r="N85" s="302">
        <v>1.4520416580947033E-2</v>
      </c>
      <c r="O85" s="302">
        <f t="shared" si="44"/>
        <v>0.16009167927471404</v>
      </c>
    </row>
    <row r="86" spans="1:15" s="236" customFormat="1" x14ac:dyDescent="0.2">
      <c r="A86" s="237"/>
      <c r="B86" s="302"/>
      <c r="C86" s="302"/>
      <c r="D86" s="302"/>
      <c r="E86" s="302"/>
      <c r="F86" s="303"/>
      <c r="G86" s="302"/>
      <c r="H86" s="302"/>
      <c r="I86" s="302"/>
      <c r="J86" s="302"/>
      <c r="K86" s="303"/>
      <c r="L86" s="302"/>
      <c r="M86" s="302"/>
      <c r="N86" s="302"/>
      <c r="O86" s="302"/>
    </row>
    <row r="87" spans="1:15" s="236" customFormat="1" x14ac:dyDescent="0.2">
      <c r="A87" s="244" t="s">
        <v>33</v>
      </c>
      <c r="B87" s="311">
        <f>SUM(B77:B85)</f>
        <v>11.135326436663625</v>
      </c>
      <c r="C87" s="311">
        <f t="shared" ref="C87:E87" si="46">SUM(C77:C85)</f>
        <v>0.25778349750322027</v>
      </c>
      <c r="D87" s="311">
        <f t="shared" si="46"/>
        <v>0.23189006583313759</v>
      </c>
      <c r="E87" s="311">
        <f t="shared" si="46"/>
        <v>11.624999999999986</v>
      </c>
      <c r="F87" s="311"/>
      <c r="G87" s="311">
        <f t="shared" ref="G87:J87" si="47">SUM(G77:G85)</f>
        <v>9.8379779376495549</v>
      </c>
      <c r="H87" s="311">
        <f t="shared" si="47"/>
        <v>0.36805815347876653</v>
      </c>
      <c r="I87" s="311">
        <f t="shared" si="47"/>
        <v>0.11196390887167669</v>
      </c>
      <c r="J87" s="311">
        <f t="shared" si="47"/>
        <v>10.317999999999996</v>
      </c>
      <c r="K87" s="311"/>
      <c r="L87" s="311">
        <f t="shared" ref="L87:O87" si="48">SUM(L77:L85)</f>
        <v>8.9413006436943228</v>
      </c>
      <c r="M87" s="311">
        <f t="shared" si="48"/>
        <v>0.40075728890679752</v>
      </c>
      <c r="N87" s="311">
        <f t="shared" si="48"/>
        <v>0.10794206739886125</v>
      </c>
      <c r="O87" s="311">
        <f t="shared" si="48"/>
        <v>9.4499999999999815</v>
      </c>
    </row>
    <row r="88" spans="1:15" s="236" customFormat="1" x14ac:dyDescent="0.2">
      <c r="A88" s="237"/>
      <c r="B88" s="237"/>
      <c r="C88" s="237"/>
      <c r="D88" s="237"/>
      <c r="E88" s="237"/>
      <c r="F88" s="237"/>
      <c r="G88" s="237"/>
      <c r="H88" s="237"/>
      <c r="I88" s="237"/>
      <c r="J88" s="237"/>
      <c r="K88" s="237"/>
      <c r="L88" s="237"/>
      <c r="M88" s="237"/>
      <c r="N88" s="240"/>
    </row>
    <row r="89" spans="1:15" s="236" customFormat="1" x14ac:dyDescent="0.2">
      <c r="A89" s="237"/>
      <c r="B89" s="237"/>
      <c r="C89" s="237"/>
      <c r="D89" s="237"/>
      <c r="E89" s="237"/>
      <c r="F89" s="237"/>
      <c r="G89" s="237"/>
      <c r="H89" s="237"/>
      <c r="I89" s="237"/>
      <c r="J89" s="237"/>
      <c r="K89" s="237"/>
      <c r="L89" s="237"/>
      <c r="M89" s="237"/>
      <c r="N89" s="240"/>
      <c r="O89" s="251" t="s">
        <v>36</v>
      </c>
    </row>
    <row r="90" spans="1:15" s="236" customFormat="1" x14ac:dyDescent="0.2">
      <c r="A90" s="242"/>
      <c r="B90" s="242"/>
      <c r="C90" s="242"/>
      <c r="D90" s="242"/>
      <c r="E90" s="242"/>
      <c r="F90" s="242"/>
      <c r="G90" s="242"/>
      <c r="H90" s="242"/>
      <c r="I90" s="242"/>
      <c r="J90" s="242"/>
      <c r="K90" s="242"/>
      <c r="L90" s="242"/>
      <c r="M90" s="242"/>
      <c r="N90" s="242"/>
      <c r="O90" s="242"/>
    </row>
    <row r="91" spans="1:15" s="236" customFormat="1" x14ac:dyDescent="0.2">
      <c r="A91" s="241" t="str">
        <f>name!B8</f>
        <v>Rest of manufacturing</v>
      </c>
      <c r="B91" s="377">
        <f>$B$6</f>
        <v>2015</v>
      </c>
      <c r="C91" s="377"/>
      <c r="D91" s="377"/>
      <c r="E91" s="377"/>
      <c r="F91" s="263"/>
      <c r="G91" s="377">
        <f>$G$6</f>
        <v>2020</v>
      </c>
      <c r="H91" s="377"/>
      <c r="I91" s="377"/>
      <c r="J91" s="377"/>
      <c r="K91" s="263"/>
      <c r="L91" s="377">
        <f>$L$6</f>
        <v>2035</v>
      </c>
      <c r="M91" s="377"/>
      <c r="N91" s="377"/>
      <c r="O91" s="377"/>
    </row>
    <row r="92" spans="1:15" s="236" customFormat="1" x14ac:dyDescent="0.2">
      <c r="A92" s="254"/>
      <c r="B92" s="268" t="str">
        <f>$B$7</f>
        <v>FT</v>
      </c>
      <c r="C92" s="268" t="str">
        <f>$C$7</f>
        <v>PT</v>
      </c>
      <c r="D92" s="268" t="str">
        <f>$D$7</f>
        <v>SE</v>
      </c>
      <c r="E92" s="268" t="str">
        <f>$E$7</f>
        <v>Total</v>
      </c>
      <c r="F92" s="268"/>
      <c r="G92" s="268" t="str">
        <f>$G$7</f>
        <v>FT</v>
      </c>
      <c r="H92" s="268" t="str">
        <f>$H$7</f>
        <v>PT</v>
      </c>
      <c r="I92" s="268" t="str">
        <f>$I$7</f>
        <v>SE</v>
      </c>
      <c r="J92" s="268" t="str">
        <f>$J$7</f>
        <v>Total</v>
      </c>
      <c r="K92" s="268"/>
      <c r="L92" s="268" t="str">
        <f>$L$7</f>
        <v>FT</v>
      </c>
      <c r="M92" s="268" t="str">
        <f>$M$7</f>
        <v>PT</v>
      </c>
      <c r="N92" s="268" t="str">
        <f>$N$7</f>
        <v>SE</v>
      </c>
      <c r="O92" s="268" t="str">
        <f>$O$7</f>
        <v>Total</v>
      </c>
    </row>
    <row r="93" spans="1:15" s="236" customFormat="1" x14ac:dyDescent="0.2">
      <c r="A93" s="258"/>
      <c r="B93" s="239"/>
      <c r="C93" s="239"/>
      <c r="D93" s="239"/>
      <c r="E93" s="239"/>
      <c r="F93" s="239"/>
      <c r="G93" s="239"/>
      <c r="H93" s="239"/>
      <c r="I93" s="239"/>
      <c r="J93" s="239"/>
      <c r="K93" s="239"/>
      <c r="L93" s="239"/>
      <c r="M93" s="239"/>
      <c r="N93" s="239"/>
      <c r="O93" s="239"/>
    </row>
    <row r="94" spans="1:15" s="236" customFormat="1" x14ac:dyDescent="0.2">
      <c r="A94" s="237" t="str">
        <f>name!E$4</f>
        <v>Managers, directors and senior officials</v>
      </c>
      <c r="B94" s="302">
        <v>3.2596973342509457</v>
      </c>
      <c r="C94" s="302">
        <v>9.6919780403150246E-2</v>
      </c>
      <c r="D94" s="302">
        <v>0.42122385988816613</v>
      </c>
      <c r="E94" s="302">
        <f>SUM(B94:D94)</f>
        <v>3.7778409745422623</v>
      </c>
      <c r="F94" s="303"/>
      <c r="G94" s="302">
        <v>3.295944086632657</v>
      </c>
      <c r="H94" s="302">
        <v>0.12105613207990452</v>
      </c>
      <c r="I94" s="302">
        <v>4.7470603090488152E-2</v>
      </c>
      <c r="J94" s="302">
        <f>SUM(G94:I94)</f>
        <v>3.46447082180305</v>
      </c>
      <c r="K94" s="303"/>
      <c r="L94" s="302">
        <v>2.9229979247746982</v>
      </c>
      <c r="M94" s="302">
        <v>0.12362802533738187</v>
      </c>
      <c r="N94" s="302">
        <v>3.7883443694912637E-2</v>
      </c>
      <c r="O94" s="302">
        <f>SUM(L94:N94)</f>
        <v>3.084509393806993</v>
      </c>
    </row>
    <row r="95" spans="1:15" s="236" customFormat="1" x14ac:dyDescent="0.2">
      <c r="A95" s="237" t="str">
        <f>name!E$5</f>
        <v>Professional occupations</v>
      </c>
      <c r="B95" s="302">
        <v>6.2077446602076725</v>
      </c>
      <c r="C95" s="302">
        <v>0.13441356085875125</v>
      </c>
      <c r="D95" s="302">
        <v>0.27791419357473779</v>
      </c>
      <c r="E95" s="302">
        <f t="shared" ref="E95:E102" si="49">SUM(B95:D95)</f>
        <v>6.6200724146411609</v>
      </c>
      <c r="F95" s="303"/>
      <c r="G95" s="302">
        <v>7.325949077518719</v>
      </c>
      <c r="H95" s="302">
        <v>0.15217888194187448</v>
      </c>
      <c r="I95" s="302">
        <v>4.6214624461799178E-2</v>
      </c>
      <c r="J95" s="302">
        <f t="shared" ref="J95:J97" si="50">SUM(G95:I95)</f>
        <v>7.524342583922393</v>
      </c>
      <c r="K95" s="303"/>
      <c r="L95" s="302">
        <v>7.4533508148926284</v>
      </c>
      <c r="M95" s="302">
        <v>0.14054181363032975</v>
      </c>
      <c r="N95" s="302">
        <v>3.4600348598257884E-2</v>
      </c>
      <c r="O95" s="302">
        <f t="shared" ref="O95:O102" si="51">SUM(L95:N95)</f>
        <v>7.6284929771212164</v>
      </c>
    </row>
    <row r="96" spans="1:15" s="236" customFormat="1" x14ac:dyDescent="0.2">
      <c r="A96" s="237" t="str">
        <f>name!E$6</f>
        <v>Associate professional occupations</v>
      </c>
      <c r="B96" s="302">
        <v>4.2223717369068998</v>
      </c>
      <c r="C96" s="302">
        <v>0.20152946699056434</v>
      </c>
      <c r="D96" s="302">
        <v>0.29806749561980755</v>
      </c>
      <c r="E96" s="302">
        <f t="shared" si="49"/>
        <v>4.7219686995172721</v>
      </c>
      <c r="F96" s="303"/>
      <c r="G96" s="302">
        <v>4.7758378505092098</v>
      </c>
      <c r="H96" s="302">
        <v>0.18351370492745345</v>
      </c>
      <c r="I96" s="302">
        <v>5.183660689441285E-2</v>
      </c>
      <c r="J96" s="302">
        <f t="shared" si="50"/>
        <v>5.0111881623310763</v>
      </c>
      <c r="K96" s="303"/>
      <c r="L96" s="302">
        <v>3.9069844564734795</v>
      </c>
      <c r="M96" s="302">
        <v>0.13993814814729572</v>
      </c>
      <c r="N96" s="302">
        <v>4.2469369839152116E-2</v>
      </c>
      <c r="O96" s="302">
        <f t="shared" si="51"/>
        <v>4.089391974459927</v>
      </c>
    </row>
    <row r="97" spans="1:15" s="236" customFormat="1" x14ac:dyDescent="0.2">
      <c r="A97" s="237" t="str">
        <f>name!E$7</f>
        <v>Administrative and secretarial occupations</v>
      </c>
      <c r="B97" s="302">
        <v>2.416985840130458</v>
      </c>
      <c r="C97" s="302">
        <v>0.66778583052801821</v>
      </c>
      <c r="D97" s="302">
        <v>0.15749175959050904</v>
      </c>
      <c r="E97" s="302">
        <f t="shared" si="49"/>
        <v>3.2422634302489852</v>
      </c>
      <c r="F97" s="303"/>
      <c r="G97" s="302">
        <v>2.443929312232215</v>
      </c>
      <c r="H97" s="302">
        <v>0.46640804213692927</v>
      </c>
      <c r="I97" s="302">
        <v>2.4071389811054132E-2</v>
      </c>
      <c r="J97" s="302">
        <f t="shared" si="50"/>
        <v>2.9344087441801987</v>
      </c>
      <c r="K97" s="303"/>
      <c r="L97" s="302">
        <v>1.8818022812053903</v>
      </c>
      <c r="M97" s="302">
        <v>0.33813970352145351</v>
      </c>
      <c r="N97" s="302">
        <v>1.4759011485932026E-2</v>
      </c>
      <c r="O97" s="302">
        <f t="shared" si="51"/>
        <v>2.2347009962127755</v>
      </c>
    </row>
    <row r="98" spans="1:15" s="236" customFormat="1" x14ac:dyDescent="0.2">
      <c r="A98" s="237" t="str">
        <f>name!E$8</f>
        <v>Skilled trades occupations</v>
      </c>
      <c r="B98" s="302">
        <v>11.510464941576704</v>
      </c>
      <c r="C98" s="302">
        <v>0.26530121476002566</v>
      </c>
      <c r="D98" s="302">
        <v>1.1024437510886353</v>
      </c>
      <c r="E98" s="302">
        <f t="shared" si="49"/>
        <v>12.878209907425365</v>
      </c>
      <c r="F98" s="303"/>
      <c r="G98" s="302">
        <v>8.7302566656152809</v>
      </c>
      <c r="H98" s="302">
        <v>0.19842043632748724</v>
      </c>
      <c r="I98" s="302">
        <v>4.7973965056760319E-2</v>
      </c>
      <c r="J98" s="302">
        <f>SUM(G98:I98)</f>
        <v>8.9766510669995281</v>
      </c>
      <c r="K98" s="303"/>
      <c r="L98" s="302">
        <v>6.384559939192985</v>
      </c>
      <c r="M98" s="302">
        <v>0.20113715514305378</v>
      </c>
      <c r="N98" s="302">
        <v>5.0736284652774556E-2</v>
      </c>
      <c r="O98" s="302">
        <f t="shared" si="51"/>
        <v>6.6364333789888139</v>
      </c>
    </row>
    <row r="99" spans="1:15" s="236" customFormat="1" x14ac:dyDescent="0.2">
      <c r="A99" s="237" t="str">
        <f>name!E$9</f>
        <v>Caring, leisure and other service occupations</v>
      </c>
      <c r="B99" s="302">
        <v>0.51609493882443847</v>
      </c>
      <c r="C99" s="302">
        <v>9.9541301771982268E-2</v>
      </c>
      <c r="D99" s="302">
        <v>9.2776604802983179E-2</v>
      </c>
      <c r="E99" s="302">
        <f t="shared" si="49"/>
        <v>0.70841284539940397</v>
      </c>
      <c r="F99" s="303"/>
      <c r="G99" s="302">
        <v>0.4690072223313656</v>
      </c>
      <c r="H99" s="302">
        <v>5.636870377385942E-2</v>
      </c>
      <c r="I99" s="302">
        <v>5.2885223963054395E-2</v>
      </c>
      <c r="J99" s="302">
        <f t="shared" ref="J99:J102" si="52">SUM(G99:I99)</f>
        <v>0.57826115006827938</v>
      </c>
      <c r="K99" s="303"/>
      <c r="L99" s="302">
        <v>0.51697695126776422</v>
      </c>
      <c r="M99" s="302">
        <v>4.6079365881298982E-2</v>
      </c>
      <c r="N99" s="302">
        <v>3.5394610269511774E-2</v>
      </c>
      <c r="O99" s="302">
        <f t="shared" si="51"/>
        <v>0.59845092741857497</v>
      </c>
    </row>
    <row r="100" spans="1:15" s="236" customFormat="1" x14ac:dyDescent="0.2">
      <c r="A100" s="237" t="str">
        <f>name!E$10</f>
        <v>Sales and customer service occupations</v>
      </c>
      <c r="B100" s="302">
        <v>0.79596625221812467</v>
      </c>
      <c r="C100" s="302">
        <v>0.19954009456715904</v>
      </c>
      <c r="D100" s="302">
        <v>9.8961015374148822E-2</v>
      </c>
      <c r="E100" s="302">
        <f t="shared" si="49"/>
        <v>1.0944673621594325</v>
      </c>
      <c r="F100" s="303"/>
      <c r="G100" s="302">
        <v>0.69974971830360599</v>
      </c>
      <c r="H100" s="302">
        <v>0.14537438728659086</v>
      </c>
      <c r="I100" s="302">
        <v>1.2957551297197261E-2</v>
      </c>
      <c r="J100" s="302">
        <f t="shared" si="52"/>
        <v>0.85808165688739402</v>
      </c>
      <c r="K100" s="303"/>
      <c r="L100" s="302">
        <v>0.6592875665675294</v>
      </c>
      <c r="M100" s="302">
        <v>0.12991923801789237</v>
      </c>
      <c r="N100" s="302">
        <v>8.1425173498436264E-3</v>
      </c>
      <c r="O100" s="302">
        <f t="shared" si="51"/>
        <v>0.79734932193526542</v>
      </c>
    </row>
    <row r="101" spans="1:15" s="236" customFormat="1" x14ac:dyDescent="0.2">
      <c r="A101" s="237" t="str">
        <f>name!E$11</f>
        <v>Process, plant and machine operatives</v>
      </c>
      <c r="B101" s="302">
        <v>11.305144386526838</v>
      </c>
      <c r="C101" s="302">
        <v>0.45552569860682252</v>
      </c>
      <c r="D101" s="302">
        <v>0.22990041234209083</v>
      </c>
      <c r="E101" s="302">
        <f t="shared" si="49"/>
        <v>11.990570497475749</v>
      </c>
      <c r="F101" s="303"/>
      <c r="G101" s="302">
        <v>8.5014048595049285</v>
      </c>
      <c r="H101" s="302">
        <v>0.39142663533614258</v>
      </c>
      <c r="I101" s="302">
        <v>4.0345011379449909E-2</v>
      </c>
      <c r="J101" s="302">
        <f t="shared" si="52"/>
        <v>8.9331765062205211</v>
      </c>
      <c r="K101" s="303"/>
      <c r="L101" s="302">
        <v>8.4728771315774427</v>
      </c>
      <c r="M101" s="302">
        <v>0.48488068014823793</v>
      </c>
      <c r="N101" s="302">
        <v>3.7014836666207196E-2</v>
      </c>
      <c r="O101" s="302">
        <f t="shared" si="51"/>
        <v>8.9947726483918888</v>
      </c>
    </row>
    <row r="102" spans="1:15" s="236" customFormat="1" x14ac:dyDescent="0.2">
      <c r="A102" s="237" t="str">
        <f>name!E$12</f>
        <v>Elementary occupations</v>
      </c>
      <c r="B102" s="302">
        <v>2.4650273381901187</v>
      </c>
      <c r="C102" s="302">
        <v>0.40316753346132655</v>
      </c>
      <c r="D102" s="302">
        <v>0.44999899693887996</v>
      </c>
      <c r="E102" s="302">
        <f t="shared" si="49"/>
        <v>3.3181938685903249</v>
      </c>
      <c r="F102" s="303"/>
      <c r="G102" s="302">
        <v>1.6941984468134406</v>
      </c>
      <c r="H102" s="302">
        <v>0.3353327225735096</v>
      </c>
      <c r="I102" s="302">
        <v>0.10488813820061649</v>
      </c>
      <c r="J102" s="302">
        <f t="shared" si="52"/>
        <v>2.1344193075875668</v>
      </c>
      <c r="K102" s="303"/>
      <c r="L102" s="302">
        <v>0.92472716533972243</v>
      </c>
      <c r="M102" s="302">
        <v>0.20773255420978187</v>
      </c>
      <c r="N102" s="302">
        <v>7.9438662115052364E-2</v>
      </c>
      <c r="O102" s="302">
        <f t="shared" si="51"/>
        <v>1.2118983816645568</v>
      </c>
    </row>
    <row r="103" spans="1:15" s="236" customFormat="1" x14ac:dyDescent="0.2">
      <c r="A103" s="237"/>
      <c r="B103" s="302"/>
      <c r="C103" s="302"/>
      <c r="D103" s="302"/>
      <c r="E103" s="302"/>
      <c r="F103" s="303"/>
      <c r="G103" s="302"/>
      <c r="H103" s="302"/>
      <c r="I103" s="302"/>
      <c r="J103" s="302"/>
      <c r="K103" s="303"/>
      <c r="L103" s="302"/>
      <c r="M103" s="302"/>
      <c r="N103" s="302"/>
      <c r="O103" s="302"/>
    </row>
    <row r="104" spans="1:15" s="236" customFormat="1" x14ac:dyDescent="0.2">
      <c r="A104" s="244" t="s">
        <v>33</v>
      </c>
      <c r="B104" s="311">
        <f>SUM(B94:B102)</f>
        <v>42.699497428832196</v>
      </c>
      <c r="C104" s="311">
        <f t="shared" ref="C104:E104" si="53">SUM(C94:C102)</f>
        <v>2.5237244819478</v>
      </c>
      <c r="D104" s="311">
        <f t="shared" si="53"/>
        <v>3.1287780892199581</v>
      </c>
      <c r="E104" s="311">
        <f t="shared" si="53"/>
        <v>48.351999999999961</v>
      </c>
      <c r="F104" s="311"/>
      <c r="G104" s="311">
        <f t="shared" ref="G104:J104" si="54">SUM(G94:G102)</f>
        <v>37.936277239461418</v>
      </c>
      <c r="H104" s="311">
        <f t="shared" si="54"/>
        <v>2.0500796463837516</v>
      </c>
      <c r="I104" s="311">
        <f t="shared" si="54"/>
        <v>0.42864311415483275</v>
      </c>
      <c r="J104" s="311">
        <f t="shared" si="54"/>
        <v>40.414999999999999</v>
      </c>
      <c r="K104" s="311"/>
      <c r="L104" s="311">
        <f t="shared" ref="L104:O104" si="55">SUM(L94:L102)</f>
        <v>33.123564231291645</v>
      </c>
      <c r="M104" s="311">
        <f t="shared" si="55"/>
        <v>1.8119966840367256</v>
      </c>
      <c r="N104" s="311">
        <f t="shared" si="55"/>
        <v>0.34043908467164413</v>
      </c>
      <c r="O104" s="311">
        <f t="shared" si="55"/>
        <v>35.276000000000003</v>
      </c>
    </row>
    <row r="105" spans="1:15" s="236" customFormat="1" x14ac:dyDescent="0.2">
      <c r="A105" s="237"/>
      <c r="B105" s="237"/>
      <c r="C105" s="237"/>
      <c r="D105" s="237"/>
      <c r="E105" s="237"/>
      <c r="F105" s="237"/>
      <c r="G105" s="237"/>
      <c r="H105" s="237"/>
      <c r="I105" s="237"/>
      <c r="J105" s="237"/>
      <c r="K105" s="237"/>
      <c r="L105" s="237"/>
      <c r="M105" s="237"/>
      <c r="N105" s="240"/>
    </row>
    <row r="106" spans="1:15" s="236" customFormat="1" x14ac:dyDescent="0.2">
      <c r="A106" s="237"/>
      <c r="B106" s="237"/>
      <c r="C106" s="237"/>
      <c r="D106" s="237"/>
      <c r="E106" s="237"/>
      <c r="F106" s="237"/>
      <c r="G106" s="237"/>
      <c r="H106" s="237"/>
      <c r="I106" s="237"/>
      <c r="J106" s="237"/>
      <c r="K106" s="237"/>
      <c r="L106" s="237"/>
      <c r="M106" s="237"/>
      <c r="N106" s="240"/>
      <c r="O106" s="251" t="s">
        <v>36</v>
      </c>
    </row>
    <row r="107" spans="1:15" s="236" customFormat="1" x14ac:dyDescent="0.2">
      <c r="A107" s="242"/>
      <c r="B107" s="242"/>
      <c r="C107" s="242"/>
      <c r="D107" s="242"/>
      <c r="E107" s="242"/>
      <c r="F107" s="242"/>
      <c r="G107" s="242"/>
      <c r="H107" s="242"/>
      <c r="I107" s="242"/>
      <c r="J107" s="242"/>
      <c r="K107" s="242"/>
      <c r="L107" s="242"/>
      <c r="M107" s="242"/>
      <c r="N107" s="242"/>
      <c r="O107" s="242"/>
    </row>
    <row r="108" spans="1:15" s="236" customFormat="1" x14ac:dyDescent="0.2">
      <c r="A108" s="241" t="str">
        <f>name!B9</f>
        <v>Electricity and gas</v>
      </c>
      <c r="B108" s="377">
        <f>$B$6</f>
        <v>2015</v>
      </c>
      <c r="C108" s="377"/>
      <c r="D108" s="377"/>
      <c r="E108" s="377"/>
      <c r="F108" s="263"/>
      <c r="G108" s="377">
        <f>$G$6</f>
        <v>2020</v>
      </c>
      <c r="H108" s="377"/>
      <c r="I108" s="377"/>
      <c r="J108" s="377"/>
      <c r="K108" s="263"/>
      <c r="L108" s="377">
        <f>$L$6</f>
        <v>2035</v>
      </c>
      <c r="M108" s="377"/>
      <c r="N108" s="377"/>
      <c r="O108" s="377"/>
    </row>
    <row r="109" spans="1:15" s="236" customFormat="1" x14ac:dyDescent="0.2">
      <c r="A109" s="254"/>
      <c r="B109" s="268" t="str">
        <f>$B$7</f>
        <v>FT</v>
      </c>
      <c r="C109" s="268" t="str">
        <f>$C$7</f>
        <v>PT</v>
      </c>
      <c r="D109" s="268" t="str">
        <f>$D$7</f>
        <v>SE</v>
      </c>
      <c r="E109" s="268" t="str">
        <f>$E$7</f>
        <v>Total</v>
      </c>
      <c r="F109" s="268"/>
      <c r="G109" s="268" t="str">
        <f>$G$7</f>
        <v>FT</v>
      </c>
      <c r="H109" s="268" t="str">
        <f>$H$7</f>
        <v>PT</v>
      </c>
      <c r="I109" s="268" t="str">
        <f>$I$7</f>
        <v>SE</v>
      </c>
      <c r="J109" s="268" t="str">
        <f>$J$7</f>
        <v>Total</v>
      </c>
      <c r="K109" s="268"/>
      <c r="L109" s="268" t="str">
        <f>$L$7</f>
        <v>FT</v>
      </c>
      <c r="M109" s="268" t="str">
        <f>$M$7</f>
        <v>PT</v>
      </c>
      <c r="N109" s="268" t="str">
        <f>$N$7</f>
        <v>SE</v>
      </c>
      <c r="O109" s="268" t="str">
        <f>$O$7</f>
        <v>Total</v>
      </c>
    </row>
    <row r="110" spans="1:15" s="236" customFormat="1" x14ac:dyDescent="0.2">
      <c r="A110" s="258"/>
      <c r="B110" s="239"/>
      <c r="C110" s="239"/>
      <c r="D110" s="239"/>
      <c r="E110" s="239"/>
      <c r="F110" s="239"/>
      <c r="G110" s="239"/>
      <c r="H110" s="239"/>
      <c r="I110" s="239"/>
      <c r="J110" s="239"/>
      <c r="K110" s="239"/>
      <c r="L110" s="239"/>
      <c r="M110" s="239"/>
      <c r="N110" s="239"/>
      <c r="O110" s="239"/>
    </row>
    <row r="111" spans="1:15" s="236" customFormat="1" x14ac:dyDescent="0.2">
      <c r="A111" s="237" t="str">
        <f>name!E$4</f>
        <v>Managers, directors and senior officials</v>
      </c>
      <c r="B111" s="302">
        <v>0.36625585849909686</v>
      </c>
      <c r="C111" s="302">
        <v>1.3464602939764087E-2</v>
      </c>
      <c r="D111" s="302">
        <v>1.9203308129484887E-4</v>
      </c>
      <c r="E111" s="302">
        <f>SUM(B111:D111)</f>
        <v>0.3799124945201558</v>
      </c>
      <c r="F111" s="303"/>
      <c r="G111" s="302">
        <v>0.76376452976655285</v>
      </c>
      <c r="H111" s="302">
        <v>3.1552974490034719E-2</v>
      </c>
      <c r="I111" s="302">
        <v>7.877444145198817E-2</v>
      </c>
      <c r="J111" s="302">
        <f>SUM(G111:I111)</f>
        <v>0.87409194570857573</v>
      </c>
      <c r="K111" s="303"/>
      <c r="L111" s="302">
        <v>0.84658392643042135</v>
      </c>
      <c r="M111" s="302">
        <v>3.4450347688714321E-2</v>
      </c>
      <c r="N111" s="302">
        <v>0.10663478703556291</v>
      </c>
      <c r="O111" s="302">
        <f>SUM(L111:N111)</f>
        <v>0.98766906115469866</v>
      </c>
    </row>
    <row r="112" spans="1:15" s="236" customFormat="1" x14ac:dyDescent="0.2">
      <c r="A112" s="237" t="str">
        <f>name!E$5</f>
        <v>Professional occupations</v>
      </c>
      <c r="B112" s="302">
        <v>0.67956906081382817</v>
      </c>
      <c r="C112" s="302">
        <v>1.9297118104032829E-2</v>
      </c>
      <c r="D112" s="302">
        <v>2.2008499908701738E-4</v>
      </c>
      <c r="E112" s="302">
        <f t="shared" ref="E112:E119" si="56">SUM(B112:D112)</f>
        <v>0.69908626391694795</v>
      </c>
      <c r="F112" s="303"/>
      <c r="G112" s="302">
        <v>1.6006145988831273</v>
      </c>
      <c r="H112" s="302">
        <v>4.2101627079088856E-2</v>
      </c>
      <c r="I112" s="302">
        <v>9.939856372656912E-2</v>
      </c>
      <c r="J112" s="302">
        <f t="shared" ref="J112:J114" si="57">SUM(G112:I112)</f>
        <v>1.7421147896887852</v>
      </c>
      <c r="K112" s="303"/>
      <c r="L112" s="302">
        <v>1.8646529459803245</v>
      </c>
      <c r="M112" s="302">
        <v>5.0132861767234659E-2</v>
      </c>
      <c r="N112" s="302">
        <v>7.487743692076608E-2</v>
      </c>
      <c r="O112" s="302">
        <f t="shared" ref="O112:O119" si="58">SUM(L112:N112)</f>
        <v>1.9896632446683253</v>
      </c>
    </row>
    <row r="113" spans="1:15" s="236" customFormat="1" x14ac:dyDescent="0.2">
      <c r="A113" s="237" t="str">
        <f>name!E$6</f>
        <v>Associate professional occupations</v>
      </c>
      <c r="B113" s="302">
        <v>0.47894703336819416</v>
      </c>
      <c r="C113" s="302">
        <v>2.2795024426114942E-2</v>
      </c>
      <c r="D113" s="302">
        <v>1.5648740016542932E-4</v>
      </c>
      <c r="E113" s="302">
        <f t="shared" si="56"/>
        <v>0.50189854519447452</v>
      </c>
      <c r="F113" s="303"/>
      <c r="G113" s="302">
        <v>1.08833075038493</v>
      </c>
      <c r="H113" s="302">
        <v>4.1219972937456363E-2</v>
      </c>
      <c r="I113" s="302">
        <v>3.564529777682001E-2</v>
      </c>
      <c r="J113" s="302">
        <f t="shared" si="57"/>
        <v>1.1651960210992063</v>
      </c>
      <c r="K113" s="303"/>
      <c r="L113" s="302">
        <v>0.98865479933718303</v>
      </c>
      <c r="M113" s="302">
        <v>4.4969215163744101E-2</v>
      </c>
      <c r="N113" s="302">
        <v>3.7808476549549185E-2</v>
      </c>
      <c r="O113" s="302">
        <f t="shared" si="58"/>
        <v>1.0714324910504764</v>
      </c>
    </row>
    <row r="114" spans="1:15" s="236" customFormat="1" x14ac:dyDescent="0.2">
      <c r="A114" s="237" t="str">
        <f>name!E$7</f>
        <v>Administrative and secretarial occupations</v>
      </c>
      <c r="B114" s="302">
        <v>9.9459797768520181E-2</v>
      </c>
      <c r="C114" s="302">
        <v>2.8061022470827583E-2</v>
      </c>
      <c r="D114" s="302">
        <v>7.1314149972843662E-5</v>
      </c>
      <c r="E114" s="302">
        <f t="shared" si="56"/>
        <v>0.12759213438932063</v>
      </c>
      <c r="F114" s="303"/>
      <c r="G114" s="302">
        <v>0.18962705196144461</v>
      </c>
      <c r="H114" s="302">
        <v>4.5781766007052936E-2</v>
      </c>
      <c r="I114" s="302">
        <v>1.765139424503603E-2</v>
      </c>
      <c r="J114" s="302">
        <f t="shared" si="57"/>
        <v>0.25306021221353359</v>
      </c>
      <c r="K114" s="303"/>
      <c r="L114" s="302">
        <v>0.13895688561608999</v>
      </c>
      <c r="M114" s="302">
        <v>3.6422883489518713E-2</v>
      </c>
      <c r="N114" s="302">
        <v>2.024055691812408E-2</v>
      </c>
      <c r="O114" s="302">
        <f t="shared" si="58"/>
        <v>0.19562032602373278</v>
      </c>
    </row>
    <row r="115" spans="1:15" s="236" customFormat="1" x14ac:dyDescent="0.2">
      <c r="A115" s="237" t="str">
        <f>name!E$8</f>
        <v>Skilled trades occupations</v>
      </c>
      <c r="B115" s="302">
        <v>0.31469864946295834</v>
      </c>
      <c r="C115" s="302">
        <v>1.4644501883308854E-2</v>
      </c>
      <c r="D115" s="302">
        <v>2.5898698506957724E-4</v>
      </c>
      <c r="E115" s="302">
        <f t="shared" si="56"/>
        <v>0.32960213833133678</v>
      </c>
      <c r="F115" s="303"/>
      <c r="G115" s="302">
        <v>0.48101778013827656</v>
      </c>
      <c r="H115" s="302">
        <v>1.6520149675954852E-2</v>
      </c>
      <c r="I115" s="302">
        <v>8.125523069662291E-2</v>
      </c>
      <c r="J115" s="302">
        <f>SUM(G115:I115)</f>
        <v>0.57879316051085428</v>
      </c>
      <c r="K115" s="303"/>
      <c r="L115" s="302">
        <v>0.29606820615687529</v>
      </c>
      <c r="M115" s="302">
        <v>1.4222120524556462E-2</v>
      </c>
      <c r="N115" s="302">
        <v>8.3115005881656781E-2</v>
      </c>
      <c r="O115" s="302">
        <f t="shared" si="58"/>
        <v>0.39340533256308852</v>
      </c>
    </row>
    <row r="116" spans="1:15" s="236" customFormat="1" x14ac:dyDescent="0.2">
      <c r="A116" s="237" t="str">
        <f>name!E$9</f>
        <v>Caring, leisure and other service occupations</v>
      </c>
      <c r="B116" s="302">
        <v>0.20448089693246677</v>
      </c>
      <c r="C116" s="302">
        <v>2.7842493835363462E-2</v>
      </c>
      <c r="D116" s="302">
        <v>1.0297111562953195E-4</v>
      </c>
      <c r="E116" s="302">
        <f t="shared" si="56"/>
        <v>0.23242636188345978</v>
      </c>
      <c r="F116" s="303"/>
      <c r="G116" s="302">
        <v>0.34845421227833273</v>
      </c>
      <c r="H116" s="302">
        <v>3.7738139874305708E-2</v>
      </c>
      <c r="I116" s="302">
        <v>3.3975402634047747E-3</v>
      </c>
      <c r="J116" s="302">
        <f t="shared" ref="J116:J119" si="59">SUM(G116:I116)</f>
        <v>0.38958989241604319</v>
      </c>
      <c r="K116" s="303"/>
      <c r="L116" s="302">
        <v>0.37143424657066365</v>
      </c>
      <c r="M116" s="302">
        <v>3.5026808799858415E-2</v>
      </c>
      <c r="N116" s="302">
        <v>5.371882379694725E-3</v>
      </c>
      <c r="O116" s="302">
        <f t="shared" si="58"/>
        <v>0.41183293775021679</v>
      </c>
    </row>
    <row r="117" spans="1:15" s="236" customFormat="1" x14ac:dyDescent="0.2">
      <c r="A117" s="237" t="str">
        <f>name!E$10</f>
        <v>Sales and customer service occupations</v>
      </c>
      <c r="B117" s="302">
        <v>0.10789621108451035</v>
      </c>
      <c r="C117" s="302">
        <v>7.2265694260881697E-2</v>
      </c>
      <c r="D117" s="302">
        <v>1.0934424430416094E-4</v>
      </c>
      <c r="E117" s="302">
        <f t="shared" si="56"/>
        <v>0.18027124958969623</v>
      </c>
      <c r="F117" s="303"/>
      <c r="G117" s="302">
        <v>0.18324139582455701</v>
      </c>
      <c r="H117" s="302">
        <v>0.12606183055771306</v>
      </c>
      <c r="I117" s="302">
        <v>3.1052250528857649E-2</v>
      </c>
      <c r="J117" s="302">
        <f t="shared" si="59"/>
        <v>0.34035547691112766</v>
      </c>
      <c r="K117" s="303"/>
      <c r="L117" s="302">
        <v>0.17027674455877428</v>
      </c>
      <c r="M117" s="302">
        <v>0.15054324989646478</v>
      </c>
      <c r="N117" s="302">
        <v>3.1506232604565997E-2</v>
      </c>
      <c r="O117" s="302">
        <f t="shared" si="58"/>
        <v>0.35232622705980504</v>
      </c>
    </row>
    <row r="118" spans="1:15" s="236" customFormat="1" x14ac:dyDescent="0.2">
      <c r="A118" s="237" t="str">
        <f>name!E$11</f>
        <v>Process, plant and machine operatives</v>
      </c>
      <c r="B118" s="302">
        <v>0.18419076212146773</v>
      </c>
      <c r="C118" s="302">
        <v>6.7159912769791247E-3</v>
      </c>
      <c r="D118" s="302">
        <v>8.6468799094432646E-5</v>
      </c>
      <c r="E118" s="302">
        <f t="shared" si="56"/>
        <v>0.19099322219754131</v>
      </c>
      <c r="F118" s="303"/>
      <c r="G118" s="302">
        <v>0.28698350778230797</v>
      </c>
      <c r="H118" s="302">
        <v>1.0081197960501196E-2</v>
      </c>
      <c r="I118" s="302">
        <v>4.5701819969259233E-2</v>
      </c>
      <c r="J118" s="302">
        <f t="shared" si="59"/>
        <v>0.34276652571206845</v>
      </c>
      <c r="K118" s="303"/>
      <c r="L118" s="302">
        <v>0.31746559507612671</v>
      </c>
      <c r="M118" s="302">
        <v>1.5818926798776046E-2</v>
      </c>
      <c r="N118" s="302">
        <v>4.6603959433571547E-2</v>
      </c>
      <c r="O118" s="302">
        <f t="shared" si="58"/>
        <v>0.3798884813084743</v>
      </c>
    </row>
    <row r="119" spans="1:15" s="236" customFormat="1" x14ac:dyDescent="0.2">
      <c r="A119" s="237" t="str">
        <f>name!E$12</f>
        <v>Elementary occupations</v>
      </c>
      <c r="B119" s="302">
        <v>4.6630466684881536E-2</v>
      </c>
      <c r="C119" s="302">
        <v>4.2468034896120374E-2</v>
      </c>
      <c r="D119" s="302">
        <v>1.1908839607200569E-4</v>
      </c>
      <c r="E119" s="302">
        <f t="shared" si="56"/>
        <v>8.9217589977073922E-2</v>
      </c>
      <c r="F119" s="303"/>
      <c r="G119" s="302">
        <v>7.3669641467603159E-2</v>
      </c>
      <c r="H119" s="302">
        <v>5.0744979428633805E-2</v>
      </c>
      <c r="I119" s="302">
        <v>1.4617354843566311E-2</v>
      </c>
      <c r="J119" s="302">
        <f t="shared" si="59"/>
        <v>0.13903197573980328</v>
      </c>
      <c r="K119" s="303"/>
      <c r="L119" s="302">
        <v>4.5508093185958103E-2</v>
      </c>
      <c r="M119" s="302">
        <v>2.6751696425065495E-2</v>
      </c>
      <c r="N119" s="302">
        <v>1.1902108810166777E-2</v>
      </c>
      <c r="O119" s="302">
        <f t="shared" si="58"/>
        <v>8.4161898421190373E-2</v>
      </c>
    </row>
    <row r="120" spans="1:15" s="236" customFormat="1" x14ac:dyDescent="0.2">
      <c r="A120" s="237"/>
      <c r="B120" s="302"/>
      <c r="C120" s="302"/>
      <c r="D120" s="302"/>
      <c r="E120" s="302"/>
      <c r="F120" s="303"/>
      <c r="G120" s="302"/>
      <c r="H120" s="302"/>
      <c r="I120" s="302"/>
      <c r="J120" s="302"/>
      <c r="K120" s="303"/>
      <c r="L120" s="302"/>
      <c r="M120" s="302"/>
      <c r="N120" s="302"/>
      <c r="O120" s="302"/>
    </row>
    <row r="121" spans="1:15" s="236" customFormat="1" x14ac:dyDescent="0.2">
      <c r="A121" s="244" t="s">
        <v>33</v>
      </c>
      <c r="B121" s="311">
        <f>SUM(B111:B119)</f>
        <v>2.4821287367359242</v>
      </c>
      <c r="C121" s="311">
        <f t="shared" ref="C121:E121" si="60">SUM(C111:C119)</f>
        <v>0.24755448409339298</v>
      </c>
      <c r="D121" s="311">
        <f t="shared" si="60"/>
        <v>1.3167791706898478E-3</v>
      </c>
      <c r="E121" s="311">
        <f t="shared" si="60"/>
        <v>2.7310000000000074</v>
      </c>
      <c r="F121" s="311"/>
      <c r="G121" s="311">
        <f t="shared" ref="G121:J121" si="61">SUM(G111:G119)</f>
        <v>5.015703468487132</v>
      </c>
      <c r="H121" s="311">
        <f t="shared" si="61"/>
        <v>0.40180263801074151</v>
      </c>
      <c r="I121" s="311">
        <f t="shared" si="61"/>
        <v>0.40749389350212417</v>
      </c>
      <c r="J121" s="311">
        <f t="shared" si="61"/>
        <v>5.8249999999999975</v>
      </c>
      <c r="K121" s="311"/>
      <c r="L121" s="311">
        <f t="shared" ref="L121:O121" si="62">SUM(L111:L119)</f>
        <v>5.0396014429124163</v>
      </c>
      <c r="M121" s="311">
        <f t="shared" si="62"/>
        <v>0.40833811055393299</v>
      </c>
      <c r="N121" s="311">
        <f t="shared" si="62"/>
        <v>0.41806044653365804</v>
      </c>
      <c r="O121" s="311">
        <f t="shared" si="62"/>
        <v>5.8660000000000085</v>
      </c>
    </row>
    <row r="122" spans="1:15" s="236" customFormat="1" x14ac:dyDescent="0.2">
      <c r="A122" s="237"/>
      <c r="B122" s="237"/>
      <c r="C122" s="237"/>
      <c r="D122" s="237"/>
      <c r="E122" s="237"/>
      <c r="F122" s="237"/>
      <c r="G122" s="237"/>
      <c r="H122" s="237"/>
      <c r="I122" s="237"/>
      <c r="J122" s="237"/>
      <c r="K122" s="237"/>
      <c r="L122" s="237"/>
      <c r="M122" s="237"/>
      <c r="N122" s="240"/>
    </row>
    <row r="123" spans="1:15" s="236" customFormat="1" x14ac:dyDescent="0.2">
      <c r="A123" s="237"/>
      <c r="B123" s="237"/>
      <c r="C123" s="237"/>
      <c r="D123" s="237"/>
      <c r="E123" s="237"/>
      <c r="F123" s="237"/>
      <c r="G123" s="237"/>
      <c r="H123" s="237"/>
      <c r="I123" s="237"/>
      <c r="J123" s="237"/>
      <c r="K123" s="237"/>
      <c r="L123" s="237"/>
      <c r="M123" s="237"/>
      <c r="N123" s="240"/>
      <c r="O123" s="251" t="s">
        <v>36</v>
      </c>
    </row>
    <row r="124" spans="1:15" s="236" customFormat="1" x14ac:dyDescent="0.2">
      <c r="A124" s="242"/>
      <c r="B124" s="242"/>
      <c r="C124" s="242"/>
      <c r="D124" s="242"/>
      <c r="E124" s="242"/>
      <c r="F124" s="242"/>
      <c r="G124" s="242"/>
      <c r="H124" s="242"/>
      <c r="I124" s="242"/>
      <c r="J124" s="242"/>
      <c r="K124" s="242"/>
      <c r="L124" s="242"/>
      <c r="M124" s="242"/>
      <c r="N124" s="242"/>
      <c r="O124" s="242"/>
    </row>
    <row r="125" spans="1:15" s="236" customFormat="1" x14ac:dyDescent="0.2">
      <c r="A125" s="241" t="str">
        <f>name!B10</f>
        <v>Water and sewerage</v>
      </c>
      <c r="B125" s="377">
        <f>$B$6</f>
        <v>2015</v>
      </c>
      <c r="C125" s="377"/>
      <c r="D125" s="377"/>
      <c r="E125" s="377"/>
      <c r="F125" s="263"/>
      <c r="G125" s="377">
        <f>$G$6</f>
        <v>2020</v>
      </c>
      <c r="H125" s="377"/>
      <c r="I125" s="377"/>
      <c r="J125" s="377"/>
      <c r="K125" s="263"/>
      <c r="L125" s="377">
        <f>$L$6</f>
        <v>2035</v>
      </c>
      <c r="M125" s="377"/>
      <c r="N125" s="377"/>
      <c r="O125" s="377"/>
    </row>
    <row r="126" spans="1:15" s="236" customFormat="1" x14ac:dyDescent="0.2">
      <c r="A126" s="254"/>
      <c r="B126" s="268" t="str">
        <f>$B$7</f>
        <v>FT</v>
      </c>
      <c r="C126" s="268" t="str">
        <f>$C$7</f>
        <v>PT</v>
      </c>
      <c r="D126" s="268" t="str">
        <f>$D$7</f>
        <v>SE</v>
      </c>
      <c r="E126" s="268" t="str">
        <f>$E$7</f>
        <v>Total</v>
      </c>
      <c r="F126" s="268"/>
      <c r="G126" s="268" t="str">
        <f>$G$7</f>
        <v>FT</v>
      </c>
      <c r="H126" s="268" t="str">
        <f>$H$7</f>
        <v>PT</v>
      </c>
      <c r="I126" s="268" t="str">
        <f>$I$7</f>
        <v>SE</v>
      </c>
      <c r="J126" s="268" t="str">
        <f>$J$7</f>
        <v>Total</v>
      </c>
      <c r="K126" s="268"/>
      <c r="L126" s="268" t="str">
        <f>$L$7</f>
        <v>FT</v>
      </c>
      <c r="M126" s="268" t="str">
        <f>$M$7</f>
        <v>PT</v>
      </c>
      <c r="N126" s="268" t="str">
        <f>$N$7</f>
        <v>SE</v>
      </c>
      <c r="O126" s="268" t="str">
        <f>$O$7</f>
        <v>Total</v>
      </c>
    </row>
    <row r="127" spans="1:15" s="236" customFormat="1" x14ac:dyDescent="0.2">
      <c r="A127" s="258"/>
      <c r="B127" s="239"/>
      <c r="C127" s="239"/>
      <c r="D127" s="239"/>
      <c r="E127" s="239"/>
      <c r="F127" s="239"/>
      <c r="G127" s="239"/>
      <c r="H127" s="239"/>
      <c r="I127" s="239"/>
      <c r="J127" s="239"/>
      <c r="K127" s="239"/>
      <c r="L127" s="239"/>
      <c r="M127" s="239"/>
      <c r="N127" s="239"/>
      <c r="O127" s="239"/>
    </row>
    <row r="128" spans="1:15" s="236" customFormat="1" x14ac:dyDescent="0.2">
      <c r="A128" s="237" t="str">
        <f>name!E$4</f>
        <v>Managers, directors and senior officials</v>
      </c>
      <c r="B128" s="302">
        <v>0.24197397850636768</v>
      </c>
      <c r="C128" s="302">
        <v>2.1128269344924667E-2</v>
      </c>
      <c r="D128" s="302">
        <v>0</v>
      </c>
      <c r="E128" s="302">
        <f>SUM(B128:D128)</f>
        <v>0.26310224785129233</v>
      </c>
      <c r="F128" s="303"/>
      <c r="G128" s="302">
        <v>0.28570564278125243</v>
      </c>
      <c r="H128" s="302">
        <v>3.4982759449228032E-2</v>
      </c>
      <c r="I128" s="302">
        <v>8.4890021737872814E-2</v>
      </c>
      <c r="J128" s="302">
        <f>SUM(G128:I128)</f>
        <v>0.40557842396835325</v>
      </c>
      <c r="K128" s="303"/>
      <c r="L128" s="302">
        <v>0.28353812530043904</v>
      </c>
      <c r="M128" s="302">
        <v>3.607027607165874E-2</v>
      </c>
      <c r="N128" s="302">
        <v>8.2577687024192381E-2</v>
      </c>
      <c r="O128" s="302">
        <f>SUM(L128:N128)</f>
        <v>0.40218608839629016</v>
      </c>
    </row>
    <row r="129" spans="1:15" s="236" customFormat="1" x14ac:dyDescent="0.2">
      <c r="A129" s="237" t="str">
        <f>name!E$5</f>
        <v>Professional occupations</v>
      </c>
      <c r="B129" s="302">
        <v>0.27206361340785939</v>
      </c>
      <c r="C129" s="302">
        <v>3.348792826604554E-2</v>
      </c>
      <c r="D129" s="302">
        <v>0</v>
      </c>
      <c r="E129" s="302">
        <f t="shared" ref="E129:E136" si="63">SUM(B129:D129)</f>
        <v>0.30555154167390491</v>
      </c>
      <c r="F129" s="303"/>
      <c r="G129" s="302">
        <v>0.35459897161581316</v>
      </c>
      <c r="H129" s="302">
        <v>4.7590692386121264E-2</v>
      </c>
      <c r="I129" s="302">
        <v>6.3425418256113197E-2</v>
      </c>
      <c r="J129" s="302">
        <f t="shared" ref="J129:J131" si="64">SUM(G129:I129)</f>
        <v>0.46561508225804765</v>
      </c>
      <c r="K129" s="303"/>
      <c r="L129" s="302">
        <v>0.40979272307786352</v>
      </c>
      <c r="M129" s="302">
        <v>4.9607864678736208E-2</v>
      </c>
      <c r="N129" s="302">
        <v>5.9824761990138767E-2</v>
      </c>
      <c r="O129" s="302">
        <f t="shared" ref="O129:O136" si="65">SUM(L129:N129)</f>
        <v>0.51922534974673851</v>
      </c>
    </row>
    <row r="130" spans="1:15" s="236" customFormat="1" x14ac:dyDescent="0.2">
      <c r="A130" s="237" t="str">
        <f>name!E$6</f>
        <v>Associate professional occupations</v>
      </c>
      <c r="B130" s="302">
        <v>0.32226738449468051</v>
      </c>
      <c r="C130" s="302">
        <v>5.4981403734367232E-2</v>
      </c>
      <c r="D130" s="302">
        <v>0</v>
      </c>
      <c r="E130" s="302">
        <f t="shared" si="63"/>
        <v>0.37724878822904773</v>
      </c>
      <c r="F130" s="303"/>
      <c r="G130" s="302">
        <v>0.39021781693341517</v>
      </c>
      <c r="H130" s="302">
        <v>8.7654566183388002E-2</v>
      </c>
      <c r="I130" s="302">
        <v>2.3892277639343502E-2</v>
      </c>
      <c r="J130" s="302">
        <f t="shared" si="64"/>
        <v>0.50176466075614667</v>
      </c>
      <c r="K130" s="303"/>
      <c r="L130" s="302">
        <v>0.4480777984592238</v>
      </c>
      <c r="M130" s="302">
        <v>0.10129804849913526</v>
      </c>
      <c r="N130" s="302">
        <v>2.2672565600751676E-2</v>
      </c>
      <c r="O130" s="302">
        <f t="shared" si="65"/>
        <v>0.57204841255911076</v>
      </c>
    </row>
    <row r="131" spans="1:15" s="236" customFormat="1" x14ac:dyDescent="0.2">
      <c r="A131" s="237" t="str">
        <f>name!E$7</f>
        <v>Administrative and secretarial occupations</v>
      </c>
      <c r="B131" s="302">
        <v>0.18615101657116651</v>
      </c>
      <c r="C131" s="302">
        <v>6.0335687857219794E-2</v>
      </c>
      <c r="D131" s="302">
        <v>0</v>
      </c>
      <c r="E131" s="302">
        <f t="shared" si="63"/>
        <v>0.2464867044283863</v>
      </c>
      <c r="F131" s="303"/>
      <c r="G131" s="302">
        <v>0.19510877036523647</v>
      </c>
      <c r="H131" s="302">
        <v>6.2071026180026752E-2</v>
      </c>
      <c r="I131" s="302">
        <v>7.2660485211772097E-3</v>
      </c>
      <c r="J131" s="302">
        <f t="shared" si="64"/>
        <v>0.26444584506644042</v>
      </c>
      <c r="K131" s="303"/>
      <c r="L131" s="302">
        <v>0.18738783196691786</v>
      </c>
      <c r="M131" s="302">
        <v>6.0756086324962467E-2</v>
      </c>
      <c r="N131" s="302">
        <v>1.2008680271197104E-2</v>
      </c>
      <c r="O131" s="302">
        <f t="shared" si="65"/>
        <v>0.26015259856307743</v>
      </c>
    </row>
    <row r="132" spans="1:15" s="236" customFormat="1" x14ac:dyDescent="0.2">
      <c r="A132" s="237" t="str">
        <f>name!E$8</f>
        <v>Skilled trades occupations</v>
      </c>
      <c r="B132" s="302">
        <v>0.18779717598950546</v>
      </c>
      <c r="C132" s="302">
        <v>1.83512756434033E-2</v>
      </c>
      <c r="D132" s="302">
        <v>0</v>
      </c>
      <c r="E132" s="302">
        <f t="shared" si="63"/>
        <v>0.20614845163290876</v>
      </c>
      <c r="F132" s="303"/>
      <c r="G132" s="302">
        <v>0.16478983956721902</v>
      </c>
      <c r="H132" s="302">
        <v>8.729679740814374E-3</v>
      </c>
      <c r="I132" s="302">
        <v>0.13836161372093414</v>
      </c>
      <c r="J132" s="302">
        <f>SUM(G132:I132)</f>
        <v>0.31188113302896753</v>
      </c>
      <c r="K132" s="303"/>
      <c r="L132" s="302">
        <v>0.11924516881548779</v>
      </c>
      <c r="M132" s="302">
        <v>8.1589557059982849E-3</v>
      </c>
      <c r="N132" s="302">
        <v>0.11347231705335943</v>
      </c>
      <c r="O132" s="302">
        <f t="shared" si="65"/>
        <v>0.2408764415748455</v>
      </c>
    </row>
    <row r="133" spans="1:15" s="236" customFormat="1" x14ac:dyDescent="0.2">
      <c r="A133" s="237" t="str">
        <f>name!E$9</f>
        <v>Caring, leisure and other service occupations</v>
      </c>
      <c r="B133" s="302">
        <v>6.3913799335135565E-2</v>
      </c>
      <c r="C133" s="302">
        <v>4.279455388694367E-2</v>
      </c>
      <c r="D133" s="302">
        <v>0</v>
      </c>
      <c r="E133" s="302">
        <f t="shared" si="63"/>
        <v>0.10670835322207924</v>
      </c>
      <c r="F133" s="303"/>
      <c r="G133" s="302">
        <v>6.5572113395274648E-2</v>
      </c>
      <c r="H133" s="302">
        <v>4.8349293858677103E-2</v>
      </c>
      <c r="I133" s="302">
        <v>5.7298003341207625E-3</v>
      </c>
      <c r="J133" s="302">
        <f t="shared" ref="J133:J136" si="66">SUM(G133:I133)</f>
        <v>0.11965120758807252</v>
      </c>
      <c r="K133" s="303"/>
      <c r="L133" s="302">
        <v>7.9901547722252386E-2</v>
      </c>
      <c r="M133" s="302">
        <v>4.7706550004104842E-2</v>
      </c>
      <c r="N133" s="302">
        <v>6.5469711241797927E-3</v>
      </c>
      <c r="O133" s="302">
        <f t="shared" si="65"/>
        <v>0.13415506885053702</v>
      </c>
    </row>
    <row r="134" spans="1:15" s="236" customFormat="1" x14ac:dyDescent="0.2">
      <c r="A134" s="237" t="str">
        <f>name!E$10</f>
        <v>Sales and customer service occupations</v>
      </c>
      <c r="B134" s="302">
        <v>5.5180590592555916E-2</v>
      </c>
      <c r="C134" s="302">
        <v>2.3800100446490304E-2</v>
      </c>
      <c r="D134" s="302">
        <v>0</v>
      </c>
      <c r="E134" s="302">
        <f t="shared" si="63"/>
        <v>7.8980691039046216E-2</v>
      </c>
      <c r="F134" s="303"/>
      <c r="G134" s="302">
        <v>5.6434803889627516E-2</v>
      </c>
      <c r="H134" s="302">
        <v>2.203317487193035E-2</v>
      </c>
      <c r="I134" s="302">
        <v>1.6088503363652997E-2</v>
      </c>
      <c r="J134" s="302">
        <f t="shared" si="66"/>
        <v>9.4556482125210867E-2</v>
      </c>
      <c r="K134" s="303"/>
      <c r="L134" s="302">
        <v>5.8571115893923817E-2</v>
      </c>
      <c r="M134" s="302">
        <v>2.2919045904855117E-2</v>
      </c>
      <c r="N134" s="302">
        <v>1.27760759268546E-2</v>
      </c>
      <c r="O134" s="302">
        <f t="shared" si="65"/>
        <v>9.4266237725633542E-2</v>
      </c>
    </row>
    <row r="135" spans="1:15" s="236" customFormat="1" x14ac:dyDescent="0.2">
      <c r="A135" s="237" t="str">
        <f>name!E$11</f>
        <v>Process, plant and machine operatives</v>
      </c>
      <c r="B135" s="302">
        <v>0.66249445929212925</v>
      </c>
      <c r="C135" s="302">
        <v>3.2944425381954197E-2</v>
      </c>
      <c r="D135" s="302">
        <v>0</v>
      </c>
      <c r="E135" s="302">
        <f t="shared" si="63"/>
        <v>0.69543888467408344</v>
      </c>
      <c r="F135" s="303"/>
      <c r="G135" s="302">
        <v>0.64946618642463727</v>
      </c>
      <c r="H135" s="302">
        <v>1.5809835095708154E-2</v>
      </c>
      <c r="I135" s="302">
        <v>4.6709962454475291E-2</v>
      </c>
      <c r="J135" s="302">
        <f t="shared" si="66"/>
        <v>0.71198598397482071</v>
      </c>
      <c r="K135" s="303"/>
      <c r="L135" s="302">
        <v>0.65261936640105644</v>
      </c>
      <c r="M135" s="302">
        <v>1.7367843613765442E-2</v>
      </c>
      <c r="N135" s="302">
        <v>4.093078478418815E-2</v>
      </c>
      <c r="O135" s="302">
        <f t="shared" si="65"/>
        <v>0.71091799479900997</v>
      </c>
    </row>
    <row r="136" spans="1:15" s="236" customFormat="1" x14ac:dyDescent="0.2">
      <c r="A136" s="237" t="str">
        <f>name!E$12</f>
        <v>Elementary occupations</v>
      </c>
      <c r="B136" s="302">
        <v>0.49223087124498754</v>
      </c>
      <c r="C136" s="302">
        <v>6.9103466004262815E-2</v>
      </c>
      <c r="D136" s="302">
        <v>0</v>
      </c>
      <c r="E136" s="302">
        <f t="shared" si="63"/>
        <v>0.5613343372492503</v>
      </c>
      <c r="F136" s="303"/>
      <c r="G136" s="302">
        <v>0.55391940988181976</v>
      </c>
      <c r="H136" s="302">
        <v>7.583092371276888E-2</v>
      </c>
      <c r="I136" s="302">
        <v>3.6770847639356265E-2</v>
      </c>
      <c r="J136" s="302">
        <f t="shared" si="66"/>
        <v>0.66652118123394488</v>
      </c>
      <c r="K136" s="303"/>
      <c r="L136" s="302">
        <v>0.54956688733213988</v>
      </c>
      <c r="M136" s="302">
        <v>7.961815405822073E-2</v>
      </c>
      <c r="N136" s="302">
        <v>3.6986766394394993E-2</v>
      </c>
      <c r="O136" s="302">
        <f t="shared" si="65"/>
        <v>0.6661718077847556</v>
      </c>
    </row>
    <row r="137" spans="1:15" s="236" customFormat="1" x14ac:dyDescent="0.2">
      <c r="A137" s="237"/>
      <c r="B137" s="302"/>
      <c r="C137" s="302"/>
      <c r="D137" s="302"/>
      <c r="E137" s="302"/>
      <c r="F137" s="303"/>
      <c r="G137" s="302"/>
      <c r="H137" s="302"/>
      <c r="I137" s="302"/>
      <c r="J137" s="302"/>
      <c r="K137" s="303"/>
      <c r="L137" s="302"/>
      <c r="M137" s="302"/>
      <c r="N137" s="302"/>
      <c r="O137" s="302"/>
    </row>
    <row r="138" spans="1:15" s="236" customFormat="1" x14ac:dyDescent="0.2">
      <c r="A138" s="244" t="s">
        <v>33</v>
      </c>
      <c r="B138" s="311">
        <f>SUM(B128:B136)</f>
        <v>2.4840728894343878</v>
      </c>
      <c r="C138" s="311">
        <f t="shared" ref="C138:E138" si="67">SUM(C128:C136)</f>
        <v>0.35692711056561149</v>
      </c>
      <c r="D138" s="311">
        <f t="shared" si="67"/>
        <v>0</v>
      </c>
      <c r="E138" s="311">
        <f t="shared" si="67"/>
        <v>2.8409999999999993</v>
      </c>
      <c r="F138" s="311"/>
      <c r="G138" s="311">
        <f t="shared" ref="G138:J138" si="68">SUM(G128:G136)</f>
        <v>2.7158135548542957</v>
      </c>
      <c r="H138" s="311">
        <f t="shared" si="68"/>
        <v>0.40305195147866291</v>
      </c>
      <c r="I138" s="311">
        <f t="shared" si="68"/>
        <v>0.42313449366704614</v>
      </c>
      <c r="J138" s="311">
        <f t="shared" si="68"/>
        <v>3.5420000000000043</v>
      </c>
      <c r="K138" s="311"/>
      <c r="L138" s="311">
        <f t="shared" ref="L138:O138" si="69">SUM(L128:L136)</f>
        <v>2.7887005649693046</v>
      </c>
      <c r="M138" s="311">
        <f t="shared" si="69"/>
        <v>0.42350282486143709</v>
      </c>
      <c r="N138" s="311">
        <f t="shared" si="69"/>
        <v>0.38779661016925693</v>
      </c>
      <c r="O138" s="311">
        <f t="shared" si="69"/>
        <v>3.5999999999999988</v>
      </c>
    </row>
    <row r="139" spans="1:15" s="236" customFormat="1" x14ac:dyDescent="0.2">
      <c r="A139" s="237"/>
      <c r="B139" s="237"/>
      <c r="C139" s="237"/>
      <c r="D139" s="237"/>
      <c r="E139" s="237"/>
      <c r="F139" s="237"/>
      <c r="G139" s="237"/>
      <c r="H139" s="237"/>
      <c r="I139" s="237"/>
      <c r="J139" s="237"/>
      <c r="K139" s="237"/>
      <c r="L139" s="237"/>
      <c r="M139" s="237"/>
      <c r="N139" s="240"/>
    </row>
    <row r="140" spans="1:15" s="236" customFormat="1" x14ac:dyDescent="0.2">
      <c r="A140" s="237"/>
      <c r="B140" s="237"/>
      <c r="C140" s="237"/>
      <c r="D140" s="237"/>
      <c r="E140" s="237"/>
      <c r="F140" s="237"/>
      <c r="G140" s="237"/>
      <c r="H140" s="237"/>
      <c r="I140" s="237"/>
      <c r="J140" s="237"/>
      <c r="K140" s="237"/>
      <c r="L140" s="237"/>
      <c r="M140" s="237"/>
      <c r="N140" s="240"/>
      <c r="O140" s="251" t="s">
        <v>36</v>
      </c>
    </row>
    <row r="141" spans="1:15" s="236" customFormat="1" x14ac:dyDescent="0.2">
      <c r="A141" s="242"/>
      <c r="B141" s="242"/>
      <c r="C141" s="242"/>
      <c r="D141" s="242"/>
      <c r="E141" s="242"/>
      <c r="F141" s="242"/>
      <c r="G141" s="242"/>
      <c r="H141" s="242"/>
      <c r="I141" s="242"/>
      <c r="J141" s="242"/>
      <c r="K141" s="242"/>
      <c r="L141" s="242"/>
      <c r="M141" s="242"/>
      <c r="N141" s="242"/>
      <c r="O141" s="242"/>
    </row>
    <row r="142" spans="1:15" s="236" customFormat="1" x14ac:dyDescent="0.2">
      <c r="A142" s="241" t="str">
        <f>name!B11</f>
        <v>Construction</v>
      </c>
      <c r="B142" s="377">
        <f>$B$6</f>
        <v>2015</v>
      </c>
      <c r="C142" s="377"/>
      <c r="D142" s="377"/>
      <c r="E142" s="377"/>
      <c r="F142" s="263"/>
      <c r="G142" s="377">
        <f>$G$6</f>
        <v>2020</v>
      </c>
      <c r="H142" s="377"/>
      <c r="I142" s="377"/>
      <c r="J142" s="377"/>
      <c r="K142" s="263"/>
      <c r="L142" s="377">
        <f>$L$6</f>
        <v>2035</v>
      </c>
      <c r="M142" s="377"/>
      <c r="N142" s="377"/>
      <c r="O142" s="377"/>
    </row>
    <row r="143" spans="1:15" s="236" customFormat="1" x14ac:dyDescent="0.2">
      <c r="A143" s="254"/>
      <c r="B143" s="268" t="str">
        <f>$B$7</f>
        <v>FT</v>
      </c>
      <c r="C143" s="268" t="str">
        <f>$C$7</f>
        <v>PT</v>
      </c>
      <c r="D143" s="268" t="str">
        <f>$D$7</f>
        <v>SE</v>
      </c>
      <c r="E143" s="268" t="str">
        <f>$E$7</f>
        <v>Total</v>
      </c>
      <c r="F143" s="268"/>
      <c r="G143" s="268" t="str">
        <f>$G$7</f>
        <v>FT</v>
      </c>
      <c r="H143" s="268" t="str">
        <f>$H$7</f>
        <v>PT</v>
      </c>
      <c r="I143" s="268" t="str">
        <f>$I$7</f>
        <v>SE</v>
      </c>
      <c r="J143" s="268" t="str">
        <f>$J$7</f>
        <v>Total</v>
      </c>
      <c r="K143" s="268"/>
      <c r="L143" s="268" t="str">
        <f>$L$7</f>
        <v>FT</v>
      </c>
      <c r="M143" s="268" t="str">
        <f>$M$7</f>
        <v>PT</v>
      </c>
      <c r="N143" s="268" t="str">
        <f>$N$7</f>
        <v>SE</v>
      </c>
      <c r="O143" s="268" t="str">
        <f>$O$7</f>
        <v>Total</v>
      </c>
    </row>
    <row r="144" spans="1:15" s="236" customFormat="1" x14ac:dyDescent="0.2">
      <c r="A144" s="258"/>
      <c r="B144" s="239"/>
      <c r="C144" s="239"/>
      <c r="D144" s="239"/>
      <c r="E144" s="239"/>
      <c r="F144" s="239"/>
      <c r="G144" s="239"/>
      <c r="H144" s="239"/>
      <c r="I144" s="239"/>
      <c r="J144" s="239"/>
      <c r="K144" s="239"/>
      <c r="L144" s="239"/>
      <c r="M144" s="239"/>
      <c r="N144" s="239"/>
      <c r="O144" s="239"/>
    </row>
    <row r="145" spans="1:15" s="236" customFormat="1" x14ac:dyDescent="0.2">
      <c r="A145" s="237" t="str">
        <f>name!E$4</f>
        <v>Managers, directors and senior officials</v>
      </c>
      <c r="B145" s="302">
        <v>1.4166619956827764</v>
      </c>
      <c r="C145" s="302">
        <v>0.11666320563322488</v>
      </c>
      <c r="D145" s="302">
        <v>0.35041161273439597</v>
      </c>
      <c r="E145" s="302">
        <f>SUM(B145:D145)</f>
        <v>1.8837368140503972</v>
      </c>
      <c r="F145" s="303"/>
      <c r="G145" s="302">
        <v>1.7602799110801206</v>
      </c>
      <c r="H145" s="302">
        <v>0.25300323339883252</v>
      </c>
      <c r="I145" s="302">
        <v>0.59514930832592849</v>
      </c>
      <c r="J145" s="302">
        <f>SUM(G145:I145)</f>
        <v>2.6084324528048817</v>
      </c>
      <c r="K145" s="303"/>
      <c r="L145" s="302">
        <v>1.8358196226544321</v>
      </c>
      <c r="M145" s="302">
        <v>0.27062550652808026</v>
      </c>
      <c r="N145" s="302">
        <v>0.59486927293042569</v>
      </c>
      <c r="O145" s="302">
        <f>SUM(L145:N145)</f>
        <v>2.7013144021129385</v>
      </c>
    </row>
    <row r="146" spans="1:15" s="236" customFormat="1" x14ac:dyDescent="0.2">
      <c r="A146" s="237" t="str">
        <f>name!E$5</f>
        <v>Professional occupations</v>
      </c>
      <c r="B146" s="302">
        <v>1.5551275132916549</v>
      </c>
      <c r="C146" s="302">
        <v>7.0444623164222564E-2</v>
      </c>
      <c r="D146" s="302">
        <v>0.13845919153255942</v>
      </c>
      <c r="E146" s="302">
        <f t="shared" ref="E146:E153" si="70">SUM(B146:D146)</f>
        <v>1.764031327988437</v>
      </c>
      <c r="F146" s="303"/>
      <c r="G146" s="302">
        <v>2.1811415574681816</v>
      </c>
      <c r="H146" s="302">
        <v>0.13661782789241772</v>
      </c>
      <c r="I146" s="302">
        <v>0.22358900399135154</v>
      </c>
      <c r="J146" s="302">
        <f t="shared" ref="J146:J148" si="71">SUM(G146:I146)</f>
        <v>2.5413483893519508</v>
      </c>
      <c r="K146" s="303"/>
      <c r="L146" s="302">
        <v>2.5902552014925968</v>
      </c>
      <c r="M146" s="302">
        <v>0.15024226780870328</v>
      </c>
      <c r="N146" s="302">
        <v>0.17030954250415425</v>
      </c>
      <c r="O146" s="302">
        <f t="shared" ref="O146:O153" si="72">SUM(L146:N146)</f>
        <v>2.9108070118054541</v>
      </c>
    </row>
    <row r="147" spans="1:15" s="236" customFormat="1" x14ac:dyDescent="0.2">
      <c r="A147" s="237" t="str">
        <f>name!E$6</f>
        <v>Associate professional occupations</v>
      </c>
      <c r="B147" s="302">
        <v>1.1300202212198867</v>
      </c>
      <c r="C147" s="302">
        <v>0.11060217814792682</v>
      </c>
      <c r="D147" s="302">
        <v>8.827633124154001E-2</v>
      </c>
      <c r="E147" s="302">
        <f t="shared" si="70"/>
        <v>1.3288987306093534</v>
      </c>
      <c r="F147" s="303"/>
      <c r="G147" s="302">
        <v>1.4748743819326129</v>
      </c>
      <c r="H147" s="302">
        <v>0.18803969168299864</v>
      </c>
      <c r="I147" s="302">
        <v>0.10594540753237806</v>
      </c>
      <c r="J147" s="302">
        <f t="shared" si="71"/>
        <v>1.7688594811479896</v>
      </c>
      <c r="K147" s="303"/>
      <c r="L147" s="302">
        <v>1.420896420586806</v>
      </c>
      <c r="M147" s="302">
        <v>0.17582016861672517</v>
      </c>
      <c r="N147" s="302">
        <v>9.6832667982765006E-2</v>
      </c>
      <c r="O147" s="302">
        <f t="shared" si="72"/>
        <v>1.693549257186296</v>
      </c>
    </row>
    <row r="148" spans="1:15" s="236" customFormat="1" x14ac:dyDescent="0.2">
      <c r="A148" s="237" t="str">
        <f>name!E$7</f>
        <v>Administrative and secretarial occupations</v>
      </c>
      <c r="B148" s="302">
        <v>1.2430946921409574</v>
      </c>
      <c r="C148" s="302">
        <v>0.5500249602839542</v>
      </c>
      <c r="D148" s="302">
        <v>0.29650905805118716</v>
      </c>
      <c r="E148" s="302">
        <f t="shared" si="70"/>
        <v>2.0896287104760987</v>
      </c>
      <c r="F148" s="303"/>
      <c r="G148" s="302">
        <v>1.2051982926814429</v>
      </c>
      <c r="H148" s="302">
        <v>0.69784794716811849</v>
      </c>
      <c r="I148" s="302">
        <v>0.10704936437784635</v>
      </c>
      <c r="J148" s="302">
        <f t="shared" si="71"/>
        <v>2.0100956042274079</v>
      </c>
      <c r="K148" s="303"/>
      <c r="L148" s="302">
        <v>0.8549548964462006</v>
      </c>
      <c r="M148" s="302">
        <v>0.66937037331914273</v>
      </c>
      <c r="N148" s="302">
        <v>7.9182530657384426E-2</v>
      </c>
      <c r="O148" s="302">
        <f t="shared" si="72"/>
        <v>1.6035078004227277</v>
      </c>
    </row>
    <row r="149" spans="1:15" s="236" customFormat="1" x14ac:dyDescent="0.2">
      <c r="A149" s="237" t="str">
        <f>name!E$8</f>
        <v>Skilled trades occupations</v>
      </c>
      <c r="B149" s="302">
        <v>11.310279856799259</v>
      </c>
      <c r="C149" s="302">
        <v>0.324654744467328</v>
      </c>
      <c r="D149" s="302">
        <v>5.9319773142212355</v>
      </c>
      <c r="E149" s="302">
        <f t="shared" si="70"/>
        <v>17.566911915487822</v>
      </c>
      <c r="F149" s="303"/>
      <c r="G149" s="302">
        <v>9.9089729597315497</v>
      </c>
      <c r="H149" s="302">
        <v>0.29143411708381045</v>
      </c>
      <c r="I149" s="302">
        <v>7.2460000826203492</v>
      </c>
      <c r="J149" s="302">
        <f>SUM(G149:I149)</f>
        <v>17.446407159435708</v>
      </c>
      <c r="K149" s="303"/>
      <c r="L149" s="302">
        <v>8.7003654696171608</v>
      </c>
      <c r="M149" s="302">
        <v>0.41981426539752548</v>
      </c>
      <c r="N149" s="302">
        <v>7.0335740215466416</v>
      </c>
      <c r="O149" s="302">
        <f t="shared" si="72"/>
        <v>16.153753756561329</v>
      </c>
    </row>
    <row r="150" spans="1:15" s="236" customFormat="1" x14ac:dyDescent="0.2">
      <c r="A150" s="237" t="str">
        <f>name!E$9</f>
        <v>Caring, leisure and other service occupations</v>
      </c>
      <c r="B150" s="302">
        <v>4.0538123445354929E-2</v>
      </c>
      <c r="C150" s="302">
        <v>1.183210081477833E-2</v>
      </c>
      <c r="D150" s="302">
        <v>6.980856187507779E-3</v>
      </c>
      <c r="E150" s="302">
        <f t="shared" si="70"/>
        <v>5.9351080447641036E-2</v>
      </c>
      <c r="F150" s="303"/>
      <c r="G150" s="302">
        <v>4.5670053131803841E-2</v>
      </c>
      <c r="H150" s="302">
        <v>1.635676888244194E-2</v>
      </c>
      <c r="I150" s="302">
        <v>4.6016819263105507E-3</v>
      </c>
      <c r="J150" s="302">
        <f t="shared" ref="J150:J153" si="73">SUM(G150:I150)</f>
        <v>6.6628503940556333E-2</v>
      </c>
      <c r="K150" s="303"/>
      <c r="L150" s="302">
        <v>4.3679699126987076E-2</v>
      </c>
      <c r="M150" s="302">
        <v>1.2532451197066304E-2</v>
      </c>
      <c r="N150" s="302">
        <v>7.947132092589182E-3</v>
      </c>
      <c r="O150" s="302">
        <f t="shared" si="72"/>
        <v>6.4159282416642566E-2</v>
      </c>
    </row>
    <row r="151" spans="1:15" s="236" customFormat="1" x14ac:dyDescent="0.2">
      <c r="A151" s="237" t="str">
        <f>name!E$10</f>
        <v>Sales and customer service occupations</v>
      </c>
      <c r="B151" s="302">
        <v>0.3170783546084241</v>
      </c>
      <c r="C151" s="302">
        <v>0.16880469621335353</v>
      </c>
      <c r="D151" s="302">
        <v>4.2996756317485105E-2</v>
      </c>
      <c r="E151" s="302">
        <f t="shared" si="70"/>
        <v>0.52887980713926275</v>
      </c>
      <c r="F151" s="303"/>
      <c r="G151" s="302">
        <v>0.31203693643908209</v>
      </c>
      <c r="H151" s="302">
        <v>0.22005738808629652</v>
      </c>
      <c r="I151" s="302">
        <v>3.2427439636417643E-2</v>
      </c>
      <c r="J151" s="302">
        <f t="shared" si="73"/>
        <v>0.56452176416179634</v>
      </c>
      <c r="K151" s="303"/>
      <c r="L151" s="302">
        <v>0.32737466115321129</v>
      </c>
      <c r="M151" s="302">
        <v>0.21596932241110822</v>
      </c>
      <c r="N151" s="302">
        <v>3.4963627582712292E-2</v>
      </c>
      <c r="O151" s="302">
        <f t="shared" si="72"/>
        <v>0.57830761114703177</v>
      </c>
    </row>
    <row r="152" spans="1:15" s="236" customFormat="1" x14ac:dyDescent="0.2">
      <c r="A152" s="237" t="str">
        <f>name!E$11</f>
        <v>Process, plant and machine operatives</v>
      </c>
      <c r="B152" s="302">
        <v>1.80163170446679</v>
      </c>
      <c r="C152" s="302">
        <v>5.9526308699495482E-2</v>
      </c>
      <c r="D152" s="302">
        <v>0.30389639989648926</v>
      </c>
      <c r="E152" s="302">
        <f t="shared" si="70"/>
        <v>2.1650544130627747</v>
      </c>
      <c r="F152" s="303"/>
      <c r="G152" s="302">
        <v>1.5920046674319515</v>
      </c>
      <c r="H152" s="302">
        <v>9.1783617825730093E-2</v>
      </c>
      <c r="I152" s="302">
        <v>0.52807720494832244</v>
      </c>
      <c r="J152" s="302">
        <f t="shared" si="73"/>
        <v>2.2118654902060042</v>
      </c>
      <c r="K152" s="303"/>
      <c r="L152" s="302">
        <v>1.6723451636111837</v>
      </c>
      <c r="M152" s="302">
        <v>0.1003655571784066</v>
      </c>
      <c r="N152" s="302">
        <v>0.71016951868308598</v>
      </c>
      <c r="O152" s="302">
        <f t="shared" si="72"/>
        <v>2.4828802394726761</v>
      </c>
    </row>
    <row r="153" spans="1:15" s="236" customFormat="1" x14ac:dyDescent="0.2">
      <c r="A153" s="237" t="str">
        <f>name!E$12</f>
        <v>Elementary occupations</v>
      </c>
      <c r="B153" s="302">
        <v>0.79974026318660163</v>
      </c>
      <c r="C153" s="302">
        <v>0.22163971592562318</v>
      </c>
      <c r="D153" s="302">
        <v>0.34112722162597858</v>
      </c>
      <c r="E153" s="302">
        <f t="shared" si="70"/>
        <v>1.3625072007382035</v>
      </c>
      <c r="F153" s="303"/>
      <c r="G153" s="302">
        <v>0.68540261212662634</v>
      </c>
      <c r="H153" s="302">
        <v>0.24459843408866874</v>
      </c>
      <c r="I153" s="302">
        <v>0.46684010850841501</v>
      </c>
      <c r="J153" s="302">
        <f t="shared" si="73"/>
        <v>1.3968411547237101</v>
      </c>
      <c r="K153" s="303"/>
      <c r="L153" s="302">
        <v>0.46757176982225002</v>
      </c>
      <c r="M153" s="302">
        <v>0.15128631020732439</v>
      </c>
      <c r="N153" s="302">
        <v>0.60286255884534845</v>
      </c>
      <c r="O153" s="302">
        <f t="shared" si="72"/>
        <v>1.2217206388749229</v>
      </c>
    </row>
    <row r="154" spans="1:15" s="236" customFormat="1" x14ac:dyDescent="0.2">
      <c r="A154" s="237"/>
      <c r="B154" s="302"/>
      <c r="C154" s="302"/>
      <c r="D154" s="302"/>
      <c r="E154" s="302"/>
      <c r="F154" s="303"/>
      <c r="G154" s="302"/>
      <c r="H154" s="302"/>
      <c r="I154" s="302"/>
      <c r="J154" s="302"/>
      <c r="K154" s="303"/>
      <c r="L154" s="302"/>
      <c r="M154" s="302"/>
      <c r="N154" s="302"/>
      <c r="O154" s="302"/>
    </row>
    <row r="155" spans="1:15" s="236" customFormat="1" x14ac:dyDescent="0.2">
      <c r="A155" s="244" t="s">
        <v>33</v>
      </c>
      <c r="B155" s="311">
        <f>SUM(B145:B153)</f>
        <v>19.614172724841705</v>
      </c>
      <c r="C155" s="311">
        <f t="shared" ref="C155:E155" si="74">SUM(C145:C153)</f>
        <v>1.634192533349907</v>
      </c>
      <c r="D155" s="311">
        <f t="shared" si="74"/>
        <v>7.5006347418083781</v>
      </c>
      <c r="E155" s="311">
        <f t="shared" si="74"/>
        <v>28.748999999999992</v>
      </c>
      <c r="F155" s="311"/>
      <c r="G155" s="311">
        <f t="shared" ref="G155:J155" si="75">SUM(G145:G153)</f>
        <v>19.165581372023372</v>
      </c>
      <c r="H155" s="311">
        <f t="shared" si="75"/>
        <v>2.1397390261093152</v>
      </c>
      <c r="I155" s="311">
        <f t="shared" si="75"/>
        <v>9.3096796018673196</v>
      </c>
      <c r="J155" s="311">
        <f t="shared" si="75"/>
        <v>30.615000000000006</v>
      </c>
      <c r="K155" s="311"/>
      <c r="L155" s="311">
        <f t="shared" ref="L155:O155" si="76">SUM(L145:L153)</f>
        <v>17.913262904510827</v>
      </c>
      <c r="M155" s="311">
        <f t="shared" si="76"/>
        <v>2.1660262226640827</v>
      </c>
      <c r="N155" s="311">
        <f t="shared" si="76"/>
        <v>9.3307108728251063</v>
      </c>
      <c r="O155" s="311">
        <f t="shared" si="76"/>
        <v>29.410000000000021</v>
      </c>
    </row>
    <row r="156" spans="1:15" s="236" customFormat="1" x14ac:dyDescent="0.2">
      <c r="A156" s="237"/>
      <c r="B156" s="237"/>
      <c r="C156" s="237"/>
      <c r="D156" s="237"/>
      <c r="E156" s="237"/>
      <c r="F156" s="237"/>
      <c r="G156" s="237"/>
      <c r="H156" s="237"/>
      <c r="I156" s="237"/>
      <c r="J156" s="237"/>
      <c r="K156" s="237"/>
      <c r="L156" s="237"/>
      <c r="M156" s="237"/>
      <c r="N156" s="240"/>
    </row>
    <row r="157" spans="1:15" s="236" customFormat="1" x14ac:dyDescent="0.2">
      <c r="A157" s="237"/>
      <c r="B157" s="237"/>
      <c r="C157" s="237"/>
      <c r="D157" s="237"/>
      <c r="E157" s="237"/>
      <c r="F157" s="237"/>
      <c r="G157" s="237"/>
      <c r="H157" s="237"/>
      <c r="I157" s="237"/>
      <c r="J157" s="237"/>
      <c r="K157" s="237"/>
      <c r="L157" s="237"/>
      <c r="M157" s="237"/>
      <c r="N157" s="240"/>
      <c r="O157" s="251" t="s">
        <v>36</v>
      </c>
    </row>
    <row r="158" spans="1:15" s="236" customFormat="1" x14ac:dyDescent="0.2">
      <c r="A158" s="242"/>
      <c r="B158" s="242"/>
      <c r="C158" s="242"/>
      <c r="D158" s="242"/>
      <c r="E158" s="242"/>
      <c r="F158" s="242"/>
      <c r="G158" s="242"/>
      <c r="H158" s="242"/>
      <c r="I158" s="242"/>
      <c r="J158" s="242"/>
      <c r="K158" s="242"/>
      <c r="L158" s="242"/>
      <c r="M158" s="242"/>
      <c r="N158" s="242"/>
      <c r="O158" s="242"/>
    </row>
    <row r="159" spans="1:15" s="236" customFormat="1" x14ac:dyDescent="0.2">
      <c r="A159" s="241" t="str">
        <f>name!B12</f>
        <v>Wholesale and retail trade</v>
      </c>
      <c r="B159" s="377">
        <f>$B$6</f>
        <v>2015</v>
      </c>
      <c r="C159" s="377"/>
      <c r="D159" s="377"/>
      <c r="E159" s="377"/>
      <c r="F159" s="263"/>
      <c r="G159" s="377">
        <f>$G$6</f>
        <v>2020</v>
      </c>
      <c r="H159" s="377"/>
      <c r="I159" s="377"/>
      <c r="J159" s="377"/>
      <c r="K159" s="263"/>
      <c r="L159" s="377">
        <f>$L$6</f>
        <v>2035</v>
      </c>
      <c r="M159" s="377"/>
      <c r="N159" s="377"/>
      <c r="O159" s="377"/>
    </row>
    <row r="160" spans="1:15" s="236" customFormat="1" x14ac:dyDescent="0.2">
      <c r="A160" s="254"/>
      <c r="B160" s="268" t="str">
        <f>$B$7</f>
        <v>FT</v>
      </c>
      <c r="C160" s="268" t="str">
        <f>$C$7</f>
        <v>PT</v>
      </c>
      <c r="D160" s="268" t="str">
        <f>$D$7</f>
        <v>SE</v>
      </c>
      <c r="E160" s="268" t="str">
        <f>$E$7</f>
        <v>Total</v>
      </c>
      <c r="F160" s="268"/>
      <c r="G160" s="268" t="str">
        <f>$G$7</f>
        <v>FT</v>
      </c>
      <c r="H160" s="268" t="str">
        <f>$H$7</f>
        <v>PT</v>
      </c>
      <c r="I160" s="268" t="str">
        <f>$I$7</f>
        <v>SE</v>
      </c>
      <c r="J160" s="268" t="str">
        <f>$J$7</f>
        <v>Total</v>
      </c>
      <c r="K160" s="268"/>
      <c r="L160" s="268" t="str">
        <f>$L$7</f>
        <v>FT</v>
      </c>
      <c r="M160" s="268" t="str">
        <f>$M$7</f>
        <v>PT</v>
      </c>
      <c r="N160" s="268" t="str">
        <f>$N$7</f>
        <v>SE</v>
      </c>
      <c r="O160" s="268" t="str">
        <f>$O$7</f>
        <v>Total</v>
      </c>
    </row>
    <row r="161" spans="1:15" s="236" customFormat="1" x14ac:dyDescent="0.2">
      <c r="A161" s="258"/>
      <c r="B161" s="239"/>
      <c r="C161" s="239"/>
      <c r="D161" s="239"/>
      <c r="E161" s="239"/>
      <c r="F161" s="239"/>
      <c r="G161" s="239"/>
      <c r="H161" s="239"/>
      <c r="I161" s="239"/>
      <c r="J161" s="239"/>
      <c r="K161" s="239"/>
      <c r="L161" s="239"/>
      <c r="M161" s="239"/>
      <c r="N161" s="239"/>
      <c r="O161" s="239"/>
    </row>
    <row r="162" spans="1:15" s="236" customFormat="1" x14ac:dyDescent="0.2">
      <c r="A162" s="237" t="str">
        <f>name!E$4</f>
        <v>Managers, directors and senior officials</v>
      </c>
      <c r="B162" s="302">
        <v>3.9837908324969886</v>
      </c>
      <c r="C162" s="302">
        <v>0.31691970304598227</v>
      </c>
      <c r="D162" s="302">
        <v>2.740120537704573</v>
      </c>
      <c r="E162" s="302">
        <f>SUM(B162:D162)</f>
        <v>7.0408310732475439</v>
      </c>
      <c r="F162" s="303"/>
      <c r="G162" s="302">
        <v>5.4344542367673538</v>
      </c>
      <c r="H162" s="302">
        <v>0.46732435542588396</v>
      </c>
      <c r="I162" s="302">
        <v>2.0348081619413381</v>
      </c>
      <c r="J162" s="302">
        <f>SUM(G162:I162)</f>
        <v>7.9365867541345754</v>
      </c>
      <c r="K162" s="303"/>
      <c r="L162" s="302">
        <v>6.6419613904520327</v>
      </c>
      <c r="M162" s="302">
        <v>0.52251872090276941</v>
      </c>
      <c r="N162" s="302">
        <v>2.1377873481271061</v>
      </c>
      <c r="O162" s="302">
        <f>SUM(L162:N162)</f>
        <v>9.3022674594819073</v>
      </c>
    </row>
    <row r="163" spans="1:15" s="236" customFormat="1" x14ac:dyDescent="0.2">
      <c r="A163" s="237" t="str">
        <f>name!E$5</f>
        <v>Professional occupations</v>
      </c>
      <c r="B163" s="302">
        <v>2.755659600869135</v>
      </c>
      <c r="C163" s="302">
        <v>0.49783096407930527</v>
      </c>
      <c r="D163" s="302">
        <v>0.53739152278850255</v>
      </c>
      <c r="E163" s="302">
        <f t="shared" ref="E163:E170" si="77">SUM(B163:D163)</f>
        <v>3.7908820877369429</v>
      </c>
      <c r="F163" s="303"/>
      <c r="G163" s="302">
        <v>4.268301888997744</v>
      </c>
      <c r="H163" s="302">
        <v>0.69292097611558057</v>
      </c>
      <c r="I163" s="302">
        <v>0.39310952226175266</v>
      </c>
      <c r="J163" s="302">
        <f t="shared" ref="J163:J165" si="78">SUM(G163:I163)</f>
        <v>5.3543323873750772</v>
      </c>
      <c r="K163" s="303"/>
      <c r="L163" s="302">
        <v>5.7682204848810601</v>
      </c>
      <c r="M163" s="302">
        <v>0.71624174601525792</v>
      </c>
      <c r="N163" s="302">
        <v>0.24015748008769094</v>
      </c>
      <c r="O163" s="302">
        <f t="shared" ref="O163:O170" si="79">SUM(L163:N163)</f>
        <v>6.7246197109840091</v>
      </c>
    </row>
    <row r="164" spans="1:15" s="236" customFormat="1" x14ac:dyDescent="0.2">
      <c r="A164" s="237" t="str">
        <f>name!E$6</f>
        <v>Associate professional occupations</v>
      </c>
      <c r="B164" s="302">
        <v>2.4650151634976329</v>
      </c>
      <c r="C164" s="302">
        <v>0.83863400457305015</v>
      </c>
      <c r="D164" s="302">
        <v>0.35143685385339912</v>
      </c>
      <c r="E164" s="302">
        <f t="shared" si="77"/>
        <v>3.6550860219240824</v>
      </c>
      <c r="F164" s="303"/>
      <c r="G164" s="302">
        <v>3.299529078887204</v>
      </c>
      <c r="H164" s="302">
        <v>0.94442888120845281</v>
      </c>
      <c r="I164" s="302">
        <v>0.22575327385972954</v>
      </c>
      <c r="J164" s="302">
        <f t="shared" si="78"/>
        <v>4.4697112339553868</v>
      </c>
      <c r="K164" s="303"/>
      <c r="L164" s="302">
        <v>3.7134473125279506</v>
      </c>
      <c r="M164" s="302">
        <v>0.85127315575787721</v>
      </c>
      <c r="N164" s="302">
        <v>0.15417919491421503</v>
      </c>
      <c r="O164" s="302">
        <f t="shared" si="79"/>
        <v>4.7188996632000419</v>
      </c>
    </row>
    <row r="165" spans="1:15" s="236" customFormat="1" x14ac:dyDescent="0.2">
      <c r="A165" s="237" t="str">
        <f>name!E$7</f>
        <v>Administrative and secretarial occupations</v>
      </c>
      <c r="B165" s="302">
        <v>2.606334276559481</v>
      </c>
      <c r="C165" s="302">
        <v>0.92949498158992228</v>
      </c>
      <c r="D165" s="302">
        <v>0.12620002490532356</v>
      </c>
      <c r="E165" s="302">
        <f t="shared" si="77"/>
        <v>3.6620292830547267</v>
      </c>
      <c r="F165" s="303"/>
      <c r="G165" s="302">
        <v>2.7910984326254789</v>
      </c>
      <c r="H165" s="302">
        <v>0.98156665032741242</v>
      </c>
      <c r="I165" s="302">
        <v>8.5231135607971006E-2</v>
      </c>
      <c r="J165" s="302">
        <f t="shared" si="78"/>
        <v>3.8578962185608621</v>
      </c>
      <c r="K165" s="303"/>
      <c r="L165" s="302">
        <v>2.8895929986359641</v>
      </c>
      <c r="M165" s="302">
        <v>0.91413243576155123</v>
      </c>
      <c r="N165" s="302">
        <v>0.77141083362914353</v>
      </c>
      <c r="O165" s="302">
        <f t="shared" si="79"/>
        <v>4.5751362680266592</v>
      </c>
    </row>
    <row r="166" spans="1:15" s="236" customFormat="1" x14ac:dyDescent="0.2">
      <c r="A166" s="237" t="str">
        <f>name!E$8</f>
        <v>Skilled trades occupations</v>
      </c>
      <c r="B166" s="302">
        <v>4.1963279840981107</v>
      </c>
      <c r="C166" s="302">
        <v>0.62560173822539922</v>
      </c>
      <c r="D166" s="302">
        <v>1.6076817646439054</v>
      </c>
      <c r="E166" s="302">
        <f t="shared" si="77"/>
        <v>6.4296114869674152</v>
      </c>
      <c r="F166" s="303"/>
      <c r="G166" s="302">
        <v>3.9308152365747802</v>
      </c>
      <c r="H166" s="302">
        <v>0.39278366404334891</v>
      </c>
      <c r="I166" s="302">
        <v>0.95605795732769383</v>
      </c>
      <c r="J166" s="302">
        <f>SUM(G166:I166)</f>
        <v>5.279656857945823</v>
      </c>
      <c r="K166" s="303"/>
      <c r="L166" s="302">
        <v>3.785093941275925</v>
      </c>
      <c r="M166" s="302">
        <v>0.36819509319192356</v>
      </c>
      <c r="N166" s="302">
        <v>0.89640593570571514</v>
      </c>
      <c r="O166" s="302">
        <f t="shared" si="79"/>
        <v>5.0496949701735634</v>
      </c>
    </row>
    <row r="167" spans="1:15" s="236" customFormat="1" x14ac:dyDescent="0.2">
      <c r="A167" s="237" t="str">
        <f>name!E$9</f>
        <v>Caring, leisure and other service occupations</v>
      </c>
      <c r="B167" s="302">
        <v>0.58441588776006592</v>
      </c>
      <c r="C167" s="302">
        <v>0.15166970830771068</v>
      </c>
      <c r="D167" s="302">
        <v>9.5946098407330621E-2</v>
      </c>
      <c r="E167" s="302">
        <f t="shared" si="77"/>
        <v>0.83203169447510716</v>
      </c>
      <c r="F167" s="303"/>
      <c r="G167" s="302">
        <v>0.48988492025093189</v>
      </c>
      <c r="H167" s="302">
        <v>0.12971254000928209</v>
      </c>
      <c r="I167" s="302">
        <v>8.6505914955473204E-2</v>
      </c>
      <c r="J167" s="302">
        <f t="shared" ref="J167:J170" si="80">SUM(G167:I167)</f>
        <v>0.70610337521568722</v>
      </c>
      <c r="K167" s="303"/>
      <c r="L167" s="302">
        <v>0.74853209161499545</v>
      </c>
      <c r="M167" s="302">
        <v>0.11296763450283924</v>
      </c>
      <c r="N167" s="302">
        <v>0.10635308094596257</v>
      </c>
      <c r="O167" s="302">
        <f t="shared" si="79"/>
        <v>0.96785280706379728</v>
      </c>
    </row>
    <row r="168" spans="1:15" s="236" customFormat="1" x14ac:dyDescent="0.2">
      <c r="A168" s="237" t="str">
        <f>name!E$10</f>
        <v>Sales and customer service occupations</v>
      </c>
      <c r="B168" s="302">
        <v>10.782682464212616</v>
      </c>
      <c r="C168" s="302">
        <v>24.79403147432847</v>
      </c>
      <c r="D168" s="302">
        <v>1.6823076578694063</v>
      </c>
      <c r="E168" s="302">
        <f t="shared" si="77"/>
        <v>37.259021596410498</v>
      </c>
      <c r="F168" s="303"/>
      <c r="G168" s="302">
        <v>9.9576515576884024</v>
      </c>
      <c r="H168" s="302">
        <v>22.770566772949074</v>
      </c>
      <c r="I168" s="302">
        <v>0.86546018458051577</v>
      </c>
      <c r="J168" s="302">
        <f t="shared" si="80"/>
        <v>33.593678515217988</v>
      </c>
      <c r="K168" s="303"/>
      <c r="L168" s="302">
        <v>9.0201020344273051</v>
      </c>
      <c r="M168" s="302">
        <v>20.941372054709671</v>
      </c>
      <c r="N168" s="302">
        <v>0.57157772380403082</v>
      </c>
      <c r="O168" s="302">
        <f t="shared" si="79"/>
        <v>30.533051812941007</v>
      </c>
    </row>
    <row r="169" spans="1:15" s="236" customFormat="1" x14ac:dyDescent="0.2">
      <c r="A169" s="237" t="str">
        <f>name!E$11</f>
        <v>Process, plant and machine operatives</v>
      </c>
      <c r="B169" s="302">
        <v>3.5776796153306512</v>
      </c>
      <c r="C169" s="302">
        <v>0.70403883833742065</v>
      </c>
      <c r="D169" s="302">
        <v>0.13044673399980725</v>
      </c>
      <c r="E169" s="302">
        <f t="shared" si="77"/>
        <v>4.4121651876678794</v>
      </c>
      <c r="F169" s="303"/>
      <c r="G169" s="302">
        <v>3.5115617737981637</v>
      </c>
      <c r="H169" s="302">
        <v>0.64872881410557282</v>
      </c>
      <c r="I169" s="302">
        <v>9.7400214704317617E-2</v>
      </c>
      <c r="J169" s="302">
        <f t="shared" si="80"/>
        <v>4.257690802608054</v>
      </c>
      <c r="K169" s="303"/>
      <c r="L169" s="302">
        <v>3.4255055517096467</v>
      </c>
      <c r="M169" s="302">
        <v>0.84110801477498465</v>
      </c>
      <c r="N169" s="302">
        <v>8.7660138617958461E-2</v>
      </c>
      <c r="O169" s="302">
        <f t="shared" si="79"/>
        <v>4.3542737051025897</v>
      </c>
    </row>
    <row r="170" spans="1:15" s="236" customFormat="1" x14ac:dyDescent="0.2">
      <c r="A170" s="237" t="str">
        <f>name!E$12</f>
        <v>Elementary occupations</v>
      </c>
      <c r="B170" s="302">
        <v>3.6680092251082783</v>
      </c>
      <c r="C170" s="302">
        <v>3.7470669552610834</v>
      </c>
      <c r="D170" s="302">
        <v>0.12126538814642449</v>
      </c>
      <c r="E170" s="302">
        <f t="shared" si="77"/>
        <v>7.5363415685157857</v>
      </c>
      <c r="F170" s="303"/>
      <c r="G170" s="302">
        <v>3.7367183546897302</v>
      </c>
      <c r="H170" s="302">
        <v>2.8024747904200753</v>
      </c>
      <c r="I170" s="302">
        <v>6.2150709876673142E-2</v>
      </c>
      <c r="J170" s="302">
        <f t="shared" si="80"/>
        <v>6.6013438549864789</v>
      </c>
      <c r="K170" s="303"/>
      <c r="L170" s="302">
        <v>3.4748899878238513</v>
      </c>
      <c r="M170" s="302">
        <v>1.9417060266500807</v>
      </c>
      <c r="N170" s="302">
        <v>7.4607588552543208E-2</v>
      </c>
      <c r="O170" s="302">
        <f t="shared" si="79"/>
        <v>5.4912036030264746</v>
      </c>
    </row>
    <row r="171" spans="1:15" s="236" customFormat="1" x14ac:dyDescent="0.2">
      <c r="A171" s="237"/>
      <c r="B171" s="302"/>
      <c r="C171" s="302"/>
      <c r="D171" s="302"/>
      <c r="E171" s="302"/>
      <c r="F171" s="303"/>
      <c r="G171" s="302"/>
      <c r="H171" s="302"/>
      <c r="I171" s="302"/>
      <c r="J171" s="302"/>
      <c r="K171" s="303"/>
      <c r="L171" s="302"/>
      <c r="M171" s="302"/>
      <c r="N171" s="302"/>
      <c r="O171" s="302"/>
    </row>
    <row r="172" spans="1:15" s="236" customFormat="1" x14ac:dyDescent="0.2">
      <c r="A172" s="244" t="s">
        <v>33</v>
      </c>
      <c r="B172" s="311">
        <f>SUM(B162:B170)</f>
        <v>34.619915049932956</v>
      </c>
      <c r="C172" s="311">
        <f t="shared" ref="C172:E172" si="81">SUM(C162:C170)</f>
        <v>32.605288367748344</v>
      </c>
      <c r="D172" s="311">
        <f t="shared" si="81"/>
        <v>7.3927965823186721</v>
      </c>
      <c r="E172" s="311">
        <f t="shared" si="81"/>
        <v>74.617999999999981</v>
      </c>
      <c r="F172" s="311"/>
      <c r="G172" s="311">
        <f t="shared" ref="G172:J172" si="82">SUM(G162:G170)</f>
        <v>37.420015480279787</v>
      </c>
      <c r="H172" s="311">
        <f t="shared" si="82"/>
        <v>29.830507444604685</v>
      </c>
      <c r="I172" s="311">
        <f t="shared" si="82"/>
        <v>4.8064770751154642</v>
      </c>
      <c r="J172" s="311">
        <f t="shared" si="82"/>
        <v>72.056999999999931</v>
      </c>
      <c r="K172" s="311"/>
      <c r="L172" s="311">
        <f t="shared" ref="L172:O172" si="83">SUM(L162:L170)</f>
        <v>39.467345793348727</v>
      </c>
      <c r="M172" s="311">
        <f t="shared" si="83"/>
        <v>27.209514882266955</v>
      </c>
      <c r="N172" s="311">
        <f t="shared" si="83"/>
        <v>5.0401393243843646</v>
      </c>
      <c r="O172" s="311">
        <f t="shared" si="83"/>
        <v>71.717000000000041</v>
      </c>
    </row>
    <row r="173" spans="1:15" s="236" customFormat="1" x14ac:dyDescent="0.2">
      <c r="A173" s="237"/>
      <c r="B173" s="237"/>
      <c r="C173" s="237"/>
      <c r="D173" s="237"/>
      <c r="E173" s="237"/>
      <c r="F173" s="237"/>
      <c r="G173" s="237"/>
      <c r="H173" s="237"/>
      <c r="I173" s="237"/>
      <c r="J173" s="237"/>
      <c r="K173" s="237"/>
      <c r="L173" s="237"/>
      <c r="M173" s="237"/>
      <c r="N173" s="240"/>
    </row>
    <row r="174" spans="1:15" s="236" customFormat="1" x14ac:dyDescent="0.2">
      <c r="A174" s="237"/>
      <c r="B174" s="237"/>
      <c r="C174" s="237"/>
      <c r="D174" s="237"/>
      <c r="E174" s="237"/>
      <c r="F174" s="237"/>
      <c r="G174" s="237"/>
      <c r="H174" s="237"/>
      <c r="I174" s="237"/>
      <c r="J174" s="237"/>
      <c r="K174" s="237"/>
      <c r="L174" s="237"/>
      <c r="M174" s="237"/>
      <c r="N174" s="240"/>
      <c r="O174" s="251" t="s">
        <v>36</v>
      </c>
    </row>
    <row r="175" spans="1:15" s="236" customFormat="1" x14ac:dyDescent="0.2">
      <c r="A175" s="242"/>
      <c r="B175" s="242"/>
      <c r="C175" s="242"/>
      <c r="D175" s="242"/>
      <c r="E175" s="242"/>
      <c r="F175" s="242"/>
      <c r="G175" s="242"/>
      <c r="H175" s="242"/>
      <c r="I175" s="242"/>
      <c r="J175" s="242"/>
      <c r="K175" s="242"/>
      <c r="L175" s="242"/>
      <c r="M175" s="242"/>
      <c r="N175" s="242"/>
      <c r="O175" s="242"/>
    </row>
    <row r="176" spans="1:15" s="236" customFormat="1" x14ac:dyDescent="0.2">
      <c r="A176" s="241" t="str">
        <f>name!B13</f>
        <v>Transport and storage</v>
      </c>
      <c r="B176" s="377">
        <f>$B$6</f>
        <v>2015</v>
      </c>
      <c r="C176" s="377"/>
      <c r="D176" s="377"/>
      <c r="E176" s="377"/>
      <c r="F176" s="263"/>
      <c r="G176" s="377">
        <f>$G$6</f>
        <v>2020</v>
      </c>
      <c r="H176" s="377"/>
      <c r="I176" s="377"/>
      <c r="J176" s="377"/>
      <c r="K176" s="263"/>
      <c r="L176" s="377">
        <f>$L$6</f>
        <v>2035</v>
      </c>
      <c r="M176" s="377"/>
      <c r="N176" s="377"/>
      <c r="O176" s="377"/>
    </row>
    <row r="177" spans="1:15" s="236" customFormat="1" x14ac:dyDescent="0.2">
      <c r="A177" s="254"/>
      <c r="B177" s="268" t="str">
        <f>$B$7</f>
        <v>FT</v>
      </c>
      <c r="C177" s="268" t="str">
        <f>$C$7</f>
        <v>PT</v>
      </c>
      <c r="D177" s="268" t="str">
        <f>$D$7</f>
        <v>SE</v>
      </c>
      <c r="E177" s="268" t="str">
        <f>$E$7</f>
        <v>Total</v>
      </c>
      <c r="F177" s="268"/>
      <c r="G177" s="268" t="str">
        <f>$G$7</f>
        <v>FT</v>
      </c>
      <c r="H177" s="268" t="str">
        <f>$H$7</f>
        <v>PT</v>
      </c>
      <c r="I177" s="268" t="str">
        <f>$I$7</f>
        <v>SE</v>
      </c>
      <c r="J177" s="268" t="str">
        <f>$J$7</f>
        <v>Total</v>
      </c>
      <c r="K177" s="268"/>
      <c r="L177" s="268" t="str">
        <f>$L$7</f>
        <v>FT</v>
      </c>
      <c r="M177" s="268" t="str">
        <f>$M$7</f>
        <v>PT</v>
      </c>
      <c r="N177" s="268" t="str">
        <f>$N$7</f>
        <v>SE</v>
      </c>
      <c r="O177" s="268" t="str">
        <f>$O$7</f>
        <v>Total</v>
      </c>
    </row>
    <row r="178" spans="1:15" s="236" customFormat="1" x14ac:dyDescent="0.2">
      <c r="A178" s="258"/>
      <c r="B178" s="239"/>
      <c r="C178" s="239"/>
      <c r="D178" s="239"/>
      <c r="E178" s="239"/>
      <c r="F178" s="239"/>
      <c r="G178" s="239"/>
      <c r="H178" s="239"/>
      <c r="I178" s="239"/>
      <c r="J178" s="239"/>
      <c r="K178" s="239"/>
      <c r="L178" s="239"/>
      <c r="M178" s="239"/>
      <c r="N178" s="239"/>
      <c r="O178" s="239"/>
    </row>
    <row r="179" spans="1:15" s="236" customFormat="1" x14ac:dyDescent="0.2">
      <c r="A179" s="237" t="str">
        <f>name!E$4</f>
        <v>Managers, directors and senior officials</v>
      </c>
      <c r="B179" s="302">
        <v>1.0656815993243145</v>
      </c>
      <c r="C179" s="302">
        <v>0.10650220455770143</v>
      </c>
      <c r="D179" s="302">
        <v>0.22488298605403817</v>
      </c>
      <c r="E179" s="302">
        <f>SUM(B179:D179)</f>
        <v>1.3970667899360543</v>
      </c>
      <c r="F179" s="303"/>
      <c r="G179" s="302">
        <v>1.4899643112924947</v>
      </c>
      <c r="H179" s="302">
        <v>0.17744277084852367</v>
      </c>
      <c r="I179" s="302">
        <v>0.74109337998248059</v>
      </c>
      <c r="J179" s="302">
        <f>SUM(G179:I179)</f>
        <v>2.4085004621234987</v>
      </c>
      <c r="K179" s="303"/>
      <c r="L179" s="302">
        <v>1.6643081530381154</v>
      </c>
      <c r="M179" s="302">
        <v>0.24410559235265394</v>
      </c>
      <c r="N179" s="302">
        <v>0.76987572840125407</v>
      </c>
      <c r="O179" s="302">
        <f>SUM(L179:N179)</f>
        <v>2.6782894737920238</v>
      </c>
    </row>
    <row r="180" spans="1:15" s="236" customFormat="1" x14ac:dyDescent="0.2">
      <c r="A180" s="237" t="str">
        <f>name!E$5</f>
        <v>Professional occupations</v>
      </c>
      <c r="B180" s="302">
        <v>0.88446113746195398</v>
      </c>
      <c r="C180" s="302">
        <v>8.6051148015446957E-2</v>
      </c>
      <c r="D180" s="302">
        <v>6.6057072642174322E-2</v>
      </c>
      <c r="E180" s="302">
        <f t="shared" ref="E180:E187" si="84">SUM(B180:D180)</f>
        <v>1.0365693581195754</v>
      </c>
      <c r="F180" s="303"/>
      <c r="G180" s="302">
        <v>1.5061511310319002</v>
      </c>
      <c r="H180" s="302">
        <v>0.15082935717454504</v>
      </c>
      <c r="I180" s="302">
        <v>0.1866990351160597</v>
      </c>
      <c r="J180" s="302">
        <f t="shared" ref="J180:J182" si="85">SUM(G180:I180)</f>
        <v>1.8436795233225052</v>
      </c>
      <c r="K180" s="303"/>
      <c r="L180" s="302">
        <v>2.127893567401868</v>
      </c>
      <c r="M180" s="302">
        <v>0.25307752380011739</v>
      </c>
      <c r="N180" s="302">
        <v>0.15986598463925911</v>
      </c>
      <c r="O180" s="302">
        <f t="shared" ref="O180:O187" si="86">SUM(L180:N180)</f>
        <v>2.5408370758412442</v>
      </c>
    </row>
    <row r="181" spans="1:15" s="236" customFormat="1" x14ac:dyDescent="0.2">
      <c r="A181" s="237" t="str">
        <f>name!E$6</f>
        <v>Associate professional occupations</v>
      </c>
      <c r="B181" s="302">
        <v>0.96695824447064915</v>
      </c>
      <c r="C181" s="302">
        <v>0.13815123127653917</v>
      </c>
      <c r="D181" s="302">
        <v>4.5981615479080432E-2</v>
      </c>
      <c r="E181" s="302">
        <f t="shared" si="84"/>
        <v>1.1510910912262688</v>
      </c>
      <c r="F181" s="303"/>
      <c r="G181" s="302">
        <v>1.5521407728328791</v>
      </c>
      <c r="H181" s="302">
        <v>0.20688952192659457</v>
      </c>
      <c r="I181" s="302">
        <v>0.14271696347280793</v>
      </c>
      <c r="J181" s="302">
        <f t="shared" si="85"/>
        <v>1.9017472582322816</v>
      </c>
      <c r="K181" s="303"/>
      <c r="L181" s="302">
        <v>1.8418050341404688</v>
      </c>
      <c r="M181" s="302">
        <v>0.2816295229485789</v>
      </c>
      <c r="N181" s="302">
        <v>0.14585431950364577</v>
      </c>
      <c r="O181" s="302">
        <f t="shared" si="86"/>
        <v>2.2692888765926935</v>
      </c>
    </row>
    <row r="182" spans="1:15" s="236" customFormat="1" x14ac:dyDescent="0.2">
      <c r="A182" s="237" t="str">
        <f>name!E$7</f>
        <v>Administrative and secretarial occupations</v>
      </c>
      <c r="B182" s="302">
        <v>1.2638332034366462</v>
      </c>
      <c r="C182" s="302">
        <v>0.65412196277754031</v>
      </c>
      <c r="D182" s="302">
        <v>6.8560310424277598E-2</v>
      </c>
      <c r="E182" s="302">
        <f t="shared" si="84"/>
        <v>1.9865154766384641</v>
      </c>
      <c r="F182" s="303"/>
      <c r="G182" s="302">
        <v>1.6745807361362284</v>
      </c>
      <c r="H182" s="302">
        <v>0.75902854250812513</v>
      </c>
      <c r="I182" s="302">
        <v>0.37738606493715804</v>
      </c>
      <c r="J182" s="302">
        <f t="shared" si="85"/>
        <v>2.8109953435815114</v>
      </c>
      <c r="K182" s="303"/>
      <c r="L182" s="302">
        <v>1.4814462671361943</v>
      </c>
      <c r="M182" s="302">
        <v>0.671161864391008</v>
      </c>
      <c r="N182" s="302">
        <v>0.28910719617862202</v>
      </c>
      <c r="O182" s="302">
        <f t="shared" si="86"/>
        <v>2.4417153277058246</v>
      </c>
    </row>
    <row r="183" spans="1:15" s="236" customFormat="1" x14ac:dyDescent="0.2">
      <c r="A183" s="237" t="str">
        <f>name!E$8</f>
        <v>Skilled trades occupations</v>
      </c>
      <c r="B183" s="302">
        <v>0.81559086484241672</v>
      </c>
      <c r="C183" s="302">
        <v>0.18254540954481219</v>
      </c>
      <c r="D183" s="302">
        <v>0.22038938969780641</v>
      </c>
      <c r="E183" s="302">
        <f t="shared" si="84"/>
        <v>1.2185256640850353</v>
      </c>
      <c r="F183" s="303"/>
      <c r="G183" s="302">
        <v>0.85977817953171931</v>
      </c>
      <c r="H183" s="302">
        <v>0.1783572885807804</v>
      </c>
      <c r="I183" s="302">
        <v>0.24343940256105656</v>
      </c>
      <c r="J183" s="302">
        <f>SUM(G183:I183)</f>
        <v>1.2815748706735564</v>
      </c>
      <c r="K183" s="303"/>
      <c r="L183" s="302">
        <v>0.78087763167327129</v>
      </c>
      <c r="M183" s="302">
        <v>0.27084541964065656</v>
      </c>
      <c r="N183" s="302">
        <v>0.29738721453632888</v>
      </c>
      <c r="O183" s="302">
        <f t="shared" si="86"/>
        <v>1.3491102658502565</v>
      </c>
    </row>
    <row r="184" spans="1:15" s="236" customFormat="1" x14ac:dyDescent="0.2">
      <c r="A184" s="237" t="str">
        <f>name!E$9</f>
        <v>Caring, leisure and other service occupations</v>
      </c>
      <c r="B184" s="302">
        <v>0.99475605055708172</v>
      </c>
      <c r="C184" s="302">
        <v>0.6345306611047945</v>
      </c>
      <c r="D184" s="302">
        <v>0.11612885754475215</v>
      </c>
      <c r="E184" s="302">
        <f t="shared" si="84"/>
        <v>1.7454155692066282</v>
      </c>
      <c r="F184" s="303"/>
      <c r="G184" s="302">
        <v>1.2570495838906555</v>
      </c>
      <c r="H184" s="302">
        <v>0.70253532416444053</v>
      </c>
      <c r="I184" s="302">
        <v>0.21063816482662423</v>
      </c>
      <c r="J184" s="302">
        <f t="shared" ref="J184:J187" si="87">SUM(G184:I184)</f>
        <v>2.1702230728817202</v>
      </c>
      <c r="K184" s="303"/>
      <c r="L184" s="302">
        <v>1.540917618934649</v>
      </c>
      <c r="M184" s="302">
        <v>0.76698421425502616</v>
      </c>
      <c r="N184" s="302">
        <v>0.26970041568493835</v>
      </c>
      <c r="O184" s="302">
        <f t="shared" si="86"/>
        <v>2.5776022488746135</v>
      </c>
    </row>
    <row r="185" spans="1:15" s="236" customFormat="1" x14ac:dyDescent="0.2">
      <c r="A185" s="237" t="str">
        <f>name!E$10</f>
        <v>Sales and customer service occupations</v>
      </c>
      <c r="B185" s="302">
        <v>0.51074261626857798</v>
      </c>
      <c r="C185" s="302">
        <v>0.30614530926514144</v>
      </c>
      <c r="D185" s="302">
        <v>4.7116628719853358E-2</v>
      </c>
      <c r="E185" s="302">
        <f t="shared" si="84"/>
        <v>0.8640045542535727</v>
      </c>
      <c r="F185" s="303"/>
      <c r="G185" s="302">
        <v>0.64223983466772139</v>
      </c>
      <c r="H185" s="302">
        <v>0.37599027716635885</v>
      </c>
      <c r="I185" s="302">
        <v>0.10488326799321311</v>
      </c>
      <c r="J185" s="302">
        <f t="shared" si="87"/>
        <v>1.1231133798272932</v>
      </c>
      <c r="K185" s="303"/>
      <c r="L185" s="302">
        <v>0.81112856486725782</v>
      </c>
      <c r="M185" s="302">
        <v>0.53704918091670584</v>
      </c>
      <c r="N185" s="302">
        <v>0.10415442815938666</v>
      </c>
      <c r="O185" s="302">
        <f t="shared" si="86"/>
        <v>1.4523321739433503</v>
      </c>
    </row>
    <row r="186" spans="1:15" s="236" customFormat="1" x14ac:dyDescent="0.2">
      <c r="A186" s="237" t="str">
        <f>name!E$11</f>
        <v>Process, plant and machine operatives</v>
      </c>
      <c r="B186" s="302">
        <v>6.0723697596598729</v>
      </c>
      <c r="C186" s="302">
        <v>0.83852584814100628</v>
      </c>
      <c r="D186" s="302">
        <v>2.1251414413585041</v>
      </c>
      <c r="E186" s="302">
        <f t="shared" si="84"/>
        <v>9.0360370491593827</v>
      </c>
      <c r="F186" s="303"/>
      <c r="G186" s="302">
        <v>6.3237815509572659</v>
      </c>
      <c r="H186" s="302">
        <v>1.0198906669627139</v>
      </c>
      <c r="I186" s="302">
        <v>2.9778898638948164</v>
      </c>
      <c r="J186" s="302">
        <f t="shared" si="87"/>
        <v>10.321562081814797</v>
      </c>
      <c r="K186" s="303"/>
      <c r="L186" s="302">
        <v>5.5760980481651892</v>
      </c>
      <c r="M186" s="302">
        <v>1.1149664894407973</v>
      </c>
      <c r="N186" s="302">
        <v>3.3192831201518946</v>
      </c>
      <c r="O186" s="302">
        <f t="shared" si="86"/>
        <v>10.010347657757881</v>
      </c>
    </row>
    <row r="187" spans="1:15" s="236" customFormat="1" x14ac:dyDescent="0.2">
      <c r="A187" s="237" t="str">
        <f>name!E$12</f>
        <v>Elementary occupations</v>
      </c>
      <c r="B187" s="302">
        <v>3.0318920352918011</v>
      </c>
      <c r="C187" s="302">
        <v>0.72939765843521909</v>
      </c>
      <c r="D187" s="302">
        <v>8.3484753647967605E-2</v>
      </c>
      <c r="E187" s="302">
        <f t="shared" si="84"/>
        <v>3.8447744473749879</v>
      </c>
      <c r="F187" s="303"/>
      <c r="G187" s="302">
        <v>2.7019609950198151</v>
      </c>
      <c r="H187" s="302">
        <v>0.7401700303141584</v>
      </c>
      <c r="I187" s="302">
        <v>0.12047298220883883</v>
      </c>
      <c r="J187" s="302">
        <f t="shared" si="87"/>
        <v>3.562604007542812</v>
      </c>
      <c r="K187" s="303"/>
      <c r="L187" s="302">
        <v>2.2088278490626188</v>
      </c>
      <c r="M187" s="302">
        <v>0.62152585186088638</v>
      </c>
      <c r="N187" s="302">
        <v>0.13112319871859746</v>
      </c>
      <c r="O187" s="302">
        <f t="shared" si="86"/>
        <v>2.9614768996421024</v>
      </c>
    </row>
    <row r="188" spans="1:15" s="236" customFormat="1" x14ac:dyDescent="0.2">
      <c r="A188" s="237"/>
      <c r="B188" s="302"/>
      <c r="C188" s="302"/>
      <c r="D188" s="302"/>
      <c r="E188" s="302"/>
      <c r="F188" s="303"/>
      <c r="G188" s="302"/>
      <c r="H188" s="302"/>
      <c r="I188" s="302"/>
      <c r="J188" s="302"/>
      <c r="K188" s="303"/>
      <c r="L188" s="302"/>
      <c r="M188" s="302"/>
      <c r="N188" s="302"/>
      <c r="O188" s="302"/>
    </row>
    <row r="189" spans="1:15" s="236" customFormat="1" x14ac:dyDescent="0.2">
      <c r="A189" s="244" t="s">
        <v>33</v>
      </c>
      <c r="B189" s="311">
        <f>SUM(B179:B187)</f>
        <v>15.606285511313313</v>
      </c>
      <c r="C189" s="311">
        <f t="shared" ref="C189:E189" si="88">SUM(C179:C187)</f>
        <v>3.6759714331182014</v>
      </c>
      <c r="D189" s="311">
        <f t="shared" si="88"/>
        <v>2.9977430555684541</v>
      </c>
      <c r="E189" s="311">
        <f t="shared" si="88"/>
        <v>22.279999999999969</v>
      </c>
      <c r="F189" s="311"/>
      <c r="G189" s="311">
        <f t="shared" ref="G189:J189" si="89">SUM(G179:G187)</f>
        <v>18.007647095360678</v>
      </c>
      <c r="H189" s="311">
        <f t="shared" si="89"/>
        <v>4.3111337796462408</v>
      </c>
      <c r="I189" s="311">
        <f t="shared" si="89"/>
        <v>5.105219124993055</v>
      </c>
      <c r="J189" s="311">
        <f t="shared" si="89"/>
        <v>27.423999999999978</v>
      </c>
      <c r="K189" s="311"/>
      <c r="L189" s="311">
        <f t="shared" ref="L189:O189" si="90">SUM(L179:L187)</f>
        <v>18.033302734419632</v>
      </c>
      <c r="M189" s="311">
        <f t="shared" si="90"/>
        <v>4.7613456596064303</v>
      </c>
      <c r="N189" s="311">
        <f t="shared" si="90"/>
        <v>5.486351605973927</v>
      </c>
      <c r="O189" s="311">
        <f t="shared" si="90"/>
        <v>28.280999999999992</v>
      </c>
    </row>
    <row r="190" spans="1:15" s="236" customFormat="1" x14ac:dyDescent="0.2">
      <c r="A190" s="237"/>
      <c r="B190" s="237"/>
      <c r="C190" s="237"/>
      <c r="D190" s="237"/>
      <c r="E190" s="237"/>
      <c r="F190" s="237"/>
      <c r="G190" s="237"/>
      <c r="H190" s="237"/>
      <c r="I190" s="237"/>
      <c r="J190" s="237"/>
      <c r="K190" s="237"/>
      <c r="L190" s="237"/>
      <c r="M190" s="237"/>
      <c r="N190" s="240"/>
    </row>
    <row r="191" spans="1:15" s="236" customFormat="1" x14ac:dyDescent="0.2">
      <c r="A191" s="237"/>
      <c r="B191" s="237"/>
      <c r="C191" s="237"/>
      <c r="D191" s="237"/>
      <c r="E191" s="237"/>
      <c r="F191" s="237"/>
      <c r="G191" s="237"/>
      <c r="H191" s="237"/>
      <c r="I191" s="237"/>
      <c r="J191" s="237"/>
      <c r="K191" s="237"/>
      <c r="L191" s="237"/>
      <c r="M191" s="237"/>
      <c r="N191" s="240"/>
      <c r="O191" s="251" t="s">
        <v>36</v>
      </c>
    </row>
    <row r="192" spans="1:15" s="236" customFormat="1" x14ac:dyDescent="0.2">
      <c r="A192" s="242"/>
      <c r="B192" s="242"/>
      <c r="C192" s="242"/>
      <c r="D192" s="242"/>
      <c r="E192" s="242"/>
      <c r="F192" s="242"/>
      <c r="G192" s="242"/>
      <c r="H192" s="242"/>
      <c r="I192" s="242"/>
      <c r="J192" s="242"/>
      <c r="K192" s="242"/>
      <c r="L192" s="242"/>
      <c r="M192" s="242"/>
      <c r="N192" s="242"/>
      <c r="O192" s="242"/>
    </row>
    <row r="193" spans="1:15" s="236" customFormat="1" x14ac:dyDescent="0.2">
      <c r="A193" s="241" t="str">
        <f>name!B14</f>
        <v>Accommodation and food</v>
      </c>
      <c r="B193" s="377">
        <f>$B$6</f>
        <v>2015</v>
      </c>
      <c r="C193" s="377"/>
      <c r="D193" s="377"/>
      <c r="E193" s="377"/>
      <c r="F193" s="263"/>
      <c r="G193" s="377">
        <f>$G$6</f>
        <v>2020</v>
      </c>
      <c r="H193" s="377"/>
      <c r="I193" s="377"/>
      <c r="J193" s="377"/>
      <c r="K193" s="263"/>
      <c r="L193" s="377">
        <f>$L$6</f>
        <v>2035</v>
      </c>
      <c r="M193" s="377"/>
      <c r="N193" s="377"/>
      <c r="O193" s="377"/>
    </row>
    <row r="194" spans="1:15" s="236" customFormat="1" x14ac:dyDescent="0.2">
      <c r="A194" s="254"/>
      <c r="B194" s="268" t="str">
        <f>$B$7</f>
        <v>FT</v>
      </c>
      <c r="C194" s="268" t="str">
        <f>$C$7</f>
        <v>PT</v>
      </c>
      <c r="D194" s="268" t="str">
        <f>$D$7</f>
        <v>SE</v>
      </c>
      <c r="E194" s="268" t="str">
        <f>$E$7</f>
        <v>Total</v>
      </c>
      <c r="F194" s="268"/>
      <c r="G194" s="268" t="str">
        <f>$G$7</f>
        <v>FT</v>
      </c>
      <c r="H194" s="268" t="str">
        <f>$H$7</f>
        <v>PT</v>
      </c>
      <c r="I194" s="268" t="str">
        <f>$I$7</f>
        <v>SE</v>
      </c>
      <c r="J194" s="268" t="str">
        <f>$J$7</f>
        <v>Total</v>
      </c>
      <c r="K194" s="268"/>
      <c r="L194" s="268" t="str">
        <f>$L$7</f>
        <v>FT</v>
      </c>
      <c r="M194" s="268" t="str">
        <f>$M$7</f>
        <v>PT</v>
      </c>
      <c r="N194" s="268" t="str">
        <f>$N$7</f>
        <v>SE</v>
      </c>
      <c r="O194" s="268" t="str">
        <f>$O$7</f>
        <v>Total</v>
      </c>
    </row>
    <row r="195" spans="1:15" s="236" customFormat="1" x14ac:dyDescent="0.2">
      <c r="A195" s="258"/>
      <c r="B195" s="239"/>
      <c r="C195" s="239"/>
      <c r="D195" s="239"/>
      <c r="E195" s="239"/>
      <c r="F195" s="239"/>
      <c r="G195" s="239"/>
      <c r="H195" s="239"/>
      <c r="I195" s="239"/>
      <c r="J195" s="239"/>
      <c r="K195" s="239"/>
      <c r="L195" s="239"/>
      <c r="M195" s="239"/>
      <c r="N195" s="239"/>
      <c r="O195" s="239"/>
    </row>
    <row r="196" spans="1:15" s="236" customFormat="1" x14ac:dyDescent="0.2">
      <c r="A196" s="237" t="str">
        <f>name!E$4</f>
        <v>Managers, directors and senior officials</v>
      </c>
      <c r="B196" s="302">
        <v>3.0945333740019803</v>
      </c>
      <c r="C196" s="302">
        <v>0.29394354548725432</v>
      </c>
      <c r="D196" s="302">
        <v>1.6607255246764063</v>
      </c>
      <c r="E196" s="302">
        <f>SUM(B196:D196)</f>
        <v>5.0492024441656413</v>
      </c>
      <c r="F196" s="303"/>
      <c r="G196" s="302">
        <v>4.1000737432920227</v>
      </c>
      <c r="H196" s="302">
        <v>0.49262079097888772</v>
      </c>
      <c r="I196" s="302">
        <v>1.3142536096611537</v>
      </c>
      <c r="J196" s="302">
        <f>SUM(G196:I196)</f>
        <v>5.9069481439320635</v>
      </c>
      <c r="K196" s="303"/>
      <c r="L196" s="302">
        <v>5.6153078746613518</v>
      </c>
      <c r="M196" s="302">
        <v>0.87723529777005027</v>
      </c>
      <c r="N196" s="302">
        <v>1.6641221862446123</v>
      </c>
      <c r="O196" s="302">
        <f>SUM(L196:N196)</f>
        <v>8.1566653586760136</v>
      </c>
    </row>
    <row r="197" spans="1:15" s="236" customFormat="1" x14ac:dyDescent="0.2">
      <c r="A197" s="237" t="str">
        <f>name!E$5</f>
        <v>Professional occupations</v>
      </c>
      <c r="B197" s="302">
        <v>0.74993198006502026</v>
      </c>
      <c r="C197" s="302">
        <v>8.5678884062991817E-2</v>
      </c>
      <c r="D197" s="302">
        <v>0.11646492681224339</v>
      </c>
      <c r="E197" s="302">
        <f t="shared" ref="E197:E204" si="91">SUM(B197:D197)</f>
        <v>0.95207579094025552</v>
      </c>
      <c r="F197" s="303"/>
      <c r="G197" s="302">
        <v>1.2178913450681714</v>
      </c>
      <c r="H197" s="302">
        <v>0.15066469144745576</v>
      </c>
      <c r="I197" s="302">
        <v>8.9486231822594187E-2</v>
      </c>
      <c r="J197" s="302">
        <f t="shared" ref="J197:J199" si="92">SUM(G197:I197)</f>
        <v>1.4580422683382215</v>
      </c>
      <c r="K197" s="303"/>
      <c r="L197" s="302">
        <v>1.4699804309678872</v>
      </c>
      <c r="M197" s="302">
        <v>0.22404435896393332</v>
      </c>
      <c r="N197" s="302">
        <v>5.4226256713629795E-2</v>
      </c>
      <c r="O197" s="302">
        <f t="shared" ref="O197:O204" si="93">SUM(L197:N197)</f>
        <v>1.7482510466454504</v>
      </c>
    </row>
    <row r="198" spans="1:15" s="236" customFormat="1" x14ac:dyDescent="0.2">
      <c r="A198" s="237" t="str">
        <f>name!E$6</f>
        <v>Associate professional occupations</v>
      </c>
      <c r="B198" s="302">
        <v>0.49800005528467883</v>
      </c>
      <c r="C198" s="302">
        <v>0.22337607508233281</v>
      </c>
      <c r="D198" s="302">
        <v>6.9607340184534489E-2</v>
      </c>
      <c r="E198" s="302">
        <f t="shared" si="91"/>
        <v>0.79098347055154616</v>
      </c>
      <c r="F198" s="303"/>
      <c r="G198" s="302">
        <v>0.738096680946981</v>
      </c>
      <c r="H198" s="302">
        <v>0.2713402243630611</v>
      </c>
      <c r="I198" s="302">
        <v>4.5533034990379237E-2</v>
      </c>
      <c r="J198" s="302">
        <f t="shared" si="92"/>
        <v>1.0549699403004213</v>
      </c>
      <c r="K198" s="303"/>
      <c r="L198" s="302">
        <v>0.81965148818469868</v>
      </c>
      <c r="M198" s="302">
        <v>0.36428485955565515</v>
      </c>
      <c r="N198" s="302">
        <v>3.3783727975356802E-2</v>
      </c>
      <c r="O198" s="302">
        <f t="shared" si="93"/>
        <v>1.2177200757157107</v>
      </c>
    </row>
    <row r="199" spans="1:15" s="236" customFormat="1" x14ac:dyDescent="0.2">
      <c r="A199" s="237" t="str">
        <f>name!E$7</f>
        <v>Administrative and secretarial occupations</v>
      </c>
      <c r="B199" s="302">
        <v>0.6369690840650396</v>
      </c>
      <c r="C199" s="302">
        <v>0.25809865004623928</v>
      </c>
      <c r="D199" s="302">
        <v>3.1341989263158634E-2</v>
      </c>
      <c r="E199" s="302">
        <f t="shared" si="91"/>
        <v>0.92640972337443761</v>
      </c>
      <c r="F199" s="303"/>
      <c r="G199" s="302">
        <v>0.81853954385617089</v>
      </c>
      <c r="H199" s="302">
        <v>0.2698529689531437</v>
      </c>
      <c r="I199" s="302">
        <v>2.1569610920718345E-2</v>
      </c>
      <c r="J199" s="302">
        <f t="shared" si="92"/>
        <v>1.109962123730033</v>
      </c>
      <c r="K199" s="303"/>
      <c r="L199" s="302">
        <v>1.0579140101285753</v>
      </c>
      <c r="M199" s="302">
        <v>0.30283396361560572</v>
      </c>
      <c r="N199" s="302">
        <v>1.9883133293570058E-2</v>
      </c>
      <c r="O199" s="302">
        <f t="shared" si="93"/>
        <v>1.380631107037751</v>
      </c>
    </row>
    <row r="200" spans="1:15" s="236" customFormat="1" x14ac:dyDescent="0.2">
      <c r="A200" s="237" t="str">
        <f>name!E$8</f>
        <v>Skilled trades occupations</v>
      </c>
      <c r="B200" s="302">
        <v>1.8718022039254969</v>
      </c>
      <c r="C200" s="302">
        <v>1.3279460252911546</v>
      </c>
      <c r="D200" s="302">
        <v>0.46100194648471327</v>
      </c>
      <c r="E200" s="302">
        <f t="shared" si="91"/>
        <v>3.6607501757013647</v>
      </c>
      <c r="F200" s="303"/>
      <c r="G200" s="302">
        <v>1.8399768598127944</v>
      </c>
      <c r="H200" s="302">
        <v>1.2565040408345358</v>
      </c>
      <c r="I200" s="302">
        <v>0.37783826585463881</v>
      </c>
      <c r="J200" s="302">
        <f>SUM(G200:I200)</f>
        <v>3.474319166501969</v>
      </c>
      <c r="K200" s="303"/>
      <c r="L200" s="302">
        <v>1.4673270485690397</v>
      </c>
      <c r="M200" s="302">
        <v>1.2952928274727513</v>
      </c>
      <c r="N200" s="302">
        <v>0.44938995530595061</v>
      </c>
      <c r="O200" s="302">
        <f t="shared" si="93"/>
        <v>3.2120098313477419</v>
      </c>
    </row>
    <row r="201" spans="1:15" s="236" customFormat="1" x14ac:dyDescent="0.2">
      <c r="A201" s="237" t="str">
        <f>name!E$9</f>
        <v>Caring, leisure and other service occupations</v>
      </c>
      <c r="B201" s="302">
        <v>0.72818775384718537</v>
      </c>
      <c r="C201" s="302">
        <v>0.82868318138460206</v>
      </c>
      <c r="D201" s="302">
        <v>0.11494538489816115</v>
      </c>
      <c r="E201" s="302">
        <f t="shared" si="91"/>
        <v>1.6718163201299487</v>
      </c>
      <c r="F201" s="303"/>
      <c r="G201" s="302">
        <v>0.90303829949849745</v>
      </c>
      <c r="H201" s="302">
        <v>0.74410854625050304</v>
      </c>
      <c r="I201" s="302">
        <v>0.1190544244577952</v>
      </c>
      <c r="J201" s="302">
        <f t="shared" ref="J201:J204" si="94">SUM(G201:I201)</f>
        <v>1.7662012702067955</v>
      </c>
      <c r="K201" s="303"/>
      <c r="L201" s="302">
        <v>1.0496468180784593</v>
      </c>
      <c r="M201" s="302">
        <v>0.81154492801257794</v>
      </c>
      <c r="N201" s="302">
        <v>0.18604619018562457</v>
      </c>
      <c r="O201" s="302">
        <f t="shared" si="93"/>
        <v>2.047237936276662</v>
      </c>
    </row>
    <row r="202" spans="1:15" s="236" customFormat="1" x14ac:dyDescent="0.2">
      <c r="A202" s="237" t="str">
        <f>name!E$10</f>
        <v>Sales and customer service occupations</v>
      </c>
      <c r="B202" s="302">
        <v>0.72635649499285959</v>
      </c>
      <c r="C202" s="302">
        <v>1.434090290517549</v>
      </c>
      <c r="D202" s="302">
        <v>0.6050581679678223</v>
      </c>
      <c r="E202" s="302">
        <f t="shared" si="91"/>
        <v>2.765504953478231</v>
      </c>
      <c r="F202" s="303"/>
      <c r="G202" s="302">
        <v>0.86219385035954699</v>
      </c>
      <c r="H202" s="302">
        <v>1.4836444066994525</v>
      </c>
      <c r="I202" s="302">
        <v>0.33675429828059894</v>
      </c>
      <c r="J202" s="302">
        <f t="shared" si="94"/>
        <v>2.6825925553395984</v>
      </c>
      <c r="K202" s="303"/>
      <c r="L202" s="302">
        <v>1.0976146624701282</v>
      </c>
      <c r="M202" s="302">
        <v>1.9407271757966609</v>
      </c>
      <c r="N202" s="302">
        <v>0.26866393611642003</v>
      </c>
      <c r="O202" s="302">
        <f t="shared" si="93"/>
        <v>3.3070057743832093</v>
      </c>
    </row>
    <row r="203" spans="1:15" s="236" customFormat="1" x14ac:dyDescent="0.2">
      <c r="A203" s="237" t="str">
        <f>name!E$11</f>
        <v>Process, plant and machine operatives</v>
      </c>
      <c r="B203" s="302">
        <v>0.37303101970722441</v>
      </c>
      <c r="C203" s="302">
        <v>0.48903128337820684</v>
      </c>
      <c r="D203" s="302">
        <v>2.0761609292646952E-2</v>
      </c>
      <c r="E203" s="302">
        <f t="shared" si="91"/>
        <v>0.88282391237807822</v>
      </c>
      <c r="F203" s="303"/>
      <c r="G203" s="302">
        <v>0.31053138496638172</v>
      </c>
      <c r="H203" s="302">
        <v>0.69741985921527938</v>
      </c>
      <c r="I203" s="302">
        <v>1.3693927748657004E-2</v>
      </c>
      <c r="J203" s="302">
        <f t="shared" si="94"/>
        <v>1.0216451719303181</v>
      </c>
      <c r="K203" s="303"/>
      <c r="L203" s="302">
        <v>0.28563797911157035</v>
      </c>
      <c r="M203" s="302">
        <v>1.1380890776221813</v>
      </c>
      <c r="N203" s="302">
        <v>1.7571011704401531E-2</v>
      </c>
      <c r="O203" s="302">
        <f t="shared" si="93"/>
        <v>1.4412980684381531</v>
      </c>
    </row>
    <row r="204" spans="1:15" s="236" customFormat="1" x14ac:dyDescent="0.2">
      <c r="A204" s="237" t="str">
        <f>name!E$12</f>
        <v>Elementary occupations</v>
      </c>
      <c r="B204" s="302">
        <v>2.7457711811070609</v>
      </c>
      <c r="C204" s="302">
        <v>13.614129995495306</v>
      </c>
      <c r="D204" s="302">
        <v>5.9532032678109546E-2</v>
      </c>
      <c r="E204" s="302">
        <f t="shared" si="91"/>
        <v>16.419433209280477</v>
      </c>
      <c r="F204" s="303"/>
      <c r="G204" s="302">
        <v>3.1368120620609066</v>
      </c>
      <c r="H204" s="302">
        <v>12.290076945672643</v>
      </c>
      <c r="I204" s="302">
        <v>2.9430351987082461E-2</v>
      </c>
      <c r="J204" s="302">
        <f t="shared" si="94"/>
        <v>15.456319359720633</v>
      </c>
      <c r="K204" s="303"/>
      <c r="L204" s="302">
        <v>3.3950459710522991</v>
      </c>
      <c r="M204" s="302">
        <v>13.148157089458651</v>
      </c>
      <c r="N204" s="302">
        <v>3.9977740968290043E-2</v>
      </c>
      <c r="O204" s="302">
        <f t="shared" si="93"/>
        <v>16.583180801479241</v>
      </c>
    </row>
    <row r="205" spans="1:15" s="236" customFormat="1" x14ac:dyDescent="0.2">
      <c r="A205" s="237"/>
      <c r="B205" s="302"/>
      <c r="C205" s="302"/>
      <c r="D205" s="302"/>
      <c r="E205" s="302"/>
      <c r="F205" s="303"/>
      <c r="G205" s="302"/>
      <c r="H205" s="302"/>
      <c r="I205" s="302"/>
      <c r="J205" s="302"/>
      <c r="K205" s="303"/>
      <c r="L205" s="302"/>
      <c r="M205" s="302"/>
      <c r="N205" s="302"/>
      <c r="O205" s="302"/>
    </row>
    <row r="206" spans="1:15" s="236" customFormat="1" x14ac:dyDescent="0.2">
      <c r="A206" s="244" t="s">
        <v>33</v>
      </c>
      <c r="B206" s="311">
        <f>SUM(B196:B204)</f>
        <v>11.424583146996548</v>
      </c>
      <c r="C206" s="311">
        <f t="shared" ref="C206:E206" si="95">SUM(C196:C204)</f>
        <v>18.554977930745636</v>
      </c>
      <c r="D206" s="311">
        <f t="shared" si="95"/>
        <v>3.1394389222577956</v>
      </c>
      <c r="E206" s="311">
        <f t="shared" si="95"/>
        <v>33.118999999999986</v>
      </c>
      <c r="F206" s="311"/>
      <c r="G206" s="311">
        <f t="shared" ref="G206:J206" si="96">SUM(G196:G204)</f>
        <v>13.927153769861473</v>
      </c>
      <c r="H206" s="311">
        <f t="shared" si="96"/>
        <v>17.656232474414963</v>
      </c>
      <c r="I206" s="311">
        <f t="shared" si="96"/>
        <v>2.3476137557236183</v>
      </c>
      <c r="J206" s="311">
        <f t="shared" si="96"/>
        <v>33.931000000000054</v>
      </c>
      <c r="K206" s="311"/>
      <c r="L206" s="311">
        <f t="shared" ref="L206:O206" si="97">SUM(L196:L204)</f>
        <v>16.258126283224009</v>
      </c>
      <c r="M206" s="311">
        <f t="shared" si="97"/>
        <v>20.102209578268067</v>
      </c>
      <c r="N206" s="311">
        <f t="shared" si="97"/>
        <v>2.7336641385078559</v>
      </c>
      <c r="O206" s="311">
        <f t="shared" si="97"/>
        <v>39.093999999999937</v>
      </c>
    </row>
    <row r="207" spans="1:15" s="236" customFormat="1" x14ac:dyDescent="0.2">
      <c r="A207" s="237"/>
      <c r="B207" s="237"/>
      <c r="C207" s="237"/>
      <c r="D207" s="237"/>
      <c r="E207" s="237"/>
      <c r="F207" s="237"/>
      <c r="G207" s="237"/>
      <c r="H207" s="237"/>
      <c r="I207" s="237"/>
      <c r="J207" s="237"/>
      <c r="K207" s="237"/>
      <c r="L207" s="237"/>
      <c r="M207" s="237"/>
      <c r="N207" s="240"/>
    </row>
    <row r="208" spans="1:15" s="236" customFormat="1" x14ac:dyDescent="0.2">
      <c r="A208" s="237"/>
      <c r="B208" s="237"/>
      <c r="C208" s="237"/>
      <c r="D208" s="237"/>
      <c r="E208" s="237"/>
      <c r="F208" s="237"/>
      <c r="G208" s="237"/>
      <c r="H208" s="237"/>
      <c r="I208" s="237"/>
      <c r="J208" s="237"/>
      <c r="K208" s="237"/>
      <c r="L208" s="237"/>
      <c r="M208" s="237"/>
      <c r="N208" s="240"/>
      <c r="O208" s="251" t="s">
        <v>36</v>
      </c>
    </row>
    <row r="209" spans="1:15" s="236" customFormat="1" x14ac:dyDescent="0.2">
      <c r="A209" s="242"/>
      <c r="B209" s="242"/>
      <c r="C209" s="242"/>
      <c r="D209" s="242"/>
      <c r="E209" s="242"/>
      <c r="F209" s="242"/>
      <c r="G209" s="242"/>
      <c r="H209" s="242"/>
      <c r="I209" s="242"/>
      <c r="J209" s="242"/>
      <c r="K209" s="242"/>
      <c r="L209" s="242"/>
      <c r="M209" s="242"/>
      <c r="N209" s="242"/>
      <c r="O209" s="242"/>
    </row>
    <row r="210" spans="1:15" s="236" customFormat="1" x14ac:dyDescent="0.2">
      <c r="A210" s="241" t="str">
        <f>name!B15</f>
        <v>Media</v>
      </c>
      <c r="B210" s="377">
        <f>$B$6</f>
        <v>2015</v>
      </c>
      <c r="C210" s="377"/>
      <c r="D210" s="377"/>
      <c r="E210" s="377"/>
      <c r="F210" s="263"/>
      <c r="G210" s="377">
        <f>$G$6</f>
        <v>2020</v>
      </c>
      <c r="H210" s="377"/>
      <c r="I210" s="377"/>
      <c r="J210" s="377"/>
      <c r="K210" s="263"/>
      <c r="L210" s="377">
        <f>$L$6</f>
        <v>2035</v>
      </c>
      <c r="M210" s="377"/>
      <c r="N210" s="377"/>
      <c r="O210" s="377"/>
    </row>
    <row r="211" spans="1:15" s="236" customFormat="1" x14ac:dyDescent="0.2">
      <c r="A211" s="254"/>
      <c r="B211" s="268" t="str">
        <f>$B$7</f>
        <v>FT</v>
      </c>
      <c r="C211" s="268" t="str">
        <f>$C$7</f>
        <v>PT</v>
      </c>
      <c r="D211" s="268" t="str">
        <f>$D$7</f>
        <v>SE</v>
      </c>
      <c r="E211" s="268" t="str">
        <f>$E$7</f>
        <v>Total</v>
      </c>
      <c r="F211" s="268"/>
      <c r="G211" s="268" t="str">
        <f>$G$7</f>
        <v>FT</v>
      </c>
      <c r="H211" s="268" t="str">
        <f>$H$7</f>
        <v>PT</v>
      </c>
      <c r="I211" s="268" t="str">
        <f>$I$7</f>
        <v>SE</v>
      </c>
      <c r="J211" s="268" t="str">
        <f>$J$7</f>
        <v>Total</v>
      </c>
      <c r="K211" s="268"/>
      <c r="L211" s="268" t="str">
        <f>$L$7</f>
        <v>FT</v>
      </c>
      <c r="M211" s="268" t="str">
        <f>$M$7</f>
        <v>PT</v>
      </c>
      <c r="N211" s="268" t="str">
        <f>$N$7</f>
        <v>SE</v>
      </c>
      <c r="O211" s="268" t="str">
        <f>$O$7</f>
        <v>Total</v>
      </c>
    </row>
    <row r="212" spans="1:15" s="236" customFormat="1" x14ac:dyDescent="0.2">
      <c r="A212" s="258"/>
      <c r="B212" s="239"/>
      <c r="C212" s="239"/>
      <c r="D212" s="239"/>
      <c r="E212" s="239"/>
      <c r="F212" s="239"/>
      <c r="G212" s="239"/>
      <c r="H212" s="239"/>
      <c r="I212" s="239"/>
      <c r="J212" s="239"/>
      <c r="K212" s="239"/>
      <c r="L212" s="239"/>
      <c r="M212" s="239"/>
      <c r="N212" s="239"/>
      <c r="O212" s="239"/>
    </row>
    <row r="213" spans="1:15" s="236" customFormat="1" x14ac:dyDescent="0.2">
      <c r="A213" s="237" t="str">
        <f>name!E$4</f>
        <v>Managers, directors and senior officials</v>
      </c>
      <c r="B213" s="302">
        <v>0.12547919360449067</v>
      </c>
      <c r="C213" s="302">
        <v>2.1182984782187931E-2</v>
      </c>
      <c r="D213" s="302">
        <v>9.657187090644484E-2</v>
      </c>
      <c r="E213" s="302">
        <f>SUM(B213:D213)</f>
        <v>0.24323404929312345</v>
      </c>
      <c r="F213" s="303"/>
      <c r="G213" s="302">
        <v>0.11188840234470951</v>
      </c>
      <c r="H213" s="302">
        <v>1.3121707382955147E-2</v>
      </c>
      <c r="I213" s="302">
        <v>0.12906432054598871</v>
      </c>
      <c r="J213" s="302">
        <f>SUM(G213:I213)</f>
        <v>0.2540744302736534</v>
      </c>
      <c r="K213" s="303"/>
      <c r="L213" s="302">
        <v>0.11715825596267229</v>
      </c>
      <c r="M213" s="302">
        <v>1.7183431406739592E-2</v>
      </c>
      <c r="N213" s="302">
        <v>0.12289369487083898</v>
      </c>
      <c r="O213" s="302">
        <f>SUM(L213:N213)</f>
        <v>0.25723538224025089</v>
      </c>
    </row>
    <row r="214" spans="1:15" s="236" customFormat="1" x14ac:dyDescent="0.2">
      <c r="A214" s="237" t="str">
        <f>name!E$5</f>
        <v>Professional occupations</v>
      </c>
      <c r="B214" s="302">
        <v>0.28575807440394341</v>
      </c>
      <c r="C214" s="302">
        <v>2.8514438431357425E-2</v>
      </c>
      <c r="D214" s="302">
        <v>0.17138881870295394</v>
      </c>
      <c r="E214" s="302">
        <f t="shared" ref="E214:E221" si="98">SUM(B214:D214)</f>
        <v>0.48566133153825475</v>
      </c>
      <c r="F214" s="303"/>
      <c r="G214" s="302">
        <v>0.26415204212857352</v>
      </c>
      <c r="H214" s="302">
        <v>2.4546847936015283E-2</v>
      </c>
      <c r="I214" s="302">
        <v>0.17038132148783416</v>
      </c>
      <c r="J214" s="302">
        <f t="shared" ref="J214:J216" si="99">SUM(G214:I214)</f>
        <v>0.45908021155242296</v>
      </c>
      <c r="K214" s="303"/>
      <c r="L214" s="302">
        <v>0.30340301920856377</v>
      </c>
      <c r="M214" s="302">
        <v>3.3381779203803433E-2</v>
      </c>
      <c r="N214" s="302">
        <v>0.12261474723350078</v>
      </c>
      <c r="O214" s="302">
        <f t="shared" ref="O214:O221" si="100">SUM(L214:N214)</f>
        <v>0.45939954564586799</v>
      </c>
    </row>
    <row r="215" spans="1:15" s="236" customFormat="1" x14ac:dyDescent="0.2">
      <c r="A215" s="237" t="str">
        <f>name!E$6</f>
        <v>Associate professional occupations</v>
      </c>
      <c r="B215" s="302">
        <v>0.20409120495048028</v>
      </c>
      <c r="C215" s="302">
        <v>4.7828620094878385E-2</v>
      </c>
      <c r="D215" s="302">
        <v>0.33387268005535176</v>
      </c>
      <c r="E215" s="302">
        <f t="shared" si="98"/>
        <v>0.58579250510071046</v>
      </c>
      <c r="F215" s="303"/>
      <c r="G215" s="302">
        <v>0.20112715888609842</v>
      </c>
      <c r="H215" s="302">
        <v>3.3828602076078199E-2</v>
      </c>
      <c r="I215" s="302">
        <v>0.56277702228584425</v>
      </c>
      <c r="J215" s="302">
        <f t="shared" si="99"/>
        <v>0.79773278324802088</v>
      </c>
      <c r="K215" s="303"/>
      <c r="L215" s="302">
        <v>0.19781506269883137</v>
      </c>
      <c r="M215" s="302">
        <v>3.6858350408179842E-2</v>
      </c>
      <c r="N215" s="302">
        <v>0.50210142197852936</v>
      </c>
      <c r="O215" s="302">
        <f t="shared" si="100"/>
        <v>0.73677483508554054</v>
      </c>
    </row>
    <row r="216" spans="1:15" s="236" customFormat="1" x14ac:dyDescent="0.2">
      <c r="A216" s="237" t="str">
        <f>name!E$7</f>
        <v>Administrative and secretarial occupations</v>
      </c>
      <c r="B216" s="302">
        <v>0.19533982901539984</v>
      </c>
      <c r="C216" s="302">
        <v>9.4793955682487871E-2</v>
      </c>
      <c r="D216" s="302">
        <v>2.4622753797503828E-2</v>
      </c>
      <c r="E216" s="302">
        <f t="shared" si="98"/>
        <v>0.31475653849539154</v>
      </c>
      <c r="F216" s="303"/>
      <c r="G216" s="302">
        <v>0.18420391748090356</v>
      </c>
      <c r="H216" s="302">
        <v>7.3578085081009423E-2</v>
      </c>
      <c r="I216" s="302">
        <v>3.7694642919479895E-2</v>
      </c>
      <c r="J216" s="302">
        <f t="shared" si="99"/>
        <v>0.29547664548139285</v>
      </c>
      <c r="K216" s="303"/>
      <c r="L216" s="302">
        <v>0.15878065817103573</v>
      </c>
      <c r="M216" s="302">
        <v>6.824071410206474E-2</v>
      </c>
      <c r="N216" s="302">
        <v>2.7050672842717841E-2</v>
      </c>
      <c r="O216" s="302">
        <f t="shared" si="100"/>
        <v>0.25407204511581832</v>
      </c>
    </row>
    <row r="217" spans="1:15" s="236" customFormat="1" x14ac:dyDescent="0.2">
      <c r="A217" s="237" t="str">
        <f>name!E$8</f>
        <v>Skilled trades occupations</v>
      </c>
      <c r="B217" s="302">
        <v>0.1140813806324721</v>
      </c>
      <c r="C217" s="302">
        <v>2.7440085123147481E-2</v>
      </c>
      <c r="D217" s="302">
        <v>9.847973413058711E-2</v>
      </c>
      <c r="E217" s="302">
        <f t="shared" si="98"/>
        <v>0.24000119988620669</v>
      </c>
      <c r="F217" s="303"/>
      <c r="G217" s="302">
        <v>0.10761363945176083</v>
      </c>
      <c r="H217" s="302">
        <v>1.3617343509558457E-2</v>
      </c>
      <c r="I217" s="302">
        <v>9.2613478473998367E-2</v>
      </c>
      <c r="J217" s="302">
        <f>SUM(G217:I217)</f>
        <v>0.21384446143531766</v>
      </c>
      <c r="K217" s="303"/>
      <c r="L217" s="302">
        <v>7.7405231475935407E-2</v>
      </c>
      <c r="M217" s="302">
        <v>1.4282399130444507E-2</v>
      </c>
      <c r="N217" s="302">
        <v>0.10854346715480168</v>
      </c>
      <c r="O217" s="302">
        <f t="shared" si="100"/>
        <v>0.20023109776118159</v>
      </c>
    </row>
    <row r="218" spans="1:15" s="236" customFormat="1" x14ac:dyDescent="0.2">
      <c r="A218" s="237" t="str">
        <f>name!E$9</f>
        <v>Caring, leisure and other service occupations</v>
      </c>
      <c r="B218" s="302">
        <v>4.7947400895566844E-2</v>
      </c>
      <c r="C218" s="302">
        <v>2.5944760931270103E-2</v>
      </c>
      <c r="D218" s="302">
        <v>1.9708184036001147E-2</v>
      </c>
      <c r="E218" s="302">
        <f t="shared" si="98"/>
        <v>9.3600345862838094E-2</v>
      </c>
      <c r="F218" s="303"/>
      <c r="G218" s="302">
        <v>6.4594637653596382E-2</v>
      </c>
      <c r="H218" s="302">
        <v>3.7191638791897241E-2</v>
      </c>
      <c r="I218" s="302">
        <v>4.0390826366810309E-2</v>
      </c>
      <c r="J218" s="302">
        <f t="shared" ref="J218:J221" si="101">SUM(G218:I218)</f>
        <v>0.14217710281230395</v>
      </c>
      <c r="K218" s="303"/>
      <c r="L218" s="302">
        <v>6.916667010736105E-2</v>
      </c>
      <c r="M218" s="302">
        <v>3.2529647683364263E-2</v>
      </c>
      <c r="N218" s="302">
        <v>4.3991920712400594E-2</v>
      </c>
      <c r="O218" s="302">
        <f t="shared" si="100"/>
        <v>0.1456882385031259</v>
      </c>
    </row>
    <row r="219" spans="1:15" s="236" customFormat="1" x14ac:dyDescent="0.2">
      <c r="A219" s="237" t="str">
        <f>name!E$10</f>
        <v>Sales and customer service occupations</v>
      </c>
      <c r="B219" s="302">
        <v>8.2687113141853869E-2</v>
      </c>
      <c r="C219" s="302">
        <v>4.1925214899945988E-2</v>
      </c>
      <c r="D219" s="302">
        <v>2.1373225766699835E-2</v>
      </c>
      <c r="E219" s="302">
        <f t="shared" si="98"/>
        <v>0.1459855538084997</v>
      </c>
      <c r="F219" s="303"/>
      <c r="G219" s="302">
        <v>9.0726196456574162E-2</v>
      </c>
      <c r="H219" s="302">
        <v>4.5907563865714922E-2</v>
      </c>
      <c r="I219" s="302">
        <v>2.2338613033114109E-2</v>
      </c>
      <c r="J219" s="302">
        <f t="shared" si="101"/>
        <v>0.15897237335540318</v>
      </c>
      <c r="K219" s="303"/>
      <c r="L219" s="302">
        <v>0.10966344511214388</v>
      </c>
      <c r="M219" s="302">
        <v>5.3388332101334895E-2</v>
      </c>
      <c r="N219" s="302">
        <v>1.7564595659317079E-2</v>
      </c>
      <c r="O219" s="302">
        <f t="shared" si="100"/>
        <v>0.18061637287279586</v>
      </c>
    </row>
    <row r="220" spans="1:15" s="236" customFormat="1" x14ac:dyDescent="0.2">
      <c r="A220" s="237" t="str">
        <f>name!E$11</f>
        <v>Process, plant and machine operatives</v>
      </c>
      <c r="B220" s="302">
        <v>4.2586735340981813E-2</v>
      </c>
      <c r="C220" s="302">
        <v>3.0251571624582647E-2</v>
      </c>
      <c r="D220" s="302">
        <v>2.1744654700621056E-2</v>
      </c>
      <c r="E220" s="302">
        <f t="shared" si="98"/>
        <v>9.4582961666185517E-2</v>
      </c>
      <c r="F220" s="303"/>
      <c r="G220" s="302">
        <v>4.0723455704412562E-2</v>
      </c>
      <c r="H220" s="302">
        <v>1.4420489044993627E-2</v>
      </c>
      <c r="I220" s="302">
        <v>2.6033652487115092E-2</v>
      </c>
      <c r="J220" s="302">
        <f t="shared" si="101"/>
        <v>8.1177597236521279E-2</v>
      </c>
      <c r="K220" s="303"/>
      <c r="L220" s="302">
        <v>4.152797975491674E-2</v>
      </c>
      <c r="M220" s="302">
        <v>2.0068125464538736E-2</v>
      </c>
      <c r="N220" s="302">
        <v>4.05175640056291E-2</v>
      </c>
      <c r="O220" s="302">
        <f t="shared" si="100"/>
        <v>0.10211366922508458</v>
      </c>
    </row>
    <row r="221" spans="1:15" s="236" customFormat="1" x14ac:dyDescent="0.2">
      <c r="A221" s="237" t="str">
        <f>name!E$12</f>
        <v>Elementary occupations</v>
      </c>
      <c r="B221" s="302">
        <v>0.1434054258318897</v>
      </c>
      <c r="C221" s="302">
        <v>0.12265958249154167</v>
      </c>
      <c r="D221" s="302">
        <v>9.3320506025361266E-2</v>
      </c>
      <c r="E221" s="302">
        <f t="shared" si="98"/>
        <v>0.35938551434879262</v>
      </c>
      <c r="F221" s="303"/>
      <c r="G221" s="302">
        <v>0.21285700295576465</v>
      </c>
      <c r="H221" s="302">
        <v>0.13220008881123463</v>
      </c>
      <c r="I221" s="302">
        <v>0.14840730283796677</v>
      </c>
      <c r="J221" s="302">
        <f t="shared" si="101"/>
        <v>0.49346439460496605</v>
      </c>
      <c r="K221" s="303"/>
      <c r="L221" s="302">
        <v>0.20328949290206036</v>
      </c>
      <c r="M221" s="302">
        <v>0.14439410027917515</v>
      </c>
      <c r="N221" s="302">
        <v>0.20418522036909695</v>
      </c>
      <c r="O221" s="302">
        <f t="shared" si="100"/>
        <v>0.55186881355033246</v>
      </c>
    </row>
    <row r="222" spans="1:15" s="236" customFormat="1" x14ac:dyDescent="0.2">
      <c r="A222" s="237"/>
      <c r="B222" s="302"/>
      <c r="C222" s="302"/>
      <c r="D222" s="302"/>
      <c r="E222" s="302"/>
      <c r="F222" s="303"/>
      <c r="G222" s="302"/>
      <c r="H222" s="302"/>
      <c r="I222" s="302"/>
      <c r="J222" s="302"/>
      <c r="K222" s="303"/>
      <c r="L222" s="302"/>
      <c r="M222" s="302"/>
      <c r="N222" s="302"/>
      <c r="O222" s="302"/>
    </row>
    <row r="223" spans="1:15" s="236" customFormat="1" x14ac:dyDescent="0.2">
      <c r="A223" s="244" t="s">
        <v>33</v>
      </c>
      <c r="B223" s="311">
        <f>SUM(B213:B221)</f>
        <v>1.2413763578170787</v>
      </c>
      <c r="C223" s="311">
        <f t="shared" ref="C223:E223" si="102">SUM(C213:C221)</f>
        <v>0.44054121406139951</v>
      </c>
      <c r="D223" s="311">
        <f t="shared" si="102"/>
        <v>0.88108242812152471</v>
      </c>
      <c r="E223" s="311">
        <f t="shared" si="102"/>
        <v>2.5630000000000024</v>
      </c>
      <c r="F223" s="311"/>
      <c r="G223" s="311">
        <f t="shared" ref="G223:J223" si="103">SUM(G213:G221)</f>
        <v>1.2778864530623935</v>
      </c>
      <c r="H223" s="311">
        <f t="shared" si="103"/>
        <v>0.38841236649945693</v>
      </c>
      <c r="I223" s="311">
        <f t="shared" si="103"/>
        <v>1.2297011804381515</v>
      </c>
      <c r="J223" s="311">
        <f t="shared" si="103"/>
        <v>2.8960000000000021</v>
      </c>
      <c r="K223" s="311"/>
      <c r="L223" s="311">
        <f t="shared" ref="L223:O223" si="104">SUM(L213:L221)</f>
        <v>1.2782098153935206</v>
      </c>
      <c r="M223" s="311">
        <f t="shared" si="104"/>
        <v>0.42032687977964517</v>
      </c>
      <c r="N223" s="311">
        <f t="shared" si="104"/>
        <v>1.1894633048268324</v>
      </c>
      <c r="O223" s="311">
        <f t="shared" si="104"/>
        <v>2.8879999999999981</v>
      </c>
    </row>
    <row r="224" spans="1:15" s="236" customFormat="1" x14ac:dyDescent="0.2">
      <c r="A224" s="237"/>
      <c r="B224" s="237"/>
      <c r="C224" s="237"/>
      <c r="D224" s="237"/>
      <c r="E224" s="237"/>
      <c r="F224" s="237"/>
      <c r="G224" s="237"/>
      <c r="H224" s="237"/>
      <c r="I224" s="237"/>
      <c r="J224" s="237"/>
      <c r="K224" s="237"/>
      <c r="L224" s="237"/>
      <c r="M224" s="237"/>
      <c r="N224" s="240"/>
    </row>
    <row r="225" spans="1:15" s="236" customFormat="1" x14ac:dyDescent="0.2">
      <c r="A225" s="237"/>
      <c r="B225" s="237"/>
      <c r="C225" s="237"/>
      <c r="D225" s="237"/>
      <c r="E225" s="237"/>
      <c r="F225" s="237"/>
      <c r="G225" s="237"/>
      <c r="H225" s="237"/>
      <c r="I225" s="237"/>
      <c r="J225" s="237"/>
      <c r="K225" s="237"/>
      <c r="L225" s="237"/>
      <c r="M225" s="237"/>
      <c r="N225" s="240"/>
      <c r="O225" s="251" t="s">
        <v>36</v>
      </c>
    </row>
    <row r="226" spans="1:15" s="236" customFormat="1" x14ac:dyDescent="0.2">
      <c r="A226" s="242"/>
      <c r="B226" s="242"/>
      <c r="C226" s="242"/>
      <c r="D226" s="242"/>
      <c r="E226" s="242"/>
      <c r="F226" s="242"/>
      <c r="G226" s="242"/>
      <c r="H226" s="242"/>
      <c r="I226" s="242"/>
      <c r="J226" s="242"/>
      <c r="K226" s="242"/>
      <c r="L226" s="242"/>
      <c r="M226" s="242"/>
      <c r="N226" s="242"/>
      <c r="O226" s="242"/>
    </row>
    <row r="227" spans="1:15" s="236" customFormat="1" x14ac:dyDescent="0.2">
      <c r="A227" s="241" t="str">
        <f>name!B16</f>
        <v>Information technology</v>
      </c>
      <c r="B227" s="377">
        <f>$B$6</f>
        <v>2015</v>
      </c>
      <c r="C227" s="377"/>
      <c r="D227" s="377"/>
      <c r="E227" s="377"/>
      <c r="F227" s="263"/>
      <c r="G227" s="377">
        <f>$G$6</f>
        <v>2020</v>
      </c>
      <c r="H227" s="377"/>
      <c r="I227" s="377"/>
      <c r="J227" s="377"/>
      <c r="K227" s="263"/>
      <c r="L227" s="377">
        <f>$L$6</f>
        <v>2035</v>
      </c>
      <c r="M227" s="377"/>
      <c r="N227" s="377"/>
      <c r="O227" s="377"/>
    </row>
    <row r="228" spans="1:15" s="236" customFormat="1" x14ac:dyDescent="0.2">
      <c r="A228" s="254"/>
      <c r="B228" s="268" t="str">
        <f>$B$7</f>
        <v>FT</v>
      </c>
      <c r="C228" s="268" t="str">
        <f>$C$7</f>
        <v>PT</v>
      </c>
      <c r="D228" s="268" t="str">
        <f>$D$7</f>
        <v>SE</v>
      </c>
      <c r="E228" s="268" t="str">
        <f>$E$7</f>
        <v>Total</v>
      </c>
      <c r="F228" s="268"/>
      <c r="G228" s="268" t="str">
        <f>$G$7</f>
        <v>FT</v>
      </c>
      <c r="H228" s="268" t="str">
        <f>$H$7</f>
        <v>PT</v>
      </c>
      <c r="I228" s="268" t="str">
        <f>$I$7</f>
        <v>SE</v>
      </c>
      <c r="J228" s="268" t="str">
        <f>$J$7</f>
        <v>Total</v>
      </c>
      <c r="K228" s="268"/>
      <c r="L228" s="268" t="str">
        <f>$L$7</f>
        <v>FT</v>
      </c>
      <c r="M228" s="268" t="str">
        <f>$M$7</f>
        <v>PT</v>
      </c>
      <c r="N228" s="268" t="str">
        <f>$N$7</f>
        <v>SE</v>
      </c>
      <c r="O228" s="268" t="str">
        <f>$O$7</f>
        <v>Total</v>
      </c>
    </row>
    <row r="229" spans="1:15" s="236" customFormat="1" x14ac:dyDescent="0.2">
      <c r="A229" s="258"/>
      <c r="B229" s="239"/>
      <c r="C229" s="239"/>
      <c r="D229" s="239"/>
      <c r="E229" s="239"/>
      <c r="F229" s="239"/>
      <c r="G229" s="239"/>
      <c r="H229" s="239"/>
      <c r="I229" s="239"/>
      <c r="J229" s="239"/>
      <c r="K229" s="239"/>
      <c r="L229" s="239"/>
      <c r="M229" s="239"/>
      <c r="N229" s="239"/>
      <c r="O229" s="239"/>
    </row>
    <row r="230" spans="1:15" s="236" customFormat="1" x14ac:dyDescent="0.2">
      <c r="A230" s="237" t="str">
        <f>name!E$4</f>
        <v>Managers, directors and senior officials</v>
      </c>
      <c r="B230" s="302">
        <v>0.83155653164461474</v>
      </c>
      <c r="C230" s="302">
        <v>0.13031032241878659</v>
      </c>
      <c r="D230" s="302">
        <v>6.6651751280210045E-2</v>
      </c>
      <c r="E230" s="302">
        <f>SUM(B230:D230)</f>
        <v>1.0285186053436113</v>
      </c>
      <c r="F230" s="303"/>
      <c r="G230" s="302">
        <v>0.58023584413572427</v>
      </c>
      <c r="H230" s="302">
        <v>5.3473519437455382E-2</v>
      </c>
      <c r="I230" s="302">
        <v>4.1316815817545108E-2</v>
      </c>
      <c r="J230" s="302">
        <f>SUM(G230:I230)</f>
        <v>0.67502617939072473</v>
      </c>
      <c r="K230" s="303"/>
      <c r="L230" s="302">
        <v>0.66386306099968329</v>
      </c>
      <c r="M230" s="302">
        <v>6.3656902685922556E-2</v>
      </c>
      <c r="N230" s="302">
        <v>4.4211201208591289E-2</v>
      </c>
      <c r="O230" s="302">
        <f>SUM(L230:N230)</f>
        <v>0.77173116489419713</v>
      </c>
    </row>
    <row r="231" spans="1:15" s="236" customFormat="1" x14ac:dyDescent="0.2">
      <c r="A231" s="237" t="str">
        <f>name!E$5</f>
        <v>Professional occupations</v>
      </c>
      <c r="B231" s="302">
        <v>2.6048234999678237</v>
      </c>
      <c r="C231" s="302">
        <v>0.1194299771792301</v>
      </c>
      <c r="D231" s="302">
        <v>0.18044625095550459</v>
      </c>
      <c r="E231" s="302">
        <f t="shared" ref="E231:E238" si="105">SUM(B231:D231)</f>
        <v>2.9046997281025586</v>
      </c>
      <c r="F231" s="303"/>
      <c r="G231" s="302">
        <v>2.0486069023191549</v>
      </c>
      <c r="H231" s="302">
        <v>5.1353383097174458E-2</v>
      </c>
      <c r="I231" s="302">
        <v>9.6387687911981934E-2</v>
      </c>
      <c r="J231" s="302">
        <f t="shared" ref="J231:J233" si="106">SUM(G231:I231)</f>
        <v>2.1963479733283116</v>
      </c>
      <c r="K231" s="303"/>
      <c r="L231" s="302">
        <v>2.6356682949480592</v>
      </c>
      <c r="M231" s="302">
        <v>6.7587193163556672E-2</v>
      </c>
      <c r="N231" s="302">
        <v>0.10353325997393897</v>
      </c>
      <c r="O231" s="302">
        <f t="shared" ref="O231:O238" si="107">SUM(L231:N231)</f>
        <v>2.8067887480855549</v>
      </c>
    </row>
    <row r="232" spans="1:15" s="236" customFormat="1" x14ac:dyDescent="0.2">
      <c r="A232" s="237" t="str">
        <f>name!E$6</f>
        <v>Associate professional occupations</v>
      </c>
      <c r="B232" s="302">
        <v>1.2457900851683514</v>
      </c>
      <c r="C232" s="302">
        <v>0.14221212050756032</v>
      </c>
      <c r="D232" s="302">
        <v>9.4666242890393215E-2</v>
      </c>
      <c r="E232" s="302">
        <f t="shared" si="105"/>
        <v>1.4826684485663051</v>
      </c>
      <c r="F232" s="303"/>
      <c r="G232" s="302">
        <v>0.90778082102580449</v>
      </c>
      <c r="H232" s="302">
        <v>6.028409165490272E-2</v>
      </c>
      <c r="I232" s="302">
        <v>8.2124907552652601E-2</v>
      </c>
      <c r="J232" s="302">
        <f t="shared" si="106"/>
        <v>1.0501898202333597</v>
      </c>
      <c r="K232" s="303"/>
      <c r="L232" s="302">
        <v>1.0488020818433685</v>
      </c>
      <c r="M232" s="302">
        <v>6.0358886374526806E-2</v>
      </c>
      <c r="N232" s="302">
        <v>8.6681864903542627E-2</v>
      </c>
      <c r="O232" s="302">
        <f t="shared" si="107"/>
        <v>1.1958428331214379</v>
      </c>
    </row>
    <row r="233" spans="1:15" s="236" customFormat="1" x14ac:dyDescent="0.2">
      <c r="A233" s="237" t="str">
        <f>name!E$7</f>
        <v>Administrative and secretarial occupations</v>
      </c>
      <c r="B233" s="302">
        <v>0.67654641047308517</v>
      </c>
      <c r="C233" s="302">
        <v>0.28415614979517884</v>
      </c>
      <c r="D233" s="302">
        <v>4.0086400794900334E-2</v>
      </c>
      <c r="E233" s="302">
        <f t="shared" si="105"/>
        <v>1.0007889610631642</v>
      </c>
      <c r="F233" s="303"/>
      <c r="G233" s="302">
        <v>0.40270199222938313</v>
      </c>
      <c r="H233" s="302">
        <v>8.8632358182089657E-2</v>
      </c>
      <c r="I233" s="302">
        <v>1.8187063977513726E-2</v>
      </c>
      <c r="J233" s="302">
        <f t="shared" si="106"/>
        <v>0.50952141438898646</v>
      </c>
      <c r="K233" s="303"/>
      <c r="L233" s="302">
        <v>0.40467066257201167</v>
      </c>
      <c r="M233" s="302">
        <v>9.0874870654075457E-2</v>
      </c>
      <c r="N233" s="302">
        <v>1.1725684193639107E-2</v>
      </c>
      <c r="O233" s="302">
        <f t="shared" si="107"/>
        <v>0.50727121741972625</v>
      </c>
    </row>
    <row r="234" spans="1:15" s="236" customFormat="1" x14ac:dyDescent="0.2">
      <c r="A234" s="237" t="str">
        <f>name!E$8</f>
        <v>Skilled trades occupations</v>
      </c>
      <c r="B234" s="302">
        <v>0.52562553653500155</v>
      </c>
      <c r="C234" s="302">
        <v>7.0273055159013414E-2</v>
      </c>
      <c r="D234" s="302">
        <v>6.5344042480609793E-2</v>
      </c>
      <c r="E234" s="302">
        <f t="shared" si="105"/>
        <v>0.6612426341746247</v>
      </c>
      <c r="F234" s="303"/>
      <c r="G234" s="302">
        <v>0.29548694820219334</v>
      </c>
      <c r="H234" s="302">
        <v>1.8947581552753397E-2</v>
      </c>
      <c r="I234" s="302">
        <v>2.5709476847603913E-2</v>
      </c>
      <c r="J234" s="302">
        <f>SUM(G234:I234)</f>
        <v>0.34014400660255062</v>
      </c>
      <c r="K234" s="303"/>
      <c r="L234" s="302">
        <v>0.19865982810879521</v>
      </c>
      <c r="M234" s="302">
        <v>2.1512789987983612E-2</v>
      </c>
      <c r="N234" s="302">
        <v>4.6029496616201877E-2</v>
      </c>
      <c r="O234" s="302">
        <f t="shared" si="107"/>
        <v>0.26620211471298072</v>
      </c>
    </row>
    <row r="235" spans="1:15" s="236" customFormat="1" x14ac:dyDescent="0.2">
      <c r="A235" s="237" t="str">
        <f>name!E$9</f>
        <v>Caring, leisure and other service occupations</v>
      </c>
      <c r="B235" s="302">
        <v>0.17244425635087202</v>
      </c>
      <c r="C235" s="302">
        <v>4.3627332193106667E-2</v>
      </c>
      <c r="D235" s="302">
        <v>2.1242354711495992E-2</v>
      </c>
      <c r="E235" s="302">
        <f t="shared" si="105"/>
        <v>0.23731394325547467</v>
      </c>
      <c r="F235" s="303"/>
      <c r="G235" s="302">
        <v>0.1152343643899465</v>
      </c>
      <c r="H235" s="302">
        <v>1.9835891348331233E-2</v>
      </c>
      <c r="I235" s="302">
        <v>1.7803472201149778E-2</v>
      </c>
      <c r="J235" s="302">
        <f t="shared" ref="J235:J238" si="108">SUM(G235:I235)</f>
        <v>0.15287372793942752</v>
      </c>
      <c r="K235" s="303"/>
      <c r="L235" s="302">
        <v>0.17420591522017356</v>
      </c>
      <c r="M235" s="302">
        <v>2.2735399057424291E-2</v>
      </c>
      <c r="N235" s="302">
        <v>2.6379855846835516E-2</v>
      </c>
      <c r="O235" s="302">
        <f t="shared" si="107"/>
        <v>0.22332117012443339</v>
      </c>
    </row>
    <row r="236" spans="1:15" s="236" customFormat="1" x14ac:dyDescent="0.2">
      <c r="A236" s="237" t="str">
        <f>name!E$10</f>
        <v>Sales and customer service occupations</v>
      </c>
      <c r="B236" s="302">
        <v>0.44932853719846672</v>
      </c>
      <c r="C236" s="302">
        <v>0.35946717179677046</v>
      </c>
      <c r="D236" s="302">
        <v>2.002345840426387E-2</v>
      </c>
      <c r="E236" s="302">
        <f t="shared" si="105"/>
        <v>0.82881916739950101</v>
      </c>
      <c r="F236" s="303"/>
      <c r="G236" s="302">
        <v>0.24637399771159535</v>
      </c>
      <c r="H236" s="302">
        <v>9.3645735329141264E-2</v>
      </c>
      <c r="I236" s="302">
        <v>6.5635429235394527E-3</v>
      </c>
      <c r="J236" s="302">
        <f t="shared" si="108"/>
        <v>0.34658327596427607</v>
      </c>
      <c r="K236" s="303"/>
      <c r="L236" s="302">
        <v>0.3416652833717797</v>
      </c>
      <c r="M236" s="302">
        <v>0.13774845102025052</v>
      </c>
      <c r="N236" s="302">
        <v>8.3873666947958826E-3</v>
      </c>
      <c r="O236" s="302">
        <f t="shared" si="107"/>
        <v>0.48780110108682612</v>
      </c>
    </row>
    <row r="237" spans="1:15" s="236" customFormat="1" x14ac:dyDescent="0.2">
      <c r="A237" s="237" t="str">
        <f>name!E$11</f>
        <v>Process, plant and machine operatives</v>
      </c>
      <c r="B237" s="302">
        <v>6.0221746364119248E-2</v>
      </c>
      <c r="C237" s="302">
        <v>4.858335750244739E-2</v>
      </c>
      <c r="D237" s="302">
        <v>1.8849349531875458E-2</v>
      </c>
      <c r="E237" s="302">
        <f t="shared" si="105"/>
        <v>0.12765445339844209</v>
      </c>
      <c r="F237" s="303"/>
      <c r="G237" s="302">
        <v>3.9174612306496458E-2</v>
      </c>
      <c r="H237" s="302">
        <v>2.49305879152181E-2</v>
      </c>
      <c r="I237" s="302">
        <v>1.0221555514372482E-2</v>
      </c>
      <c r="J237" s="302">
        <f t="shared" si="108"/>
        <v>7.4326755736087047E-2</v>
      </c>
      <c r="K237" s="303"/>
      <c r="L237" s="302">
        <v>4.6613229288705212E-2</v>
      </c>
      <c r="M237" s="302">
        <v>3.1773833638463839E-2</v>
      </c>
      <c r="N237" s="302">
        <v>1.8464221470938326E-2</v>
      </c>
      <c r="O237" s="302">
        <f t="shared" si="107"/>
        <v>9.6851284398107362E-2</v>
      </c>
    </row>
    <row r="238" spans="1:15" s="236" customFormat="1" x14ac:dyDescent="0.2">
      <c r="A238" s="237" t="str">
        <f>name!E$12</f>
        <v>Elementary occupations</v>
      </c>
      <c r="B238" s="302">
        <v>0.15914256663272516</v>
      </c>
      <c r="C238" s="302">
        <v>5.0482438655492158E-2</v>
      </c>
      <c r="D238" s="302">
        <v>5.566905340811594E-2</v>
      </c>
      <c r="E238" s="302">
        <f t="shared" si="105"/>
        <v>0.26529405869633327</v>
      </c>
      <c r="F238" s="303"/>
      <c r="G238" s="302">
        <v>0.18246292787810947</v>
      </c>
      <c r="H238" s="302">
        <v>6.043549721980946E-2</v>
      </c>
      <c r="I238" s="302">
        <v>4.908842131835392E-2</v>
      </c>
      <c r="J238" s="302">
        <f t="shared" si="108"/>
        <v>0.29198684641627282</v>
      </c>
      <c r="K238" s="303"/>
      <c r="L238" s="302">
        <v>0.22273740076562903</v>
      </c>
      <c r="M238" s="302">
        <v>5.881413879080323E-2</v>
      </c>
      <c r="N238" s="302">
        <v>7.9638826600294074E-2</v>
      </c>
      <c r="O238" s="302">
        <f t="shared" si="107"/>
        <v>0.36119036615672634</v>
      </c>
    </row>
    <row r="239" spans="1:15" s="236" customFormat="1" x14ac:dyDescent="0.2">
      <c r="A239" s="237"/>
      <c r="B239" s="302"/>
      <c r="C239" s="302"/>
      <c r="D239" s="302"/>
      <c r="E239" s="302"/>
      <c r="F239" s="303"/>
      <c r="G239" s="302"/>
      <c r="H239" s="302"/>
      <c r="I239" s="302"/>
      <c r="J239" s="302"/>
      <c r="K239" s="303"/>
      <c r="L239" s="302"/>
      <c r="M239" s="302"/>
      <c r="N239" s="302"/>
      <c r="O239" s="302"/>
    </row>
    <row r="240" spans="1:15" s="236" customFormat="1" x14ac:dyDescent="0.2">
      <c r="A240" s="244" t="s">
        <v>33</v>
      </c>
      <c r="B240" s="311">
        <f>SUM(B230:B238)</f>
        <v>6.7254791703350589</v>
      </c>
      <c r="C240" s="311">
        <f t="shared" ref="C240:E240" si="109">SUM(C230:C238)</f>
        <v>1.248541925207586</v>
      </c>
      <c r="D240" s="311">
        <f t="shared" si="109"/>
        <v>0.56297890445736931</v>
      </c>
      <c r="E240" s="311">
        <f t="shared" si="109"/>
        <v>8.537000000000015</v>
      </c>
      <c r="F240" s="311"/>
      <c r="G240" s="311">
        <f t="shared" ref="G240:J240" si="110">SUM(G230:G238)</f>
        <v>4.8180584101984074</v>
      </c>
      <c r="H240" s="311">
        <f t="shared" si="110"/>
        <v>0.47153864573687565</v>
      </c>
      <c r="I240" s="311">
        <f t="shared" si="110"/>
        <v>0.34740294406471295</v>
      </c>
      <c r="J240" s="311">
        <f t="shared" si="110"/>
        <v>5.6369999999999969</v>
      </c>
      <c r="K240" s="311"/>
      <c r="L240" s="311">
        <f t="shared" ref="L240:O240" si="111">SUM(L230:L238)</f>
        <v>5.7368857571182046</v>
      </c>
      <c r="M240" s="311">
        <f t="shared" si="111"/>
        <v>0.55506246537300696</v>
      </c>
      <c r="N240" s="311">
        <f t="shared" si="111"/>
        <v>0.42505177750877771</v>
      </c>
      <c r="O240" s="311">
        <f t="shared" si="111"/>
        <v>6.716999999999989</v>
      </c>
    </row>
    <row r="241" spans="1:15" s="236" customFormat="1" x14ac:dyDescent="0.2">
      <c r="A241" s="237"/>
      <c r="B241" s="237"/>
      <c r="C241" s="237"/>
      <c r="D241" s="237"/>
      <c r="E241" s="237"/>
      <c r="F241" s="237"/>
      <c r="G241" s="237"/>
      <c r="H241" s="237"/>
      <c r="I241" s="237"/>
      <c r="J241" s="237"/>
      <c r="K241" s="237"/>
      <c r="L241" s="237"/>
      <c r="M241" s="237"/>
      <c r="N241" s="240"/>
    </row>
    <row r="242" spans="1:15" s="236" customFormat="1" x14ac:dyDescent="0.2">
      <c r="A242" s="237"/>
      <c r="B242" s="237"/>
      <c r="C242" s="237"/>
      <c r="D242" s="237"/>
      <c r="E242" s="237"/>
      <c r="F242" s="237"/>
      <c r="G242" s="237"/>
      <c r="H242" s="237"/>
      <c r="I242" s="237"/>
      <c r="J242" s="237"/>
      <c r="K242" s="237"/>
      <c r="L242" s="237"/>
      <c r="M242" s="237"/>
      <c r="N242" s="240"/>
      <c r="O242" s="251" t="s">
        <v>36</v>
      </c>
    </row>
    <row r="243" spans="1:15" s="236" customFormat="1" x14ac:dyDescent="0.2">
      <c r="A243" s="242"/>
      <c r="B243" s="242"/>
      <c r="C243" s="242"/>
      <c r="D243" s="242"/>
      <c r="E243" s="242"/>
      <c r="F243" s="242"/>
      <c r="G243" s="242"/>
      <c r="H243" s="242"/>
      <c r="I243" s="242"/>
      <c r="J243" s="242"/>
      <c r="K243" s="242"/>
      <c r="L243" s="242"/>
      <c r="M243" s="242"/>
      <c r="N243" s="242"/>
      <c r="O243" s="242"/>
    </row>
    <row r="244" spans="1:15" s="236" customFormat="1" x14ac:dyDescent="0.2">
      <c r="A244" s="241" t="str">
        <f>name!B17</f>
        <v>Finance and insurance</v>
      </c>
      <c r="B244" s="377">
        <f>$B$6</f>
        <v>2015</v>
      </c>
      <c r="C244" s="377"/>
      <c r="D244" s="377"/>
      <c r="E244" s="377"/>
      <c r="F244" s="263"/>
      <c r="G244" s="377">
        <f>$G$6</f>
        <v>2020</v>
      </c>
      <c r="H244" s="377"/>
      <c r="I244" s="377"/>
      <c r="J244" s="377"/>
      <c r="K244" s="263"/>
      <c r="L244" s="377">
        <f>$L$6</f>
        <v>2035</v>
      </c>
      <c r="M244" s="377"/>
      <c r="N244" s="377"/>
      <c r="O244" s="377"/>
    </row>
    <row r="245" spans="1:15" s="236" customFormat="1" x14ac:dyDescent="0.2">
      <c r="A245" s="254"/>
      <c r="B245" s="268" t="str">
        <f>$B$7</f>
        <v>FT</v>
      </c>
      <c r="C245" s="268" t="str">
        <f>$C$7</f>
        <v>PT</v>
      </c>
      <c r="D245" s="268" t="str">
        <f>$D$7</f>
        <v>SE</v>
      </c>
      <c r="E245" s="268" t="str">
        <f>$E$7</f>
        <v>Total</v>
      </c>
      <c r="F245" s="268"/>
      <c r="G245" s="268" t="str">
        <f>$G$7</f>
        <v>FT</v>
      </c>
      <c r="H245" s="268" t="str">
        <f>$H$7</f>
        <v>PT</v>
      </c>
      <c r="I245" s="268" t="str">
        <f>$I$7</f>
        <v>SE</v>
      </c>
      <c r="J245" s="268" t="str">
        <f>$J$7</f>
        <v>Total</v>
      </c>
      <c r="K245" s="268"/>
      <c r="L245" s="268" t="str">
        <f>$L$7</f>
        <v>FT</v>
      </c>
      <c r="M245" s="268" t="str">
        <f>$M$7</f>
        <v>PT</v>
      </c>
      <c r="N245" s="268" t="str">
        <f>$N$7</f>
        <v>SE</v>
      </c>
      <c r="O245" s="268" t="str">
        <f>$O$7</f>
        <v>Total</v>
      </c>
    </row>
    <row r="246" spans="1:15" s="236" customFormat="1" x14ac:dyDescent="0.2">
      <c r="A246" s="258"/>
      <c r="B246" s="239"/>
      <c r="C246" s="239"/>
      <c r="D246" s="239"/>
      <c r="E246" s="239"/>
      <c r="F246" s="239"/>
      <c r="G246" s="239"/>
      <c r="H246" s="239"/>
      <c r="I246" s="239"/>
      <c r="J246" s="239"/>
      <c r="K246" s="239"/>
      <c r="L246" s="239"/>
      <c r="M246" s="239"/>
      <c r="N246" s="239"/>
      <c r="O246" s="239"/>
    </row>
    <row r="247" spans="1:15" s="236" customFormat="1" x14ac:dyDescent="0.2">
      <c r="A247" s="237" t="str">
        <f>name!E$4</f>
        <v>Managers, directors and senior officials</v>
      </c>
      <c r="B247" s="302">
        <v>0.72248419070017611</v>
      </c>
      <c r="C247" s="302">
        <v>0.16661161558417642</v>
      </c>
      <c r="D247" s="302">
        <v>9.0239085071373168E-2</v>
      </c>
      <c r="E247" s="302">
        <f>SUM(B247:D247)</f>
        <v>0.97933489135572571</v>
      </c>
      <c r="F247" s="303"/>
      <c r="G247" s="302">
        <v>0.7175341909227273</v>
      </c>
      <c r="H247" s="302">
        <v>0.20272264933018055</v>
      </c>
      <c r="I247" s="302">
        <v>3.5244697017502685E-2</v>
      </c>
      <c r="J247" s="302">
        <f>SUM(G247:I247)</f>
        <v>0.95550153727041054</v>
      </c>
      <c r="K247" s="303"/>
      <c r="L247" s="302">
        <v>0.74603774463462846</v>
      </c>
      <c r="M247" s="302">
        <v>0.29205763288590153</v>
      </c>
      <c r="N247" s="302">
        <v>4.2738168407092124E-2</v>
      </c>
      <c r="O247" s="302">
        <f>SUM(L247:N247)</f>
        <v>1.0808335459276222</v>
      </c>
    </row>
    <row r="248" spans="1:15" s="236" customFormat="1" x14ac:dyDescent="0.2">
      <c r="A248" s="237" t="str">
        <f>name!E$5</f>
        <v>Professional occupations</v>
      </c>
      <c r="B248" s="302">
        <v>1.2029793934748849</v>
      </c>
      <c r="C248" s="302">
        <v>7.9715559523846721E-2</v>
      </c>
      <c r="D248" s="302">
        <v>0.45907733261801026</v>
      </c>
      <c r="E248" s="302">
        <f t="shared" ref="E248:E255" si="112">SUM(B248:D248)</f>
        <v>1.7417722856167419</v>
      </c>
      <c r="F248" s="303"/>
      <c r="G248" s="302">
        <v>1.3930749960142821</v>
      </c>
      <c r="H248" s="302">
        <v>9.5516480438802287E-2</v>
      </c>
      <c r="I248" s="302">
        <v>3.9418373327246521E-2</v>
      </c>
      <c r="J248" s="302">
        <f t="shared" ref="J248:J250" si="113">SUM(G248:I248)</f>
        <v>1.5280098497803309</v>
      </c>
      <c r="K248" s="303"/>
      <c r="L248" s="302">
        <v>1.7762830958689182</v>
      </c>
      <c r="M248" s="302">
        <v>0.11944880989697863</v>
      </c>
      <c r="N248" s="302">
        <v>4.3248826038140002E-2</v>
      </c>
      <c r="O248" s="302">
        <f t="shared" ref="O248:O255" si="114">SUM(L248:N248)</f>
        <v>1.9389807318040369</v>
      </c>
    </row>
    <row r="249" spans="1:15" s="236" customFormat="1" x14ac:dyDescent="0.2">
      <c r="A249" s="237" t="str">
        <f>name!E$6</f>
        <v>Associate professional occupations</v>
      </c>
      <c r="B249" s="302">
        <v>1.2907997893887091</v>
      </c>
      <c r="C249" s="302">
        <v>0.17386660077994856</v>
      </c>
      <c r="D249" s="302">
        <v>0.21088137326201428</v>
      </c>
      <c r="E249" s="302">
        <f t="shared" si="112"/>
        <v>1.6755477634306719</v>
      </c>
      <c r="F249" s="303"/>
      <c r="G249" s="302">
        <v>1.3398650574197204</v>
      </c>
      <c r="H249" s="302">
        <v>0.17004441346348381</v>
      </c>
      <c r="I249" s="302">
        <v>4.9878001843522639E-2</v>
      </c>
      <c r="J249" s="302">
        <f t="shared" si="113"/>
        <v>1.5597874727267267</v>
      </c>
      <c r="K249" s="303"/>
      <c r="L249" s="302">
        <v>1.2841179105242431</v>
      </c>
      <c r="M249" s="302">
        <v>0.19042247328159956</v>
      </c>
      <c r="N249" s="302">
        <v>4.5440763107542199E-2</v>
      </c>
      <c r="O249" s="302">
        <f t="shared" si="114"/>
        <v>1.5199811469133848</v>
      </c>
    </row>
    <row r="250" spans="1:15" s="236" customFormat="1" x14ac:dyDescent="0.2">
      <c r="A250" s="237" t="str">
        <f>name!E$7</f>
        <v>Administrative and secretarial occupations</v>
      </c>
      <c r="B250" s="302">
        <v>2.6183518277268076</v>
      </c>
      <c r="C250" s="302">
        <v>0.73280193644498881</v>
      </c>
      <c r="D250" s="302">
        <v>0.10989347024173135</v>
      </c>
      <c r="E250" s="302">
        <f t="shared" si="112"/>
        <v>3.4610472344135279</v>
      </c>
      <c r="F250" s="303"/>
      <c r="G250" s="302">
        <v>2.326598800233008</v>
      </c>
      <c r="H250" s="302">
        <v>0.58720710502568707</v>
      </c>
      <c r="I250" s="302">
        <v>6.0374833116384743E-3</v>
      </c>
      <c r="J250" s="302">
        <f t="shared" si="113"/>
        <v>2.9198433885703334</v>
      </c>
      <c r="K250" s="303"/>
      <c r="L250" s="302">
        <v>2.0355130060592077</v>
      </c>
      <c r="M250" s="302">
        <v>0.43503200333016745</v>
      </c>
      <c r="N250" s="302">
        <v>8.7586620100989741E-3</v>
      </c>
      <c r="O250" s="302">
        <f t="shared" si="114"/>
        <v>2.4793036713994741</v>
      </c>
    </row>
    <row r="251" spans="1:15" s="236" customFormat="1" x14ac:dyDescent="0.2">
      <c r="A251" s="237" t="str">
        <f>name!E$8</f>
        <v>Skilled trades occupations</v>
      </c>
      <c r="B251" s="302">
        <v>7.3714380404384106E-2</v>
      </c>
      <c r="C251" s="302">
        <v>9.861291436311443E-3</v>
      </c>
      <c r="D251" s="302">
        <v>0.12281536596568798</v>
      </c>
      <c r="E251" s="302">
        <f t="shared" si="112"/>
        <v>0.20639103780638351</v>
      </c>
      <c r="F251" s="303"/>
      <c r="G251" s="302">
        <v>5.2263073735811162E-2</v>
      </c>
      <c r="H251" s="302">
        <v>7.9680902526466785E-3</v>
      </c>
      <c r="I251" s="302">
        <v>9.3311422465137545E-3</v>
      </c>
      <c r="J251" s="302">
        <f>SUM(G251:I251)</f>
        <v>6.9562306234971588E-2</v>
      </c>
      <c r="K251" s="303"/>
      <c r="L251" s="302">
        <v>4.947711308877259E-2</v>
      </c>
      <c r="M251" s="302">
        <v>1.0461948554081698E-2</v>
      </c>
      <c r="N251" s="302">
        <v>1.1144561846247189E-2</v>
      </c>
      <c r="O251" s="302">
        <f t="shared" si="114"/>
        <v>7.108362348910148E-2</v>
      </c>
    </row>
    <row r="252" spans="1:15" s="236" customFormat="1" x14ac:dyDescent="0.2">
      <c r="A252" s="237" t="str">
        <f>name!E$9</f>
        <v>Caring, leisure and other service occupations</v>
      </c>
      <c r="B252" s="302">
        <v>3.928359017879874E-2</v>
      </c>
      <c r="C252" s="302">
        <v>7.7682352124027812E-3</v>
      </c>
      <c r="D252" s="302">
        <v>7.8300885903941284E-3</v>
      </c>
      <c r="E252" s="302">
        <f t="shared" si="112"/>
        <v>5.4881913981595649E-2</v>
      </c>
      <c r="F252" s="303"/>
      <c r="G252" s="302">
        <v>3.6751260327684096E-2</v>
      </c>
      <c r="H252" s="302">
        <v>5.8724268296035846E-3</v>
      </c>
      <c r="I252" s="302">
        <v>1.962232058341464E-3</v>
      </c>
      <c r="J252" s="302">
        <f t="shared" ref="J252:J255" si="115">SUM(G252:I252)</f>
        <v>4.4585919215629148E-2</v>
      </c>
      <c r="K252" s="303"/>
      <c r="L252" s="302">
        <v>4.488101286522922E-2</v>
      </c>
      <c r="M252" s="302">
        <v>5.8557455175795321E-3</v>
      </c>
      <c r="N252" s="302">
        <v>3.5646936747136776E-3</v>
      </c>
      <c r="O252" s="302">
        <f t="shared" si="114"/>
        <v>5.4301452057522424E-2</v>
      </c>
    </row>
    <row r="253" spans="1:15" s="236" customFormat="1" x14ac:dyDescent="0.2">
      <c r="A253" s="237" t="str">
        <f>name!E$10</f>
        <v>Sales and customer service occupations</v>
      </c>
      <c r="B253" s="302">
        <v>0.59348669216393324</v>
      </c>
      <c r="C253" s="302">
        <v>0.2541630526879432</v>
      </c>
      <c r="D253" s="302">
        <v>0.11473997009180099</v>
      </c>
      <c r="E253" s="302">
        <f t="shared" si="112"/>
        <v>0.96238971494367753</v>
      </c>
      <c r="F253" s="303"/>
      <c r="G253" s="302">
        <v>0.51485526974306439</v>
      </c>
      <c r="H253" s="302">
        <v>0.24332198772310035</v>
      </c>
      <c r="I253" s="302">
        <v>5.127228673606995E-3</v>
      </c>
      <c r="J253" s="302">
        <f t="shared" si="115"/>
        <v>0.76330448613977175</v>
      </c>
      <c r="K253" s="303"/>
      <c r="L253" s="302">
        <v>0.62667231618323371</v>
      </c>
      <c r="M253" s="302">
        <v>0.2902224519234522</v>
      </c>
      <c r="N253" s="302">
        <v>5.4028254315734627E-3</v>
      </c>
      <c r="O253" s="302">
        <f t="shared" si="114"/>
        <v>0.92229759353825935</v>
      </c>
    </row>
    <row r="254" spans="1:15" s="236" customFormat="1" x14ac:dyDescent="0.2">
      <c r="A254" s="237" t="str">
        <f>name!E$11</f>
        <v>Process, plant and machine operatives</v>
      </c>
      <c r="B254" s="302">
        <v>3.1600784835740164E-2</v>
      </c>
      <c r="C254" s="302">
        <v>3.025752941701685E-3</v>
      </c>
      <c r="D254" s="302">
        <v>6.5153851362828558E-2</v>
      </c>
      <c r="E254" s="302">
        <f t="shared" si="112"/>
        <v>9.9780389140270404E-2</v>
      </c>
      <c r="F254" s="303"/>
      <c r="G254" s="302">
        <v>2.1958547589210432E-2</v>
      </c>
      <c r="H254" s="302">
        <v>2.613736596233286E-3</v>
      </c>
      <c r="I254" s="302">
        <v>7.5402032166903415E-3</v>
      </c>
      <c r="J254" s="302">
        <f t="shared" si="115"/>
        <v>3.2112487402134057E-2</v>
      </c>
      <c r="K254" s="303"/>
      <c r="L254" s="302">
        <v>2.566591651970699E-2</v>
      </c>
      <c r="M254" s="302">
        <v>4.3579503913177536E-3</v>
      </c>
      <c r="N254" s="302">
        <v>1.283821613651717E-2</v>
      </c>
      <c r="O254" s="302">
        <f t="shared" si="114"/>
        <v>4.2862083047541917E-2</v>
      </c>
    </row>
    <row r="255" spans="1:15" s="236" customFormat="1" x14ac:dyDescent="0.2">
      <c r="A255" s="237" t="str">
        <f>name!E$12</f>
        <v>Elementary occupations</v>
      </c>
      <c r="B255" s="302">
        <v>0.11832808738808111</v>
      </c>
      <c r="C255" s="302">
        <v>1.3820293741313851E-2</v>
      </c>
      <c r="D255" s="302">
        <v>4.5706388182005828E-2</v>
      </c>
      <c r="E255" s="302">
        <f t="shared" si="112"/>
        <v>0.17785476931140076</v>
      </c>
      <c r="F255" s="303"/>
      <c r="G255" s="302">
        <v>8.5205193432011259E-2</v>
      </c>
      <c r="H255" s="302">
        <v>1.1500448449402963E-2</v>
      </c>
      <c r="I255" s="302">
        <v>2.5869107782857687E-3</v>
      </c>
      <c r="J255" s="302">
        <f t="shared" si="115"/>
        <v>9.9292552659699995E-2</v>
      </c>
      <c r="K255" s="303"/>
      <c r="L255" s="302">
        <v>7.9246570528526739E-2</v>
      </c>
      <c r="M255" s="302">
        <v>8.1255276140004603E-3</v>
      </c>
      <c r="N255" s="302">
        <v>3.9840536805339733E-3</v>
      </c>
      <c r="O255" s="302">
        <f t="shared" si="114"/>
        <v>9.1356151823061171E-2</v>
      </c>
    </row>
    <row r="256" spans="1:15" s="236" customFormat="1" x14ac:dyDescent="0.2">
      <c r="A256" s="237"/>
      <c r="B256" s="302"/>
      <c r="C256" s="302"/>
      <c r="D256" s="302"/>
      <c r="E256" s="302"/>
      <c r="F256" s="303"/>
      <c r="G256" s="302"/>
      <c r="H256" s="302"/>
      <c r="I256" s="302"/>
      <c r="J256" s="302"/>
      <c r="K256" s="303"/>
      <c r="L256" s="302"/>
      <c r="M256" s="302"/>
      <c r="N256" s="302"/>
      <c r="O256" s="302"/>
    </row>
    <row r="257" spans="1:15" s="236" customFormat="1" x14ac:dyDescent="0.2">
      <c r="A257" s="244" t="s">
        <v>33</v>
      </c>
      <c r="B257" s="311">
        <f>SUM(B247:B255)</f>
        <v>6.6910287362615151</v>
      </c>
      <c r="C257" s="311">
        <f t="shared" ref="C257:E257" si="116">SUM(C247:C255)</f>
        <v>1.4416343383526335</v>
      </c>
      <c r="D257" s="311">
        <f t="shared" si="116"/>
        <v>1.2263369253858465</v>
      </c>
      <c r="E257" s="311">
        <f t="shared" si="116"/>
        <v>9.3589999999999964</v>
      </c>
      <c r="F257" s="311"/>
      <c r="G257" s="311">
        <f t="shared" ref="G257:J257" si="117">SUM(G247:G255)</f>
        <v>6.4881063894175188</v>
      </c>
      <c r="H257" s="311">
        <f t="shared" si="117"/>
        <v>1.3267673381091405</v>
      </c>
      <c r="I257" s="311">
        <f t="shared" si="117"/>
        <v>0.15712627247334865</v>
      </c>
      <c r="J257" s="311">
        <f t="shared" si="117"/>
        <v>7.9720000000000102</v>
      </c>
      <c r="K257" s="311"/>
      <c r="L257" s="311">
        <f t="shared" ref="L257:O257" si="118">SUM(L247:L255)</f>
        <v>6.6678946862724668</v>
      </c>
      <c r="M257" s="311">
        <f t="shared" si="118"/>
        <v>1.355984543395079</v>
      </c>
      <c r="N257" s="311">
        <f t="shared" si="118"/>
        <v>0.17712077033245879</v>
      </c>
      <c r="O257" s="311">
        <f t="shared" si="118"/>
        <v>8.2010000000000058</v>
      </c>
    </row>
    <row r="258" spans="1:15" s="236" customFormat="1" x14ac:dyDescent="0.2">
      <c r="A258" s="237"/>
      <c r="B258" s="237"/>
      <c r="C258" s="237"/>
      <c r="D258" s="237"/>
      <c r="E258" s="237"/>
      <c r="F258" s="237"/>
      <c r="G258" s="237"/>
      <c r="H258" s="237"/>
      <c r="I258" s="237"/>
      <c r="J258" s="237"/>
      <c r="K258" s="237"/>
      <c r="L258" s="237"/>
      <c r="M258" s="237"/>
      <c r="N258" s="240"/>
    </row>
    <row r="259" spans="1:15" s="236" customFormat="1" x14ac:dyDescent="0.2">
      <c r="A259" s="237"/>
      <c r="B259" s="237"/>
      <c r="C259" s="237"/>
      <c r="D259" s="237"/>
      <c r="E259" s="237"/>
      <c r="F259" s="237"/>
      <c r="G259" s="237"/>
      <c r="H259" s="237"/>
      <c r="I259" s="237"/>
      <c r="J259" s="237"/>
      <c r="K259" s="237"/>
      <c r="L259" s="237"/>
      <c r="M259" s="237"/>
      <c r="N259" s="240"/>
      <c r="O259" s="251" t="s">
        <v>36</v>
      </c>
    </row>
    <row r="260" spans="1:15" s="236" customFormat="1" x14ac:dyDescent="0.2">
      <c r="A260" s="242"/>
      <c r="B260" s="242"/>
      <c r="C260" s="242"/>
      <c r="D260" s="242"/>
      <c r="E260" s="242"/>
      <c r="F260" s="242"/>
      <c r="G260" s="242"/>
      <c r="H260" s="242"/>
      <c r="I260" s="242"/>
      <c r="J260" s="242"/>
      <c r="K260" s="242"/>
      <c r="L260" s="242"/>
      <c r="M260" s="242"/>
      <c r="N260" s="242"/>
      <c r="O260" s="242"/>
    </row>
    <row r="261" spans="1:15" s="236" customFormat="1" x14ac:dyDescent="0.2">
      <c r="A261" s="241" t="str">
        <f>name!B18</f>
        <v>Real estate</v>
      </c>
      <c r="B261" s="377">
        <f>$B$6</f>
        <v>2015</v>
      </c>
      <c r="C261" s="377"/>
      <c r="D261" s="377"/>
      <c r="E261" s="377"/>
      <c r="F261" s="263"/>
      <c r="G261" s="377">
        <f>$G$6</f>
        <v>2020</v>
      </c>
      <c r="H261" s="377"/>
      <c r="I261" s="377"/>
      <c r="J261" s="377"/>
      <c r="K261" s="263"/>
      <c r="L261" s="377">
        <f>$L$6</f>
        <v>2035</v>
      </c>
      <c r="M261" s="377"/>
      <c r="N261" s="377"/>
      <c r="O261" s="377"/>
    </row>
    <row r="262" spans="1:15" s="236" customFormat="1" x14ac:dyDescent="0.2">
      <c r="A262" s="254"/>
      <c r="B262" s="268" t="str">
        <f>$B$7</f>
        <v>FT</v>
      </c>
      <c r="C262" s="268" t="str">
        <f>$C$7</f>
        <v>PT</v>
      </c>
      <c r="D262" s="268" t="str">
        <f>$D$7</f>
        <v>SE</v>
      </c>
      <c r="E262" s="268" t="str">
        <f>$E$7</f>
        <v>Total</v>
      </c>
      <c r="F262" s="268"/>
      <c r="G262" s="268" t="str">
        <f>$G$7</f>
        <v>FT</v>
      </c>
      <c r="H262" s="268" t="str">
        <f>$H$7</f>
        <v>PT</v>
      </c>
      <c r="I262" s="268" t="str">
        <f>$I$7</f>
        <v>SE</v>
      </c>
      <c r="J262" s="268" t="str">
        <f>$J$7</f>
        <v>Total</v>
      </c>
      <c r="K262" s="268"/>
      <c r="L262" s="268" t="str">
        <f>$L$7</f>
        <v>FT</v>
      </c>
      <c r="M262" s="268" t="str">
        <f>$M$7</f>
        <v>PT</v>
      </c>
      <c r="N262" s="268" t="str">
        <f>$N$7</f>
        <v>SE</v>
      </c>
      <c r="O262" s="268" t="str">
        <f>$O$7</f>
        <v>Total</v>
      </c>
    </row>
    <row r="263" spans="1:15" s="236" customFormat="1" x14ac:dyDescent="0.2">
      <c r="A263" s="258"/>
      <c r="B263" s="239"/>
      <c r="C263" s="239"/>
      <c r="D263" s="239"/>
      <c r="E263" s="239"/>
      <c r="F263" s="239"/>
      <c r="G263" s="239"/>
      <c r="H263" s="239"/>
      <c r="I263" s="239"/>
      <c r="J263" s="239"/>
      <c r="K263" s="239"/>
      <c r="L263" s="239"/>
      <c r="M263" s="239"/>
      <c r="N263" s="239"/>
      <c r="O263" s="239"/>
    </row>
    <row r="264" spans="1:15" s="236" customFormat="1" x14ac:dyDescent="0.2">
      <c r="A264" s="237" t="str">
        <f>name!E$4</f>
        <v>Managers, directors and senior officials</v>
      </c>
      <c r="B264" s="302">
        <v>0.5487329924184271</v>
      </c>
      <c r="C264" s="302">
        <v>6.1343111583838851E-2</v>
      </c>
      <c r="D264" s="302">
        <v>0.23401250855096226</v>
      </c>
      <c r="E264" s="302">
        <f>SUM(B264:D264)</f>
        <v>0.8440886125532282</v>
      </c>
      <c r="F264" s="303"/>
      <c r="G264" s="302">
        <v>0.52216399118564116</v>
      </c>
      <c r="H264" s="302">
        <v>0.14038461596123783</v>
      </c>
      <c r="I264" s="302">
        <v>0.23951529322952403</v>
      </c>
      <c r="J264" s="302">
        <f>SUM(G264:I264)</f>
        <v>0.90206390037640305</v>
      </c>
      <c r="K264" s="303"/>
      <c r="L264" s="302">
        <v>0.62885228561176609</v>
      </c>
      <c r="M264" s="302">
        <v>0.18194809565167558</v>
      </c>
      <c r="N264" s="302">
        <v>0.27240710756254455</v>
      </c>
      <c r="O264" s="302">
        <f>SUM(L264:N264)</f>
        <v>1.0832074888259862</v>
      </c>
    </row>
    <row r="265" spans="1:15" s="236" customFormat="1" x14ac:dyDescent="0.2">
      <c r="A265" s="237" t="str">
        <f>name!E$5</f>
        <v>Professional occupations</v>
      </c>
      <c r="B265" s="302">
        <v>0.68814677605672836</v>
      </c>
      <c r="C265" s="302">
        <v>7.010547542548011E-2</v>
      </c>
      <c r="D265" s="302">
        <v>5.0593749017500855E-2</v>
      </c>
      <c r="E265" s="302">
        <f t="shared" ref="E265:E272" si="119">SUM(B265:D265)</f>
        <v>0.80884600049970934</v>
      </c>
      <c r="F265" s="303"/>
      <c r="G265" s="302">
        <v>0.77376325760548792</v>
      </c>
      <c r="H265" s="302">
        <v>0.11975579090118402</v>
      </c>
      <c r="I265" s="302">
        <v>4.1784111766259138E-2</v>
      </c>
      <c r="J265" s="302">
        <f t="shared" ref="J265:J267" si="120">SUM(G265:I265)</f>
        <v>0.93530316027293114</v>
      </c>
      <c r="K265" s="303"/>
      <c r="L265" s="302">
        <v>1.0457194591036232</v>
      </c>
      <c r="M265" s="302">
        <v>0.14974723584664829</v>
      </c>
      <c r="N265" s="302">
        <v>2.9486441375201886E-2</v>
      </c>
      <c r="O265" s="302">
        <f t="shared" ref="O265:O272" si="121">SUM(L265:N265)</f>
        <v>1.2249531363254733</v>
      </c>
    </row>
    <row r="266" spans="1:15" s="236" customFormat="1" x14ac:dyDescent="0.2">
      <c r="A266" s="237" t="str">
        <f>name!E$6</f>
        <v>Associate professional occupations</v>
      </c>
      <c r="B266" s="302">
        <v>0.58957002277090476</v>
      </c>
      <c r="C266" s="302">
        <v>0.10446097839070438</v>
      </c>
      <c r="D266" s="302">
        <v>5.6079091909148386E-2</v>
      </c>
      <c r="E266" s="302">
        <f t="shared" si="119"/>
        <v>0.75011009307075749</v>
      </c>
      <c r="F266" s="303"/>
      <c r="G266" s="302">
        <v>0.6165165149976789</v>
      </c>
      <c r="H266" s="302">
        <v>0.16444173655838146</v>
      </c>
      <c r="I266" s="302">
        <v>3.7255033601200992E-2</v>
      </c>
      <c r="J266" s="302">
        <f t="shared" si="120"/>
        <v>0.81821328515726133</v>
      </c>
      <c r="K266" s="303"/>
      <c r="L266" s="302">
        <v>0.72971162605987827</v>
      </c>
      <c r="M266" s="302">
        <v>0.17826090502658712</v>
      </c>
      <c r="N266" s="302">
        <v>3.8826813863049932E-2</v>
      </c>
      <c r="O266" s="302">
        <f t="shared" si="121"/>
        <v>0.94679934494951534</v>
      </c>
    </row>
    <row r="267" spans="1:15" s="236" customFormat="1" x14ac:dyDescent="0.2">
      <c r="A267" s="237" t="str">
        <f>name!E$7</f>
        <v>Administrative and secretarial occupations</v>
      </c>
      <c r="B267" s="302">
        <v>1.1755696163863074</v>
      </c>
      <c r="C267" s="302">
        <v>0.612802717849805</v>
      </c>
      <c r="D267" s="302">
        <v>4.0309891196303585E-2</v>
      </c>
      <c r="E267" s="302">
        <f t="shared" si="119"/>
        <v>1.828682225432416</v>
      </c>
      <c r="F267" s="303"/>
      <c r="G267" s="302">
        <v>1.1057469707943437</v>
      </c>
      <c r="H267" s="302">
        <v>0.53553984490728934</v>
      </c>
      <c r="I267" s="302">
        <v>7.4528132170432443E-2</v>
      </c>
      <c r="J267" s="302">
        <f t="shared" si="120"/>
        <v>1.7158149478720655</v>
      </c>
      <c r="K267" s="303"/>
      <c r="L267" s="302">
        <v>1.2251989148877112</v>
      </c>
      <c r="M267" s="302">
        <v>0.46388374697015494</v>
      </c>
      <c r="N267" s="302">
        <v>7.4554211515884705E-2</v>
      </c>
      <c r="O267" s="302">
        <f t="shared" si="121"/>
        <v>1.7636368733737506</v>
      </c>
    </row>
    <row r="268" spans="1:15" s="236" customFormat="1" x14ac:dyDescent="0.2">
      <c r="A268" s="237" t="str">
        <f>name!E$8</f>
        <v>Skilled trades occupations</v>
      </c>
      <c r="B268" s="302">
        <v>0.44909372945315129</v>
      </c>
      <c r="C268" s="302">
        <v>1.976282949404198E-2</v>
      </c>
      <c r="D268" s="302">
        <v>0.21435969774151931</v>
      </c>
      <c r="E268" s="302">
        <f t="shared" si="119"/>
        <v>0.68321625668871255</v>
      </c>
      <c r="F268" s="303"/>
      <c r="G268" s="302">
        <v>0.28801979361132635</v>
      </c>
      <c r="H268" s="302">
        <v>3.0228041482754774E-2</v>
      </c>
      <c r="I268" s="302">
        <v>6.2174007173684313E-2</v>
      </c>
      <c r="J268" s="302">
        <f>SUM(G268:I268)</f>
        <v>0.38042184226776543</v>
      </c>
      <c r="K268" s="303"/>
      <c r="L268" s="302">
        <v>0.34690420324634996</v>
      </c>
      <c r="M268" s="302">
        <v>4.7669722096666735E-2</v>
      </c>
      <c r="N268" s="302">
        <v>0.11439053200218739</v>
      </c>
      <c r="O268" s="302">
        <f t="shared" si="121"/>
        <v>0.50896445734520412</v>
      </c>
    </row>
    <row r="269" spans="1:15" s="236" customFormat="1" x14ac:dyDescent="0.2">
      <c r="A269" s="237" t="str">
        <f>name!E$9</f>
        <v>Caring, leisure and other service occupations</v>
      </c>
      <c r="B269" s="302">
        <v>0.17552601529750655</v>
      </c>
      <c r="C269" s="302">
        <v>3.7090023937747345E-2</v>
      </c>
      <c r="D269" s="302">
        <v>2.4571298102871106E-2</v>
      </c>
      <c r="E269" s="302">
        <f t="shared" si="119"/>
        <v>0.23718733733812503</v>
      </c>
      <c r="F269" s="303"/>
      <c r="G269" s="302">
        <v>0.1543535406968933</v>
      </c>
      <c r="H269" s="302">
        <v>5.8960551425234285E-2</v>
      </c>
      <c r="I269" s="302">
        <v>1.937818440884918E-2</v>
      </c>
      <c r="J269" s="302">
        <f t="shared" ref="J269:J272" si="122">SUM(G269:I269)</f>
        <v>0.23269227653097677</v>
      </c>
      <c r="K269" s="303"/>
      <c r="L269" s="302">
        <v>0.18884593668864352</v>
      </c>
      <c r="M269" s="302">
        <v>6.4511619828635722E-2</v>
      </c>
      <c r="N269" s="302">
        <v>3.3092254694099113E-2</v>
      </c>
      <c r="O269" s="302">
        <f t="shared" si="121"/>
        <v>0.28644981121137836</v>
      </c>
    </row>
    <row r="270" spans="1:15" s="236" customFormat="1" x14ac:dyDescent="0.2">
      <c r="A270" s="237" t="str">
        <f>name!E$10</f>
        <v>Sales and customer service occupations</v>
      </c>
      <c r="B270" s="302">
        <v>0.9122852537702052</v>
      </c>
      <c r="C270" s="302">
        <v>0.40608703048482336</v>
      </c>
      <c r="D270" s="302">
        <v>6.9239239801761041E-2</v>
      </c>
      <c r="E270" s="302">
        <f t="shared" si="119"/>
        <v>1.3876115240567894</v>
      </c>
      <c r="F270" s="303"/>
      <c r="G270" s="302">
        <v>0.75760505843129611</v>
      </c>
      <c r="H270" s="302">
        <v>0.46665579744528252</v>
      </c>
      <c r="I270" s="302">
        <v>4.7793402480067651E-2</v>
      </c>
      <c r="J270" s="302">
        <f t="shared" si="122"/>
        <v>1.2720542583566463</v>
      </c>
      <c r="K270" s="303"/>
      <c r="L270" s="302">
        <v>0.91314883455975515</v>
      </c>
      <c r="M270" s="302">
        <v>0.53135518357229594</v>
      </c>
      <c r="N270" s="302">
        <v>3.6889742633286489E-2</v>
      </c>
      <c r="O270" s="302">
        <f t="shared" si="121"/>
        <v>1.4813937607653378</v>
      </c>
    </row>
    <row r="271" spans="1:15" s="236" customFormat="1" x14ac:dyDescent="0.2">
      <c r="A271" s="237" t="str">
        <f>name!E$11</f>
        <v>Process, plant and machine operatives</v>
      </c>
      <c r="B271" s="302">
        <v>0.22780016849145013</v>
      </c>
      <c r="C271" s="302">
        <v>5.9909191992718542E-3</v>
      </c>
      <c r="D271" s="302">
        <v>8.47452422851026E-3</v>
      </c>
      <c r="E271" s="302">
        <f t="shared" si="119"/>
        <v>0.24226561191923224</v>
      </c>
      <c r="F271" s="303"/>
      <c r="G271" s="302">
        <v>0.1439152452438012</v>
      </c>
      <c r="H271" s="302">
        <v>1.7375157919069843E-2</v>
      </c>
      <c r="I271" s="302">
        <v>1.7944228922518889E-3</v>
      </c>
      <c r="J271" s="302">
        <f t="shared" si="122"/>
        <v>0.16308482605512295</v>
      </c>
      <c r="K271" s="303"/>
      <c r="L271" s="302">
        <v>0.15748405630284343</v>
      </c>
      <c r="M271" s="302">
        <v>2.2492087360787595E-2</v>
      </c>
      <c r="N271" s="302">
        <v>3.2295518877292341E-3</v>
      </c>
      <c r="O271" s="302">
        <f t="shared" si="121"/>
        <v>0.18320569555136024</v>
      </c>
    </row>
    <row r="272" spans="1:15" s="236" customFormat="1" x14ac:dyDescent="0.2">
      <c r="A272" s="237" t="str">
        <f>name!E$12</f>
        <v>Elementary occupations</v>
      </c>
      <c r="B272" s="302">
        <v>0.3897996729188824</v>
      </c>
      <c r="C272" s="302">
        <v>6.3318185660569098E-2</v>
      </c>
      <c r="D272" s="302">
        <v>3.2874479861586745E-2</v>
      </c>
      <c r="E272" s="302">
        <f t="shared" si="119"/>
        <v>0.48599233844103829</v>
      </c>
      <c r="F272" s="303"/>
      <c r="G272" s="302">
        <v>0.2630687446865132</v>
      </c>
      <c r="H272" s="302">
        <v>7.4708856434908169E-2</v>
      </c>
      <c r="I272" s="302">
        <v>2.4573901989401573E-2</v>
      </c>
      <c r="J272" s="302">
        <f t="shared" si="122"/>
        <v>0.36235150311082293</v>
      </c>
      <c r="K272" s="303"/>
      <c r="L272" s="302">
        <v>0.27976519727762761</v>
      </c>
      <c r="M272" s="302">
        <v>5.0530611089227906E-2</v>
      </c>
      <c r="N272" s="302">
        <v>3.509362328512633E-2</v>
      </c>
      <c r="O272" s="302">
        <f t="shared" si="121"/>
        <v>0.36538943165198184</v>
      </c>
    </row>
    <row r="273" spans="1:15" s="236" customFormat="1" x14ac:dyDescent="0.2">
      <c r="A273" s="237"/>
      <c r="B273" s="302"/>
      <c r="C273" s="302"/>
      <c r="D273" s="302"/>
      <c r="E273" s="302"/>
      <c r="F273" s="303"/>
      <c r="G273" s="302"/>
      <c r="H273" s="302"/>
      <c r="I273" s="302"/>
      <c r="J273" s="302"/>
      <c r="K273" s="303"/>
      <c r="L273" s="302"/>
      <c r="M273" s="302"/>
      <c r="N273" s="302"/>
      <c r="O273" s="302"/>
    </row>
    <row r="274" spans="1:15" s="236" customFormat="1" x14ac:dyDescent="0.2">
      <c r="A274" s="244" t="s">
        <v>33</v>
      </c>
      <c r="B274" s="311">
        <f>SUM(B264:B272)</f>
        <v>5.1565242475635635</v>
      </c>
      <c r="C274" s="311">
        <f t="shared" ref="C274:E274" si="123">SUM(C264:C272)</f>
        <v>1.3809612720262818</v>
      </c>
      <c r="D274" s="311">
        <f t="shared" si="123"/>
        <v>0.73051448041016354</v>
      </c>
      <c r="E274" s="311">
        <f t="shared" si="123"/>
        <v>7.2680000000000087</v>
      </c>
      <c r="F274" s="311"/>
      <c r="G274" s="311">
        <f t="shared" ref="G274:J274" si="124">SUM(G264:G272)</f>
        <v>4.6251531172529816</v>
      </c>
      <c r="H274" s="311">
        <f t="shared" si="124"/>
        <v>1.6080503930353423</v>
      </c>
      <c r="I274" s="311">
        <f t="shared" si="124"/>
        <v>0.54879648971167116</v>
      </c>
      <c r="J274" s="311">
        <f t="shared" si="124"/>
        <v>6.7819999999999947</v>
      </c>
      <c r="K274" s="311"/>
      <c r="L274" s="311">
        <f t="shared" ref="L274:O274" si="125">SUM(L264:L272)</f>
        <v>5.5156305137381976</v>
      </c>
      <c r="M274" s="311">
        <f t="shared" si="125"/>
        <v>1.6903992074426797</v>
      </c>
      <c r="N274" s="311">
        <f t="shared" si="125"/>
        <v>0.63797027881910962</v>
      </c>
      <c r="O274" s="311">
        <f t="shared" si="125"/>
        <v>7.8439999999999879</v>
      </c>
    </row>
    <row r="275" spans="1:15" s="236" customFormat="1" x14ac:dyDescent="0.2">
      <c r="A275" s="237"/>
      <c r="B275" s="237"/>
      <c r="C275" s="237"/>
      <c r="D275" s="237"/>
      <c r="E275" s="237"/>
      <c r="F275" s="237"/>
      <c r="G275" s="237"/>
      <c r="H275" s="237"/>
      <c r="I275" s="237"/>
      <c r="J275" s="237"/>
      <c r="K275" s="237"/>
      <c r="L275" s="237"/>
      <c r="M275" s="237"/>
      <c r="N275" s="240"/>
    </row>
    <row r="276" spans="1:15" s="236" customFormat="1" x14ac:dyDescent="0.2">
      <c r="A276" s="237"/>
      <c r="B276" s="237"/>
      <c r="C276" s="237"/>
      <c r="D276" s="237"/>
      <c r="E276" s="237"/>
      <c r="F276" s="237"/>
      <c r="G276" s="237"/>
      <c r="H276" s="237"/>
      <c r="I276" s="237"/>
      <c r="J276" s="237"/>
      <c r="K276" s="237"/>
      <c r="L276" s="237"/>
      <c r="M276" s="237"/>
      <c r="N276" s="240"/>
      <c r="O276" s="251" t="s">
        <v>36</v>
      </c>
    </row>
    <row r="277" spans="1:15" s="236" customFormat="1" x14ac:dyDescent="0.2">
      <c r="A277" s="242"/>
      <c r="B277" s="242"/>
      <c r="C277" s="242"/>
      <c r="D277" s="242"/>
      <c r="E277" s="242"/>
      <c r="F277" s="242"/>
      <c r="G277" s="242"/>
      <c r="H277" s="242"/>
      <c r="I277" s="242"/>
      <c r="J277" s="242"/>
      <c r="K277" s="242"/>
      <c r="L277" s="242"/>
      <c r="M277" s="242"/>
      <c r="N277" s="242"/>
      <c r="O277" s="242"/>
    </row>
    <row r="278" spans="1:15" s="236" customFormat="1" x14ac:dyDescent="0.2">
      <c r="A278" s="241" t="str">
        <f>name!B19</f>
        <v>Professional services</v>
      </c>
      <c r="B278" s="377">
        <f>$B$6</f>
        <v>2015</v>
      </c>
      <c r="C278" s="377"/>
      <c r="D278" s="377"/>
      <c r="E278" s="377"/>
      <c r="F278" s="263"/>
      <c r="G278" s="377">
        <f>$G$6</f>
        <v>2020</v>
      </c>
      <c r="H278" s="377"/>
      <c r="I278" s="377"/>
      <c r="J278" s="377"/>
      <c r="K278" s="263"/>
      <c r="L278" s="377">
        <f>$L$6</f>
        <v>2035</v>
      </c>
      <c r="M278" s="377"/>
      <c r="N278" s="377"/>
      <c r="O278" s="377"/>
    </row>
    <row r="279" spans="1:15" s="236" customFormat="1" x14ac:dyDescent="0.2">
      <c r="A279" s="254"/>
      <c r="B279" s="268" t="str">
        <f>$B$7</f>
        <v>FT</v>
      </c>
      <c r="C279" s="268" t="str">
        <f>$C$7</f>
        <v>PT</v>
      </c>
      <c r="D279" s="268" t="str">
        <f>$D$7</f>
        <v>SE</v>
      </c>
      <c r="E279" s="268" t="str">
        <f>$E$7</f>
        <v>Total</v>
      </c>
      <c r="F279" s="268"/>
      <c r="G279" s="268" t="str">
        <f>$G$7</f>
        <v>FT</v>
      </c>
      <c r="H279" s="268" t="str">
        <f>$H$7</f>
        <v>PT</v>
      </c>
      <c r="I279" s="268" t="str">
        <f>$I$7</f>
        <v>SE</v>
      </c>
      <c r="J279" s="268" t="str">
        <f>$J$7</f>
        <v>Total</v>
      </c>
      <c r="K279" s="268"/>
      <c r="L279" s="268" t="str">
        <f>$L$7</f>
        <v>FT</v>
      </c>
      <c r="M279" s="268" t="str">
        <f>$M$7</f>
        <v>PT</v>
      </c>
      <c r="N279" s="268" t="str">
        <f>$N$7</f>
        <v>SE</v>
      </c>
      <c r="O279" s="268" t="str">
        <f>$O$7</f>
        <v>Total</v>
      </c>
    </row>
    <row r="280" spans="1:15" s="236" customFormat="1" x14ac:dyDescent="0.2">
      <c r="A280" s="258"/>
      <c r="B280" s="239"/>
      <c r="C280" s="239"/>
      <c r="D280" s="239"/>
      <c r="E280" s="239"/>
      <c r="F280" s="239"/>
      <c r="G280" s="239"/>
      <c r="H280" s="239"/>
      <c r="I280" s="239"/>
      <c r="J280" s="239"/>
      <c r="K280" s="239"/>
      <c r="L280" s="239"/>
      <c r="M280" s="239"/>
      <c r="N280" s="239"/>
      <c r="O280" s="239"/>
    </row>
    <row r="281" spans="1:15" s="236" customFormat="1" x14ac:dyDescent="0.2">
      <c r="A281" s="237" t="str">
        <f>name!E$4</f>
        <v>Managers, directors and senior officials</v>
      </c>
      <c r="B281" s="302">
        <v>1.5444963949360426</v>
      </c>
      <c r="C281" s="302">
        <v>0.17982118532186492</v>
      </c>
      <c r="D281" s="302">
        <v>0.53346557815788698</v>
      </c>
      <c r="E281" s="302">
        <f>SUM(B281:D281)</f>
        <v>2.2577831584157946</v>
      </c>
      <c r="F281" s="303"/>
      <c r="G281" s="302">
        <v>1.3379401478261304</v>
      </c>
      <c r="H281" s="302">
        <v>0.29845022745844896</v>
      </c>
      <c r="I281" s="302">
        <v>0.54282224676818169</v>
      </c>
      <c r="J281" s="302">
        <f>SUM(G281:I281)</f>
        <v>2.179212622052761</v>
      </c>
      <c r="K281" s="303"/>
      <c r="L281" s="302">
        <v>1.3858929985481057</v>
      </c>
      <c r="M281" s="302">
        <v>0.39466852801623054</v>
      </c>
      <c r="N281" s="302">
        <v>0.7210892303768216</v>
      </c>
      <c r="O281" s="302">
        <f>SUM(L281:N281)</f>
        <v>2.5016507569411579</v>
      </c>
    </row>
    <row r="282" spans="1:15" s="236" customFormat="1" x14ac:dyDescent="0.2">
      <c r="A282" s="237" t="str">
        <f>name!E$5</f>
        <v>Professional occupations</v>
      </c>
      <c r="B282" s="302">
        <v>5.9959236952144126</v>
      </c>
      <c r="C282" s="302">
        <v>0.41748665574540028</v>
      </c>
      <c r="D282" s="302">
        <v>1.3365314240136419</v>
      </c>
      <c r="E282" s="302">
        <f t="shared" ref="E282:E289" si="126">SUM(B282:D282)</f>
        <v>7.7499417749734549</v>
      </c>
      <c r="F282" s="303"/>
      <c r="G282" s="302">
        <v>5.8662290527082463</v>
      </c>
      <c r="H282" s="302">
        <v>0.61702379117539208</v>
      </c>
      <c r="I282" s="302">
        <v>1.1183180413971876</v>
      </c>
      <c r="J282" s="302">
        <f t="shared" ref="J282:J284" si="127">SUM(G282:I282)</f>
        <v>7.6015708852808261</v>
      </c>
      <c r="K282" s="303"/>
      <c r="L282" s="302">
        <v>7.1277239364523979</v>
      </c>
      <c r="M282" s="302">
        <v>0.81339026231332556</v>
      </c>
      <c r="N282" s="302">
        <v>0.99000292649932653</v>
      </c>
      <c r="O282" s="302">
        <f t="shared" ref="O282:O289" si="128">SUM(L282:N282)</f>
        <v>8.9311171252650503</v>
      </c>
    </row>
    <row r="283" spans="1:15" s="236" customFormat="1" x14ac:dyDescent="0.2">
      <c r="A283" s="237" t="str">
        <f>name!E$6</f>
        <v>Associate professional occupations</v>
      </c>
      <c r="B283" s="302">
        <v>2.7993099719075007</v>
      </c>
      <c r="C283" s="302">
        <v>0.3912927068076969</v>
      </c>
      <c r="D283" s="302">
        <v>0.654987926156268</v>
      </c>
      <c r="E283" s="302">
        <f t="shared" si="126"/>
        <v>3.8455906048714654</v>
      </c>
      <c r="F283" s="303"/>
      <c r="G283" s="302">
        <v>2.6279553270019287</v>
      </c>
      <c r="H283" s="302">
        <v>0.52841148932943427</v>
      </c>
      <c r="I283" s="302">
        <v>0.54482779501699841</v>
      </c>
      <c r="J283" s="302">
        <f t="shared" si="127"/>
        <v>3.7011946113483614</v>
      </c>
      <c r="K283" s="303"/>
      <c r="L283" s="302">
        <v>2.665421379731145</v>
      </c>
      <c r="M283" s="302">
        <v>0.61081315999144192</v>
      </c>
      <c r="N283" s="302">
        <v>0.59549741844367032</v>
      </c>
      <c r="O283" s="302">
        <f t="shared" si="128"/>
        <v>3.8717319581662575</v>
      </c>
    </row>
    <row r="284" spans="1:15" s="236" customFormat="1" x14ac:dyDescent="0.2">
      <c r="A284" s="237" t="str">
        <f>name!E$7</f>
        <v>Administrative and secretarial occupations</v>
      </c>
      <c r="B284" s="302">
        <v>4.1687169929032892</v>
      </c>
      <c r="C284" s="302">
        <v>1.8024558638740178</v>
      </c>
      <c r="D284" s="302">
        <v>0.59659217549231314</v>
      </c>
      <c r="E284" s="302">
        <f t="shared" si="126"/>
        <v>6.5677650322696204</v>
      </c>
      <c r="F284" s="303"/>
      <c r="G284" s="302">
        <v>3.6196738787905058</v>
      </c>
      <c r="H284" s="302">
        <v>1.9108638911290132</v>
      </c>
      <c r="I284" s="302">
        <v>0.3425791551500465</v>
      </c>
      <c r="J284" s="302">
        <f t="shared" si="127"/>
        <v>5.8731169250695654</v>
      </c>
      <c r="K284" s="303"/>
      <c r="L284" s="302">
        <v>3.4392858146073073</v>
      </c>
      <c r="M284" s="302">
        <v>1.8982081179718453</v>
      </c>
      <c r="N284" s="302">
        <v>0.48859273801216019</v>
      </c>
      <c r="O284" s="302">
        <f t="shared" si="128"/>
        <v>5.8260866705913132</v>
      </c>
    </row>
    <row r="285" spans="1:15" s="236" customFormat="1" x14ac:dyDescent="0.2">
      <c r="A285" s="237" t="str">
        <f>name!E$8</f>
        <v>Skilled trades occupations</v>
      </c>
      <c r="B285" s="302">
        <v>0.93859882328303978</v>
      </c>
      <c r="C285" s="302">
        <v>8.4937014869030297E-2</v>
      </c>
      <c r="D285" s="302">
        <v>0.2851855096358516</v>
      </c>
      <c r="E285" s="302">
        <f t="shared" si="126"/>
        <v>1.3087213477879216</v>
      </c>
      <c r="F285" s="303"/>
      <c r="G285" s="302">
        <v>0.52691460187532924</v>
      </c>
      <c r="H285" s="302">
        <v>6.8630447388459775E-2</v>
      </c>
      <c r="I285" s="302">
        <v>0.23175133423794653</v>
      </c>
      <c r="J285" s="302">
        <f>SUM(G285:I285)</f>
        <v>0.82729638350173551</v>
      </c>
      <c r="K285" s="303"/>
      <c r="L285" s="302">
        <v>0.39053206165789223</v>
      </c>
      <c r="M285" s="302">
        <v>8.7867446687370482E-2</v>
      </c>
      <c r="N285" s="302">
        <v>0.32609477030665551</v>
      </c>
      <c r="O285" s="302">
        <f t="shared" si="128"/>
        <v>0.80449427865191825</v>
      </c>
    </row>
    <row r="286" spans="1:15" s="236" customFormat="1" x14ac:dyDescent="0.2">
      <c r="A286" s="237" t="str">
        <f>name!E$9</f>
        <v>Caring, leisure and other service occupations</v>
      </c>
      <c r="B286" s="302">
        <v>0.16658990985615199</v>
      </c>
      <c r="C286" s="302">
        <v>8.2924932459058784E-2</v>
      </c>
      <c r="D286" s="302">
        <v>0.15772371772833163</v>
      </c>
      <c r="E286" s="302">
        <f t="shared" si="126"/>
        <v>0.40723856004354242</v>
      </c>
      <c r="F286" s="303"/>
      <c r="G286" s="302">
        <v>0.13981569933629071</v>
      </c>
      <c r="H286" s="302">
        <v>9.5778120740674419E-2</v>
      </c>
      <c r="I286" s="302">
        <v>0.12005474424001869</v>
      </c>
      <c r="J286" s="302">
        <f t="shared" ref="J286:J289" si="129">SUM(G286:I286)</f>
        <v>0.35564856431698377</v>
      </c>
      <c r="K286" s="303"/>
      <c r="L286" s="302">
        <v>0.18358817894126739</v>
      </c>
      <c r="M286" s="302">
        <v>0.14151771470736013</v>
      </c>
      <c r="N286" s="302">
        <v>0.23555316527003836</v>
      </c>
      <c r="O286" s="302">
        <f t="shared" si="128"/>
        <v>0.56065905891866585</v>
      </c>
    </row>
    <row r="287" spans="1:15" s="236" customFormat="1" x14ac:dyDescent="0.2">
      <c r="A287" s="237" t="str">
        <f>name!E$10</f>
        <v>Sales and customer service occupations</v>
      </c>
      <c r="B287" s="302">
        <v>0.83211907704449817</v>
      </c>
      <c r="C287" s="302">
        <v>0.51398017702957211</v>
      </c>
      <c r="D287" s="302">
        <v>0.21054510475623334</v>
      </c>
      <c r="E287" s="302">
        <f t="shared" si="126"/>
        <v>1.5566443588303036</v>
      </c>
      <c r="F287" s="303"/>
      <c r="G287" s="302">
        <v>0.68219404969987796</v>
      </c>
      <c r="H287" s="302">
        <v>0.55929150378173431</v>
      </c>
      <c r="I287" s="302">
        <v>0.10899735302859934</v>
      </c>
      <c r="J287" s="302">
        <f t="shared" si="129"/>
        <v>1.3504829065102115</v>
      </c>
      <c r="K287" s="303"/>
      <c r="L287" s="302">
        <v>0.82619905614743716</v>
      </c>
      <c r="M287" s="302">
        <v>0.74690479646421803</v>
      </c>
      <c r="N287" s="302">
        <v>0.11662694399775185</v>
      </c>
      <c r="O287" s="302">
        <f t="shared" si="128"/>
        <v>1.6897307966094071</v>
      </c>
    </row>
    <row r="288" spans="1:15" s="236" customFormat="1" x14ac:dyDescent="0.2">
      <c r="A288" s="237" t="str">
        <f>name!E$11</f>
        <v>Process, plant and machine operatives</v>
      </c>
      <c r="B288" s="302">
        <v>0.52171316336846341</v>
      </c>
      <c r="C288" s="302">
        <v>5.3363303948014307E-2</v>
      </c>
      <c r="D288" s="302">
        <v>9.004888194114255E-2</v>
      </c>
      <c r="E288" s="302">
        <f t="shared" si="126"/>
        <v>0.66512534925762024</v>
      </c>
      <c r="F288" s="303"/>
      <c r="G288" s="302">
        <v>0.28251006462338857</v>
      </c>
      <c r="H288" s="302">
        <v>6.5841476596423948E-2</v>
      </c>
      <c r="I288" s="302">
        <v>7.8633345668867663E-2</v>
      </c>
      <c r="J288" s="302">
        <f t="shared" si="129"/>
        <v>0.42698488688868014</v>
      </c>
      <c r="K288" s="303"/>
      <c r="L288" s="302">
        <v>0.27853830197845553</v>
      </c>
      <c r="M288" s="302">
        <v>8.4401740178915483E-2</v>
      </c>
      <c r="N288" s="302">
        <v>0.12011056649881605</v>
      </c>
      <c r="O288" s="302">
        <f t="shared" si="128"/>
        <v>0.4830506086561871</v>
      </c>
    </row>
    <row r="289" spans="1:15" s="236" customFormat="1" x14ac:dyDescent="0.2">
      <c r="A289" s="237" t="str">
        <f>name!E$12</f>
        <v>Elementary occupations</v>
      </c>
      <c r="B289" s="302">
        <v>0.64452689373166761</v>
      </c>
      <c r="C289" s="302">
        <v>0.13067190152759406</v>
      </c>
      <c r="D289" s="302">
        <v>0.2299910182910237</v>
      </c>
      <c r="E289" s="302">
        <f t="shared" si="126"/>
        <v>1.0051898135502852</v>
      </c>
      <c r="F289" s="303"/>
      <c r="G289" s="302">
        <v>0.47580122439702222</v>
      </c>
      <c r="H289" s="302">
        <v>0.16571867146495545</v>
      </c>
      <c r="I289" s="302">
        <v>0.13697231916892838</v>
      </c>
      <c r="J289" s="302">
        <f t="shared" si="129"/>
        <v>0.77849221503090604</v>
      </c>
      <c r="K289" s="303"/>
      <c r="L289" s="302">
        <v>0.49992014886038372</v>
      </c>
      <c r="M289" s="302">
        <v>0.1651867382859156</v>
      </c>
      <c r="N289" s="302">
        <v>0.24137185905377789</v>
      </c>
      <c r="O289" s="302">
        <f t="shared" si="128"/>
        <v>0.90647874620007718</v>
      </c>
    </row>
    <row r="290" spans="1:15" s="236" customFormat="1" x14ac:dyDescent="0.2">
      <c r="A290" s="237"/>
      <c r="B290" s="302"/>
      <c r="C290" s="302"/>
      <c r="D290" s="302"/>
      <c r="E290" s="302"/>
      <c r="F290" s="303"/>
      <c r="G290" s="302"/>
      <c r="H290" s="302"/>
      <c r="I290" s="302"/>
      <c r="J290" s="302"/>
      <c r="K290" s="303"/>
      <c r="L290" s="302"/>
      <c r="M290" s="302"/>
      <c r="N290" s="302"/>
      <c r="O290" s="302"/>
    </row>
    <row r="291" spans="1:15" s="236" customFormat="1" x14ac:dyDescent="0.2">
      <c r="A291" s="244" t="s">
        <v>33</v>
      </c>
      <c r="B291" s="311">
        <f>SUM(B281:B289)</f>
        <v>17.611994922245067</v>
      </c>
      <c r="C291" s="311">
        <f t="shared" ref="C291:E291" si="130">SUM(C281:C289)</f>
        <v>3.6569337415822494</v>
      </c>
      <c r="D291" s="311">
        <f t="shared" si="130"/>
        <v>4.0950713361726931</v>
      </c>
      <c r="E291" s="311">
        <f t="shared" si="130"/>
        <v>25.364000000000011</v>
      </c>
      <c r="F291" s="311"/>
      <c r="G291" s="311">
        <f t="shared" ref="G291:J291" si="131">SUM(G281:G289)</f>
        <v>15.559034046258718</v>
      </c>
      <c r="H291" s="311">
        <f t="shared" si="131"/>
        <v>4.3100096190645374</v>
      </c>
      <c r="I291" s="311">
        <f t="shared" si="131"/>
        <v>3.2249563346767749</v>
      </c>
      <c r="J291" s="311">
        <f t="shared" si="131"/>
        <v>23.09400000000003</v>
      </c>
      <c r="K291" s="311"/>
      <c r="L291" s="311">
        <f t="shared" ref="L291:O291" si="132">SUM(L281:L289)</f>
        <v>16.797101876924387</v>
      </c>
      <c r="M291" s="311">
        <f t="shared" si="132"/>
        <v>4.9429585046166231</v>
      </c>
      <c r="N291" s="311">
        <f t="shared" si="132"/>
        <v>3.8349396184590185</v>
      </c>
      <c r="O291" s="311">
        <f t="shared" si="132"/>
        <v>25.575000000000035</v>
      </c>
    </row>
    <row r="292" spans="1:15" s="236" customFormat="1" x14ac:dyDescent="0.2">
      <c r="A292" s="237"/>
      <c r="B292" s="237"/>
      <c r="C292" s="237"/>
      <c r="D292" s="237"/>
      <c r="E292" s="237"/>
      <c r="F292" s="237"/>
      <c r="G292" s="237"/>
      <c r="H292" s="237"/>
      <c r="I292" s="237"/>
      <c r="J292" s="237"/>
      <c r="K292" s="237"/>
      <c r="L292" s="237"/>
      <c r="M292" s="237"/>
      <c r="N292" s="240"/>
    </row>
    <row r="293" spans="1:15" s="236" customFormat="1" x14ac:dyDescent="0.2">
      <c r="A293" s="237"/>
      <c r="B293" s="237"/>
      <c r="C293" s="237"/>
      <c r="D293" s="237"/>
      <c r="E293" s="237"/>
      <c r="F293" s="237"/>
      <c r="G293" s="237"/>
      <c r="H293" s="237"/>
      <c r="I293" s="237"/>
      <c r="J293" s="237"/>
      <c r="K293" s="237"/>
      <c r="L293" s="237"/>
      <c r="M293" s="237"/>
      <c r="N293" s="240"/>
      <c r="O293" s="251" t="s">
        <v>36</v>
      </c>
    </row>
    <row r="294" spans="1:15" s="236" customFormat="1" x14ac:dyDescent="0.2">
      <c r="A294" s="242"/>
      <c r="B294" s="242"/>
      <c r="C294" s="242"/>
      <c r="D294" s="242"/>
      <c r="E294" s="242"/>
      <c r="F294" s="242"/>
      <c r="G294" s="242"/>
      <c r="H294" s="242"/>
      <c r="I294" s="242"/>
      <c r="J294" s="242"/>
      <c r="K294" s="242"/>
      <c r="L294" s="242"/>
      <c r="M294" s="242"/>
      <c r="N294" s="242"/>
      <c r="O294" s="242"/>
    </row>
    <row r="295" spans="1:15" s="236" customFormat="1" x14ac:dyDescent="0.2">
      <c r="A295" s="241" t="str">
        <f>name!B20</f>
        <v>Support services</v>
      </c>
      <c r="B295" s="377">
        <f>$B$6</f>
        <v>2015</v>
      </c>
      <c r="C295" s="377"/>
      <c r="D295" s="377"/>
      <c r="E295" s="377"/>
      <c r="F295" s="263"/>
      <c r="G295" s="377">
        <f>$G$6</f>
        <v>2020</v>
      </c>
      <c r="H295" s="377"/>
      <c r="I295" s="377"/>
      <c r="J295" s="377"/>
      <c r="K295" s="263"/>
      <c r="L295" s="377">
        <f>$L$6</f>
        <v>2035</v>
      </c>
      <c r="M295" s="377"/>
      <c r="N295" s="377"/>
      <c r="O295" s="377"/>
    </row>
    <row r="296" spans="1:15" s="236" customFormat="1" x14ac:dyDescent="0.2">
      <c r="A296" s="254"/>
      <c r="B296" s="268" t="str">
        <f>$B$7</f>
        <v>FT</v>
      </c>
      <c r="C296" s="268" t="str">
        <f>$C$7</f>
        <v>PT</v>
      </c>
      <c r="D296" s="268" t="str">
        <f>$D$7</f>
        <v>SE</v>
      </c>
      <c r="E296" s="268" t="str">
        <f>$E$7</f>
        <v>Total</v>
      </c>
      <c r="F296" s="268"/>
      <c r="G296" s="268" t="str">
        <f>$G$7</f>
        <v>FT</v>
      </c>
      <c r="H296" s="268" t="str">
        <f>$H$7</f>
        <v>PT</v>
      </c>
      <c r="I296" s="268" t="str">
        <f>$I$7</f>
        <v>SE</v>
      </c>
      <c r="J296" s="268" t="str">
        <f>$J$7</f>
        <v>Total</v>
      </c>
      <c r="K296" s="268"/>
      <c r="L296" s="268" t="str">
        <f>$L$7</f>
        <v>FT</v>
      </c>
      <c r="M296" s="268" t="str">
        <f>$M$7</f>
        <v>PT</v>
      </c>
      <c r="N296" s="268" t="str">
        <f>$N$7</f>
        <v>SE</v>
      </c>
      <c r="O296" s="268" t="str">
        <f>$O$7</f>
        <v>Total</v>
      </c>
    </row>
    <row r="297" spans="1:15" s="236" customFormat="1" x14ac:dyDescent="0.2">
      <c r="A297" s="258"/>
      <c r="B297" s="239"/>
      <c r="C297" s="239"/>
      <c r="D297" s="239"/>
      <c r="E297" s="239"/>
      <c r="F297" s="239"/>
      <c r="G297" s="239"/>
      <c r="H297" s="239"/>
      <c r="I297" s="239"/>
      <c r="J297" s="239"/>
      <c r="K297" s="239"/>
      <c r="L297" s="239"/>
      <c r="M297" s="239"/>
      <c r="N297" s="239"/>
      <c r="O297" s="239"/>
    </row>
    <row r="298" spans="1:15" s="236" customFormat="1" x14ac:dyDescent="0.2">
      <c r="A298" s="237" t="str">
        <f>name!E$4</f>
        <v>Managers, directors and senior officials</v>
      </c>
      <c r="B298" s="302">
        <v>0.97161797131382943</v>
      </c>
      <c r="C298" s="302">
        <v>0.20727208242759551</v>
      </c>
      <c r="D298" s="302">
        <v>0.34471353134168808</v>
      </c>
      <c r="E298" s="302">
        <f>SUM(B298:D298)</f>
        <v>1.5236035850831129</v>
      </c>
      <c r="F298" s="303"/>
      <c r="G298" s="302">
        <v>1.2087964406418978</v>
      </c>
      <c r="H298" s="302">
        <v>0.29597508388599403</v>
      </c>
      <c r="I298" s="302">
        <v>0.45483164235239254</v>
      </c>
      <c r="J298" s="302">
        <f>SUM(G298:I298)</f>
        <v>1.9596031668802845</v>
      </c>
      <c r="K298" s="303"/>
      <c r="L298" s="302">
        <v>1.3045889667567838</v>
      </c>
      <c r="M298" s="302">
        <v>0.33068530294362675</v>
      </c>
      <c r="N298" s="302">
        <v>0.54256327828860174</v>
      </c>
      <c r="O298" s="302">
        <f>SUM(L298:N298)</f>
        <v>2.1778375479890122</v>
      </c>
    </row>
    <row r="299" spans="1:15" s="236" customFormat="1" x14ac:dyDescent="0.2">
      <c r="A299" s="237" t="str">
        <f>name!E$5</f>
        <v>Professional occupations</v>
      </c>
      <c r="B299" s="302">
        <v>1.4989662056711532</v>
      </c>
      <c r="C299" s="302">
        <v>0.44403209763254692</v>
      </c>
      <c r="D299" s="302">
        <v>0.16917059575558463</v>
      </c>
      <c r="E299" s="302">
        <f t="shared" ref="E299:E306" si="133">SUM(B299:D299)</f>
        <v>2.1121688990592848</v>
      </c>
      <c r="F299" s="303"/>
      <c r="G299" s="302">
        <v>2.039834120174568</v>
      </c>
      <c r="H299" s="302">
        <v>0.53315508355763819</v>
      </c>
      <c r="I299" s="302">
        <v>0.21088151422565737</v>
      </c>
      <c r="J299" s="302">
        <f t="shared" ref="J299:J301" si="134">SUM(G299:I299)</f>
        <v>2.7838707179578632</v>
      </c>
      <c r="K299" s="303"/>
      <c r="L299" s="302">
        <v>2.5284541146488828</v>
      </c>
      <c r="M299" s="302">
        <v>0.60432300330315014</v>
      </c>
      <c r="N299" s="302">
        <v>0.17158705492913592</v>
      </c>
      <c r="O299" s="302">
        <f t="shared" ref="O299:O306" si="135">SUM(L299:N299)</f>
        <v>3.304364172881169</v>
      </c>
    </row>
    <row r="300" spans="1:15" s="236" customFormat="1" x14ac:dyDescent="0.2">
      <c r="A300" s="237" t="str">
        <f>name!E$6</f>
        <v>Associate professional occupations</v>
      </c>
      <c r="B300" s="302">
        <v>1.893050894106638</v>
      </c>
      <c r="C300" s="302">
        <v>0.66360884316340674</v>
      </c>
      <c r="D300" s="302">
        <v>0.4153958531349099</v>
      </c>
      <c r="E300" s="302">
        <f t="shared" si="133"/>
        <v>2.9720555904049548</v>
      </c>
      <c r="F300" s="303"/>
      <c r="G300" s="302">
        <v>2.3414398895052866</v>
      </c>
      <c r="H300" s="302">
        <v>0.73746471534163927</v>
      </c>
      <c r="I300" s="302">
        <v>0.4525938580859597</v>
      </c>
      <c r="J300" s="302">
        <f t="shared" si="134"/>
        <v>3.5314984629328858</v>
      </c>
      <c r="K300" s="303"/>
      <c r="L300" s="302">
        <v>2.2847552671255515</v>
      </c>
      <c r="M300" s="302">
        <v>0.82377782467564042</v>
      </c>
      <c r="N300" s="302">
        <v>0.42281385463965432</v>
      </c>
      <c r="O300" s="302">
        <f t="shared" si="135"/>
        <v>3.5313469464408462</v>
      </c>
    </row>
    <row r="301" spans="1:15" s="236" customFormat="1" x14ac:dyDescent="0.2">
      <c r="A301" s="237" t="str">
        <f>name!E$7</f>
        <v>Administrative and secretarial occupations</v>
      </c>
      <c r="B301" s="302">
        <v>3.936249697582257</v>
      </c>
      <c r="C301" s="302">
        <v>2.2534896283368631</v>
      </c>
      <c r="D301" s="302">
        <v>0.16206328067447884</v>
      </c>
      <c r="E301" s="302">
        <f t="shared" si="133"/>
        <v>6.3518026065935995</v>
      </c>
      <c r="F301" s="303"/>
      <c r="G301" s="302">
        <v>4.0737501141499957</v>
      </c>
      <c r="H301" s="302">
        <v>2.2040902814379373</v>
      </c>
      <c r="I301" s="302">
        <v>0.11810483886344492</v>
      </c>
      <c r="J301" s="302">
        <f t="shared" si="134"/>
        <v>6.3959452344513785</v>
      </c>
      <c r="K301" s="303"/>
      <c r="L301" s="302">
        <v>4.2104926461061964</v>
      </c>
      <c r="M301" s="302">
        <v>2.3574978635435162</v>
      </c>
      <c r="N301" s="302">
        <v>0.12495862522337282</v>
      </c>
      <c r="O301" s="302">
        <f t="shared" si="135"/>
        <v>6.6929491348730856</v>
      </c>
    </row>
    <row r="302" spans="1:15" s="236" customFormat="1" x14ac:dyDescent="0.2">
      <c r="A302" s="237" t="str">
        <f>name!E$8</f>
        <v>Skilled trades occupations</v>
      </c>
      <c r="B302" s="302">
        <v>0.7378213051185698</v>
      </c>
      <c r="C302" s="302">
        <v>0.18395477033838545</v>
      </c>
      <c r="D302" s="302">
        <v>0.26439147210698166</v>
      </c>
      <c r="E302" s="302">
        <f t="shared" si="133"/>
        <v>1.1861675475639371</v>
      </c>
      <c r="F302" s="303"/>
      <c r="G302" s="302">
        <v>0.73068607218174386</v>
      </c>
      <c r="H302" s="302">
        <v>0.12902784104203463</v>
      </c>
      <c r="I302" s="302">
        <v>0.34879911281436948</v>
      </c>
      <c r="J302" s="302">
        <f>SUM(G302:I302)</f>
        <v>1.208513026038148</v>
      </c>
      <c r="K302" s="303"/>
      <c r="L302" s="302">
        <v>0.62220000291687139</v>
      </c>
      <c r="M302" s="302">
        <v>0.1570656127955706</v>
      </c>
      <c r="N302" s="302">
        <v>0.35194372506090099</v>
      </c>
      <c r="O302" s="302">
        <f t="shared" si="135"/>
        <v>1.131209340773343</v>
      </c>
    </row>
    <row r="303" spans="1:15" s="236" customFormat="1" x14ac:dyDescent="0.2">
      <c r="A303" s="237" t="str">
        <f>name!E$9</f>
        <v>Caring, leisure and other service occupations</v>
      </c>
      <c r="B303" s="302">
        <v>1.1864277190081283</v>
      </c>
      <c r="C303" s="302">
        <v>1.0286338482255444</v>
      </c>
      <c r="D303" s="302">
        <v>0.28246156368395253</v>
      </c>
      <c r="E303" s="302">
        <f t="shared" si="133"/>
        <v>2.4975231309176253</v>
      </c>
      <c r="F303" s="303"/>
      <c r="G303" s="302">
        <v>1.1454274674563489</v>
      </c>
      <c r="H303" s="302">
        <v>0.93043085980026574</v>
      </c>
      <c r="I303" s="302">
        <v>0.25905035320820941</v>
      </c>
      <c r="J303" s="302">
        <f t="shared" ref="J303:J306" si="136">SUM(G303:I303)</f>
        <v>2.3349086804648245</v>
      </c>
      <c r="K303" s="303"/>
      <c r="L303" s="302">
        <v>1.2991623579438056</v>
      </c>
      <c r="M303" s="302">
        <v>0.94975148724283265</v>
      </c>
      <c r="N303" s="302">
        <v>0.29936237331246079</v>
      </c>
      <c r="O303" s="302">
        <f t="shared" si="135"/>
        <v>2.5482762184990992</v>
      </c>
    </row>
    <row r="304" spans="1:15" s="236" customFormat="1" x14ac:dyDescent="0.2">
      <c r="A304" s="237" t="str">
        <f>name!E$10</f>
        <v>Sales and customer service occupations</v>
      </c>
      <c r="B304" s="302">
        <v>2.2926924172215091</v>
      </c>
      <c r="C304" s="302">
        <v>1.3486223040753655</v>
      </c>
      <c r="D304" s="302">
        <v>0.13488996836475317</v>
      </c>
      <c r="E304" s="302">
        <f t="shared" si="133"/>
        <v>3.7762046896616277</v>
      </c>
      <c r="F304" s="303"/>
      <c r="G304" s="302">
        <v>2.3393910167818466</v>
      </c>
      <c r="H304" s="302">
        <v>1.3803628551286684</v>
      </c>
      <c r="I304" s="302">
        <v>0.12661785509505749</v>
      </c>
      <c r="J304" s="302">
        <f t="shared" si="136"/>
        <v>3.8463717270055726</v>
      </c>
      <c r="K304" s="303"/>
      <c r="L304" s="302">
        <v>2.9645525070340537</v>
      </c>
      <c r="M304" s="302">
        <v>2.0361299392689798</v>
      </c>
      <c r="N304" s="302">
        <v>0.10254364087746225</v>
      </c>
      <c r="O304" s="302">
        <f t="shared" si="135"/>
        <v>5.1032260871804951</v>
      </c>
    </row>
    <row r="305" spans="1:15" s="236" customFormat="1" x14ac:dyDescent="0.2">
      <c r="A305" s="237" t="str">
        <f>name!E$11</f>
        <v>Process, plant and machine operatives</v>
      </c>
      <c r="B305" s="302">
        <v>1.3141372225960626</v>
      </c>
      <c r="C305" s="302">
        <v>0.456631650594778</v>
      </c>
      <c r="D305" s="302">
        <v>5.0179357794987209E-2</v>
      </c>
      <c r="E305" s="302">
        <f t="shared" si="133"/>
        <v>1.8209482309858278</v>
      </c>
      <c r="F305" s="303"/>
      <c r="G305" s="302">
        <v>1.272205873598335</v>
      </c>
      <c r="H305" s="302">
        <v>0.45783074759528053</v>
      </c>
      <c r="I305" s="302">
        <v>0.10516328429196781</v>
      </c>
      <c r="J305" s="302">
        <f t="shared" si="136"/>
        <v>1.8351999054855834</v>
      </c>
      <c r="K305" s="303"/>
      <c r="L305" s="302">
        <v>1.2415974408865467</v>
      </c>
      <c r="M305" s="302">
        <v>0.56050448938186492</v>
      </c>
      <c r="N305" s="302">
        <v>0.1048856061904192</v>
      </c>
      <c r="O305" s="302">
        <f t="shared" si="135"/>
        <v>1.9069875364588307</v>
      </c>
    </row>
    <row r="306" spans="1:15" s="236" customFormat="1" x14ac:dyDescent="0.2">
      <c r="A306" s="237" t="str">
        <f>name!E$12</f>
        <v>Elementary occupations</v>
      </c>
      <c r="B306" s="302">
        <v>7.3641981654904578</v>
      </c>
      <c r="C306" s="302">
        <v>4.7355011961655915</v>
      </c>
      <c r="D306" s="302">
        <v>0.82782635807402671</v>
      </c>
      <c r="E306" s="302">
        <f t="shared" si="133"/>
        <v>12.927525719730077</v>
      </c>
      <c r="F306" s="303"/>
      <c r="G306" s="302">
        <v>6.6710140860355756</v>
      </c>
      <c r="H306" s="302">
        <v>3.9119858095837596</v>
      </c>
      <c r="I306" s="302">
        <v>0.71108918316417002</v>
      </c>
      <c r="J306" s="302">
        <f t="shared" si="136"/>
        <v>11.294089078783504</v>
      </c>
      <c r="K306" s="303"/>
      <c r="L306" s="302">
        <v>7.3136415682868146</v>
      </c>
      <c r="M306" s="302">
        <v>3.1354942156590777</v>
      </c>
      <c r="N306" s="302">
        <v>0.84166723095818863</v>
      </c>
      <c r="O306" s="302">
        <f t="shared" si="135"/>
        <v>11.29080301490408</v>
      </c>
    </row>
    <row r="307" spans="1:15" s="236" customFormat="1" x14ac:dyDescent="0.2">
      <c r="A307" s="237"/>
      <c r="B307" s="302"/>
      <c r="C307" s="302"/>
      <c r="D307" s="302"/>
      <c r="E307" s="302"/>
      <c r="F307" s="303"/>
      <c r="G307" s="302"/>
      <c r="H307" s="302"/>
      <c r="I307" s="302"/>
      <c r="J307" s="302"/>
      <c r="K307" s="303"/>
      <c r="L307" s="302"/>
      <c r="M307" s="302"/>
      <c r="N307" s="302"/>
      <c r="O307" s="302"/>
    </row>
    <row r="308" spans="1:15" s="236" customFormat="1" x14ac:dyDescent="0.2">
      <c r="A308" s="244" t="s">
        <v>33</v>
      </c>
      <c r="B308" s="311">
        <f>SUM(B298:B306)</f>
        <v>21.195161598108605</v>
      </c>
      <c r="C308" s="311">
        <f t="shared" ref="C308:E308" si="137">SUM(C298:C306)</f>
        <v>11.321746420960077</v>
      </c>
      <c r="D308" s="311">
        <f t="shared" si="137"/>
        <v>2.6510919809313624</v>
      </c>
      <c r="E308" s="311">
        <f t="shared" si="137"/>
        <v>35.168000000000049</v>
      </c>
      <c r="F308" s="311"/>
      <c r="G308" s="311">
        <f t="shared" ref="G308:J308" si="138">SUM(G298:G306)</f>
        <v>21.822545080525597</v>
      </c>
      <c r="H308" s="311">
        <f t="shared" si="138"/>
        <v>10.580323277373218</v>
      </c>
      <c r="I308" s="311">
        <f t="shared" si="138"/>
        <v>2.7871316421012282</v>
      </c>
      <c r="J308" s="311">
        <f t="shared" si="138"/>
        <v>35.19000000000004</v>
      </c>
      <c r="K308" s="311"/>
      <c r="L308" s="311">
        <f t="shared" ref="L308:O308" si="139">SUM(L298:L306)</f>
        <v>23.769444871705506</v>
      </c>
      <c r="M308" s="311">
        <f t="shared" si="139"/>
        <v>10.955229738814261</v>
      </c>
      <c r="N308" s="311">
        <f t="shared" si="139"/>
        <v>2.9623253894801964</v>
      </c>
      <c r="O308" s="311">
        <f t="shared" si="139"/>
        <v>37.686999999999962</v>
      </c>
    </row>
    <row r="309" spans="1:15" s="236" customFormat="1" x14ac:dyDescent="0.2">
      <c r="A309" s="237"/>
      <c r="B309" s="237"/>
      <c r="C309" s="237"/>
      <c r="D309" s="237"/>
      <c r="E309" s="237"/>
      <c r="F309" s="237"/>
      <c r="G309" s="237"/>
      <c r="H309" s="237"/>
      <c r="I309" s="237"/>
      <c r="J309" s="237"/>
      <c r="K309" s="237"/>
      <c r="L309" s="237"/>
      <c r="M309" s="237"/>
      <c r="N309" s="240"/>
    </row>
    <row r="310" spans="1:15" s="236" customFormat="1" x14ac:dyDescent="0.2">
      <c r="A310" s="237"/>
      <c r="B310" s="237"/>
      <c r="C310" s="237"/>
      <c r="D310" s="237"/>
      <c r="E310" s="237"/>
      <c r="F310" s="237"/>
      <c r="G310" s="237"/>
      <c r="H310" s="237"/>
      <c r="I310" s="237"/>
      <c r="J310" s="237"/>
      <c r="K310" s="237"/>
      <c r="L310" s="237"/>
      <c r="M310" s="237"/>
      <c r="N310" s="240"/>
      <c r="O310" s="251" t="s">
        <v>36</v>
      </c>
    </row>
    <row r="311" spans="1:15" s="236" customFormat="1" x14ac:dyDescent="0.2">
      <c r="A311" s="242"/>
      <c r="B311" s="242"/>
      <c r="C311" s="242"/>
      <c r="D311" s="242"/>
      <c r="E311" s="242"/>
      <c r="F311" s="242"/>
      <c r="G311" s="242"/>
      <c r="H311" s="242"/>
      <c r="I311" s="242"/>
      <c r="J311" s="242"/>
      <c r="K311" s="242"/>
      <c r="L311" s="242"/>
      <c r="M311" s="242"/>
      <c r="N311" s="242"/>
      <c r="O311" s="242"/>
    </row>
    <row r="312" spans="1:15" s="236" customFormat="1" x14ac:dyDescent="0.2">
      <c r="A312" s="241" t="str">
        <f>name!B21</f>
        <v>Public admin. and defence</v>
      </c>
      <c r="B312" s="377">
        <f>$B$6</f>
        <v>2015</v>
      </c>
      <c r="C312" s="377"/>
      <c r="D312" s="377"/>
      <c r="E312" s="377"/>
      <c r="F312" s="263"/>
      <c r="G312" s="377">
        <f>$G$6</f>
        <v>2020</v>
      </c>
      <c r="H312" s="377"/>
      <c r="I312" s="377"/>
      <c r="J312" s="377"/>
      <c r="K312" s="263"/>
      <c r="L312" s="377">
        <f>$L$6</f>
        <v>2035</v>
      </c>
      <c r="M312" s="377"/>
      <c r="N312" s="377"/>
      <c r="O312" s="377"/>
    </row>
    <row r="313" spans="1:15" s="236" customFormat="1" x14ac:dyDescent="0.2">
      <c r="A313" s="254"/>
      <c r="B313" s="268" t="str">
        <f>$B$7</f>
        <v>FT</v>
      </c>
      <c r="C313" s="268" t="str">
        <f>$C$7</f>
        <v>PT</v>
      </c>
      <c r="D313" s="268" t="str">
        <f>$D$7</f>
        <v>SE</v>
      </c>
      <c r="E313" s="268" t="str">
        <f>$E$7</f>
        <v>Total</v>
      </c>
      <c r="F313" s="268"/>
      <c r="G313" s="268" t="str">
        <f>$G$7</f>
        <v>FT</v>
      </c>
      <c r="H313" s="268" t="str">
        <f>$H$7</f>
        <v>PT</v>
      </c>
      <c r="I313" s="268" t="str">
        <f>$I$7</f>
        <v>SE</v>
      </c>
      <c r="J313" s="268" t="str">
        <f>$J$7</f>
        <v>Total</v>
      </c>
      <c r="K313" s="268"/>
      <c r="L313" s="268" t="str">
        <f>$L$7</f>
        <v>FT</v>
      </c>
      <c r="M313" s="268" t="str">
        <f>$M$7</f>
        <v>PT</v>
      </c>
      <c r="N313" s="268" t="str">
        <f>$N$7</f>
        <v>SE</v>
      </c>
      <c r="O313" s="268" t="str">
        <f>$O$7</f>
        <v>Total</v>
      </c>
    </row>
    <row r="314" spans="1:15" s="236" customFormat="1" x14ac:dyDescent="0.2">
      <c r="A314" s="258"/>
      <c r="B314" s="239"/>
      <c r="C314" s="239"/>
      <c r="D314" s="239"/>
      <c r="E314" s="239"/>
      <c r="F314" s="239"/>
      <c r="G314" s="239"/>
      <c r="H314" s="239"/>
      <c r="I314" s="239"/>
      <c r="J314" s="239"/>
      <c r="K314" s="239"/>
      <c r="L314" s="239"/>
      <c r="M314" s="239"/>
      <c r="N314" s="239"/>
      <c r="O314" s="239"/>
    </row>
    <row r="315" spans="1:15" s="236" customFormat="1" x14ac:dyDescent="0.2">
      <c r="A315" s="237" t="str">
        <f>name!E$4</f>
        <v>Managers, directors and senior officials</v>
      </c>
      <c r="B315" s="302">
        <v>1.6469188845206479</v>
      </c>
      <c r="C315" s="302">
        <v>0.45434206603306443</v>
      </c>
      <c r="D315" s="302">
        <v>0.1117636562778959</v>
      </c>
      <c r="E315" s="302">
        <f>SUM(B315:D315)</f>
        <v>2.2130246068316084</v>
      </c>
      <c r="F315" s="303"/>
      <c r="G315" s="302">
        <v>1.7906247130008455</v>
      </c>
      <c r="H315" s="302">
        <v>0.59976547308274009</v>
      </c>
      <c r="I315" s="302">
        <v>0.12406375977323685</v>
      </c>
      <c r="J315" s="302">
        <f>SUM(G315:I315)</f>
        <v>2.5144539458568222</v>
      </c>
      <c r="K315" s="303"/>
      <c r="L315" s="302">
        <v>1.6866241293894693</v>
      </c>
      <c r="M315" s="302">
        <v>0.71903903301737393</v>
      </c>
      <c r="N315" s="302">
        <v>0.12915367035507927</v>
      </c>
      <c r="O315" s="302">
        <f>SUM(L315:N315)</f>
        <v>2.5348168327619223</v>
      </c>
    </row>
    <row r="316" spans="1:15" s="236" customFormat="1" x14ac:dyDescent="0.2">
      <c r="A316" s="237" t="str">
        <f>name!E$5</f>
        <v>Professional occupations</v>
      </c>
      <c r="B316" s="302">
        <v>4.0218557789853433</v>
      </c>
      <c r="C316" s="302">
        <v>1.5038567279521085</v>
      </c>
      <c r="D316" s="302">
        <v>0.35256611740025628</v>
      </c>
      <c r="E316" s="302">
        <f t="shared" ref="E316:E323" si="140">SUM(B316:D316)</f>
        <v>5.8782786243377076</v>
      </c>
      <c r="F316" s="303"/>
      <c r="G316" s="302">
        <v>4.9898940639838107</v>
      </c>
      <c r="H316" s="302">
        <v>1.8542407356453314</v>
      </c>
      <c r="I316" s="302">
        <v>0.59681899296680618</v>
      </c>
      <c r="J316" s="302">
        <f t="shared" ref="J316:J318" si="141">SUM(G316:I316)</f>
        <v>7.4409537925959484</v>
      </c>
      <c r="K316" s="303"/>
      <c r="L316" s="302">
        <v>5.4738054970513002</v>
      </c>
      <c r="M316" s="302">
        <v>2.2906706301857072</v>
      </c>
      <c r="N316" s="302">
        <v>0.57752224536384189</v>
      </c>
      <c r="O316" s="302">
        <f t="shared" ref="O316:O323" si="142">SUM(L316:N316)</f>
        <v>8.3419983726008482</v>
      </c>
    </row>
    <row r="317" spans="1:15" s="236" customFormat="1" x14ac:dyDescent="0.2">
      <c r="A317" s="237" t="str">
        <f>name!E$6</f>
        <v>Associate professional occupations</v>
      </c>
      <c r="B317" s="302">
        <v>6.9209345686670121</v>
      </c>
      <c r="C317" s="302">
        <v>1.5826725484942936</v>
      </c>
      <c r="D317" s="302">
        <v>0.16739651336465772</v>
      </c>
      <c r="E317" s="302">
        <f t="shared" si="140"/>
        <v>8.6710036305259628</v>
      </c>
      <c r="F317" s="303"/>
      <c r="G317" s="302">
        <v>7.6463891386424816</v>
      </c>
      <c r="H317" s="302">
        <v>1.6070514882297722</v>
      </c>
      <c r="I317" s="302">
        <v>0.19761313802107452</v>
      </c>
      <c r="J317" s="302">
        <f t="shared" si="141"/>
        <v>9.4510537648933273</v>
      </c>
      <c r="K317" s="303"/>
      <c r="L317" s="302">
        <v>8.0801982545926716</v>
      </c>
      <c r="M317" s="302">
        <v>1.8042331081234748</v>
      </c>
      <c r="N317" s="302">
        <v>0.21737778627746279</v>
      </c>
      <c r="O317" s="302">
        <f t="shared" si="142"/>
        <v>10.10180914899361</v>
      </c>
    </row>
    <row r="318" spans="1:15" s="236" customFormat="1" x14ac:dyDescent="0.2">
      <c r="A318" s="237" t="str">
        <f>name!E$7</f>
        <v>Administrative and secretarial occupations</v>
      </c>
      <c r="B318" s="302">
        <v>4.610498675657186</v>
      </c>
      <c r="C318" s="302">
        <v>4.9649646217251373</v>
      </c>
      <c r="D318" s="302">
        <v>6.4328893646689575E-2</v>
      </c>
      <c r="E318" s="302">
        <f t="shared" si="140"/>
        <v>9.639792191029013</v>
      </c>
      <c r="F318" s="303"/>
      <c r="G318" s="302">
        <v>4.2740319783112026</v>
      </c>
      <c r="H318" s="302">
        <v>4.3257038876030771</v>
      </c>
      <c r="I318" s="302">
        <v>9.2859981195288419E-2</v>
      </c>
      <c r="J318" s="302">
        <f t="shared" si="141"/>
        <v>8.692595847109569</v>
      </c>
      <c r="K318" s="303"/>
      <c r="L318" s="302">
        <v>2.5199119547326707</v>
      </c>
      <c r="M318" s="302">
        <v>3.6027373972602192</v>
      </c>
      <c r="N318" s="302">
        <v>7.2863203376992799E-2</v>
      </c>
      <c r="O318" s="302">
        <f t="shared" si="142"/>
        <v>6.1955125553698824</v>
      </c>
    </row>
    <row r="319" spans="1:15" s="236" customFormat="1" x14ac:dyDescent="0.2">
      <c r="A319" s="237" t="str">
        <f>name!E$8</f>
        <v>Skilled trades occupations</v>
      </c>
      <c r="B319" s="302">
        <v>0.34836106328674099</v>
      </c>
      <c r="C319" s="302">
        <v>5.0570684218600066E-2</v>
      </c>
      <c r="D319" s="302">
        <v>7.2665712537020963E-2</v>
      </c>
      <c r="E319" s="302">
        <f t="shared" si="140"/>
        <v>0.47159746004236203</v>
      </c>
      <c r="F319" s="303"/>
      <c r="G319" s="302">
        <v>0.2754291055062898</v>
      </c>
      <c r="H319" s="302">
        <v>4.2071531937665524E-2</v>
      </c>
      <c r="I319" s="302">
        <v>1.2765938450140648E-2</v>
      </c>
      <c r="J319" s="302">
        <f>SUM(G319:I319)</f>
        <v>0.33026657589409592</v>
      </c>
      <c r="K319" s="303"/>
      <c r="L319" s="302">
        <v>0.25631786533128764</v>
      </c>
      <c r="M319" s="302">
        <v>9.6398434453852405E-2</v>
      </c>
      <c r="N319" s="302">
        <v>2.5450022748287025E-2</v>
      </c>
      <c r="O319" s="302">
        <f t="shared" si="142"/>
        <v>0.37816632253342708</v>
      </c>
    </row>
    <row r="320" spans="1:15" s="236" customFormat="1" x14ac:dyDescent="0.2">
      <c r="A320" s="237" t="str">
        <f>name!E$9</f>
        <v>Caring, leisure and other service occupations</v>
      </c>
      <c r="B320" s="302">
        <v>0.69108541682908387</v>
      </c>
      <c r="C320" s="302">
        <v>0.51458376602486278</v>
      </c>
      <c r="D320" s="302">
        <v>3.4113859652787702E-2</v>
      </c>
      <c r="E320" s="302">
        <f t="shared" si="140"/>
        <v>1.2397830425067342</v>
      </c>
      <c r="F320" s="303"/>
      <c r="G320" s="302">
        <v>0.64765351878216959</v>
      </c>
      <c r="H320" s="302">
        <v>0.46233692460288883</v>
      </c>
      <c r="I320" s="302">
        <v>8.2654274552341991E-2</v>
      </c>
      <c r="J320" s="302">
        <f t="shared" ref="J320:J323" si="143">SUM(G320:I320)</f>
        <v>1.1926447179374005</v>
      </c>
      <c r="K320" s="303"/>
      <c r="L320" s="302">
        <v>0.67406031781097053</v>
      </c>
      <c r="M320" s="302">
        <v>0.4620002387378862</v>
      </c>
      <c r="N320" s="302">
        <v>5.9485654071048145E-2</v>
      </c>
      <c r="O320" s="302">
        <f t="shared" si="142"/>
        <v>1.1955462106199051</v>
      </c>
    </row>
    <row r="321" spans="1:15" s="236" customFormat="1" x14ac:dyDescent="0.2">
      <c r="A321" s="237" t="str">
        <f>name!E$10</f>
        <v>Sales and customer service occupations</v>
      </c>
      <c r="B321" s="302">
        <v>0.38469430138085137</v>
      </c>
      <c r="C321" s="302">
        <v>0.51706649622656276</v>
      </c>
      <c r="D321" s="302">
        <v>2.4560802457234954E-2</v>
      </c>
      <c r="E321" s="302">
        <f t="shared" si="140"/>
        <v>0.92632160006464903</v>
      </c>
      <c r="F321" s="303"/>
      <c r="G321" s="302">
        <v>0.36377272299485069</v>
      </c>
      <c r="H321" s="302">
        <v>0.4803474667507644</v>
      </c>
      <c r="I321" s="302">
        <v>1.8386550101170802E-2</v>
      </c>
      <c r="J321" s="302">
        <f t="shared" si="143"/>
        <v>0.86250673984678594</v>
      </c>
      <c r="K321" s="303"/>
      <c r="L321" s="302">
        <v>0.36888079454305112</v>
      </c>
      <c r="M321" s="302">
        <v>0.57951582520015177</v>
      </c>
      <c r="N321" s="302">
        <v>2.5303625231786052E-2</v>
      </c>
      <c r="O321" s="302">
        <f t="shared" si="142"/>
        <v>0.97370024497498897</v>
      </c>
    </row>
    <row r="322" spans="1:15" s="236" customFormat="1" x14ac:dyDescent="0.2">
      <c r="A322" s="237" t="str">
        <f>name!E$11</f>
        <v>Process, plant and machine operatives</v>
      </c>
      <c r="B322" s="302">
        <v>0.22218777608021936</v>
      </c>
      <c r="C322" s="302">
        <v>0.128579144613755</v>
      </c>
      <c r="D322" s="302">
        <v>1.1001244524028259E-2</v>
      </c>
      <c r="E322" s="302">
        <f t="shared" si="140"/>
        <v>0.36176816521800259</v>
      </c>
      <c r="F322" s="303"/>
      <c r="G322" s="302">
        <v>0.16255739958187274</v>
      </c>
      <c r="H322" s="302">
        <v>9.3891345206368895E-2</v>
      </c>
      <c r="I322" s="302">
        <v>6.003797176774817E-3</v>
      </c>
      <c r="J322" s="302">
        <f t="shared" si="143"/>
        <v>0.26245254196501644</v>
      </c>
      <c r="K322" s="303"/>
      <c r="L322" s="302">
        <v>0.14717940192204146</v>
      </c>
      <c r="M322" s="302">
        <v>0.11998915064275054</v>
      </c>
      <c r="N322" s="302">
        <v>7.8577525976011534E-3</v>
      </c>
      <c r="O322" s="302">
        <f t="shared" si="142"/>
        <v>0.27502630516239313</v>
      </c>
    </row>
    <row r="323" spans="1:15" s="236" customFormat="1" x14ac:dyDescent="0.2">
      <c r="A323" s="237" t="str">
        <f>name!E$12</f>
        <v>Elementary occupations</v>
      </c>
      <c r="B323" s="302">
        <v>0.51872132460484066</v>
      </c>
      <c r="C323" s="302">
        <v>0.63718279497864572</v>
      </c>
      <c r="D323" s="302">
        <v>1.4526559860537965E-2</v>
      </c>
      <c r="E323" s="302">
        <f t="shared" si="140"/>
        <v>1.1704306794440242</v>
      </c>
      <c r="F323" s="303"/>
      <c r="G323" s="302">
        <v>0.40280619987286931</v>
      </c>
      <c r="H323" s="302">
        <v>0.447760910888506</v>
      </c>
      <c r="I323" s="302">
        <v>9.5049631396829422E-3</v>
      </c>
      <c r="J323" s="302">
        <f t="shared" si="143"/>
        <v>0.86007207390105822</v>
      </c>
      <c r="K323" s="303"/>
      <c r="L323" s="302">
        <v>0.31433925684469799</v>
      </c>
      <c r="M323" s="302">
        <v>0.32221455355056505</v>
      </c>
      <c r="N323" s="302">
        <v>1.3870196587756643E-2</v>
      </c>
      <c r="O323" s="302">
        <f t="shared" si="142"/>
        <v>0.65042400698301972</v>
      </c>
    </row>
    <row r="324" spans="1:15" s="236" customFormat="1" x14ac:dyDescent="0.2">
      <c r="A324" s="237"/>
      <c r="B324" s="302"/>
      <c r="C324" s="302"/>
      <c r="D324" s="302"/>
      <c r="E324" s="302"/>
      <c r="F324" s="303"/>
      <c r="G324" s="302"/>
      <c r="H324" s="302"/>
      <c r="I324" s="302"/>
      <c r="J324" s="302"/>
      <c r="K324" s="303"/>
      <c r="L324" s="302"/>
      <c r="M324" s="302"/>
      <c r="N324" s="302"/>
      <c r="O324" s="302"/>
    </row>
    <row r="325" spans="1:15" s="236" customFormat="1" x14ac:dyDescent="0.2">
      <c r="A325" s="244" t="s">
        <v>33</v>
      </c>
      <c r="B325" s="311">
        <f>SUM(B315:B323)</f>
        <v>19.365257790011924</v>
      </c>
      <c r="C325" s="311">
        <f t="shared" ref="C325:E325" si="144">SUM(C315:C323)</f>
        <v>10.353818850267032</v>
      </c>
      <c r="D325" s="311">
        <f t="shared" si="144"/>
        <v>0.85292335972110933</v>
      </c>
      <c r="E325" s="311">
        <f t="shared" si="144"/>
        <v>30.572000000000063</v>
      </c>
      <c r="F325" s="311"/>
      <c r="G325" s="311">
        <f t="shared" ref="G325:J325" si="145">SUM(G315:G323)</f>
        <v>20.553158840676396</v>
      </c>
      <c r="H325" s="311">
        <f t="shared" si="145"/>
        <v>9.9131697639471152</v>
      </c>
      <c r="I325" s="311">
        <f t="shared" si="145"/>
        <v>1.1406713953765171</v>
      </c>
      <c r="J325" s="311">
        <f t="shared" si="145"/>
        <v>31.607000000000024</v>
      </c>
      <c r="K325" s="311"/>
      <c r="L325" s="311">
        <f t="shared" ref="L325:O325" si="146">SUM(L315:L323)</f>
        <v>19.521317472218158</v>
      </c>
      <c r="M325" s="311">
        <f t="shared" si="146"/>
        <v>9.9967983711719803</v>
      </c>
      <c r="N325" s="311">
        <f t="shared" si="146"/>
        <v>1.1288841566098557</v>
      </c>
      <c r="O325" s="311">
        <f t="shared" si="146"/>
        <v>30.646999999999998</v>
      </c>
    </row>
    <row r="326" spans="1:15" s="236" customFormat="1" x14ac:dyDescent="0.2">
      <c r="A326" s="237"/>
      <c r="B326" s="237"/>
      <c r="C326" s="237"/>
      <c r="D326" s="237"/>
      <c r="E326" s="237"/>
      <c r="F326" s="237"/>
      <c r="G326" s="237"/>
      <c r="H326" s="237"/>
      <c r="I326" s="237"/>
      <c r="J326" s="237"/>
      <c r="K326" s="237"/>
      <c r="L326" s="237"/>
      <c r="M326" s="237"/>
      <c r="N326" s="240"/>
    </row>
    <row r="327" spans="1:15" s="236" customFormat="1" x14ac:dyDescent="0.2">
      <c r="A327" s="237"/>
      <c r="B327" s="237"/>
      <c r="C327" s="237"/>
      <c r="D327" s="237"/>
      <c r="E327" s="237"/>
      <c r="F327" s="237"/>
      <c r="G327" s="237"/>
      <c r="H327" s="237"/>
      <c r="I327" s="237"/>
      <c r="J327" s="237"/>
      <c r="K327" s="237"/>
      <c r="L327" s="237"/>
      <c r="M327" s="237"/>
      <c r="N327" s="240"/>
      <c r="O327" s="251" t="s">
        <v>36</v>
      </c>
    </row>
    <row r="328" spans="1:15" s="236" customFormat="1" x14ac:dyDescent="0.2">
      <c r="A328" s="242"/>
      <c r="B328" s="242"/>
      <c r="C328" s="242"/>
      <c r="D328" s="242"/>
      <c r="E328" s="242"/>
      <c r="F328" s="242"/>
      <c r="G328" s="242"/>
      <c r="H328" s="242"/>
      <c r="I328" s="242"/>
      <c r="J328" s="242"/>
      <c r="K328" s="242"/>
      <c r="L328" s="242"/>
      <c r="M328" s="242"/>
      <c r="N328" s="242"/>
      <c r="O328" s="242"/>
    </row>
    <row r="329" spans="1:15" s="236" customFormat="1" x14ac:dyDescent="0.2">
      <c r="A329" s="241" t="str">
        <f>name!B22</f>
        <v>Education</v>
      </c>
      <c r="B329" s="377">
        <f>$B$6</f>
        <v>2015</v>
      </c>
      <c r="C329" s="377"/>
      <c r="D329" s="377"/>
      <c r="E329" s="377"/>
      <c r="F329" s="263"/>
      <c r="G329" s="377">
        <f>$G$6</f>
        <v>2020</v>
      </c>
      <c r="H329" s="377"/>
      <c r="I329" s="377"/>
      <c r="J329" s="377"/>
      <c r="K329" s="263"/>
      <c r="L329" s="377">
        <f>$L$6</f>
        <v>2035</v>
      </c>
      <c r="M329" s="377"/>
      <c r="N329" s="377"/>
      <c r="O329" s="377"/>
    </row>
    <row r="330" spans="1:15" s="236" customFormat="1" x14ac:dyDescent="0.2">
      <c r="A330" s="254"/>
      <c r="B330" s="268" t="str">
        <f>$B$7</f>
        <v>FT</v>
      </c>
      <c r="C330" s="268" t="str">
        <f>$C$7</f>
        <v>PT</v>
      </c>
      <c r="D330" s="268" t="str">
        <f>$D$7</f>
        <v>SE</v>
      </c>
      <c r="E330" s="268" t="str">
        <f>$E$7</f>
        <v>Total</v>
      </c>
      <c r="F330" s="268"/>
      <c r="G330" s="268" t="str">
        <f>$G$7</f>
        <v>FT</v>
      </c>
      <c r="H330" s="268" t="str">
        <f>$H$7</f>
        <v>PT</v>
      </c>
      <c r="I330" s="268" t="str">
        <f>$I$7</f>
        <v>SE</v>
      </c>
      <c r="J330" s="268" t="str">
        <f>$J$7</f>
        <v>Total</v>
      </c>
      <c r="K330" s="268"/>
      <c r="L330" s="268" t="str">
        <f>$L$7</f>
        <v>FT</v>
      </c>
      <c r="M330" s="268" t="str">
        <f>$M$7</f>
        <v>PT</v>
      </c>
      <c r="N330" s="268" t="str">
        <f>$N$7</f>
        <v>SE</v>
      </c>
      <c r="O330" s="268" t="str">
        <f>$O$7</f>
        <v>Total</v>
      </c>
    </row>
    <row r="331" spans="1:15" s="236" customFormat="1" x14ac:dyDescent="0.2">
      <c r="A331" s="258"/>
      <c r="B331" s="239"/>
      <c r="C331" s="239"/>
      <c r="D331" s="239"/>
      <c r="E331" s="239"/>
      <c r="F331" s="239"/>
      <c r="G331" s="239"/>
      <c r="H331" s="239"/>
      <c r="I331" s="239"/>
      <c r="J331" s="239"/>
      <c r="K331" s="239"/>
      <c r="L331" s="239"/>
      <c r="M331" s="239"/>
      <c r="N331" s="239"/>
      <c r="O331" s="239"/>
    </row>
    <row r="332" spans="1:15" s="236" customFormat="1" x14ac:dyDescent="0.2">
      <c r="A332" s="237" t="str">
        <f>name!E$4</f>
        <v>Managers, directors and senior officials</v>
      </c>
      <c r="B332" s="302">
        <v>0.72257169046141967</v>
      </c>
      <c r="C332" s="302">
        <v>0.17874117511200796</v>
      </c>
      <c r="D332" s="302">
        <v>0.21079539709144432</v>
      </c>
      <c r="E332" s="302">
        <f>SUM(B332:D332)</f>
        <v>1.1121082626648719</v>
      </c>
      <c r="F332" s="303"/>
      <c r="G332" s="302">
        <v>0.62168813742143381</v>
      </c>
      <c r="H332" s="302">
        <v>0.22852923274428702</v>
      </c>
      <c r="I332" s="302">
        <v>0.18556605571010282</v>
      </c>
      <c r="J332" s="302">
        <f>SUM(G332:I332)</f>
        <v>1.0357834258758236</v>
      </c>
      <c r="K332" s="303"/>
      <c r="L332" s="302">
        <v>0.66879038121871115</v>
      </c>
      <c r="M332" s="302">
        <v>0.28841773815965904</v>
      </c>
      <c r="N332" s="302">
        <v>0.133305820853449</v>
      </c>
      <c r="O332" s="302">
        <f>SUM(L332:N332)</f>
        <v>1.0905139402318191</v>
      </c>
    </row>
    <row r="333" spans="1:15" s="236" customFormat="1" x14ac:dyDescent="0.2">
      <c r="A333" s="237" t="str">
        <f>name!E$5</f>
        <v>Professional occupations</v>
      </c>
      <c r="B333" s="302">
        <v>16.483637208227641</v>
      </c>
      <c r="C333" s="302">
        <v>4.7184809170431352</v>
      </c>
      <c r="D333" s="302">
        <v>0.28768120432718397</v>
      </c>
      <c r="E333" s="302">
        <f t="shared" ref="E333:E340" si="147">SUM(B333:D333)</f>
        <v>21.489799329597961</v>
      </c>
      <c r="F333" s="303"/>
      <c r="G333" s="302">
        <v>16.660159425909928</v>
      </c>
      <c r="H333" s="302">
        <v>5.2877664606495935</v>
      </c>
      <c r="I333" s="302">
        <v>0.28344657571295628</v>
      </c>
      <c r="J333" s="302">
        <f t="shared" ref="J333:J335" si="148">SUM(G333:I333)</f>
        <v>22.231372462272478</v>
      </c>
      <c r="K333" s="303"/>
      <c r="L333" s="302">
        <v>19.452886198575165</v>
      </c>
      <c r="M333" s="302">
        <v>6.9389537643552011</v>
      </c>
      <c r="N333" s="302">
        <v>2.1062124621882117E-2</v>
      </c>
      <c r="O333" s="302">
        <f t="shared" ref="O333:O340" si="149">SUM(L333:N333)</f>
        <v>26.412902087552247</v>
      </c>
    </row>
    <row r="334" spans="1:15" s="236" customFormat="1" x14ac:dyDescent="0.2">
      <c r="A334" s="237" t="str">
        <f>name!E$6</f>
        <v>Associate professional occupations</v>
      </c>
      <c r="B334" s="302">
        <v>1.9442070983005391</v>
      </c>
      <c r="C334" s="302">
        <v>1.1047060960970891</v>
      </c>
      <c r="D334" s="302">
        <v>0.165798512365568</v>
      </c>
      <c r="E334" s="302">
        <f t="shared" si="147"/>
        <v>3.2147117067631963</v>
      </c>
      <c r="F334" s="303"/>
      <c r="G334" s="302">
        <v>1.8058725099290864</v>
      </c>
      <c r="H334" s="302">
        <v>1.2176089401933845</v>
      </c>
      <c r="I334" s="302">
        <v>0.11922792854725953</v>
      </c>
      <c r="J334" s="302">
        <f t="shared" si="148"/>
        <v>3.1427093786697307</v>
      </c>
      <c r="K334" s="303"/>
      <c r="L334" s="302">
        <v>1.7415609672616839</v>
      </c>
      <c r="M334" s="302">
        <v>1.3258929037271461</v>
      </c>
      <c r="N334" s="302">
        <v>1.3750950571559476E-2</v>
      </c>
      <c r="O334" s="302">
        <f t="shared" si="149"/>
        <v>3.0812048215603896</v>
      </c>
    </row>
    <row r="335" spans="1:15" s="236" customFormat="1" x14ac:dyDescent="0.2">
      <c r="A335" s="237" t="str">
        <f>name!E$7</f>
        <v>Administrative and secretarial occupations</v>
      </c>
      <c r="B335" s="302">
        <v>0.84352248569538701</v>
      </c>
      <c r="C335" s="302">
        <v>2.015372326410076</v>
      </c>
      <c r="D335" s="302">
        <v>0.12499421243149555</v>
      </c>
      <c r="E335" s="302">
        <f t="shared" si="147"/>
        <v>2.9838890245369587</v>
      </c>
      <c r="F335" s="303"/>
      <c r="G335" s="302">
        <v>0.74723875322338906</v>
      </c>
      <c r="H335" s="302">
        <v>1.8146002274686344</v>
      </c>
      <c r="I335" s="302">
        <v>0.1057920306633183</v>
      </c>
      <c r="J335" s="302">
        <f t="shared" si="148"/>
        <v>2.6676310113553416</v>
      </c>
      <c r="K335" s="303"/>
      <c r="L335" s="302">
        <v>0.29877336478944994</v>
      </c>
      <c r="M335" s="302">
        <v>1.4274512345969592</v>
      </c>
      <c r="N335" s="302">
        <v>0.11560892159722765</v>
      </c>
      <c r="O335" s="302">
        <f t="shared" si="149"/>
        <v>1.8418335209836367</v>
      </c>
    </row>
    <row r="336" spans="1:15" s="236" customFormat="1" x14ac:dyDescent="0.2">
      <c r="A336" s="237" t="str">
        <f>name!E$8</f>
        <v>Skilled trades occupations</v>
      </c>
      <c r="B336" s="302">
        <v>0.42185948242373328</v>
      </c>
      <c r="C336" s="302">
        <v>0.23388286532606553</v>
      </c>
      <c r="D336" s="302">
        <v>0.43080795138644817</v>
      </c>
      <c r="E336" s="302">
        <f t="shared" si="147"/>
        <v>1.086550299136247</v>
      </c>
      <c r="F336" s="303"/>
      <c r="G336" s="302">
        <v>0.25349599584607613</v>
      </c>
      <c r="H336" s="302">
        <v>0.16114440288155812</v>
      </c>
      <c r="I336" s="302">
        <v>0.37475638126606498</v>
      </c>
      <c r="J336" s="302">
        <f>SUM(G336:I336)</f>
        <v>0.78939677999369917</v>
      </c>
      <c r="K336" s="303"/>
      <c r="L336" s="302">
        <v>0.14799930924201329</v>
      </c>
      <c r="M336" s="302">
        <v>8.2623528381104011E-2</v>
      </c>
      <c r="N336" s="302">
        <v>0.58529198037245833</v>
      </c>
      <c r="O336" s="302">
        <f t="shared" si="149"/>
        <v>0.81591481799557564</v>
      </c>
    </row>
    <row r="337" spans="1:15" s="236" customFormat="1" x14ac:dyDescent="0.2">
      <c r="A337" s="237" t="str">
        <f>name!E$9</f>
        <v>Caring, leisure and other service occupations</v>
      </c>
      <c r="B337" s="302">
        <v>4.5276982816891138</v>
      </c>
      <c r="C337" s="302">
        <v>5.0591163801905852</v>
      </c>
      <c r="D337" s="302">
        <v>0.77057207915527715</v>
      </c>
      <c r="E337" s="302">
        <f t="shared" si="147"/>
        <v>10.357386741034977</v>
      </c>
      <c r="F337" s="303"/>
      <c r="G337" s="302">
        <v>4.3557758305087777</v>
      </c>
      <c r="H337" s="302">
        <v>4.8483868471190563</v>
      </c>
      <c r="I337" s="302">
        <v>0.53221394028889057</v>
      </c>
      <c r="J337" s="302">
        <f t="shared" ref="J337:J340" si="150">SUM(G337:I337)</f>
        <v>9.7363766179167257</v>
      </c>
      <c r="K337" s="303"/>
      <c r="L337" s="302">
        <v>5.2605570727929249</v>
      </c>
      <c r="M337" s="302">
        <v>5.3126310932305527</v>
      </c>
      <c r="N337" s="302">
        <v>0.86005881827677133</v>
      </c>
      <c r="O337" s="302">
        <f t="shared" si="149"/>
        <v>11.433246984300249</v>
      </c>
    </row>
    <row r="338" spans="1:15" s="236" customFormat="1" x14ac:dyDescent="0.2">
      <c r="A338" s="237" t="str">
        <f>name!E$10</f>
        <v>Sales and customer service occupations</v>
      </c>
      <c r="B338" s="302">
        <v>9.291961695723587E-2</v>
      </c>
      <c r="C338" s="302">
        <v>0.16925308825258373</v>
      </c>
      <c r="D338" s="302">
        <v>0.19736460281422441</v>
      </c>
      <c r="E338" s="302">
        <f t="shared" si="147"/>
        <v>0.45953730802404402</v>
      </c>
      <c r="F338" s="303"/>
      <c r="G338" s="302">
        <v>7.538679503954808E-2</v>
      </c>
      <c r="H338" s="302">
        <v>0.15134995212706032</v>
      </c>
      <c r="I338" s="302">
        <v>0.15178643213573281</v>
      </c>
      <c r="J338" s="302">
        <f t="shared" si="150"/>
        <v>0.37852317930234125</v>
      </c>
      <c r="K338" s="303"/>
      <c r="L338" s="302">
        <v>7.8041519993237121E-2</v>
      </c>
      <c r="M338" s="302">
        <v>0.15280767322236549</v>
      </c>
      <c r="N338" s="302">
        <v>0.17924598828792809</v>
      </c>
      <c r="O338" s="302">
        <f t="shared" si="149"/>
        <v>0.41009518150353069</v>
      </c>
    </row>
    <row r="339" spans="1:15" s="236" customFormat="1" x14ac:dyDescent="0.2">
      <c r="A339" s="237" t="str">
        <f>name!E$11</f>
        <v>Process, plant and machine operatives</v>
      </c>
      <c r="B339" s="302">
        <v>7.2236192374718594E-2</v>
      </c>
      <c r="C339" s="302">
        <v>8.3425061244667212E-2</v>
      </c>
      <c r="D339" s="302">
        <v>0.7041508913888892</v>
      </c>
      <c r="E339" s="302">
        <f t="shared" si="147"/>
        <v>0.85981214500827496</v>
      </c>
      <c r="F339" s="303"/>
      <c r="G339" s="302">
        <v>3.8879530338243311E-2</v>
      </c>
      <c r="H339" s="302">
        <v>5.5702158500443591E-2</v>
      </c>
      <c r="I339" s="302">
        <v>0.93892011137364884</v>
      </c>
      <c r="J339" s="302">
        <f t="shared" si="150"/>
        <v>1.0335018002123357</v>
      </c>
      <c r="K339" s="303"/>
      <c r="L339" s="302">
        <v>2.5662526450287822E-2</v>
      </c>
      <c r="M339" s="302">
        <v>5.9024040531648496E-2</v>
      </c>
      <c r="N339" s="302">
        <v>0.9561001530468638</v>
      </c>
      <c r="O339" s="302">
        <f t="shared" si="149"/>
        <v>1.0407867200288001</v>
      </c>
    </row>
    <row r="340" spans="1:15" s="236" customFormat="1" x14ac:dyDescent="0.2">
      <c r="A340" s="237" t="str">
        <f>name!E$12</f>
        <v>Elementary occupations</v>
      </c>
      <c r="B340" s="302">
        <v>0.28174539135906335</v>
      </c>
      <c r="C340" s="302">
        <v>1.6753399918991048</v>
      </c>
      <c r="D340" s="302">
        <v>0.70711979997535834</v>
      </c>
      <c r="E340" s="302">
        <f t="shared" si="147"/>
        <v>2.6642051832335265</v>
      </c>
      <c r="F340" s="303"/>
      <c r="G340" s="302">
        <v>0.21916738363488233</v>
      </c>
      <c r="H340" s="302">
        <v>1.2856536596306649</v>
      </c>
      <c r="I340" s="302">
        <v>0.4808843011360282</v>
      </c>
      <c r="J340" s="302">
        <f t="shared" si="150"/>
        <v>1.9857053444015755</v>
      </c>
      <c r="K340" s="303"/>
      <c r="L340" s="302">
        <v>0.25142916615265753</v>
      </c>
      <c r="M340" s="302">
        <v>4.5003934759334584E-2</v>
      </c>
      <c r="N340" s="302">
        <v>0.71906882493179958</v>
      </c>
      <c r="O340" s="302">
        <f t="shared" si="149"/>
        <v>1.0155019258437916</v>
      </c>
    </row>
    <row r="341" spans="1:15" s="236" customFormat="1" x14ac:dyDescent="0.2">
      <c r="A341" s="237"/>
      <c r="B341" s="302"/>
      <c r="C341" s="302"/>
      <c r="D341" s="302"/>
      <c r="E341" s="302"/>
      <c r="F341" s="303"/>
      <c r="G341" s="302"/>
      <c r="H341" s="302"/>
      <c r="I341" s="302"/>
      <c r="J341" s="302"/>
      <c r="K341" s="303"/>
      <c r="L341" s="302"/>
      <c r="M341" s="302"/>
      <c r="N341" s="302"/>
      <c r="O341" s="302"/>
    </row>
    <row r="342" spans="1:15" s="236" customFormat="1" x14ac:dyDescent="0.2">
      <c r="A342" s="244" t="s">
        <v>33</v>
      </c>
      <c r="B342" s="311">
        <f>SUM(B332:B340)</f>
        <v>25.390397447488851</v>
      </c>
      <c r="C342" s="311">
        <f t="shared" ref="C342:E342" si="151">SUM(C332:C340)</f>
        <v>15.238317901575316</v>
      </c>
      <c r="D342" s="311">
        <f t="shared" si="151"/>
        <v>3.5992846509358891</v>
      </c>
      <c r="E342" s="311">
        <f t="shared" si="151"/>
        <v>44.228000000000058</v>
      </c>
      <c r="F342" s="311"/>
      <c r="G342" s="311">
        <f t="shared" ref="G342:J342" si="152">SUM(G332:G340)</f>
        <v>24.777664361851365</v>
      </c>
      <c r="H342" s="311">
        <f t="shared" si="152"/>
        <v>15.05074188131468</v>
      </c>
      <c r="I342" s="311">
        <f t="shared" si="152"/>
        <v>3.1725937568340021</v>
      </c>
      <c r="J342" s="311">
        <f t="shared" si="152"/>
        <v>43.001000000000047</v>
      </c>
      <c r="K342" s="311"/>
      <c r="L342" s="311">
        <f t="shared" ref="L342:O342" si="153">SUM(L332:L340)</f>
        <v>27.925700506476129</v>
      </c>
      <c r="M342" s="311">
        <f t="shared" si="153"/>
        <v>15.63280591096397</v>
      </c>
      <c r="N342" s="311">
        <f t="shared" si="153"/>
        <v>3.5834935825599388</v>
      </c>
      <c r="O342" s="311">
        <f t="shared" si="153"/>
        <v>47.142000000000039</v>
      </c>
    </row>
    <row r="343" spans="1:15" s="236" customFormat="1" x14ac:dyDescent="0.2">
      <c r="A343" s="237"/>
      <c r="B343" s="237"/>
      <c r="C343" s="237"/>
      <c r="D343" s="237"/>
      <c r="E343" s="237"/>
      <c r="F343" s="237"/>
      <c r="G343" s="237"/>
      <c r="H343" s="237"/>
      <c r="I343" s="237"/>
      <c r="J343" s="237"/>
      <c r="K343" s="237"/>
      <c r="L343" s="237"/>
      <c r="M343" s="237"/>
      <c r="N343" s="240"/>
    </row>
    <row r="344" spans="1:15" s="236" customFormat="1" x14ac:dyDescent="0.2">
      <c r="A344" s="237"/>
      <c r="B344" s="237"/>
      <c r="C344" s="237"/>
      <c r="D344" s="237"/>
      <c r="E344" s="237"/>
      <c r="F344" s="237"/>
      <c r="G344" s="237"/>
      <c r="H344" s="237"/>
      <c r="I344" s="237"/>
      <c r="J344" s="237"/>
      <c r="K344" s="237"/>
      <c r="L344" s="237"/>
      <c r="M344" s="237"/>
      <c r="N344" s="240"/>
      <c r="O344" s="251" t="s">
        <v>36</v>
      </c>
    </row>
    <row r="345" spans="1:15" s="236" customFormat="1" x14ac:dyDescent="0.2">
      <c r="A345" s="242"/>
      <c r="B345" s="242"/>
      <c r="C345" s="242"/>
      <c r="D345" s="242"/>
      <c r="E345" s="242"/>
      <c r="F345" s="242"/>
      <c r="G345" s="242"/>
      <c r="H345" s="242"/>
      <c r="I345" s="242"/>
      <c r="J345" s="242"/>
      <c r="K345" s="242"/>
      <c r="L345" s="242"/>
      <c r="M345" s="242"/>
      <c r="N345" s="242"/>
      <c r="O345" s="242"/>
    </row>
    <row r="346" spans="1:15" s="236" customFormat="1" x14ac:dyDescent="0.2">
      <c r="A346" s="241" t="str">
        <f>name!B23</f>
        <v>Health and social work</v>
      </c>
      <c r="B346" s="377">
        <f>$B$6</f>
        <v>2015</v>
      </c>
      <c r="C346" s="377"/>
      <c r="D346" s="377"/>
      <c r="E346" s="377"/>
      <c r="F346" s="263"/>
      <c r="G346" s="377">
        <f>$G$6</f>
        <v>2020</v>
      </c>
      <c r="H346" s="377"/>
      <c r="I346" s="377"/>
      <c r="J346" s="377"/>
      <c r="K346" s="263"/>
      <c r="L346" s="377">
        <f>$L$6</f>
        <v>2035</v>
      </c>
      <c r="M346" s="377"/>
      <c r="N346" s="377"/>
      <c r="O346" s="377"/>
    </row>
    <row r="347" spans="1:15" s="236" customFormat="1" x14ac:dyDescent="0.2">
      <c r="A347" s="254"/>
      <c r="B347" s="268" t="str">
        <f>$B$7</f>
        <v>FT</v>
      </c>
      <c r="C347" s="268" t="str">
        <f>$C$7</f>
        <v>PT</v>
      </c>
      <c r="D347" s="268" t="str">
        <f>$D$7</f>
        <v>SE</v>
      </c>
      <c r="E347" s="268" t="str">
        <f>$E$7</f>
        <v>Total</v>
      </c>
      <c r="F347" s="268"/>
      <c r="G347" s="268" t="str">
        <f>$G$7</f>
        <v>FT</v>
      </c>
      <c r="H347" s="268" t="str">
        <f>$H$7</f>
        <v>PT</v>
      </c>
      <c r="I347" s="268" t="str">
        <f>$I$7</f>
        <v>SE</v>
      </c>
      <c r="J347" s="268" t="str">
        <f>$J$7</f>
        <v>Total</v>
      </c>
      <c r="K347" s="268"/>
      <c r="L347" s="268" t="str">
        <f>$L$7</f>
        <v>FT</v>
      </c>
      <c r="M347" s="268" t="str">
        <f>$M$7</f>
        <v>PT</v>
      </c>
      <c r="N347" s="268" t="str">
        <f>$N$7</f>
        <v>SE</v>
      </c>
      <c r="O347" s="268" t="str">
        <f>$O$7</f>
        <v>Total</v>
      </c>
    </row>
    <row r="348" spans="1:15" s="236" customFormat="1" x14ac:dyDescent="0.2">
      <c r="A348" s="258"/>
      <c r="B348" s="239"/>
      <c r="C348" s="239"/>
      <c r="D348" s="239"/>
      <c r="E348" s="239"/>
      <c r="F348" s="239"/>
      <c r="G348" s="239"/>
      <c r="H348" s="239"/>
      <c r="I348" s="239"/>
      <c r="J348" s="239"/>
      <c r="K348" s="239"/>
      <c r="L348" s="239"/>
      <c r="M348" s="239"/>
      <c r="N348" s="239"/>
      <c r="O348" s="239"/>
    </row>
    <row r="349" spans="1:15" s="236" customFormat="1" x14ac:dyDescent="0.2">
      <c r="A349" s="237" t="str">
        <f>name!E$4</f>
        <v>Managers, directors and senior officials</v>
      </c>
      <c r="B349" s="302">
        <v>2.0468513043120979</v>
      </c>
      <c r="C349" s="302">
        <v>0.58138239352223453</v>
      </c>
      <c r="D349" s="302">
        <v>0.33439428378439862</v>
      </c>
      <c r="E349" s="302">
        <f>SUM(B349:D349)</f>
        <v>2.9626279816187311</v>
      </c>
      <c r="F349" s="303"/>
      <c r="G349" s="302">
        <v>1.9615057690887223</v>
      </c>
      <c r="H349" s="302">
        <v>0.80819705798129382</v>
      </c>
      <c r="I349" s="302">
        <v>0.26124433511111039</v>
      </c>
      <c r="J349" s="302">
        <f>SUM(G349:I349)</f>
        <v>3.0309471621811266</v>
      </c>
      <c r="K349" s="303"/>
      <c r="L349" s="302">
        <v>2.4974041858286005</v>
      </c>
      <c r="M349" s="302">
        <v>0.98763738070699381</v>
      </c>
      <c r="N349" s="302">
        <v>0.2429482128328829</v>
      </c>
      <c r="O349" s="302">
        <f>SUM(L349:N349)</f>
        <v>3.7279897793684773</v>
      </c>
    </row>
    <row r="350" spans="1:15" s="236" customFormat="1" x14ac:dyDescent="0.2">
      <c r="A350" s="237" t="str">
        <f>name!E$5</f>
        <v>Professional occupations</v>
      </c>
      <c r="B350" s="302">
        <v>15.3788940495674</v>
      </c>
      <c r="C350" s="302">
        <v>7.454512323401028</v>
      </c>
      <c r="D350" s="302">
        <v>1.9278965427443437</v>
      </c>
      <c r="E350" s="302">
        <f t="shared" ref="E350:E357" si="154">SUM(B350:D350)</f>
        <v>24.761302915712768</v>
      </c>
      <c r="F350" s="303"/>
      <c r="G350" s="302">
        <v>15.403729878410047</v>
      </c>
      <c r="H350" s="302">
        <v>8.8495682876057273</v>
      </c>
      <c r="I350" s="302">
        <v>1.4505834898438867</v>
      </c>
      <c r="J350" s="302">
        <f t="shared" ref="J350:J352" si="155">SUM(G350:I350)</f>
        <v>25.703881655859661</v>
      </c>
      <c r="K350" s="303"/>
      <c r="L350" s="302">
        <v>19.25907978625083</v>
      </c>
      <c r="M350" s="302">
        <v>11.021522566318293</v>
      </c>
      <c r="N350" s="302">
        <v>1.513520874634446</v>
      </c>
      <c r="O350" s="302">
        <f t="shared" ref="O350:O357" si="156">SUM(L350:N350)</f>
        <v>31.794123227203567</v>
      </c>
    </row>
    <row r="351" spans="1:15" s="236" customFormat="1" x14ac:dyDescent="0.2">
      <c r="A351" s="237" t="str">
        <f>name!E$6</f>
        <v>Associate professional occupations</v>
      </c>
      <c r="B351" s="302">
        <v>5.4899673379655143</v>
      </c>
      <c r="C351" s="302">
        <v>3.185151368133273</v>
      </c>
      <c r="D351" s="302">
        <v>0.49939824208966821</v>
      </c>
      <c r="E351" s="302">
        <f t="shared" si="154"/>
        <v>9.1745169481884563</v>
      </c>
      <c r="F351" s="303"/>
      <c r="G351" s="302">
        <v>5.3795802366315835</v>
      </c>
      <c r="H351" s="302">
        <v>3.7644061053121347</v>
      </c>
      <c r="I351" s="302">
        <v>0.30867827999354458</v>
      </c>
      <c r="J351" s="302">
        <f t="shared" si="155"/>
        <v>9.452664621937263</v>
      </c>
      <c r="K351" s="303"/>
      <c r="L351" s="302">
        <v>6.0257547583631021</v>
      </c>
      <c r="M351" s="302">
        <v>3.9600320512809741</v>
      </c>
      <c r="N351" s="302">
        <v>0.32617234249739219</v>
      </c>
      <c r="O351" s="302">
        <f t="shared" si="156"/>
        <v>10.311959152141467</v>
      </c>
    </row>
    <row r="352" spans="1:15" s="236" customFormat="1" x14ac:dyDescent="0.2">
      <c r="A352" s="237" t="str">
        <f>name!E$7</f>
        <v>Administrative and secretarial occupations</v>
      </c>
      <c r="B352" s="302">
        <v>2.386368011828798</v>
      </c>
      <c r="C352" s="302">
        <v>3.326038321240087</v>
      </c>
      <c r="D352" s="302">
        <v>9.525380689883943E-2</v>
      </c>
      <c r="E352" s="302">
        <f t="shared" si="154"/>
        <v>5.8076601399677248</v>
      </c>
      <c r="F352" s="303"/>
      <c r="G352" s="302">
        <v>1.9210724104879784</v>
      </c>
      <c r="H352" s="302">
        <v>3.005726351841941</v>
      </c>
      <c r="I352" s="302">
        <v>5.2232257833811135E-2</v>
      </c>
      <c r="J352" s="302">
        <f t="shared" si="155"/>
        <v>4.9790310201637311</v>
      </c>
      <c r="K352" s="303"/>
      <c r="L352" s="302">
        <v>1.475617883584297</v>
      </c>
      <c r="M352" s="302">
        <v>1.4107477941739281</v>
      </c>
      <c r="N352" s="302">
        <v>3.6383441094738733E-2</v>
      </c>
      <c r="O352" s="302">
        <f t="shared" si="156"/>
        <v>2.922749118852964</v>
      </c>
    </row>
    <row r="353" spans="1:15" s="236" customFormat="1" x14ac:dyDescent="0.2">
      <c r="A353" s="237" t="str">
        <f>name!E$8</f>
        <v>Skilled trades occupations</v>
      </c>
      <c r="B353" s="302">
        <v>0.48033115010102223</v>
      </c>
      <c r="C353" s="302">
        <v>0.38704463717669901</v>
      </c>
      <c r="D353" s="302">
        <v>0.13485054213917519</v>
      </c>
      <c r="E353" s="302">
        <f t="shared" si="154"/>
        <v>1.0022263294168965</v>
      </c>
      <c r="F353" s="303"/>
      <c r="G353" s="302">
        <v>0.33662762635309867</v>
      </c>
      <c r="H353" s="302">
        <v>0.29903597243603197</v>
      </c>
      <c r="I353" s="302">
        <v>8.4112195995842631E-2</v>
      </c>
      <c r="J353" s="302">
        <f>SUM(G353:I353)</f>
        <v>0.71977579478497322</v>
      </c>
      <c r="K353" s="303"/>
      <c r="L353" s="302">
        <v>0.20713980143499289</v>
      </c>
      <c r="M353" s="302">
        <v>0.22121101943410049</v>
      </c>
      <c r="N353" s="302">
        <v>8.2857900442881868E-2</v>
      </c>
      <c r="O353" s="302">
        <f t="shared" si="156"/>
        <v>0.51120872131197526</v>
      </c>
    </row>
    <row r="354" spans="1:15" s="236" customFormat="1" x14ac:dyDescent="0.2">
      <c r="A354" s="237" t="str">
        <f>name!E$9</f>
        <v>Caring, leisure and other service occupations</v>
      </c>
      <c r="B354" s="302">
        <v>10.433713288359851</v>
      </c>
      <c r="C354" s="302">
        <v>8.9522628768160111</v>
      </c>
      <c r="D354" s="302">
        <v>0.90451728200766368</v>
      </c>
      <c r="E354" s="302">
        <f t="shared" si="154"/>
        <v>20.290493447183525</v>
      </c>
      <c r="F354" s="303"/>
      <c r="G354" s="302">
        <v>8.8950468411380914</v>
      </c>
      <c r="H354" s="302">
        <v>8.6962980702572796</v>
      </c>
      <c r="I354" s="302">
        <v>0.74444666366002654</v>
      </c>
      <c r="J354" s="302">
        <f t="shared" ref="J354:J357" si="157">SUM(G354:I354)</f>
        <v>18.335791575055399</v>
      </c>
      <c r="K354" s="303"/>
      <c r="L354" s="302">
        <v>9.3287540006617284</v>
      </c>
      <c r="M354" s="302">
        <v>9.0604943920656549</v>
      </c>
      <c r="N354" s="302">
        <v>0.88913128496041893</v>
      </c>
      <c r="O354" s="302">
        <f t="shared" si="156"/>
        <v>19.278379677687802</v>
      </c>
    </row>
    <row r="355" spans="1:15" s="236" customFormat="1" x14ac:dyDescent="0.2">
      <c r="A355" s="237" t="str">
        <f>name!E$10</f>
        <v>Sales and customer service occupations</v>
      </c>
      <c r="B355" s="302">
        <v>0.47826344265677129</v>
      </c>
      <c r="C355" s="302">
        <v>0.50395269973879275</v>
      </c>
      <c r="D355" s="302">
        <v>6.4434764029050268E-2</v>
      </c>
      <c r="E355" s="302">
        <f t="shared" si="154"/>
        <v>1.0466509064246143</v>
      </c>
      <c r="F355" s="303"/>
      <c r="G355" s="302">
        <v>0.3849386762528294</v>
      </c>
      <c r="H355" s="302">
        <v>0.45794135915544021</v>
      </c>
      <c r="I355" s="302">
        <v>2.8123264734330366E-2</v>
      </c>
      <c r="J355" s="302">
        <f t="shared" si="157"/>
        <v>0.87100330014259997</v>
      </c>
      <c r="K355" s="303"/>
      <c r="L355" s="302">
        <v>0.44577647038518814</v>
      </c>
      <c r="M355" s="302">
        <v>0.45091234541057734</v>
      </c>
      <c r="N355" s="302">
        <v>3.5464188394230441E-2</v>
      </c>
      <c r="O355" s="302">
        <f t="shared" si="156"/>
        <v>0.93215300418999603</v>
      </c>
    </row>
    <row r="356" spans="1:15" s="236" customFormat="1" x14ac:dyDescent="0.2">
      <c r="A356" s="237" t="str">
        <f>name!E$11</f>
        <v>Process, plant and machine operatives</v>
      </c>
      <c r="B356" s="302">
        <v>0.19317171144345263</v>
      </c>
      <c r="C356" s="302">
        <v>0.23621140245152991</v>
      </c>
      <c r="D356" s="302">
        <v>2.6289460134307534E-2</v>
      </c>
      <c r="E356" s="302">
        <f t="shared" si="154"/>
        <v>0.45567257402929007</v>
      </c>
      <c r="F356" s="303"/>
      <c r="G356" s="302">
        <v>0.12576327414447042</v>
      </c>
      <c r="H356" s="302">
        <v>0.21248012997445606</v>
      </c>
      <c r="I356" s="302">
        <v>1.5951191203820939E-2</v>
      </c>
      <c r="J356" s="302">
        <f t="shared" si="157"/>
        <v>0.35419459532274744</v>
      </c>
      <c r="K356" s="303"/>
      <c r="L356" s="302">
        <v>4.2089475919226599E-2</v>
      </c>
      <c r="M356" s="302">
        <v>0.13846967689302203</v>
      </c>
      <c r="N356" s="302">
        <v>6.1045673665695889E-2</v>
      </c>
      <c r="O356" s="302">
        <f t="shared" si="156"/>
        <v>0.24160482647794451</v>
      </c>
    </row>
    <row r="357" spans="1:15" s="236" customFormat="1" x14ac:dyDescent="0.2">
      <c r="A357" s="237" t="str">
        <f>name!E$12</f>
        <v>Elementary occupations</v>
      </c>
      <c r="B357" s="302">
        <v>1.6707430256429314</v>
      </c>
      <c r="C357" s="302">
        <v>1.3062556097849753</v>
      </c>
      <c r="D357" s="302">
        <v>0.45185012203008373</v>
      </c>
      <c r="E357" s="302">
        <f t="shared" si="154"/>
        <v>3.4288487574579904</v>
      </c>
      <c r="F357" s="303"/>
      <c r="G357" s="302">
        <v>1.1867472909392736</v>
      </c>
      <c r="H357" s="302">
        <v>0.99901893650822227</v>
      </c>
      <c r="I357" s="302">
        <v>0.20294404710503772</v>
      </c>
      <c r="J357" s="302">
        <f t="shared" si="157"/>
        <v>2.3887102745525333</v>
      </c>
      <c r="K357" s="303"/>
      <c r="L357" s="302">
        <v>2.0808074836913559</v>
      </c>
      <c r="M357" s="302">
        <v>0.19088313305114243</v>
      </c>
      <c r="N357" s="302">
        <v>0.48514187602331665</v>
      </c>
      <c r="O357" s="302">
        <f t="shared" si="156"/>
        <v>2.756832492765815</v>
      </c>
    </row>
    <row r="358" spans="1:15" s="236" customFormat="1" x14ac:dyDescent="0.2">
      <c r="A358" s="237"/>
      <c r="B358" s="302"/>
      <c r="C358" s="302"/>
      <c r="D358" s="302"/>
      <c r="E358" s="302"/>
      <c r="F358" s="303"/>
      <c r="G358" s="302"/>
      <c r="H358" s="302"/>
      <c r="I358" s="302"/>
      <c r="J358" s="302"/>
      <c r="K358" s="303"/>
      <c r="L358" s="302"/>
      <c r="M358" s="302"/>
      <c r="N358" s="302"/>
      <c r="O358" s="302"/>
    </row>
    <row r="359" spans="1:15" s="236" customFormat="1" x14ac:dyDescent="0.2">
      <c r="A359" s="244" t="s">
        <v>33</v>
      </c>
      <c r="B359" s="311">
        <f>SUM(B349:B357)</f>
        <v>38.558303321877844</v>
      </c>
      <c r="C359" s="311">
        <f t="shared" ref="C359:E359" si="158">SUM(C349:C357)</f>
        <v>25.932811632264634</v>
      </c>
      <c r="D359" s="311">
        <f t="shared" si="158"/>
        <v>4.4388850458575302</v>
      </c>
      <c r="E359" s="311">
        <f t="shared" si="158"/>
        <v>68.929999999999993</v>
      </c>
      <c r="F359" s="311"/>
      <c r="G359" s="311">
        <f t="shared" ref="G359:J359" si="159">SUM(G349:G357)</f>
        <v>35.595012003446094</v>
      </c>
      <c r="H359" s="311">
        <f t="shared" si="159"/>
        <v>27.092672271072527</v>
      </c>
      <c r="I359" s="311">
        <f t="shared" si="159"/>
        <v>3.1483157254814111</v>
      </c>
      <c r="J359" s="311">
        <f t="shared" si="159"/>
        <v>65.836000000000041</v>
      </c>
      <c r="K359" s="311"/>
      <c r="L359" s="311">
        <f t="shared" ref="L359:O359" si="160">SUM(L349:L357)</f>
        <v>41.362423846119327</v>
      </c>
      <c r="M359" s="311">
        <f t="shared" si="160"/>
        <v>27.441910359334685</v>
      </c>
      <c r="N359" s="311">
        <f t="shared" si="160"/>
        <v>3.6726657945460031</v>
      </c>
      <c r="O359" s="311">
        <f t="shared" si="160"/>
        <v>72.47699999999999</v>
      </c>
    </row>
    <row r="360" spans="1:15" s="236" customFormat="1" x14ac:dyDescent="0.2">
      <c r="A360" s="237"/>
      <c r="B360" s="237"/>
      <c r="C360" s="237"/>
      <c r="D360" s="237"/>
      <c r="E360" s="237"/>
      <c r="F360" s="237"/>
      <c r="G360" s="237"/>
      <c r="H360" s="237"/>
      <c r="I360" s="237"/>
      <c r="J360" s="237"/>
      <c r="K360" s="237"/>
      <c r="L360" s="237"/>
      <c r="M360" s="237"/>
      <c r="N360" s="240"/>
    </row>
    <row r="361" spans="1:15" s="236" customFormat="1" x14ac:dyDescent="0.2">
      <c r="A361" s="237"/>
      <c r="B361" s="237"/>
      <c r="C361" s="237"/>
      <c r="D361" s="237"/>
      <c r="E361" s="237"/>
      <c r="F361" s="237"/>
      <c r="G361" s="237"/>
      <c r="H361" s="237"/>
      <c r="I361" s="237"/>
      <c r="J361" s="237"/>
      <c r="K361" s="237"/>
      <c r="L361" s="237"/>
      <c r="M361" s="237"/>
      <c r="N361" s="240"/>
      <c r="O361" s="251" t="s">
        <v>36</v>
      </c>
    </row>
    <row r="362" spans="1:15" s="236" customFormat="1" x14ac:dyDescent="0.2">
      <c r="A362" s="242"/>
      <c r="B362" s="242"/>
      <c r="C362" s="242"/>
      <c r="D362" s="242"/>
      <c r="E362" s="242"/>
      <c r="F362" s="242"/>
      <c r="G362" s="242"/>
      <c r="H362" s="242"/>
      <c r="I362" s="242"/>
      <c r="J362" s="242"/>
      <c r="K362" s="242"/>
      <c r="L362" s="242"/>
      <c r="M362" s="242"/>
      <c r="N362" s="242"/>
      <c r="O362" s="242"/>
    </row>
    <row r="363" spans="1:15" s="236" customFormat="1" x14ac:dyDescent="0.2">
      <c r="A363" s="241" t="str">
        <f>name!B24</f>
        <v>Arts and entertainment</v>
      </c>
      <c r="B363" s="377">
        <f>$B$6</f>
        <v>2015</v>
      </c>
      <c r="C363" s="377"/>
      <c r="D363" s="377"/>
      <c r="E363" s="377"/>
      <c r="F363" s="263"/>
      <c r="G363" s="377">
        <f>$G$6</f>
        <v>2020</v>
      </c>
      <c r="H363" s="377"/>
      <c r="I363" s="377"/>
      <c r="J363" s="377"/>
      <c r="K363" s="263"/>
      <c r="L363" s="377">
        <f>$L$6</f>
        <v>2035</v>
      </c>
      <c r="M363" s="377"/>
      <c r="N363" s="377"/>
      <c r="O363" s="377"/>
    </row>
    <row r="364" spans="1:15" s="236" customFormat="1" x14ac:dyDescent="0.2">
      <c r="A364" s="254"/>
      <c r="B364" s="268" t="str">
        <f>$B$7</f>
        <v>FT</v>
      </c>
      <c r="C364" s="268" t="str">
        <f>$C$7</f>
        <v>PT</v>
      </c>
      <c r="D364" s="268" t="str">
        <f>$D$7</f>
        <v>SE</v>
      </c>
      <c r="E364" s="268" t="str">
        <f>$E$7</f>
        <v>Total</v>
      </c>
      <c r="F364" s="268"/>
      <c r="G364" s="268" t="str">
        <f>$G$7</f>
        <v>FT</v>
      </c>
      <c r="H364" s="268" t="str">
        <f>$H$7</f>
        <v>PT</v>
      </c>
      <c r="I364" s="268" t="str">
        <f>$I$7</f>
        <v>SE</v>
      </c>
      <c r="J364" s="268" t="str">
        <f>$J$7</f>
        <v>Total</v>
      </c>
      <c r="K364" s="268"/>
      <c r="L364" s="268" t="str">
        <f>$L$7</f>
        <v>FT</v>
      </c>
      <c r="M364" s="268" t="str">
        <f>$M$7</f>
        <v>PT</v>
      </c>
      <c r="N364" s="268" t="str">
        <f>$N$7</f>
        <v>SE</v>
      </c>
      <c r="O364" s="268" t="str">
        <f>$O$7</f>
        <v>Total</v>
      </c>
    </row>
    <row r="365" spans="1:15" s="236" customFormat="1" x14ac:dyDescent="0.2">
      <c r="A365" s="258"/>
      <c r="B365" s="239"/>
      <c r="C365" s="239"/>
      <c r="D365" s="239"/>
      <c r="E365" s="239"/>
      <c r="F365" s="239"/>
      <c r="G365" s="239"/>
      <c r="H365" s="239"/>
      <c r="I365" s="239"/>
      <c r="J365" s="239"/>
      <c r="K365" s="239"/>
      <c r="L365" s="239"/>
      <c r="M365" s="239"/>
      <c r="N365" s="239"/>
      <c r="O365" s="239"/>
    </row>
    <row r="366" spans="1:15" s="236" customFormat="1" x14ac:dyDescent="0.2">
      <c r="A366" s="237" t="str">
        <f>name!E$4</f>
        <v>Managers, directors and senior officials</v>
      </c>
      <c r="B366" s="302">
        <v>0.28469539218439432</v>
      </c>
      <c r="C366" s="302">
        <v>9.6284836574795654E-2</v>
      </c>
      <c r="D366" s="302">
        <v>0.23544191854476335</v>
      </c>
      <c r="E366" s="302">
        <f>SUM(B366:D366)</f>
        <v>0.61642214730395328</v>
      </c>
      <c r="F366" s="303"/>
      <c r="G366" s="302">
        <v>0.30981073483031446</v>
      </c>
      <c r="H366" s="302">
        <v>0.17983002799542636</v>
      </c>
      <c r="I366" s="302">
        <v>0.19447718758739058</v>
      </c>
      <c r="J366" s="302">
        <f>SUM(G366:I366)</f>
        <v>0.68411795041313139</v>
      </c>
      <c r="K366" s="303"/>
      <c r="L366" s="302">
        <v>0.37500647392356934</v>
      </c>
      <c r="M366" s="302">
        <v>0.28774421033027603</v>
      </c>
      <c r="N366" s="302">
        <v>0.19869199629752279</v>
      </c>
      <c r="O366" s="302">
        <f>SUM(L366:N366)</f>
        <v>0.86144268055136808</v>
      </c>
    </row>
    <row r="367" spans="1:15" s="236" customFormat="1" x14ac:dyDescent="0.2">
      <c r="A367" s="237" t="str">
        <f>name!E$5</f>
        <v>Professional occupations</v>
      </c>
      <c r="B367" s="302">
        <v>0.55589374175881134</v>
      </c>
      <c r="C367" s="302">
        <v>0.23545950007312796</v>
      </c>
      <c r="D367" s="302">
        <v>0.61624901660622866</v>
      </c>
      <c r="E367" s="302">
        <f t="shared" ref="E367:E374" si="161">SUM(B367:D367)</f>
        <v>1.407602258438168</v>
      </c>
      <c r="F367" s="303"/>
      <c r="G367" s="302">
        <v>0.6694263796140083</v>
      </c>
      <c r="H367" s="302">
        <v>0.45222606125002796</v>
      </c>
      <c r="I367" s="302">
        <v>0.5287944820957573</v>
      </c>
      <c r="J367" s="302">
        <f t="shared" ref="J367:J369" si="162">SUM(G367:I367)</f>
        <v>1.6504469229597936</v>
      </c>
      <c r="K367" s="303"/>
      <c r="L367" s="302">
        <v>0.83174641447211506</v>
      </c>
      <c r="M367" s="302">
        <v>0.59303264953780421</v>
      </c>
      <c r="N367" s="302">
        <v>0.53762430110556492</v>
      </c>
      <c r="O367" s="302">
        <f t="shared" ref="O367:O374" si="163">SUM(L367:N367)</f>
        <v>1.9624033651154842</v>
      </c>
    </row>
    <row r="368" spans="1:15" s="236" customFormat="1" x14ac:dyDescent="0.2">
      <c r="A368" s="237" t="str">
        <f>name!E$6</f>
        <v>Associate professional occupations</v>
      </c>
      <c r="B368" s="302">
        <v>0.59294425389324013</v>
      </c>
      <c r="C368" s="302">
        <v>0.3562562080132895</v>
      </c>
      <c r="D368" s="302">
        <v>1.8176986891257099</v>
      </c>
      <c r="E368" s="302">
        <f t="shared" si="161"/>
        <v>2.7668991510322396</v>
      </c>
      <c r="F368" s="303"/>
      <c r="G368" s="302">
        <v>0.66518864738364292</v>
      </c>
      <c r="H368" s="302">
        <v>0.56004318338231429</v>
      </c>
      <c r="I368" s="302">
        <v>1.458465697568009</v>
      </c>
      <c r="J368" s="302">
        <f t="shared" si="162"/>
        <v>2.6836975283339664</v>
      </c>
      <c r="K368" s="303"/>
      <c r="L368" s="302">
        <v>0.72168550222875794</v>
      </c>
      <c r="M368" s="302">
        <v>0.68668216994003295</v>
      </c>
      <c r="N368" s="302">
        <v>1.5943512314491595</v>
      </c>
      <c r="O368" s="302">
        <f t="shared" si="163"/>
        <v>3.0027189036179505</v>
      </c>
    </row>
    <row r="369" spans="1:15" s="236" customFormat="1" x14ac:dyDescent="0.2">
      <c r="A369" s="237" t="str">
        <f>name!E$7</f>
        <v>Administrative and secretarial occupations</v>
      </c>
      <c r="B369" s="302">
        <v>0.78646296058547815</v>
      </c>
      <c r="C369" s="302">
        <v>1.0868577202644076</v>
      </c>
      <c r="D369" s="302">
        <v>5.9556404170613038E-2</v>
      </c>
      <c r="E369" s="302">
        <f t="shared" si="161"/>
        <v>1.932877085020499</v>
      </c>
      <c r="F369" s="303"/>
      <c r="G369" s="302">
        <v>0.7119940724579864</v>
      </c>
      <c r="H369" s="302">
        <v>1.4755544095186504</v>
      </c>
      <c r="I369" s="302">
        <v>2.7297111620087307E-2</v>
      </c>
      <c r="J369" s="302">
        <f t="shared" si="162"/>
        <v>2.2148455935967242</v>
      </c>
      <c r="K369" s="303"/>
      <c r="L369" s="302">
        <v>0.75053046240321042</v>
      </c>
      <c r="M369" s="302">
        <v>1.5773851237019372</v>
      </c>
      <c r="N369" s="302">
        <v>2.8355844272492707E-2</v>
      </c>
      <c r="O369" s="302">
        <f t="shared" si="163"/>
        <v>2.3562714303776402</v>
      </c>
    </row>
    <row r="370" spans="1:15" s="236" customFormat="1" x14ac:dyDescent="0.2">
      <c r="A370" s="237" t="str">
        <f>name!E$8</f>
        <v>Skilled trades occupations</v>
      </c>
      <c r="B370" s="302">
        <v>0.53270287616993284</v>
      </c>
      <c r="C370" s="302">
        <v>0.23953861141801058</v>
      </c>
      <c r="D370" s="302">
        <v>0.41157332810549968</v>
      </c>
      <c r="E370" s="302">
        <f t="shared" si="161"/>
        <v>1.1838148156934432</v>
      </c>
      <c r="F370" s="303"/>
      <c r="G370" s="302">
        <v>0.494319269218149</v>
      </c>
      <c r="H370" s="302">
        <v>0.22797402589393986</v>
      </c>
      <c r="I370" s="302">
        <v>0.35036578723662298</v>
      </c>
      <c r="J370" s="302">
        <f>SUM(G370:I370)</f>
        <v>1.0726590823487119</v>
      </c>
      <c r="K370" s="303"/>
      <c r="L370" s="302">
        <v>0.42155750844856982</v>
      </c>
      <c r="M370" s="302">
        <v>0.33168278866496997</v>
      </c>
      <c r="N370" s="302">
        <v>0.37712291321514141</v>
      </c>
      <c r="O370" s="302">
        <f t="shared" si="163"/>
        <v>1.1303632103286811</v>
      </c>
    </row>
    <row r="371" spans="1:15" s="236" customFormat="1" x14ac:dyDescent="0.2">
      <c r="A371" s="237" t="str">
        <f>name!E$9</f>
        <v>Caring, leisure and other service occupations</v>
      </c>
      <c r="B371" s="302">
        <v>0.44129298808254508</v>
      </c>
      <c r="C371" s="302">
        <v>0.6042646484514721</v>
      </c>
      <c r="D371" s="302">
        <v>8.936530803262252E-2</v>
      </c>
      <c r="E371" s="302">
        <f t="shared" si="161"/>
        <v>1.1349229445666396</v>
      </c>
      <c r="F371" s="303"/>
      <c r="G371" s="302">
        <v>0.39676103894337661</v>
      </c>
      <c r="H371" s="302">
        <v>0.71048284829453079</v>
      </c>
      <c r="I371" s="302">
        <v>6.0276647813262217E-2</v>
      </c>
      <c r="J371" s="302">
        <f t="shared" ref="J371:J374" si="164">SUM(G371:I371)</f>
        <v>1.1675205350511695</v>
      </c>
      <c r="K371" s="303"/>
      <c r="L371" s="302">
        <v>0.40468959915710967</v>
      </c>
      <c r="M371" s="302">
        <v>0.83697559589931891</v>
      </c>
      <c r="N371" s="302">
        <v>6.7037784352728072E-2</v>
      </c>
      <c r="O371" s="302">
        <f t="shared" si="163"/>
        <v>1.3087029794091567</v>
      </c>
    </row>
    <row r="372" spans="1:15" s="236" customFormat="1" x14ac:dyDescent="0.2">
      <c r="A372" s="237" t="str">
        <f>name!E$10</f>
        <v>Sales and customer service occupations</v>
      </c>
      <c r="B372" s="302">
        <v>0.34331431674721763</v>
      </c>
      <c r="C372" s="302">
        <v>0.61296922561720169</v>
      </c>
      <c r="D372" s="302">
        <v>5.7759787892373127E-2</v>
      </c>
      <c r="E372" s="302">
        <f t="shared" si="161"/>
        <v>1.0140433302567926</v>
      </c>
      <c r="F372" s="303"/>
      <c r="G372" s="302">
        <v>0.31060960137063265</v>
      </c>
      <c r="H372" s="302">
        <v>0.76302773776507149</v>
      </c>
      <c r="I372" s="302">
        <v>3.2767682665227539E-2</v>
      </c>
      <c r="J372" s="302">
        <f t="shared" si="164"/>
        <v>1.1064050218009316</v>
      </c>
      <c r="K372" s="303"/>
      <c r="L372" s="302">
        <v>0.3845670188826773</v>
      </c>
      <c r="M372" s="302">
        <v>0.96665694929622303</v>
      </c>
      <c r="N372" s="302">
        <v>2.6559877033735718E-2</v>
      </c>
      <c r="O372" s="302">
        <f t="shared" si="163"/>
        <v>1.3777838452126359</v>
      </c>
    </row>
    <row r="373" spans="1:15" s="236" customFormat="1" x14ac:dyDescent="0.2">
      <c r="A373" s="237" t="str">
        <f>name!E$11</f>
        <v>Process, plant and machine operatives</v>
      </c>
      <c r="B373" s="302">
        <v>0.10382380769422818</v>
      </c>
      <c r="C373" s="302">
        <v>7.4089891411203479E-2</v>
      </c>
      <c r="D373" s="302">
        <v>1.7249106393657457E-2</v>
      </c>
      <c r="E373" s="302">
        <f t="shared" si="161"/>
        <v>0.1951628054990891</v>
      </c>
      <c r="F373" s="303"/>
      <c r="G373" s="302">
        <v>8.8237019156365476E-2</v>
      </c>
      <c r="H373" s="302">
        <v>8.5379468582531953E-2</v>
      </c>
      <c r="I373" s="302">
        <v>1.8223669817124404E-2</v>
      </c>
      <c r="J373" s="302">
        <f t="shared" si="164"/>
        <v>0.19184015755602182</v>
      </c>
      <c r="K373" s="303"/>
      <c r="L373" s="302">
        <v>9.9334105956951968E-2</v>
      </c>
      <c r="M373" s="302">
        <v>0.13914975755755557</v>
      </c>
      <c r="N373" s="302">
        <v>2.2185727295419604E-2</v>
      </c>
      <c r="O373" s="302">
        <f t="shared" si="163"/>
        <v>0.26066959080992713</v>
      </c>
    </row>
    <row r="374" spans="1:15" s="236" customFormat="1" x14ac:dyDescent="0.2">
      <c r="A374" s="237" t="str">
        <f>name!E$12</f>
        <v>Elementary occupations</v>
      </c>
      <c r="B374" s="302">
        <v>0.41853857588650722</v>
      </c>
      <c r="C374" s="302">
        <v>1.4177088666836744</v>
      </c>
      <c r="D374" s="302">
        <v>5.5008019618988914E-2</v>
      </c>
      <c r="E374" s="302">
        <f t="shared" si="161"/>
        <v>1.8912554621891704</v>
      </c>
      <c r="F374" s="303"/>
      <c r="G374" s="302">
        <v>0.36206051295733277</v>
      </c>
      <c r="H374" s="302">
        <v>1.4525274901821839</v>
      </c>
      <c r="I374" s="302">
        <v>2.8879204800033947E-2</v>
      </c>
      <c r="J374" s="302">
        <f t="shared" si="164"/>
        <v>1.8434672079395507</v>
      </c>
      <c r="K374" s="303"/>
      <c r="L374" s="302">
        <v>0.3378671747752145</v>
      </c>
      <c r="M374" s="302">
        <v>1.3917970589988946</v>
      </c>
      <c r="N374" s="302">
        <v>3.2979760803056306E-2</v>
      </c>
      <c r="O374" s="302">
        <f t="shared" si="163"/>
        <v>1.7626439945771653</v>
      </c>
    </row>
    <row r="375" spans="1:15" s="236" customFormat="1" x14ac:dyDescent="0.2">
      <c r="A375" s="237"/>
      <c r="B375" s="302"/>
      <c r="C375" s="302"/>
      <c r="D375" s="302"/>
      <c r="E375" s="302"/>
      <c r="F375" s="303"/>
      <c r="G375" s="302"/>
      <c r="H375" s="302"/>
      <c r="I375" s="302"/>
      <c r="J375" s="302"/>
      <c r="K375" s="303"/>
      <c r="L375" s="302"/>
      <c r="M375" s="302"/>
      <c r="N375" s="302"/>
      <c r="O375" s="302"/>
    </row>
    <row r="376" spans="1:15" s="236" customFormat="1" x14ac:dyDescent="0.2">
      <c r="A376" s="244" t="s">
        <v>33</v>
      </c>
      <c r="B376" s="311">
        <f>SUM(B366:B374)</f>
        <v>4.0596689130023549</v>
      </c>
      <c r="C376" s="311">
        <f t="shared" ref="C376:E376" si="165">SUM(C366:C374)</f>
        <v>4.7234295085071833</v>
      </c>
      <c r="D376" s="311">
        <f t="shared" si="165"/>
        <v>3.3599015784904571</v>
      </c>
      <c r="E376" s="311">
        <f t="shared" si="165"/>
        <v>12.142999999999994</v>
      </c>
      <c r="F376" s="311"/>
      <c r="G376" s="311">
        <f t="shared" ref="G376:J376" si="166">SUM(G366:G374)</f>
        <v>4.008407275931809</v>
      </c>
      <c r="H376" s="311">
        <f t="shared" si="166"/>
        <v>5.9070452528646769</v>
      </c>
      <c r="I376" s="311">
        <f t="shared" si="166"/>
        <v>2.6995474712035152</v>
      </c>
      <c r="J376" s="311">
        <f t="shared" si="166"/>
        <v>12.615000000000002</v>
      </c>
      <c r="K376" s="311"/>
      <c r="L376" s="311">
        <f t="shared" ref="L376:O376" si="167">SUM(L366:L374)</f>
        <v>4.3269842602481763</v>
      </c>
      <c r="M376" s="311">
        <f t="shared" si="167"/>
        <v>6.8111063039270139</v>
      </c>
      <c r="N376" s="311">
        <f t="shared" si="167"/>
        <v>2.8849094358248211</v>
      </c>
      <c r="O376" s="311">
        <f t="shared" si="167"/>
        <v>14.02300000000001</v>
      </c>
    </row>
    <row r="377" spans="1:15" s="236" customFormat="1" x14ac:dyDescent="0.2">
      <c r="A377" s="237"/>
      <c r="B377" s="237"/>
      <c r="C377" s="237"/>
      <c r="D377" s="237"/>
      <c r="E377" s="237"/>
      <c r="F377" s="237"/>
      <c r="G377" s="237"/>
      <c r="H377" s="237"/>
      <c r="I377" s="237"/>
      <c r="J377" s="237"/>
      <c r="K377" s="237"/>
      <c r="L377" s="237"/>
      <c r="M377" s="237"/>
      <c r="N377" s="240"/>
    </row>
    <row r="378" spans="1:15" s="236" customFormat="1" x14ac:dyDescent="0.2">
      <c r="A378" s="237"/>
      <c r="B378" s="237"/>
      <c r="C378" s="237"/>
      <c r="D378" s="237"/>
      <c r="E378" s="237"/>
      <c r="F378" s="237"/>
      <c r="G378" s="237"/>
      <c r="H378" s="237"/>
      <c r="I378" s="237"/>
      <c r="J378" s="237"/>
      <c r="K378" s="237"/>
      <c r="L378" s="237"/>
      <c r="M378" s="237"/>
      <c r="N378" s="240"/>
      <c r="O378" s="251" t="s">
        <v>36</v>
      </c>
    </row>
    <row r="379" spans="1:15" s="236" customFormat="1" x14ac:dyDescent="0.2">
      <c r="A379" s="242"/>
      <c r="B379" s="242"/>
      <c r="C379" s="242"/>
      <c r="D379" s="242"/>
      <c r="E379" s="242"/>
      <c r="F379" s="242"/>
      <c r="G379" s="242"/>
      <c r="H379" s="242"/>
      <c r="I379" s="242"/>
      <c r="J379" s="242"/>
      <c r="K379" s="242"/>
      <c r="L379" s="242"/>
      <c r="M379" s="242"/>
      <c r="N379" s="242"/>
      <c r="O379" s="242"/>
    </row>
    <row r="380" spans="1:15" s="236" customFormat="1" x14ac:dyDescent="0.2">
      <c r="A380" s="241" t="str">
        <f>name!B25</f>
        <v>Other services</v>
      </c>
      <c r="B380" s="377">
        <f>$B$6</f>
        <v>2015</v>
      </c>
      <c r="C380" s="377"/>
      <c r="D380" s="377"/>
      <c r="E380" s="377"/>
      <c r="F380" s="263"/>
      <c r="G380" s="377">
        <f>$G$6</f>
        <v>2020</v>
      </c>
      <c r="H380" s="377"/>
      <c r="I380" s="377"/>
      <c r="J380" s="377"/>
      <c r="K380" s="263"/>
      <c r="L380" s="377">
        <f>$L$6</f>
        <v>2035</v>
      </c>
      <c r="M380" s="377"/>
      <c r="N380" s="377"/>
      <c r="O380" s="377"/>
    </row>
    <row r="381" spans="1:15" s="236" customFormat="1" x14ac:dyDescent="0.2">
      <c r="A381" s="254"/>
      <c r="B381" s="268" t="str">
        <f>$B$7</f>
        <v>FT</v>
      </c>
      <c r="C381" s="268" t="str">
        <f>$C$7</f>
        <v>PT</v>
      </c>
      <c r="D381" s="268" t="str">
        <f>$D$7</f>
        <v>SE</v>
      </c>
      <c r="E381" s="268" t="str">
        <f>$E$7</f>
        <v>Total</v>
      </c>
      <c r="F381" s="268"/>
      <c r="G381" s="268" t="str">
        <f>$G$7</f>
        <v>FT</v>
      </c>
      <c r="H381" s="268" t="str">
        <f>$H$7</f>
        <v>PT</v>
      </c>
      <c r="I381" s="268" t="str">
        <f>$I$7</f>
        <v>SE</v>
      </c>
      <c r="J381" s="268" t="str">
        <f>$J$7</f>
        <v>Total</v>
      </c>
      <c r="K381" s="268"/>
      <c r="L381" s="268" t="str">
        <f>$L$7</f>
        <v>FT</v>
      </c>
      <c r="M381" s="268" t="str">
        <f>$M$7</f>
        <v>PT</v>
      </c>
      <c r="N381" s="268" t="str">
        <f>$N$7</f>
        <v>SE</v>
      </c>
      <c r="O381" s="268" t="str">
        <f>$O$7</f>
        <v>Total</v>
      </c>
    </row>
    <row r="382" spans="1:15" s="236" customFormat="1" x14ac:dyDescent="0.2">
      <c r="A382" s="258"/>
      <c r="B382" s="239"/>
      <c r="C382" s="239"/>
      <c r="D382" s="239"/>
      <c r="E382" s="239"/>
      <c r="F382" s="239"/>
      <c r="G382" s="239"/>
      <c r="H382" s="239"/>
      <c r="I382" s="239"/>
      <c r="J382" s="239"/>
      <c r="K382" s="239"/>
      <c r="L382" s="239"/>
      <c r="M382" s="239"/>
      <c r="N382" s="239"/>
      <c r="O382" s="239"/>
    </row>
    <row r="383" spans="1:15" s="236" customFormat="1" x14ac:dyDescent="0.2">
      <c r="A383" s="237" t="str">
        <f>name!E$4</f>
        <v>Managers, directors and senior officials</v>
      </c>
      <c r="B383" s="302">
        <v>0.33927825659893424</v>
      </c>
      <c r="C383" s="302">
        <v>6.1368219715449805E-2</v>
      </c>
      <c r="D383" s="302">
        <v>0.58117330067167494</v>
      </c>
      <c r="E383" s="302">
        <f>SUM(B383:D383)</f>
        <v>0.98181977698605905</v>
      </c>
      <c r="F383" s="303"/>
      <c r="G383" s="302">
        <v>0.37665154709108356</v>
      </c>
      <c r="H383" s="302">
        <v>9.1838476159585042E-2</v>
      </c>
      <c r="I383" s="302">
        <v>0.51022862505818822</v>
      </c>
      <c r="J383" s="302">
        <f>SUM(G383:I383)</f>
        <v>0.9787186483088568</v>
      </c>
      <c r="K383" s="303"/>
      <c r="L383" s="302">
        <v>0.341308042429532</v>
      </c>
      <c r="M383" s="302">
        <v>0.104350098146095</v>
      </c>
      <c r="N383" s="302">
        <v>0.32972483030747218</v>
      </c>
      <c r="O383" s="302">
        <f>SUM(L383:N383)</f>
        <v>0.77538297088309927</v>
      </c>
    </row>
    <row r="384" spans="1:15" s="236" customFormat="1" x14ac:dyDescent="0.2">
      <c r="A384" s="237" t="str">
        <f>name!E$5</f>
        <v>Professional occupations</v>
      </c>
      <c r="B384" s="302">
        <v>1.3770712403250114</v>
      </c>
      <c r="C384" s="302">
        <v>0.44048572350311255</v>
      </c>
      <c r="D384" s="302">
        <v>1.2572284405701588</v>
      </c>
      <c r="E384" s="302">
        <f t="shared" ref="E384:E391" si="168">SUM(B384:D384)</f>
        <v>3.0747854043982827</v>
      </c>
      <c r="F384" s="303"/>
      <c r="G384" s="302">
        <v>1.2305381533393394</v>
      </c>
      <c r="H384" s="302">
        <v>0.4771836001044869</v>
      </c>
      <c r="I384" s="302">
        <v>1.0232432174037811</v>
      </c>
      <c r="J384" s="302">
        <f t="shared" ref="J384:J386" si="169">SUM(G384:I384)</f>
        <v>2.7309649708476074</v>
      </c>
      <c r="K384" s="303"/>
      <c r="L384" s="302">
        <v>1.0921520885236842</v>
      </c>
      <c r="M384" s="302">
        <v>0.41226749854012817</v>
      </c>
      <c r="N384" s="302">
        <v>0.76616037816015792</v>
      </c>
      <c r="O384" s="302">
        <f t="shared" ref="O384:O391" si="170">SUM(L384:N384)</f>
        <v>2.2705799652239702</v>
      </c>
    </row>
    <row r="385" spans="1:15" s="236" customFormat="1" x14ac:dyDescent="0.2">
      <c r="A385" s="237" t="str">
        <f>name!E$6</f>
        <v>Associate professional occupations</v>
      </c>
      <c r="B385" s="302">
        <v>0.61824991318893763</v>
      </c>
      <c r="C385" s="302">
        <v>0.29625978992968555</v>
      </c>
      <c r="D385" s="302">
        <v>1.0993307412542024</v>
      </c>
      <c r="E385" s="302">
        <f t="shared" si="168"/>
        <v>2.0138404443728257</v>
      </c>
      <c r="F385" s="303"/>
      <c r="G385" s="302">
        <v>0.59384863520787534</v>
      </c>
      <c r="H385" s="302">
        <v>0.32750276642921961</v>
      </c>
      <c r="I385" s="302">
        <v>0.97716209256386688</v>
      </c>
      <c r="J385" s="302">
        <f t="shared" si="169"/>
        <v>1.8985134942009618</v>
      </c>
      <c r="K385" s="303"/>
      <c r="L385" s="302">
        <v>0.50343177529059802</v>
      </c>
      <c r="M385" s="302">
        <v>0.26587019714170379</v>
      </c>
      <c r="N385" s="302">
        <v>0.8524383488733327</v>
      </c>
      <c r="O385" s="302">
        <f t="shared" si="170"/>
        <v>1.6217403213056345</v>
      </c>
    </row>
    <row r="386" spans="1:15" s="236" customFormat="1" x14ac:dyDescent="0.2">
      <c r="A386" s="237" t="str">
        <f>name!E$7</f>
        <v>Administrative and secretarial occupations</v>
      </c>
      <c r="B386" s="302">
        <v>0.96077321661827386</v>
      </c>
      <c r="C386" s="302">
        <v>0.70329053701058519</v>
      </c>
      <c r="D386" s="302">
        <v>0.28179089454092687</v>
      </c>
      <c r="E386" s="302">
        <f t="shared" si="168"/>
        <v>1.9458546481697858</v>
      </c>
      <c r="F386" s="303"/>
      <c r="G386" s="302">
        <v>0.74131422584087547</v>
      </c>
      <c r="H386" s="302">
        <v>0.64972536537438907</v>
      </c>
      <c r="I386" s="302">
        <v>0.30568065904596992</v>
      </c>
      <c r="J386" s="302">
        <f t="shared" si="169"/>
        <v>1.6967202502612344</v>
      </c>
      <c r="K386" s="303"/>
      <c r="L386" s="302">
        <v>0.58458261677931389</v>
      </c>
      <c r="M386" s="302">
        <v>0.54991705664265489</v>
      </c>
      <c r="N386" s="302">
        <v>0.18365946166714195</v>
      </c>
      <c r="O386" s="302">
        <f t="shared" si="170"/>
        <v>1.3181591350891106</v>
      </c>
    </row>
    <row r="387" spans="1:15" s="236" customFormat="1" x14ac:dyDescent="0.2">
      <c r="A387" s="237" t="str">
        <f>name!E$8</f>
        <v>Skilled trades occupations</v>
      </c>
      <c r="B387" s="302">
        <v>0.25147038310770559</v>
      </c>
      <c r="C387" s="302">
        <v>0.12588884421811677</v>
      </c>
      <c r="D387" s="302">
        <v>0.63956746700019018</v>
      </c>
      <c r="E387" s="302">
        <f t="shared" si="168"/>
        <v>1.0169266943260125</v>
      </c>
      <c r="F387" s="303"/>
      <c r="G387" s="302">
        <v>0.30307816415924949</v>
      </c>
      <c r="H387" s="302">
        <v>0.10912494706158408</v>
      </c>
      <c r="I387" s="302">
        <v>0.14761415949262449</v>
      </c>
      <c r="J387" s="302">
        <f>SUM(G387:I387)</f>
        <v>0.5598172707134581</v>
      </c>
      <c r="K387" s="303"/>
      <c r="L387" s="302">
        <v>0.25983258018403582</v>
      </c>
      <c r="M387" s="302">
        <v>9.7240202769417791E-2</v>
      </c>
      <c r="N387" s="302">
        <v>0.19134228137602208</v>
      </c>
      <c r="O387" s="302">
        <f t="shared" si="170"/>
        <v>0.54841506432947573</v>
      </c>
    </row>
    <row r="388" spans="1:15" s="236" customFormat="1" x14ac:dyDescent="0.2">
      <c r="A388" s="237" t="str">
        <f>name!E$9</f>
        <v>Caring, leisure and other service occupations</v>
      </c>
      <c r="B388" s="302">
        <v>1.1641984862804626</v>
      </c>
      <c r="C388" s="302">
        <v>0.57293924040580313</v>
      </c>
      <c r="D388" s="302">
        <v>1.0567891457271481</v>
      </c>
      <c r="E388" s="302">
        <f t="shared" si="168"/>
        <v>2.7939268724134139</v>
      </c>
      <c r="F388" s="303"/>
      <c r="G388" s="302">
        <v>1.0756496975637579</v>
      </c>
      <c r="H388" s="302">
        <v>0.4891080415129489</v>
      </c>
      <c r="I388" s="302">
        <v>1.612105110792484</v>
      </c>
      <c r="J388" s="302">
        <f t="shared" ref="J388:J391" si="171">SUM(G388:I388)</f>
        <v>3.1768628498691909</v>
      </c>
      <c r="K388" s="303"/>
      <c r="L388" s="302">
        <v>0.6376572297325982</v>
      </c>
      <c r="M388" s="302">
        <v>0.2297732288365103</v>
      </c>
      <c r="N388" s="302">
        <v>1.171069141395958</v>
      </c>
      <c r="O388" s="302">
        <f t="shared" si="170"/>
        <v>2.0384995999650664</v>
      </c>
    </row>
    <row r="389" spans="1:15" s="236" customFormat="1" x14ac:dyDescent="0.2">
      <c r="A389" s="237" t="str">
        <f>name!E$10</f>
        <v>Sales and customer service occupations</v>
      </c>
      <c r="B389" s="302">
        <v>0.24118846022946519</v>
      </c>
      <c r="C389" s="302">
        <v>0.24370485059387142</v>
      </c>
      <c r="D389" s="302">
        <v>0.19899227029234151</v>
      </c>
      <c r="E389" s="302">
        <f t="shared" si="168"/>
        <v>0.6838855811156781</v>
      </c>
      <c r="F389" s="303"/>
      <c r="G389" s="302">
        <v>0.24644346471018411</v>
      </c>
      <c r="H389" s="302">
        <v>0.35028978303878622</v>
      </c>
      <c r="I389" s="302">
        <v>0.10895025294322676</v>
      </c>
      <c r="J389" s="302">
        <f t="shared" si="171"/>
        <v>0.7056835006921971</v>
      </c>
      <c r="K389" s="303"/>
      <c r="L389" s="302">
        <v>0.20602128463535541</v>
      </c>
      <c r="M389" s="302">
        <v>0.30186591354843451</v>
      </c>
      <c r="N389" s="302">
        <v>5.559362833149787E-2</v>
      </c>
      <c r="O389" s="302">
        <f t="shared" si="170"/>
        <v>0.56348082651528775</v>
      </c>
    </row>
    <row r="390" spans="1:15" s="236" customFormat="1" x14ac:dyDescent="0.2">
      <c r="A390" s="237" t="str">
        <f>name!E$11</f>
        <v>Process, plant and machine operatives</v>
      </c>
      <c r="B390" s="302">
        <v>0.18556093078681948</v>
      </c>
      <c r="C390" s="302">
        <v>0.10492174498505538</v>
      </c>
      <c r="D390" s="302">
        <v>0.1027976704157285</v>
      </c>
      <c r="E390" s="302">
        <f t="shared" si="168"/>
        <v>0.39328034618760338</v>
      </c>
      <c r="F390" s="303"/>
      <c r="G390" s="302">
        <v>0.18260525227152891</v>
      </c>
      <c r="H390" s="302">
        <v>9.4575631315217207E-2</v>
      </c>
      <c r="I390" s="302">
        <v>4.615487978801832E-2</v>
      </c>
      <c r="J390" s="302">
        <f t="shared" si="171"/>
        <v>0.32333576337476438</v>
      </c>
      <c r="K390" s="303"/>
      <c r="L390" s="302">
        <v>0.10062733438354476</v>
      </c>
      <c r="M390" s="302">
        <v>6.4380538867603893E-2</v>
      </c>
      <c r="N390" s="302">
        <v>1.8382643357692487E-2</v>
      </c>
      <c r="O390" s="302">
        <f t="shared" si="170"/>
        <v>0.18339051660884115</v>
      </c>
    </row>
    <row r="391" spans="1:15" s="236" customFormat="1" x14ac:dyDescent="0.2">
      <c r="A391" s="237" t="str">
        <f>name!E$12</f>
        <v>Elementary occupations</v>
      </c>
      <c r="B391" s="302">
        <v>0.41710432537624342</v>
      </c>
      <c r="C391" s="302">
        <v>0.70775743003297131</v>
      </c>
      <c r="D391" s="302">
        <v>0.37581847662113049</v>
      </c>
      <c r="E391" s="302">
        <f t="shared" si="168"/>
        <v>1.5006802320303454</v>
      </c>
      <c r="F391" s="303"/>
      <c r="G391" s="302">
        <v>0.47570096237528892</v>
      </c>
      <c r="H391" s="302">
        <v>0.61965441232263352</v>
      </c>
      <c r="I391" s="302">
        <v>0.21002787703381767</v>
      </c>
      <c r="J391" s="302">
        <f t="shared" si="171"/>
        <v>1.3053832517317403</v>
      </c>
      <c r="K391" s="303"/>
      <c r="L391" s="302">
        <v>0.3422313414754265</v>
      </c>
      <c r="M391" s="302">
        <v>0.35074042404817457</v>
      </c>
      <c r="N391" s="302">
        <v>0.14937983455591097</v>
      </c>
      <c r="O391" s="302">
        <f t="shared" si="170"/>
        <v>0.84235160007951204</v>
      </c>
    </row>
    <row r="392" spans="1:15" s="236" customFormat="1" x14ac:dyDescent="0.2">
      <c r="A392" s="237"/>
      <c r="B392" s="302"/>
      <c r="C392" s="302"/>
      <c r="D392" s="302"/>
      <c r="E392" s="302"/>
      <c r="F392" s="303"/>
      <c r="G392" s="302"/>
      <c r="H392" s="302"/>
      <c r="I392" s="302"/>
      <c r="J392" s="302"/>
      <c r="K392" s="303"/>
      <c r="L392" s="302"/>
      <c r="M392" s="302"/>
      <c r="N392" s="302"/>
      <c r="O392" s="302"/>
    </row>
    <row r="393" spans="1:15" s="236" customFormat="1" x14ac:dyDescent="0.2">
      <c r="A393" s="244" t="s">
        <v>33</v>
      </c>
      <c r="B393" s="311">
        <f>SUM(B383:B391)</f>
        <v>5.5548952125118536</v>
      </c>
      <c r="C393" s="311">
        <f t="shared" ref="C393:E393" si="172">SUM(C383:C391)</f>
        <v>3.2566163803946515</v>
      </c>
      <c r="D393" s="311">
        <f t="shared" si="172"/>
        <v>5.5934884070935018</v>
      </c>
      <c r="E393" s="311">
        <f t="shared" si="172"/>
        <v>14.405000000000006</v>
      </c>
      <c r="F393" s="311"/>
      <c r="G393" s="311">
        <f t="shared" ref="G393:J393" si="173">SUM(G383:G391)</f>
        <v>5.2258301025591827</v>
      </c>
      <c r="H393" s="311">
        <f t="shared" si="173"/>
        <v>3.2090030233188505</v>
      </c>
      <c r="I393" s="311">
        <f t="shared" si="173"/>
        <v>4.9411668741219765</v>
      </c>
      <c r="J393" s="311">
        <f t="shared" si="173"/>
        <v>13.37600000000001</v>
      </c>
      <c r="K393" s="311"/>
      <c r="L393" s="311">
        <f t="shared" ref="L393:O393" si="174">SUM(L383:L391)</f>
        <v>4.0678442934340886</v>
      </c>
      <c r="M393" s="311">
        <f t="shared" si="174"/>
        <v>2.3764051585407224</v>
      </c>
      <c r="N393" s="311">
        <f t="shared" si="174"/>
        <v>3.7177505480251867</v>
      </c>
      <c r="O393" s="311">
        <f t="shared" si="174"/>
        <v>10.161999999999997</v>
      </c>
    </row>
    <row r="394" spans="1:15" s="236" customFormat="1" x14ac:dyDescent="0.2">
      <c r="A394" s="237"/>
      <c r="B394" s="237"/>
      <c r="C394" s="237"/>
      <c r="D394" s="237"/>
      <c r="E394" s="237"/>
      <c r="F394" s="237"/>
      <c r="G394" s="237"/>
      <c r="H394" s="237"/>
      <c r="I394" s="237"/>
      <c r="J394" s="237"/>
      <c r="K394" s="237"/>
      <c r="L394" s="237"/>
      <c r="M394" s="237"/>
      <c r="N394" s="240"/>
    </row>
  </sheetData>
  <mergeCells count="69">
    <mergeCell ref="B380:E380"/>
    <mergeCell ref="G380:J380"/>
    <mergeCell ref="L380:O380"/>
    <mergeCell ref="B346:E346"/>
    <mergeCell ref="G346:J346"/>
    <mergeCell ref="L346:O346"/>
    <mergeCell ref="B363:E363"/>
    <mergeCell ref="G363:J363"/>
    <mergeCell ref="L363:O363"/>
    <mergeCell ref="B312:E312"/>
    <mergeCell ref="G312:J312"/>
    <mergeCell ref="L312:O312"/>
    <mergeCell ref="B329:E329"/>
    <mergeCell ref="G329:J329"/>
    <mergeCell ref="L329:O329"/>
    <mergeCell ref="B278:E278"/>
    <mergeCell ref="G278:J278"/>
    <mergeCell ref="L278:O278"/>
    <mergeCell ref="B295:E295"/>
    <mergeCell ref="G295:J295"/>
    <mergeCell ref="L295:O295"/>
    <mergeCell ref="B244:E244"/>
    <mergeCell ref="G244:J244"/>
    <mergeCell ref="L244:O244"/>
    <mergeCell ref="B261:E261"/>
    <mergeCell ref="G261:J261"/>
    <mergeCell ref="L261:O261"/>
    <mergeCell ref="B210:E210"/>
    <mergeCell ref="G210:J210"/>
    <mergeCell ref="L210:O210"/>
    <mergeCell ref="B227:E227"/>
    <mergeCell ref="G227:J227"/>
    <mergeCell ref="L227:O227"/>
    <mergeCell ref="B193:E193"/>
    <mergeCell ref="G193:J193"/>
    <mergeCell ref="L193:O193"/>
    <mergeCell ref="B142:E142"/>
    <mergeCell ref="G142:J142"/>
    <mergeCell ref="L142:O142"/>
    <mergeCell ref="B159:E159"/>
    <mergeCell ref="G159:J159"/>
    <mergeCell ref="L159:O159"/>
    <mergeCell ref="B176:E176"/>
    <mergeCell ref="G176:J176"/>
    <mergeCell ref="L176:O176"/>
    <mergeCell ref="B125:E125"/>
    <mergeCell ref="G125:J125"/>
    <mergeCell ref="L125:O125"/>
    <mergeCell ref="B91:E91"/>
    <mergeCell ref="G91:J91"/>
    <mergeCell ref="L91:O91"/>
    <mergeCell ref="B108:E108"/>
    <mergeCell ref="G108:J108"/>
    <mergeCell ref="L108:O108"/>
    <mergeCell ref="B6:E6"/>
    <mergeCell ref="G6:J6"/>
    <mergeCell ref="L6:O6"/>
    <mergeCell ref="B23:E23"/>
    <mergeCell ref="G23:J23"/>
    <mergeCell ref="L23:O23"/>
    <mergeCell ref="B74:E74"/>
    <mergeCell ref="G74:J74"/>
    <mergeCell ref="L74:O74"/>
    <mergeCell ref="B40:E40"/>
    <mergeCell ref="G40:J40"/>
    <mergeCell ref="L40:O40"/>
    <mergeCell ref="B57:E57"/>
    <mergeCell ref="G57:J57"/>
    <mergeCell ref="L57:O57"/>
  </mergeCells>
  <pageMargins left="0.7" right="0.7" top="0.75" bottom="0.75" header="0.3" footer="0.3"/>
  <pageSetup paperSize="9" scale="78" fitToHeight="0" orientation="portrait" r:id="rId1"/>
  <rowBreaks count="5" manualBreakCount="5">
    <brk id="71" max="14" man="1"/>
    <brk id="139" max="14" man="1"/>
    <brk id="207" max="14" man="1"/>
    <brk id="275" max="14" man="1"/>
    <brk id="343" max="14" man="1"/>
  </rowBreaks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0"/>
  <dimension ref="A1:AF90"/>
  <sheetViews>
    <sheetView showGridLines="0" zoomScale="85" zoomScaleNormal="85" workbookViewId="0"/>
  </sheetViews>
  <sheetFormatPr defaultRowHeight="12.75" x14ac:dyDescent="0.2"/>
  <cols>
    <col min="1" max="1" width="44.7109375" customWidth="1"/>
    <col min="2" max="6" width="10" customWidth="1"/>
    <col min="7" max="7" width="6.7109375" customWidth="1"/>
    <col min="8" max="10" width="13" customWidth="1"/>
    <col min="11" max="11" width="18.42578125" customWidth="1"/>
    <col min="12" max="12" width="44.7109375" customWidth="1"/>
    <col min="13" max="17" width="10" customWidth="1"/>
    <col min="18" max="18" width="6.7109375" customWidth="1"/>
    <col min="19" max="21" width="13" customWidth="1"/>
    <col min="22" max="22" width="28.85546875" customWidth="1"/>
    <col min="23" max="23" width="44.7109375" customWidth="1"/>
    <col min="24" max="28" width="10" customWidth="1"/>
    <col min="29" max="29" width="6.7109375" customWidth="1"/>
    <col min="30" max="32" width="13" customWidth="1"/>
  </cols>
  <sheetData>
    <row r="1" spans="1:32" ht="15.75" x14ac:dyDescent="0.25">
      <c r="A1" s="19" t="str">
        <f>CONCATENATE("Occupation Table 1  Employment Change by Occupation Group (SOC 2020) and Replacement Demand, ",B$6,"-",F$6,", ",Info!B5)</f>
        <v>Occupation Table 1  Employment Change by Occupation Group (SOC 2020) and Replacement Demand, 2015-2035, North East</v>
      </c>
      <c r="L1" s="19" t="str">
        <f>CONCATENATE("Occupation Table 1.1  Males: Employment Change by Occupation Group (SOC 2020) and Replacement Demand, ",B$6,"-",F$6,", ",Info!B5)</f>
        <v>Occupation Table 1.1  Males: Employment Change by Occupation Group (SOC 2020) and Replacement Demand, 2015-2035, North East</v>
      </c>
      <c r="W1" s="19" t="str">
        <f>CONCATENATE("Occupation Table 1.2  Females: Employment Change by Occupation Group (SOC 2020) and Replacement Demand, ",M$6,"-",Q$6,", ",Info!B5)</f>
        <v>Occupation Table 1.2  Females: Employment Change by Occupation Group (SOC 2020) and Replacement Demand, 2015-2035, North East</v>
      </c>
    </row>
    <row r="2" spans="1:32" x14ac:dyDescent="0.2">
      <c r="A2" s="1" t="s">
        <v>517</v>
      </c>
    </row>
    <row r="3" spans="1:32" x14ac:dyDescent="0.2">
      <c r="F3" s="16" t="s">
        <v>36</v>
      </c>
      <c r="J3" s="16" t="s">
        <v>36</v>
      </c>
      <c r="Q3" s="16" t="s">
        <v>36</v>
      </c>
      <c r="U3" s="16" t="s">
        <v>36</v>
      </c>
      <c r="AB3" s="16" t="s">
        <v>36</v>
      </c>
      <c r="AF3" s="16" t="s">
        <v>36</v>
      </c>
    </row>
    <row r="4" spans="1:32" x14ac:dyDescent="0.2">
      <c r="A4" s="36"/>
      <c r="B4" s="36"/>
      <c r="C4" s="36"/>
      <c r="D4" s="36"/>
      <c r="E4" s="36"/>
      <c r="F4" s="36"/>
      <c r="H4" s="28" t="str">
        <f>CONCATENATE(D6,"-",F6)</f>
        <v>2020-2035</v>
      </c>
      <c r="I4" s="36"/>
      <c r="J4" s="36"/>
      <c r="L4" s="28" t="s">
        <v>104</v>
      </c>
      <c r="M4" s="36"/>
      <c r="N4" s="36"/>
      <c r="O4" s="36"/>
      <c r="P4" s="36"/>
      <c r="Q4" s="36"/>
      <c r="S4" s="28" t="str">
        <f>CONCATENATE(O6,"-",Q6)</f>
        <v>2020-2035</v>
      </c>
      <c r="T4" s="36"/>
      <c r="U4" s="36"/>
      <c r="W4" s="28" t="s">
        <v>105</v>
      </c>
      <c r="X4" s="36"/>
      <c r="Y4" s="36"/>
      <c r="Z4" s="36"/>
      <c r="AA4" s="36"/>
      <c r="AB4" s="36"/>
      <c r="AD4" s="28" t="str">
        <f>CONCATENATE(Z6,"-",AB6)</f>
        <v>2020-2035</v>
      </c>
      <c r="AE4" s="36"/>
      <c r="AF4" s="36"/>
    </row>
    <row r="5" spans="1:32" x14ac:dyDescent="0.2">
      <c r="H5" s="16" t="s">
        <v>30</v>
      </c>
      <c r="I5" s="16" t="s">
        <v>31</v>
      </c>
      <c r="J5" s="16" t="s">
        <v>33</v>
      </c>
      <c r="S5" s="16" t="s">
        <v>30</v>
      </c>
      <c r="T5" s="16" t="s">
        <v>31</v>
      </c>
      <c r="U5" s="16" t="s">
        <v>33</v>
      </c>
      <c r="AD5" s="16" t="s">
        <v>30</v>
      </c>
      <c r="AE5" s="16" t="s">
        <v>31</v>
      </c>
      <c r="AF5" s="16" t="s">
        <v>33</v>
      </c>
    </row>
    <row r="6" spans="1:32" x14ac:dyDescent="0.2">
      <c r="A6" s="41" t="s">
        <v>13</v>
      </c>
      <c r="B6" s="35">
        <f>'Occ T2'!B6</f>
        <v>2015</v>
      </c>
      <c r="C6" s="35">
        <f>'Occ T2'!C6</f>
        <v>2019</v>
      </c>
      <c r="D6" s="35">
        <f>'Occ T2'!D6</f>
        <v>2020</v>
      </c>
      <c r="E6" s="35">
        <f>'Occ T2'!E6</f>
        <v>2025</v>
      </c>
      <c r="F6" s="35">
        <f>'Occ T2'!F6</f>
        <v>2035</v>
      </c>
      <c r="G6" s="10"/>
      <c r="H6" s="63" t="s">
        <v>19</v>
      </c>
      <c r="I6" s="63" t="s">
        <v>32</v>
      </c>
      <c r="J6" s="63" t="s">
        <v>34</v>
      </c>
      <c r="L6" s="41" t="s">
        <v>13</v>
      </c>
      <c r="M6" s="35">
        <f>'Occ T2'!B6</f>
        <v>2015</v>
      </c>
      <c r="N6" s="35">
        <f>'Occ T2'!C6</f>
        <v>2019</v>
      </c>
      <c r="O6" s="35">
        <f>'Occ T2'!D6</f>
        <v>2020</v>
      </c>
      <c r="P6" s="35">
        <f>'Occ T2'!E6</f>
        <v>2025</v>
      </c>
      <c r="Q6" s="35">
        <f>'Occ T2'!F6</f>
        <v>2035</v>
      </c>
      <c r="R6" s="10"/>
      <c r="S6" s="63" t="s">
        <v>19</v>
      </c>
      <c r="T6" s="63" t="s">
        <v>32</v>
      </c>
      <c r="U6" s="63" t="s">
        <v>34</v>
      </c>
      <c r="W6" s="41" t="s">
        <v>13</v>
      </c>
      <c r="X6" s="35">
        <f>'Occ T2'!B6</f>
        <v>2015</v>
      </c>
      <c r="Y6" s="35">
        <f>'Occ T2'!C6</f>
        <v>2019</v>
      </c>
      <c r="Z6" s="35">
        <f>'Occ T2'!D6</f>
        <v>2020</v>
      </c>
      <c r="AA6" s="35">
        <f>'Occ T2'!E6</f>
        <v>2025</v>
      </c>
      <c r="AB6" s="35">
        <f>'Occ T2'!F6</f>
        <v>2035</v>
      </c>
      <c r="AC6" s="10"/>
      <c r="AD6" s="63" t="s">
        <v>19</v>
      </c>
      <c r="AE6" s="63" t="s">
        <v>32</v>
      </c>
      <c r="AF6" s="63" t="s">
        <v>34</v>
      </c>
    </row>
    <row r="7" spans="1:32" x14ac:dyDescent="0.2">
      <c r="C7" s="10"/>
      <c r="D7" s="10"/>
      <c r="E7" s="10"/>
      <c r="F7" s="10"/>
      <c r="N7" s="10"/>
      <c r="O7" s="10"/>
      <c r="P7" s="10"/>
      <c r="Q7" s="10"/>
      <c r="Y7" s="10"/>
      <c r="Z7" s="10"/>
      <c r="AA7" s="10"/>
      <c r="AB7" s="10"/>
    </row>
    <row r="8" spans="1:32" x14ac:dyDescent="0.2">
      <c r="A8" t="str">
        <f>name!E4</f>
        <v>Managers, directors and senior officials</v>
      </c>
      <c r="B8" s="11">
        <f t="array" ref="B8:B16">MMULT(aggregation!$B$13:$AA$21,'Occ T2'!B8:B33)</f>
        <v>36.006205962267231</v>
      </c>
      <c r="C8" s="11">
        <f t="array" ref="C8:C16">MMULT(aggregation!$B$13:$AA$21,'Occ T2'!C8:C33)</f>
        <v>39.967668672295616</v>
      </c>
      <c r="D8" s="11">
        <f t="array" ref="D8:D16">MMULT(aggregation!$B$13:$AA$21,'Occ T2'!D8:D33)</f>
        <v>40.245078724761129</v>
      </c>
      <c r="E8" s="11">
        <f t="array" ref="E8:E16">MMULT(aggregation!$B$13:$AA$21,'Occ T2'!E8:E33)</f>
        <v>40.862520683519087</v>
      </c>
      <c r="F8" s="11">
        <f t="array" ref="F8:F16">MMULT(aggregation!$B$13:$AA$21,'Occ T2'!F8:F33)</f>
        <v>45.689137815915871</v>
      </c>
      <c r="G8" s="11"/>
      <c r="H8" s="11">
        <f>F8-D8</f>
        <v>5.4440590911547417</v>
      </c>
      <c r="I8" s="11">
        <f t="array" ref="I8:I16">MMULT(aggregation!$B$13:$AA$21,'Occ T2'!I8:I33)</f>
        <v>22.758617426924609</v>
      </c>
      <c r="J8" s="11">
        <f>SUM(H8:I8)</f>
        <v>28.20267651807935</v>
      </c>
      <c r="L8" s="10" t="str">
        <f>name!E4</f>
        <v>Managers, directors and senior officials</v>
      </c>
      <c r="M8" s="11">
        <f t="array" ref="M8:M16">MMULT(aggregation!$B$13:$AA$21,'Occ T2'!M8:M33)</f>
        <v>23.777080714209085</v>
      </c>
      <c r="N8" s="11">
        <f t="array" ref="N8:N16">MMULT(aggregation!$B$13:$AA$21,'Occ T2'!N8:N33)</f>
        <v>26.070854838335741</v>
      </c>
      <c r="O8" s="11">
        <f t="array" ref="O8:O16">MMULT(aggregation!$B$13:$AA$21,'Occ T2'!O8:O33)</f>
        <v>25.280957038820844</v>
      </c>
      <c r="P8" s="11">
        <f t="array" ref="P8:P16">MMULT(aggregation!$B$13:$AA$21,'Occ T2'!P8:P33)</f>
        <v>25.219744404379469</v>
      </c>
      <c r="Q8" s="11">
        <f t="array" ref="Q8:Q16">MMULT(aggregation!$B$13:$AA$21,'Occ T2'!Q8:Q33)</f>
        <v>27.627317067591299</v>
      </c>
      <c r="R8" s="11"/>
      <c r="S8" s="11">
        <f>Q8-O8</f>
        <v>2.3463600287704551</v>
      </c>
      <c r="T8" s="11">
        <f t="array" ref="T8:T16">MMULT(aggregation!$B$13:$AA$21,'Occ T2'!T8:T33)</f>
        <v>12.552243533129573</v>
      </c>
      <c r="U8" s="11">
        <f>SUM(S8:T8)</f>
        <v>14.898603561900028</v>
      </c>
      <c r="W8" s="10" t="str">
        <f>name!E4</f>
        <v>Managers, directors and senior officials</v>
      </c>
      <c r="X8" s="11">
        <f t="array" ref="X8:X16">MMULT(aggregation!$B$13:$AA$21,'Occ T2'!X8:X33)</f>
        <v>12.229125248058107</v>
      </c>
      <c r="Y8" s="11">
        <f t="array" ref="Y8:Y16">MMULT(aggregation!$B$13:$AA$21,'Occ T2'!Y8:Y33)</f>
        <v>13.896813833959833</v>
      </c>
      <c r="Z8" s="11">
        <f t="array" ref="Z8:Z16">MMULT(aggregation!$B$13:$AA$21,'Occ T2'!Z8:Z33)</f>
        <v>14.964121685940318</v>
      </c>
      <c r="AA8" s="11">
        <f t="array" ref="AA8:AA16">MMULT(aggregation!$B$13:$AA$21,'Occ T2'!AA8:AA33)</f>
        <v>15.642776279139635</v>
      </c>
      <c r="AB8" s="11">
        <f t="array" ref="AB8:AB16">MMULT(aggregation!$B$13:$AA$21,'Occ T2'!AB8:AB33)</f>
        <v>18.061820748324664</v>
      </c>
      <c r="AC8" s="11"/>
      <c r="AD8" s="11">
        <f>AB8-Z8</f>
        <v>3.0976990623843452</v>
      </c>
      <c r="AE8" s="11">
        <f t="array" ref="AE8:AE16">MMULT(aggregation!$B$13:$AA$21,'Occ T2'!AE8:AE33)</f>
        <v>10.206373893795035</v>
      </c>
      <c r="AF8" s="11">
        <f>SUM(AD8:AE8)</f>
        <v>13.304072956179381</v>
      </c>
    </row>
    <row r="9" spans="1:32" x14ac:dyDescent="0.2">
      <c r="A9" t="str">
        <f>name!E5</f>
        <v>Professional occupations</v>
      </c>
      <c r="B9" s="11">
        <v>90.125276635320631</v>
      </c>
      <c r="C9" s="11">
        <v>92.878705546459898</v>
      </c>
      <c r="D9" s="11">
        <v>99.067530958461219</v>
      </c>
      <c r="E9" s="11">
        <v>106.4965017389784</v>
      </c>
      <c r="F9" s="11">
        <v>116.80390113270077</v>
      </c>
      <c r="G9" s="11"/>
      <c r="H9" s="11">
        <f t="shared" ref="H9:H16" si="0">F9-D9</f>
        <v>17.736370174239553</v>
      </c>
      <c r="I9" s="11">
        <v>52.401702692996658</v>
      </c>
      <c r="J9" s="11">
        <f t="shared" ref="J9:J15" si="1">SUM(H9:I9)</f>
        <v>70.138072867236218</v>
      </c>
      <c r="L9" s="10" t="str">
        <f>name!E5</f>
        <v>Professional occupations</v>
      </c>
      <c r="M9" s="11">
        <v>44.585201277396358</v>
      </c>
      <c r="N9" s="11">
        <v>44.243161878350094</v>
      </c>
      <c r="O9" s="11">
        <v>46.322912758148703</v>
      </c>
      <c r="P9" s="11">
        <v>48.956145672649882</v>
      </c>
      <c r="Q9" s="11">
        <v>52.453904219950978</v>
      </c>
      <c r="R9" s="11"/>
      <c r="S9" s="11">
        <f t="shared" ref="S9:S16" si="2">Q9-O9</f>
        <v>6.1309914618022745</v>
      </c>
      <c r="T9" s="11">
        <v>18.911471311300851</v>
      </c>
      <c r="U9" s="11">
        <f t="shared" ref="U9:U12" si="3">SUM(S9:T9)</f>
        <v>25.042462773103125</v>
      </c>
      <c r="W9" s="10" t="str">
        <f>name!E5</f>
        <v>Professional occupations</v>
      </c>
      <c r="X9" s="11">
        <v>45.540075357924252</v>
      </c>
      <c r="Y9" s="11">
        <v>48.635543668109811</v>
      </c>
      <c r="Z9" s="11">
        <v>52.744618200312452</v>
      </c>
      <c r="AA9" s="11">
        <v>57.540356066328528</v>
      </c>
      <c r="AB9" s="11">
        <v>64.349996912749688</v>
      </c>
      <c r="AC9" s="11"/>
      <c r="AD9" s="11">
        <f t="shared" ref="AD9:AD16" si="4">AB9-Z9</f>
        <v>11.605378712437236</v>
      </c>
      <c r="AE9" s="11">
        <v>33.490231381695807</v>
      </c>
      <c r="AF9" s="11">
        <f t="shared" ref="AF9:AF12" si="5">SUM(AD9:AE9)</f>
        <v>45.095610094133043</v>
      </c>
    </row>
    <row r="10" spans="1:32" x14ac:dyDescent="0.2">
      <c r="A10" t="str">
        <f>name!E6</f>
        <v>Associate professional occupations</v>
      </c>
      <c r="B10" s="11">
        <v>51.546924924381955</v>
      </c>
      <c r="C10" s="11">
        <v>53.529641037873461</v>
      </c>
      <c r="D10" s="11">
        <v>56.077056232920341</v>
      </c>
      <c r="E10" s="11">
        <v>53.792100904177957</v>
      </c>
      <c r="F10" s="11">
        <v>57.41907279072538</v>
      </c>
      <c r="G10" s="11"/>
      <c r="H10" s="11">
        <f t="shared" si="0"/>
        <v>1.3420165578050387</v>
      </c>
      <c r="I10" s="11">
        <v>25.520980556039284</v>
      </c>
      <c r="J10" s="11">
        <f t="shared" si="1"/>
        <v>26.862997113844322</v>
      </c>
      <c r="L10" s="10" t="str">
        <f>name!E6</f>
        <v>Associate professional occupations</v>
      </c>
      <c r="M10" s="11">
        <v>27.312945618268792</v>
      </c>
      <c r="N10" s="11">
        <v>28.731061517651582</v>
      </c>
      <c r="O10" s="11">
        <v>29.639499620895958</v>
      </c>
      <c r="P10" s="11">
        <v>27.004970059488343</v>
      </c>
      <c r="Q10" s="11">
        <v>27.430644149489019</v>
      </c>
      <c r="R10" s="11"/>
      <c r="S10" s="11">
        <f t="shared" si="2"/>
        <v>-2.2088554714069382</v>
      </c>
      <c r="T10" s="11">
        <v>9.9071638581993451</v>
      </c>
      <c r="U10" s="11">
        <f t="shared" si="3"/>
        <v>7.6983083867924069</v>
      </c>
      <c r="W10" s="10" t="str">
        <f>name!E6</f>
        <v>Associate professional occupations</v>
      </c>
      <c r="X10" s="11">
        <v>24.233979306113163</v>
      </c>
      <c r="Y10" s="11">
        <v>24.798579520221857</v>
      </c>
      <c r="Z10" s="11">
        <v>26.437556612024405</v>
      </c>
      <c r="AA10" s="11">
        <v>26.787130844689635</v>
      </c>
      <c r="AB10" s="11">
        <v>29.988428641236403</v>
      </c>
      <c r="AC10" s="11"/>
      <c r="AD10" s="11">
        <f t="shared" si="4"/>
        <v>3.5508720292119982</v>
      </c>
      <c r="AE10" s="11">
        <v>15.613816697839937</v>
      </c>
      <c r="AF10" s="11">
        <f t="shared" si="5"/>
        <v>19.164688727051935</v>
      </c>
    </row>
    <row r="11" spans="1:32" x14ac:dyDescent="0.2">
      <c r="A11" t="str">
        <f>name!E7</f>
        <v>Administrative and secretarial occupations</v>
      </c>
      <c r="B11" s="11">
        <v>55.285626195180079</v>
      </c>
      <c r="C11" s="11">
        <v>50.43141193244513</v>
      </c>
      <c r="D11" s="11">
        <v>52.503095815052475</v>
      </c>
      <c r="E11" s="11">
        <v>49.196634777047372</v>
      </c>
      <c r="F11" s="11">
        <v>45.868596016759618</v>
      </c>
      <c r="G11" s="11"/>
      <c r="H11" s="11">
        <f t="shared" si="0"/>
        <v>-6.6344997982928575</v>
      </c>
      <c r="I11" s="11">
        <v>24.690575442400434</v>
      </c>
      <c r="J11" s="11">
        <f t="shared" si="1"/>
        <v>18.056075644107576</v>
      </c>
      <c r="L11" s="10" t="str">
        <f>name!E7</f>
        <v>Administrative and secretarial occupations</v>
      </c>
      <c r="M11" s="11">
        <v>14.247451518360375</v>
      </c>
      <c r="N11" s="11">
        <v>12.696162925751137</v>
      </c>
      <c r="O11" s="11">
        <v>15.054425582475494</v>
      </c>
      <c r="P11" s="11">
        <v>14.419630640072731</v>
      </c>
      <c r="Q11" s="11">
        <v>15.847783092487077</v>
      </c>
      <c r="R11" s="11"/>
      <c r="S11" s="11">
        <f t="shared" si="2"/>
        <v>0.7933575100115835</v>
      </c>
      <c r="T11" s="11">
        <v>5.5644356645893707</v>
      </c>
      <c r="U11" s="11">
        <f t="shared" si="3"/>
        <v>6.3577931746009542</v>
      </c>
      <c r="W11" s="10" t="str">
        <f>name!E7</f>
        <v>Administrative and secretarial occupations</v>
      </c>
      <c r="X11" s="11">
        <v>41.038174676819665</v>
      </c>
      <c r="Y11" s="11">
        <v>37.735249006693948</v>
      </c>
      <c r="Z11" s="11">
        <v>37.448670232576937</v>
      </c>
      <c r="AA11" s="11">
        <v>34.777004136974661</v>
      </c>
      <c r="AB11" s="11">
        <v>30.020812924272587</v>
      </c>
      <c r="AC11" s="11"/>
      <c r="AD11" s="11">
        <f t="shared" si="4"/>
        <v>-7.4278573083043504</v>
      </c>
      <c r="AE11" s="11">
        <v>19.126139777811062</v>
      </c>
      <c r="AF11" s="11">
        <f t="shared" si="5"/>
        <v>11.698282469506712</v>
      </c>
    </row>
    <row r="12" spans="1:32" x14ac:dyDescent="0.2">
      <c r="A12" t="str">
        <f>name!E8</f>
        <v>Skilled trades occupations</v>
      </c>
      <c r="B12" s="11">
        <v>57.02228187837261</v>
      </c>
      <c r="C12" s="11">
        <v>56.025309387048864</v>
      </c>
      <c r="D12" s="11">
        <v>48.245712549332183</v>
      </c>
      <c r="E12" s="11">
        <v>46.732747293258697</v>
      </c>
      <c r="F12" s="11">
        <v>43.17648751920472</v>
      </c>
      <c r="G12" s="11"/>
      <c r="H12" s="11">
        <f t="shared" si="0"/>
        <v>-5.0692250301274626</v>
      </c>
      <c r="I12" s="11">
        <v>19.060450173384815</v>
      </c>
      <c r="J12" s="11">
        <f t="shared" si="1"/>
        <v>13.991225143257353</v>
      </c>
      <c r="L12" s="10" t="str">
        <f>name!E8</f>
        <v>Skilled trades occupations</v>
      </c>
      <c r="M12" s="11">
        <v>51.499546209739762</v>
      </c>
      <c r="N12" s="11">
        <v>51.283808918420384</v>
      </c>
      <c r="O12" s="11">
        <v>42.797041029444287</v>
      </c>
      <c r="P12" s="11">
        <v>40.865850854380248</v>
      </c>
      <c r="Q12" s="11">
        <v>37.06681892447429</v>
      </c>
      <c r="R12" s="11"/>
      <c r="S12" s="11">
        <f t="shared" si="2"/>
        <v>-5.7302221049699966</v>
      </c>
      <c r="T12" s="11">
        <v>15.461630170388556</v>
      </c>
      <c r="U12" s="11">
        <f t="shared" si="3"/>
        <v>9.7314080654185595</v>
      </c>
      <c r="W12" s="10" t="str">
        <f>name!E8</f>
        <v>Skilled trades occupations</v>
      </c>
      <c r="X12" s="11">
        <v>5.522735668632869</v>
      </c>
      <c r="Y12" s="11">
        <v>4.7415004686284892</v>
      </c>
      <c r="Z12" s="11">
        <v>5.4486715198879079</v>
      </c>
      <c r="AA12" s="11">
        <v>5.8668964388784737</v>
      </c>
      <c r="AB12" s="11">
        <v>6.1096685947304596</v>
      </c>
      <c r="AC12" s="11"/>
      <c r="AD12" s="11">
        <f t="shared" si="4"/>
        <v>0.66099707484255177</v>
      </c>
      <c r="AE12" s="11">
        <v>3.5988200029962583</v>
      </c>
      <c r="AF12" s="11">
        <f t="shared" si="5"/>
        <v>4.25981707783881</v>
      </c>
    </row>
    <row r="13" spans="1:32" x14ac:dyDescent="0.2">
      <c r="A13" t="str">
        <f>name!E9</f>
        <v>Caring, leisure and other service occupations</v>
      </c>
      <c r="B13" s="11">
        <v>44.888544099919955</v>
      </c>
      <c r="C13" s="11">
        <v>43.233422460822304</v>
      </c>
      <c r="D13" s="11">
        <v>42.842121741005315</v>
      </c>
      <c r="E13" s="11">
        <v>44.580249740757665</v>
      </c>
      <c r="F13" s="11">
        <v>46.050455885843554</v>
      </c>
      <c r="G13" s="11"/>
      <c r="H13" s="11">
        <f t="shared" si="0"/>
        <v>3.2083341448382399</v>
      </c>
      <c r="I13" s="11">
        <v>24.824723813725189</v>
      </c>
      <c r="J13" s="11">
        <f>SUM(H13:I13)</f>
        <v>28.033057958563429</v>
      </c>
      <c r="L13" s="10" t="str">
        <f>name!E9</f>
        <v>Caring, leisure and other service occupations</v>
      </c>
      <c r="M13" s="11">
        <v>7.7679966639228635</v>
      </c>
      <c r="N13" s="11">
        <v>7.9346772410716158</v>
      </c>
      <c r="O13" s="11">
        <v>7.9116658143249614</v>
      </c>
      <c r="P13" s="11">
        <v>8.4985084300280409</v>
      </c>
      <c r="Q13" s="11">
        <v>9.3566138928662621</v>
      </c>
      <c r="R13" s="11"/>
      <c r="S13" s="11">
        <f t="shared" si="2"/>
        <v>1.4449480785413007</v>
      </c>
      <c r="T13" s="11">
        <v>3.7193775301059517</v>
      </c>
      <c r="U13" s="11">
        <f>SUM(S13:T13)</f>
        <v>5.1643256086472524</v>
      </c>
      <c r="W13" s="10" t="str">
        <f>name!E9</f>
        <v>Caring, leisure and other service occupations</v>
      </c>
      <c r="X13" s="11">
        <v>37.120547435997089</v>
      </c>
      <c r="Y13" s="11">
        <v>35.298745219750671</v>
      </c>
      <c r="Z13" s="11">
        <v>34.930455926680388</v>
      </c>
      <c r="AA13" s="11">
        <v>36.081741310729562</v>
      </c>
      <c r="AB13" s="11">
        <v>36.693841992977354</v>
      </c>
      <c r="AC13" s="11"/>
      <c r="AD13" s="11">
        <f t="shared" si="4"/>
        <v>1.7633860662969667</v>
      </c>
      <c r="AE13" s="11">
        <v>21.105346283619234</v>
      </c>
      <c r="AF13" s="11">
        <f>SUM(AD13:AE13)</f>
        <v>22.868732349916201</v>
      </c>
    </row>
    <row r="14" spans="1:32" x14ac:dyDescent="0.2">
      <c r="A14" t="str">
        <f>name!E10</f>
        <v>Sales and customer service occupations</v>
      </c>
      <c r="B14" s="11">
        <v>56.179250393666827</v>
      </c>
      <c r="C14" s="11">
        <v>50.864291073074931</v>
      </c>
      <c r="D14" s="11">
        <v>51.568261223138805</v>
      </c>
      <c r="E14" s="11">
        <v>51.47460691376255</v>
      </c>
      <c r="F14" s="11">
        <v>51.915229307935128</v>
      </c>
      <c r="G14" s="11"/>
      <c r="H14" s="11">
        <f t="shared" si="0"/>
        <v>0.34696808479632324</v>
      </c>
      <c r="I14" s="11">
        <v>25.578999669287619</v>
      </c>
      <c r="J14" s="11">
        <f t="shared" si="1"/>
        <v>25.925967754083942</v>
      </c>
      <c r="L14" s="10" t="str">
        <f>name!E10</f>
        <v>Sales and customer service occupations</v>
      </c>
      <c r="M14" s="11">
        <v>17.902471627903907</v>
      </c>
      <c r="N14" s="11">
        <v>16.834299619824087</v>
      </c>
      <c r="O14" s="11">
        <v>17.181501786706679</v>
      </c>
      <c r="P14" s="11">
        <v>17.606850857454582</v>
      </c>
      <c r="Q14" s="11">
        <v>18.650779035004128</v>
      </c>
      <c r="R14" s="11"/>
      <c r="S14" s="11">
        <f t="shared" si="2"/>
        <v>1.4692772482974483</v>
      </c>
      <c r="T14" s="11">
        <v>6.0768680455223354</v>
      </c>
      <c r="U14" s="11">
        <f t="shared" ref="U14:U15" si="6">SUM(S14:T14)</f>
        <v>7.5461452938197837</v>
      </c>
      <c r="W14" s="10" t="str">
        <f>name!E10</f>
        <v>Sales and customer service occupations</v>
      </c>
      <c r="X14" s="11">
        <v>38.276778765762849</v>
      </c>
      <c r="Y14" s="11">
        <v>34.029991453250872</v>
      </c>
      <c r="Z14" s="11">
        <v>34.386759436432186</v>
      </c>
      <c r="AA14" s="11">
        <v>33.867756056308004</v>
      </c>
      <c r="AB14" s="11">
        <v>33.264450272930986</v>
      </c>
      <c r="AC14" s="11"/>
      <c r="AD14" s="11">
        <f t="shared" si="4"/>
        <v>-1.1223091635011997</v>
      </c>
      <c r="AE14" s="11">
        <v>19.502131623765283</v>
      </c>
      <c r="AF14" s="11">
        <f t="shared" ref="AF14:AF15" si="7">SUM(AD14:AE14)</f>
        <v>18.379822460264084</v>
      </c>
    </row>
    <row r="15" spans="1:32" x14ac:dyDescent="0.2">
      <c r="A15" t="str">
        <f>name!E11</f>
        <v>Process, plant and machine operatives</v>
      </c>
      <c r="B15" s="11">
        <v>38.275660553349219</v>
      </c>
      <c r="C15" s="11">
        <v>40.23920215456873</v>
      </c>
      <c r="D15" s="11">
        <v>35.579190689780106</v>
      </c>
      <c r="E15" s="11">
        <v>38.295208327413881</v>
      </c>
      <c r="F15" s="11">
        <v>36.130893780094553</v>
      </c>
      <c r="G15" s="11"/>
      <c r="H15" s="11">
        <f t="shared" si="0"/>
        <v>0.55170309031444731</v>
      </c>
      <c r="I15" s="11">
        <v>16.671775901313794</v>
      </c>
      <c r="J15" s="11">
        <f t="shared" si="1"/>
        <v>17.223478991628241</v>
      </c>
      <c r="L15" s="10" t="str">
        <f>name!E11</f>
        <v>Process, plant and machine operatives</v>
      </c>
      <c r="M15" s="11">
        <v>34.089676670018648</v>
      </c>
      <c r="N15" s="11">
        <v>36.014092281813269</v>
      </c>
      <c r="O15" s="11">
        <v>32.156686094601767</v>
      </c>
      <c r="P15" s="11">
        <v>34.214533864454523</v>
      </c>
      <c r="Q15" s="11">
        <v>32.193799282170431</v>
      </c>
      <c r="R15" s="11"/>
      <c r="S15" s="11">
        <f t="shared" si="2"/>
        <v>3.711318756866433E-2</v>
      </c>
      <c r="T15" s="11">
        <v>14.635051480021428</v>
      </c>
      <c r="U15" s="11">
        <f t="shared" si="6"/>
        <v>14.672164667590092</v>
      </c>
      <c r="W15" s="10" t="str">
        <f>name!E11</f>
        <v>Process, plant and machine operatives</v>
      </c>
      <c r="X15" s="11">
        <v>4.1859838833306231</v>
      </c>
      <c r="Y15" s="11">
        <v>4.2251098727554428</v>
      </c>
      <c r="Z15" s="11">
        <v>3.422504595178359</v>
      </c>
      <c r="AA15" s="11">
        <v>4.0806744629593767</v>
      </c>
      <c r="AB15" s="11">
        <v>3.9370944979241909</v>
      </c>
      <c r="AC15" s="11"/>
      <c r="AD15" s="11">
        <f t="shared" si="4"/>
        <v>0.51458990274583183</v>
      </c>
      <c r="AE15" s="11">
        <v>2.0367244212923596</v>
      </c>
      <c r="AF15" s="11">
        <f t="shared" si="7"/>
        <v>2.5513143240381915</v>
      </c>
    </row>
    <row r="16" spans="1:32" x14ac:dyDescent="0.2">
      <c r="A16" t="str">
        <f>name!E12</f>
        <v>Elementary occupations</v>
      </c>
      <c r="B16" s="11">
        <v>60.381229357541621</v>
      </c>
      <c r="C16" s="11">
        <v>56.405347735410913</v>
      </c>
      <c r="D16" s="11">
        <v>52.797952065548557</v>
      </c>
      <c r="E16" s="11">
        <v>51.320429621084152</v>
      </c>
      <c r="F16" s="11">
        <v>49.724225750820281</v>
      </c>
      <c r="G16" s="11"/>
      <c r="H16" s="11">
        <f t="shared" si="0"/>
        <v>-3.0737263147282761</v>
      </c>
      <c r="I16" s="11">
        <v>23.867988353832157</v>
      </c>
      <c r="J16" s="11">
        <f>SUM(H16:I16)</f>
        <v>20.794262039103881</v>
      </c>
      <c r="L16" s="10" t="str">
        <f>name!E12</f>
        <v>Elementary occupations</v>
      </c>
      <c r="M16" s="11">
        <v>31.762202941979808</v>
      </c>
      <c r="N16" s="11">
        <v>31.691088594168807</v>
      </c>
      <c r="O16" s="11">
        <v>29.686014389626486</v>
      </c>
      <c r="P16" s="11">
        <v>29.566149066874669</v>
      </c>
      <c r="Q16" s="11">
        <v>27.945245639509814</v>
      </c>
      <c r="R16" s="11"/>
      <c r="S16" s="11">
        <f t="shared" si="2"/>
        <v>-1.740768750116672</v>
      </c>
      <c r="T16" s="11">
        <v>11.07234172926662</v>
      </c>
      <c r="U16" s="11">
        <f>SUM(S16:T16)</f>
        <v>9.3315729791499482</v>
      </c>
      <c r="W16" s="10" t="str">
        <f>name!E12</f>
        <v>Elementary occupations</v>
      </c>
      <c r="X16" s="11">
        <v>28.619026415561848</v>
      </c>
      <c r="Y16" s="11">
        <v>24.714259141242096</v>
      </c>
      <c r="Z16" s="11">
        <v>23.111937675922029</v>
      </c>
      <c r="AA16" s="11">
        <v>21.754280554209476</v>
      </c>
      <c r="AB16" s="11">
        <v>21.778980111310414</v>
      </c>
      <c r="AC16" s="11"/>
      <c r="AD16" s="11">
        <f t="shared" si="4"/>
        <v>-1.3329575646116147</v>
      </c>
      <c r="AE16" s="11">
        <v>12.795646624565535</v>
      </c>
      <c r="AF16" s="11">
        <f>SUM(AD16:AE16)</f>
        <v>11.46268905995392</v>
      </c>
    </row>
    <row r="17" spans="1:32" x14ac:dyDescent="0.2">
      <c r="B17" s="11"/>
      <c r="C17" s="11"/>
      <c r="D17" s="11"/>
      <c r="E17" s="11"/>
      <c r="F17" s="11"/>
      <c r="G17" s="11"/>
      <c r="H17" s="11"/>
      <c r="I17" s="11"/>
      <c r="J17" s="11"/>
      <c r="M17" s="11"/>
      <c r="N17" s="11"/>
      <c r="O17" s="11"/>
      <c r="P17" s="11"/>
      <c r="Q17" s="11"/>
      <c r="R17" s="11"/>
      <c r="S17" s="11"/>
      <c r="T17" s="11"/>
      <c r="U17" s="11"/>
      <c r="X17" s="11"/>
      <c r="Y17" s="11"/>
      <c r="Z17" s="11"/>
      <c r="AA17" s="11"/>
      <c r="AB17" s="11"/>
      <c r="AC17" s="11"/>
      <c r="AD17" s="11"/>
      <c r="AE17" s="11"/>
      <c r="AF17" s="11"/>
    </row>
    <row r="18" spans="1:32" x14ac:dyDescent="0.2">
      <c r="A18" s="24" t="str">
        <f>name!E3</f>
        <v>All occupations</v>
      </c>
      <c r="B18" s="34">
        <f>SUM(B8:B16)</f>
        <v>489.71100000000007</v>
      </c>
      <c r="C18" s="34">
        <f>SUM(C8:C16)</f>
        <v>483.57499999999982</v>
      </c>
      <c r="D18" s="34">
        <f>SUM(D8:D16)</f>
        <v>478.9260000000001</v>
      </c>
      <c r="E18" s="34">
        <f>SUM(E8:E16)</f>
        <v>482.75099999999975</v>
      </c>
      <c r="F18" s="34">
        <f>SUM(F8:F16)</f>
        <v>492.77799999999985</v>
      </c>
      <c r="G18" s="11"/>
      <c r="H18" s="34">
        <f>SUM(H8:H16)</f>
        <v>13.851999999999748</v>
      </c>
      <c r="I18" s="34">
        <f>SUM(I8:I16)</f>
        <v>235.37581402990455</v>
      </c>
      <c r="J18" s="34">
        <f>SUM(H18:I18)</f>
        <v>249.22781402990429</v>
      </c>
      <c r="L18" s="231" t="str">
        <f>name!E3</f>
        <v>All occupations</v>
      </c>
      <c r="M18" s="34">
        <f>SUM(M8:M16)</f>
        <v>252.94457324179962</v>
      </c>
      <c r="N18" s="34">
        <f>SUM(N8:N16)</f>
        <v>255.49920781538674</v>
      </c>
      <c r="O18" s="34">
        <f>SUM(O8:O16)</f>
        <v>246.03070411504515</v>
      </c>
      <c r="P18" s="34">
        <f>SUM(P8:P16)</f>
        <v>246.35238384978248</v>
      </c>
      <c r="Q18" s="34">
        <f>SUM(Q8:Q16)</f>
        <v>248.57290530354328</v>
      </c>
      <c r="R18" s="11"/>
      <c r="S18" s="34">
        <f>SUM(S8:S16)</f>
        <v>2.5422011884981197</v>
      </c>
      <c r="T18" s="34">
        <f>SUM(T8:T16)</f>
        <v>97.900583322524028</v>
      </c>
      <c r="U18" s="34">
        <f>SUM(S18:T18)</f>
        <v>100.44278451102215</v>
      </c>
      <c r="W18" s="231" t="str">
        <f>name!E3</f>
        <v>All occupations</v>
      </c>
      <c r="X18" s="34">
        <f>SUM(X8:X16)</f>
        <v>236.76642675820048</v>
      </c>
      <c r="Y18" s="34">
        <f>SUM(Y8:Y16)</f>
        <v>228.07579218461302</v>
      </c>
      <c r="Z18" s="34">
        <f>SUM(Z8:Z16)</f>
        <v>232.895295884955</v>
      </c>
      <c r="AA18" s="34">
        <f>SUM(AA8:AA16)</f>
        <v>236.39861615021735</v>
      </c>
      <c r="AB18" s="34">
        <f>SUM(AB8:AB16)</f>
        <v>244.20509469645674</v>
      </c>
      <c r="AC18" s="11"/>
      <c r="AD18" s="34">
        <f>SUM(AD8:AD16)</f>
        <v>11.309798811501768</v>
      </c>
      <c r="AE18" s="34">
        <f>SUM(AE8:AE16)</f>
        <v>137.47523070738049</v>
      </c>
      <c r="AF18" s="34">
        <f>SUM(AD18:AE18)</f>
        <v>148.78502951888225</v>
      </c>
    </row>
    <row r="19" spans="1:32" x14ac:dyDescent="0.2">
      <c r="B19" s="11"/>
      <c r="C19" s="11"/>
      <c r="D19" s="11"/>
      <c r="E19" s="11"/>
      <c r="F19" s="11"/>
      <c r="G19" s="11"/>
      <c r="M19" s="11"/>
      <c r="N19" s="11"/>
      <c r="O19" s="11"/>
      <c r="P19" s="11"/>
      <c r="Q19" s="11"/>
      <c r="R19" s="11"/>
      <c r="X19" s="11"/>
      <c r="Y19" s="11"/>
      <c r="Z19" s="11"/>
      <c r="AA19" s="11"/>
      <c r="AB19" s="11"/>
      <c r="AC19" s="11"/>
    </row>
    <row r="20" spans="1:32" x14ac:dyDescent="0.2">
      <c r="B20" s="11"/>
      <c r="C20" s="11"/>
      <c r="D20" s="11"/>
      <c r="E20" s="11"/>
      <c r="F20" s="11"/>
      <c r="G20" s="11"/>
      <c r="M20" s="11"/>
      <c r="N20" s="11"/>
      <c r="O20" s="11"/>
      <c r="P20" s="11"/>
      <c r="Q20" s="11"/>
      <c r="R20" s="11"/>
      <c r="X20" s="11"/>
      <c r="Y20" s="11"/>
      <c r="Z20" s="11"/>
      <c r="AA20" s="11"/>
      <c r="AB20" s="11"/>
      <c r="AC20" s="11"/>
    </row>
    <row r="21" spans="1:32" x14ac:dyDescent="0.2">
      <c r="B21" s="11"/>
      <c r="C21" s="11"/>
      <c r="D21" s="11"/>
      <c r="E21" s="11"/>
      <c r="F21" s="16" t="s">
        <v>35</v>
      </c>
      <c r="G21" s="11"/>
      <c r="J21" s="16" t="s">
        <v>35</v>
      </c>
      <c r="M21" s="11"/>
      <c r="N21" s="11"/>
      <c r="O21" s="11"/>
      <c r="P21" s="11"/>
      <c r="Q21" s="16" t="s">
        <v>35</v>
      </c>
      <c r="R21" s="11"/>
      <c r="U21" s="16" t="s">
        <v>35</v>
      </c>
      <c r="X21" s="11"/>
      <c r="Y21" s="11"/>
      <c r="Z21" s="11"/>
      <c r="AA21" s="11"/>
      <c r="AB21" s="16" t="s">
        <v>35</v>
      </c>
      <c r="AC21" s="11"/>
      <c r="AF21" s="16" t="s">
        <v>35</v>
      </c>
    </row>
    <row r="22" spans="1:32" x14ac:dyDescent="0.2">
      <c r="A22" s="36"/>
      <c r="B22" s="65"/>
      <c r="C22" s="65"/>
      <c r="D22" s="65"/>
      <c r="E22" s="65"/>
      <c r="F22" s="65"/>
      <c r="G22" s="11"/>
      <c r="H22" s="28" t="str">
        <f>H4</f>
        <v>2020-2035</v>
      </c>
      <c r="I22" s="36"/>
      <c r="J22" s="36"/>
      <c r="L22" s="36"/>
      <c r="M22" s="65"/>
      <c r="N22" s="65"/>
      <c r="O22" s="65"/>
      <c r="P22" s="65"/>
      <c r="Q22" s="65"/>
      <c r="R22" s="11"/>
      <c r="S22" s="28" t="str">
        <f>S4</f>
        <v>2020-2035</v>
      </c>
      <c r="T22" s="36"/>
      <c r="U22" s="36"/>
      <c r="W22" s="36"/>
      <c r="X22" s="65"/>
      <c r="Y22" s="65"/>
      <c r="Z22" s="65"/>
      <c r="AA22" s="65"/>
      <c r="AB22" s="65"/>
      <c r="AC22" s="11"/>
      <c r="AD22" s="28" t="str">
        <f>AD4</f>
        <v>2020-2035</v>
      </c>
      <c r="AE22" s="36"/>
      <c r="AF22" s="36"/>
    </row>
    <row r="23" spans="1:32" x14ac:dyDescent="0.2">
      <c r="B23" s="11"/>
      <c r="C23" s="11"/>
      <c r="D23" s="11"/>
      <c r="E23" s="11"/>
      <c r="F23" s="11"/>
      <c r="G23" s="11"/>
      <c r="H23" t="str">
        <f>H5</f>
        <v>Net</v>
      </c>
      <c r="I23" t="str">
        <f>I5</f>
        <v>Replacement</v>
      </c>
      <c r="J23" t="str">
        <f>J5</f>
        <v>Total</v>
      </c>
      <c r="M23" s="11"/>
      <c r="N23" s="11"/>
      <c r="O23" s="11"/>
      <c r="P23" s="11"/>
      <c r="Q23" s="11"/>
      <c r="R23" s="11"/>
      <c r="S23" t="str">
        <f>S5</f>
        <v>Net</v>
      </c>
      <c r="T23" t="str">
        <f>T5</f>
        <v>Replacement</v>
      </c>
      <c r="U23" t="str">
        <f>U5</f>
        <v>Total</v>
      </c>
      <c r="X23" s="11"/>
      <c r="Y23" s="11"/>
      <c r="Z23" s="11"/>
      <c r="AA23" s="11"/>
      <c r="AB23" s="11"/>
      <c r="AC23" s="11"/>
      <c r="AD23" t="str">
        <f>AD5</f>
        <v>Net</v>
      </c>
      <c r="AE23" t="str">
        <f>AE5</f>
        <v>Replacement</v>
      </c>
      <c r="AF23" t="str">
        <f>AF5</f>
        <v>Total</v>
      </c>
    </row>
    <row r="24" spans="1:32" x14ac:dyDescent="0.2">
      <c r="A24" s="41" t="s">
        <v>14</v>
      </c>
      <c r="B24" s="35">
        <f>B$6</f>
        <v>2015</v>
      </c>
      <c r="C24" s="35">
        <f>C$6</f>
        <v>2019</v>
      </c>
      <c r="D24" s="35">
        <f>D$6</f>
        <v>2020</v>
      </c>
      <c r="E24" s="35">
        <f>E$6</f>
        <v>2025</v>
      </c>
      <c r="F24" s="35">
        <f>F$6</f>
        <v>2035</v>
      </c>
      <c r="G24" s="11"/>
      <c r="H24" s="24" t="str">
        <f>H6</f>
        <v>Change</v>
      </c>
      <c r="I24" s="24" t="str">
        <f>I6</f>
        <v>Demand</v>
      </c>
      <c r="J24" s="24" t="str">
        <f>J6</f>
        <v>Requirement</v>
      </c>
      <c r="L24" s="41" t="s">
        <v>14</v>
      </c>
      <c r="M24" s="35">
        <f>M$6</f>
        <v>2015</v>
      </c>
      <c r="N24" s="35">
        <f>N$6</f>
        <v>2019</v>
      </c>
      <c r="O24" s="35">
        <f>O$6</f>
        <v>2020</v>
      </c>
      <c r="P24" s="35">
        <f>P$6</f>
        <v>2025</v>
      </c>
      <c r="Q24" s="35">
        <f>Q$6</f>
        <v>2035</v>
      </c>
      <c r="R24" s="11"/>
      <c r="S24" s="24" t="str">
        <f>S6</f>
        <v>Change</v>
      </c>
      <c r="T24" s="24" t="str">
        <f>T6</f>
        <v>Demand</v>
      </c>
      <c r="U24" s="24" t="str">
        <f>U6</f>
        <v>Requirement</v>
      </c>
      <c r="W24" s="41" t="s">
        <v>14</v>
      </c>
      <c r="X24" s="35">
        <f>X$6</f>
        <v>2015</v>
      </c>
      <c r="Y24" s="35">
        <f>Y$6</f>
        <v>2019</v>
      </c>
      <c r="Z24" s="35">
        <f>Z$6</f>
        <v>2020</v>
      </c>
      <c r="AA24" s="35">
        <f>AA$6</f>
        <v>2025</v>
      </c>
      <c r="AB24" s="35">
        <f>AB$6</f>
        <v>2035</v>
      </c>
      <c r="AC24" s="11"/>
      <c r="AD24" s="24" t="str">
        <f>AD6</f>
        <v>Change</v>
      </c>
      <c r="AE24" s="24" t="str">
        <f>AE6</f>
        <v>Demand</v>
      </c>
      <c r="AF24" s="24" t="str">
        <f>AF6</f>
        <v>Requirement</v>
      </c>
    </row>
    <row r="25" spans="1:32" x14ac:dyDescent="0.2">
      <c r="A25" s="1"/>
      <c r="B25" s="17"/>
      <c r="C25" s="17"/>
      <c r="D25" s="17"/>
      <c r="E25" s="17"/>
      <c r="F25" s="17"/>
      <c r="G25" s="11"/>
      <c r="L25" s="1"/>
      <c r="M25" s="17"/>
      <c r="N25" s="17"/>
      <c r="O25" s="17"/>
      <c r="P25" s="17"/>
      <c r="Q25" s="17"/>
      <c r="R25" s="11"/>
      <c r="W25" s="1"/>
      <c r="X25" s="17"/>
      <c r="Y25" s="17"/>
      <c r="Z25" s="17"/>
      <c r="AA25" s="17"/>
      <c r="AB25" s="17"/>
      <c r="AC25" s="11"/>
    </row>
    <row r="26" spans="1:32" x14ac:dyDescent="0.2">
      <c r="A26" t="str">
        <f>$A$8</f>
        <v>Managers, directors and senior officials</v>
      </c>
      <c r="B26" s="18">
        <f t="shared" ref="B26:F34" si="8">B8/B$18*100</f>
        <v>7.3525417975637106</v>
      </c>
      <c r="C26" s="18">
        <f t="shared" si="8"/>
        <v>8.2650403085965216</v>
      </c>
      <c r="D26" s="18">
        <f t="shared" si="8"/>
        <v>8.4031935465523109</v>
      </c>
      <c r="E26" s="18">
        <f t="shared" si="8"/>
        <v>8.4645129028254953</v>
      </c>
      <c r="F26" s="18">
        <f t="shared" si="8"/>
        <v>9.2717487014265831</v>
      </c>
      <c r="G26" s="11"/>
      <c r="H26" s="40">
        <f>IF(D8&gt;0,(H8/D8)*100,0)</f>
        <v>13.527266596711209</v>
      </c>
      <c r="I26" s="40">
        <f>IF(D8&gt;0,(I8/D8)*100,0)</f>
        <v>56.550063133364368</v>
      </c>
      <c r="J26" s="40">
        <f>IF(D8&gt;0,(J8/D8)*100,0)</f>
        <v>70.077329730075576</v>
      </c>
      <c r="L26" t="str">
        <f>$A$8</f>
        <v>Managers, directors and senior officials</v>
      </c>
      <c r="M26" s="18">
        <f t="shared" ref="M26:Q26" si="9">M8/M$18*100</f>
        <v>9.4001149775526684</v>
      </c>
      <c r="N26" s="18">
        <f t="shared" si="9"/>
        <v>10.203888717014525</v>
      </c>
      <c r="O26" s="18">
        <f t="shared" si="9"/>
        <v>10.27552927987368</v>
      </c>
      <c r="P26" s="18">
        <f t="shared" si="9"/>
        <v>10.237264202711199</v>
      </c>
      <c r="Q26" s="18">
        <f t="shared" si="9"/>
        <v>11.114371871646417</v>
      </c>
      <c r="R26" s="11"/>
      <c r="S26" s="40">
        <f>IF(O8&gt;0,(S8/O8)*100,0)</f>
        <v>9.2811360945214201</v>
      </c>
      <c r="T26" s="40">
        <f>IF(O8&gt;0,(T8/O8)*100,0)</f>
        <v>49.650982412788572</v>
      </c>
      <c r="U26" s="40">
        <f>IF(O8&gt;0,(U8/O8)*100,0)</f>
        <v>58.932118507309994</v>
      </c>
      <c r="W26" t="str">
        <f>$A$8</f>
        <v>Managers, directors and senior officials</v>
      </c>
      <c r="X26" s="18">
        <f t="shared" ref="X26:AB26" si="10">X8/X$18*100</f>
        <v>5.1650588368878818</v>
      </c>
      <c r="Y26" s="18">
        <f t="shared" si="10"/>
        <v>6.0930683177069644</v>
      </c>
      <c r="Z26" s="18">
        <f t="shared" si="10"/>
        <v>6.4252571650619581</v>
      </c>
      <c r="AA26" s="18">
        <f t="shared" si="10"/>
        <v>6.6171183799145314</v>
      </c>
      <c r="AB26" s="18">
        <f t="shared" si="10"/>
        <v>7.3961686879527369</v>
      </c>
      <c r="AC26" s="11"/>
      <c r="AD26" s="40">
        <f>IF(Z8&gt;0,(AD8/Z8)*100,0)</f>
        <v>20.700841167943839</v>
      </c>
      <c r="AE26" s="40">
        <f>IF(Z8&gt;0,(AE8/Z8)*100,0)</f>
        <v>68.205632832994993</v>
      </c>
      <c r="AF26" s="40">
        <f>IF(Z8&gt;0,(AF8/Z8)*100,0)</f>
        <v>88.906474000938843</v>
      </c>
    </row>
    <row r="27" spans="1:32" x14ac:dyDescent="0.2">
      <c r="A27" t="str">
        <f>$A$9</f>
        <v>Professional occupations</v>
      </c>
      <c r="B27" s="18">
        <f t="shared" si="8"/>
        <v>18.403768066333125</v>
      </c>
      <c r="C27" s="18">
        <f t="shared" si="8"/>
        <v>19.206680565881186</v>
      </c>
      <c r="D27" s="18">
        <f t="shared" si="8"/>
        <v>20.685352425731992</v>
      </c>
      <c r="E27" s="18">
        <f t="shared" si="8"/>
        <v>22.060337884122134</v>
      </c>
      <c r="F27" s="18">
        <f t="shared" si="8"/>
        <v>23.703148503525078</v>
      </c>
      <c r="G27" s="11"/>
      <c r="H27" s="40">
        <f t="shared" ref="H27:H36" si="11">IF(D9&gt;0,(H9/D9)*100,0)</f>
        <v>17.903313025613176</v>
      </c>
      <c r="I27" s="40">
        <f t="shared" ref="I27:I36" si="12">IF(D9&gt;0,(I9/D9)*100,0)</f>
        <v>52.894931554283474</v>
      </c>
      <c r="J27" s="40">
        <f t="shared" ref="J27:J36" si="13">IF(D9&gt;0,(J9/D9)*100,0)</f>
        <v>70.798244579896661</v>
      </c>
      <c r="L27" t="str">
        <f>$A$9</f>
        <v>Professional occupations</v>
      </c>
      <c r="M27" s="18">
        <f t="shared" ref="M27:Q27" si="14">M9/M$18*100</f>
        <v>17.626470774202225</v>
      </c>
      <c r="N27" s="18">
        <f t="shared" si="14"/>
        <v>17.316359708762146</v>
      </c>
      <c r="O27" s="18">
        <f t="shared" si="14"/>
        <v>18.828102339815231</v>
      </c>
      <c r="P27" s="18">
        <f t="shared" si="14"/>
        <v>19.872405903935444</v>
      </c>
      <c r="Q27" s="18">
        <f t="shared" si="14"/>
        <v>21.102020011351282</v>
      </c>
      <c r="R27" s="11"/>
      <c r="S27" s="40">
        <f t="shared" ref="S27:S34" si="15">IF(O9&gt;0,(S9/O9)*100,0)</f>
        <v>13.235332358766163</v>
      </c>
      <c r="T27" s="40">
        <f t="shared" ref="T27:T34" si="16">IF(O9&gt;0,(T9/O9)*100,0)</f>
        <v>40.825306927561712</v>
      </c>
      <c r="U27" s="40">
        <f t="shared" ref="U27:U34" si="17">IF(O9&gt;0,(U9/O9)*100,0)</f>
        <v>54.06063928632787</v>
      </c>
      <c r="W27" t="str">
        <f>$A$9</f>
        <v>Professional occupations</v>
      </c>
      <c r="X27" s="18">
        <f t="shared" ref="X27:AB27" si="18">X9/X$18*100</f>
        <v>19.23417774278969</v>
      </c>
      <c r="Y27" s="18">
        <f t="shared" si="18"/>
        <v>21.32429014156066</v>
      </c>
      <c r="Z27" s="18">
        <f t="shared" si="18"/>
        <v>22.647352321949473</v>
      </c>
      <c r="AA27" s="18">
        <f t="shared" si="18"/>
        <v>24.340394628099276</v>
      </c>
      <c r="AB27" s="18">
        <f t="shared" si="18"/>
        <v>26.350800335568657</v>
      </c>
      <c r="AC27" s="11"/>
      <c r="AD27" s="40">
        <f t="shared" ref="AD27:AD34" si="19">IF(Z9&gt;0,(AD9/Z9)*100,0)</f>
        <v>22.002962782596249</v>
      </c>
      <c r="AE27" s="40">
        <f t="shared" ref="AE27:AE34" si="20">IF(Z9&gt;0,(AE9/Z9)*100,0)</f>
        <v>63.495068358457495</v>
      </c>
      <c r="AF27" s="40">
        <f t="shared" ref="AF27:AF34" si="21">IF(Z9&gt;0,(AF9/Z9)*100,0)</f>
        <v>85.498031141053744</v>
      </c>
    </row>
    <row r="28" spans="1:32" x14ac:dyDescent="0.2">
      <c r="A28" t="str">
        <f>$A$10</f>
        <v>Associate professional occupations</v>
      </c>
      <c r="B28" s="18">
        <f t="shared" si="8"/>
        <v>10.525988782033066</v>
      </c>
      <c r="C28" s="18">
        <f t="shared" si="8"/>
        <v>11.069563364084885</v>
      </c>
      <c r="D28" s="18">
        <f t="shared" si="8"/>
        <v>11.708918754237676</v>
      </c>
      <c r="E28" s="18">
        <f t="shared" si="8"/>
        <v>11.14282537046593</v>
      </c>
      <c r="F28" s="18">
        <f t="shared" si="8"/>
        <v>11.652117746881029</v>
      </c>
      <c r="G28" s="11"/>
      <c r="H28" s="40">
        <f t="shared" si="11"/>
        <v>2.393165133759644</v>
      </c>
      <c r="I28" s="40">
        <f t="shared" si="12"/>
        <v>45.510556848840174</v>
      </c>
      <c r="J28" s="40">
        <f t="shared" si="13"/>
        <v>47.903721982599819</v>
      </c>
      <c r="L28" t="str">
        <f>$A$10</f>
        <v>Associate professional occupations</v>
      </c>
      <c r="M28" s="18">
        <f t="shared" ref="M28:Q28" si="22">M10/M$18*100</f>
        <v>10.797996283620316</v>
      </c>
      <c r="N28" s="18">
        <f t="shared" si="22"/>
        <v>11.245068727732209</v>
      </c>
      <c r="O28" s="18">
        <f t="shared" si="22"/>
        <v>12.047073444555272</v>
      </c>
      <c r="P28" s="18">
        <f t="shared" si="22"/>
        <v>10.961927640998628</v>
      </c>
      <c r="Q28" s="18">
        <f t="shared" si="22"/>
        <v>11.035251052801694</v>
      </c>
      <c r="R28" s="11"/>
      <c r="S28" s="40">
        <f t="shared" si="15"/>
        <v>-7.4524047290248001</v>
      </c>
      <c r="T28" s="40">
        <f t="shared" si="16"/>
        <v>33.425543564894589</v>
      </c>
      <c r="U28" s="40">
        <f t="shared" si="17"/>
        <v>25.97313883586979</v>
      </c>
      <c r="W28" t="str">
        <f>$A$10</f>
        <v>Associate professional occupations</v>
      </c>
      <c r="X28" s="18">
        <f t="shared" ref="X28:AB28" si="23">X10/X$18*100</f>
        <v>10.235395126717986</v>
      </c>
      <c r="Y28" s="18">
        <f t="shared" si="23"/>
        <v>10.872955556874254</v>
      </c>
      <c r="Z28" s="18">
        <f t="shared" si="23"/>
        <v>11.351691974527455</v>
      </c>
      <c r="AA28" s="18">
        <f t="shared" si="23"/>
        <v>11.331339954912426</v>
      </c>
      <c r="AB28" s="18">
        <f t="shared" si="23"/>
        <v>12.280017613273616</v>
      </c>
      <c r="AC28" s="11"/>
      <c r="AD28" s="40">
        <f t="shared" si="19"/>
        <v>13.431165675866508</v>
      </c>
      <c r="AE28" s="40">
        <f t="shared" si="20"/>
        <v>59.059227473156184</v>
      </c>
      <c r="AF28" s="40">
        <f t="shared" si="21"/>
        <v>72.490393149022694</v>
      </c>
    </row>
    <row r="29" spans="1:32" x14ac:dyDescent="0.2">
      <c r="A29" t="str">
        <f>$A$11</f>
        <v>Administrative and secretarial occupations</v>
      </c>
      <c r="B29" s="18">
        <f t="shared" si="8"/>
        <v>11.28943932139161</v>
      </c>
      <c r="C29" s="18">
        <f t="shared" si="8"/>
        <v>10.428870792006441</v>
      </c>
      <c r="D29" s="18">
        <f t="shared" si="8"/>
        <v>10.962673944419903</v>
      </c>
      <c r="E29" s="18">
        <f t="shared" si="8"/>
        <v>10.190892360046359</v>
      </c>
      <c r="F29" s="18">
        <f t="shared" si="8"/>
        <v>9.3081663582302028</v>
      </c>
      <c r="G29" s="11"/>
      <c r="H29" s="40">
        <f t="shared" si="11"/>
        <v>-12.636397331051793</v>
      </c>
      <c r="I29" s="40">
        <f t="shared" si="12"/>
        <v>47.026894431855048</v>
      </c>
      <c r="J29" s="40">
        <f t="shared" si="13"/>
        <v>34.390497100803252</v>
      </c>
      <c r="L29" t="str">
        <f>$A$11</f>
        <v>Administrative and secretarial occupations</v>
      </c>
      <c r="M29" s="18">
        <f t="shared" ref="M29:Q29" si="24">M11/M$18*100</f>
        <v>5.6326377497494988</v>
      </c>
      <c r="N29" s="18">
        <f t="shared" si="24"/>
        <v>4.9691594092631641</v>
      </c>
      <c r="O29" s="18">
        <f t="shared" si="24"/>
        <v>6.1189214722711887</v>
      </c>
      <c r="P29" s="18">
        <f t="shared" si="24"/>
        <v>5.8532539505951542</v>
      </c>
      <c r="Q29" s="18">
        <f t="shared" si="24"/>
        <v>6.3755070461660557</v>
      </c>
      <c r="R29" s="11"/>
      <c r="S29" s="40">
        <f t="shared" si="15"/>
        <v>5.26992880376062</v>
      </c>
      <c r="T29" s="40">
        <f t="shared" si="16"/>
        <v>36.962125416905977</v>
      </c>
      <c r="U29" s="40">
        <f t="shared" si="17"/>
        <v>42.232054220666598</v>
      </c>
      <c r="W29" t="str">
        <f>$A$11</f>
        <v>Administrative and secretarial occupations</v>
      </c>
      <c r="X29" s="18">
        <f t="shared" ref="X29:AB29" si="25">X11/X$18*100</f>
        <v>17.332767672643982</v>
      </c>
      <c r="Y29" s="18">
        <f t="shared" si="25"/>
        <v>16.545047874326634</v>
      </c>
      <c r="Z29" s="18">
        <f t="shared" si="25"/>
        <v>16.079616417446118</v>
      </c>
      <c r="AA29" s="18">
        <f t="shared" si="25"/>
        <v>14.711170777275587</v>
      </c>
      <c r="AB29" s="18">
        <f t="shared" si="25"/>
        <v>12.293278713774585</v>
      </c>
      <c r="AC29" s="11"/>
      <c r="AD29" s="40">
        <f t="shared" si="19"/>
        <v>-19.834769197873385</v>
      </c>
      <c r="AE29" s="40">
        <f t="shared" si="20"/>
        <v>51.07294774160782</v>
      </c>
      <c r="AF29" s="40">
        <f t="shared" si="21"/>
        <v>31.238178543734428</v>
      </c>
    </row>
    <row r="30" spans="1:32" x14ac:dyDescent="0.2">
      <c r="A30" t="str">
        <f>$A$12</f>
        <v>Skilled trades occupations</v>
      </c>
      <c r="B30" s="18">
        <f t="shared" si="8"/>
        <v>11.644068007125142</v>
      </c>
      <c r="C30" s="18">
        <f t="shared" si="8"/>
        <v>11.585650496210285</v>
      </c>
      <c r="D30" s="18">
        <f t="shared" si="8"/>
        <v>10.073730085510531</v>
      </c>
      <c r="E30" s="18">
        <f t="shared" si="8"/>
        <v>9.6805076101880108</v>
      </c>
      <c r="F30" s="18">
        <f t="shared" si="8"/>
        <v>8.7618537189575694</v>
      </c>
      <c r="G30" s="11"/>
      <c r="H30" s="40">
        <f t="shared" si="11"/>
        <v>-10.507099516758263</v>
      </c>
      <c r="I30" s="40">
        <f t="shared" si="12"/>
        <v>39.507034234171861</v>
      </c>
      <c r="J30" s="40">
        <f t="shared" si="13"/>
        <v>28.999934717413602</v>
      </c>
      <c r="L30" t="str">
        <f>$A$12</f>
        <v>Skilled trades occupations</v>
      </c>
      <c r="M30" s="18">
        <f t="shared" ref="M30:Q30" si="26">M12/M$18*100</f>
        <v>20.360012294278135</v>
      </c>
      <c r="N30" s="18">
        <f t="shared" si="26"/>
        <v>20.072003102051088</v>
      </c>
      <c r="O30" s="18">
        <f t="shared" si="26"/>
        <v>17.395000019766712</v>
      </c>
      <c r="P30" s="18">
        <f t="shared" si="26"/>
        <v>16.588372402070558</v>
      </c>
      <c r="Q30" s="18">
        <f t="shared" si="26"/>
        <v>14.911850058320061</v>
      </c>
      <c r="R30" s="11"/>
      <c r="S30" s="40">
        <f t="shared" si="15"/>
        <v>-13.389295070721394</v>
      </c>
      <c r="T30" s="40">
        <f t="shared" si="16"/>
        <v>36.127801825717306</v>
      </c>
      <c r="U30" s="40">
        <f t="shared" si="17"/>
        <v>22.738506754995907</v>
      </c>
      <c r="W30" t="str">
        <f>$A$12</f>
        <v>Skilled trades occupations</v>
      </c>
      <c r="X30" s="18">
        <f t="shared" ref="X30:AB30" si="27">X12/X$18*100</f>
        <v>2.3325670553253754</v>
      </c>
      <c r="Y30" s="18">
        <f t="shared" si="27"/>
        <v>2.0789143921028419</v>
      </c>
      <c r="Z30" s="18">
        <f t="shared" si="27"/>
        <v>2.3395369576633391</v>
      </c>
      <c r="AA30" s="18">
        <f t="shared" si="27"/>
        <v>2.4817812110839124</v>
      </c>
      <c r="AB30" s="18">
        <f t="shared" si="27"/>
        <v>2.5018595956504042</v>
      </c>
      <c r="AC30" s="11"/>
      <c r="AD30" s="40">
        <f t="shared" si="19"/>
        <v>12.131343804262769</v>
      </c>
      <c r="AE30" s="40">
        <f t="shared" si="20"/>
        <v>66.049494631129718</v>
      </c>
      <c r="AF30" s="40">
        <f t="shared" si="21"/>
        <v>78.180838435392502</v>
      </c>
    </row>
    <row r="31" spans="1:32" x14ac:dyDescent="0.2">
      <c r="A31" t="str">
        <f>$A$13</f>
        <v>Caring, leisure and other service occupations</v>
      </c>
      <c r="B31" s="18">
        <f t="shared" si="8"/>
        <v>9.1663336334940304</v>
      </c>
      <c r="C31" s="18">
        <f t="shared" si="8"/>
        <v>8.9403758384578023</v>
      </c>
      <c r="D31" s="18">
        <f t="shared" si="8"/>
        <v>8.9454574905111244</v>
      </c>
      <c r="E31" s="18">
        <f t="shared" si="8"/>
        <v>9.2346260786114769</v>
      </c>
      <c r="F31" s="18">
        <f t="shared" si="8"/>
        <v>9.3450713883013368</v>
      </c>
      <c r="G31" s="11"/>
      <c r="H31" s="40">
        <f t="shared" si="11"/>
        <v>7.4887377526110228</v>
      </c>
      <c r="I31" s="40">
        <f t="shared" si="12"/>
        <v>57.944664747929131</v>
      </c>
      <c r="J31" s="40">
        <f t="shared" si="13"/>
        <v>65.433402500540154</v>
      </c>
      <c r="L31" t="str">
        <f>$A$13</f>
        <v>Caring, leisure and other service occupations</v>
      </c>
      <c r="M31" s="18">
        <f t="shared" ref="M31:Q31" si="28">M13/M$18*100</f>
        <v>3.0710272074100327</v>
      </c>
      <c r="N31" s="18">
        <f t="shared" si="28"/>
        <v>3.1055584512046273</v>
      </c>
      <c r="O31" s="18">
        <f t="shared" si="28"/>
        <v>3.2157229492077657</v>
      </c>
      <c r="P31" s="18">
        <f t="shared" si="28"/>
        <v>3.4497366322260352</v>
      </c>
      <c r="Q31" s="18">
        <f t="shared" si="28"/>
        <v>3.7641326521249332</v>
      </c>
      <c r="R31" s="11"/>
      <c r="S31" s="40">
        <f t="shared" si="15"/>
        <v>18.263512545298102</v>
      </c>
      <c r="T31" s="40">
        <f t="shared" si="16"/>
        <v>47.011307320028614</v>
      </c>
      <c r="U31" s="40">
        <f t="shared" si="17"/>
        <v>65.27481986532672</v>
      </c>
      <c r="W31" t="str">
        <f>$A$13</f>
        <v>Caring, leisure and other service occupations</v>
      </c>
      <c r="X31" s="18">
        <f t="shared" ref="X31:AB31" si="29">X13/X$18*100</f>
        <v>15.678129684284475</v>
      </c>
      <c r="Y31" s="18">
        <f t="shared" si="29"/>
        <v>15.476760984426861</v>
      </c>
      <c r="Z31" s="18">
        <f t="shared" si="29"/>
        <v>14.998351853330366</v>
      </c>
      <c r="AA31" s="18">
        <f t="shared" si="29"/>
        <v>15.263093286384446</v>
      </c>
      <c r="AB31" s="18">
        <f t="shared" si="29"/>
        <v>15.025829841341864</v>
      </c>
      <c r="AC31" s="11"/>
      <c r="AD31" s="40">
        <f t="shared" si="19"/>
        <v>5.048276695839137</v>
      </c>
      <c r="AE31" s="40">
        <f t="shared" si="20"/>
        <v>60.421044397243797</v>
      </c>
      <c r="AF31" s="40">
        <f t="shared" si="21"/>
        <v>65.469321093082939</v>
      </c>
    </row>
    <row r="32" spans="1:32" x14ac:dyDescent="0.2">
      <c r="A32" t="str">
        <f>$A$14</f>
        <v>Sales and customer service occupations</v>
      </c>
      <c r="B32" s="18">
        <f t="shared" si="8"/>
        <v>11.471919232703945</v>
      </c>
      <c r="C32" s="18">
        <f t="shared" si="8"/>
        <v>10.518387235294412</v>
      </c>
      <c r="D32" s="18">
        <f t="shared" si="8"/>
        <v>10.767479991301117</v>
      </c>
      <c r="E32" s="18">
        <f t="shared" si="8"/>
        <v>10.662765465791386</v>
      </c>
      <c r="F32" s="18">
        <f t="shared" si="8"/>
        <v>10.535216529133837</v>
      </c>
      <c r="H32" s="40">
        <f t="shared" si="11"/>
        <v>0.67283262333583937</v>
      </c>
      <c r="I32" s="40">
        <f t="shared" si="12"/>
        <v>49.602214739422436</v>
      </c>
      <c r="J32" s="40">
        <f t="shared" si="13"/>
        <v>50.275047362758272</v>
      </c>
      <c r="L32" t="str">
        <f>$A$14</f>
        <v>Sales and customer service occupations</v>
      </c>
      <c r="M32" s="18">
        <f t="shared" ref="M32:Q32" si="30">M14/M$18*100</f>
        <v>7.0776262951449977</v>
      </c>
      <c r="N32" s="18">
        <f t="shared" si="30"/>
        <v>6.5887874032031686</v>
      </c>
      <c r="O32" s="18">
        <f t="shared" si="30"/>
        <v>6.983478687551341</v>
      </c>
      <c r="P32" s="18">
        <f t="shared" si="30"/>
        <v>7.1470186658273445</v>
      </c>
      <c r="Q32" s="18">
        <f t="shared" si="30"/>
        <v>7.503142392864115</v>
      </c>
      <c r="S32" s="40">
        <f t="shared" si="15"/>
        <v>8.5515065361412557</v>
      </c>
      <c r="T32" s="40">
        <f t="shared" si="16"/>
        <v>35.368666377138261</v>
      </c>
      <c r="U32" s="40">
        <f t="shared" si="17"/>
        <v>43.920172913279522</v>
      </c>
      <c r="W32" t="str">
        <f>$A$14</f>
        <v>Sales and customer service occupations</v>
      </c>
      <c r="X32" s="18">
        <f t="shared" ref="X32:AB32" si="31">X14/X$18*100</f>
        <v>16.166472286568442</v>
      </c>
      <c r="Y32" s="18">
        <f t="shared" si="31"/>
        <v>14.920474955845261</v>
      </c>
      <c r="Z32" s="18">
        <f t="shared" si="31"/>
        <v>14.764900813376009</v>
      </c>
      <c r="AA32" s="18">
        <f t="shared" si="31"/>
        <v>14.326545818181543</v>
      </c>
      <c r="AB32" s="18">
        <f t="shared" si="31"/>
        <v>13.621521825446845</v>
      </c>
      <c r="AD32" s="40">
        <f t="shared" si="19"/>
        <v>-3.2637828684494536</v>
      </c>
      <c r="AE32" s="40">
        <f t="shared" si="20"/>
        <v>56.71407234466853</v>
      </c>
      <c r="AF32" s="40">
        <f t="shared" si="21"/>
        <v>53.450289476219083</v>
      </c>
    </row>
    <row r="33" spans="1:32" x14ac:dyDescent="0.2">
      <c r="A33" t="str">
        <f>$A$15</f>
        <v>Process, plant and machine operatives</v>
      </c>
      <c r="B33" s="18">
        <f t="shared" si="8"/>
        <v>7.8159691232888813</v>
      </c>
      <c r="C33" s="18">
        <f t="shared" si="8"/>
        <v>8.3211915741237128</v>
      </c>
      <c r="D33" s="18">
        <f t="shared" si="8"/>
        <v>7.4289536775577227</v>
      </c>
      <c r="E33" s="18">
        <f t="shared" si="8"/>
        <v>7.9327040912217486</v>
      </c>
      <c r="F33" s="18">
        <f t="shared" si="8"/>
        <v>7.3320833681890356</v>
      </c>
      <c r="G33" s="11"/>
      <c r="H33" s="40">
        <f t="shared" si="11"/>
        <v>1.550634175815923</v>
      </c>
      <c r="I33" s="40">
        <f t="shared" si="12"/>
        <v>46.858221275119263</v>
      </c>
      <c r="J33" s="40">
        <f t="shared" si="13"/>
        <v>48.408855450935185</v>
      </c>
      <c r="L33" t="str">
        <f>$A$15</f>
        <v>Process, plant and machine operatives</v>
      </c>
      <c r="M33" s="18">
        <f t="shared" ref="M33:Q33" si="32">M15/M$18*100</f>
        <v>13.477133046626383</v>
      </c>
      <c r="N33" s="18">
        <f t="shared" si="32"/>
        <v>14.095578843373783</v>
      </c>
      <c r="O33" s="18">
        <f t="shared" si="32"/>
        <v>13.070192279564075</v>
      </c>
      <c r="P33" s="18">
        <f t="shared" si="32"/>
        <v>13.888452520645147</v>
      </c>
      <c r="Q33" s="18">
        <f t="shared" si="32"/>
        <v>12.951451503878578</v>
      </c>
      <c r="R33" s="11"/>
      <c r="S33" s="40">
        <f t="shared" si="15"/>
        <v>0.11541359535457425</v>
      </c>
      <c r="T33" s="40">
        <f t="shared" si="16"/>
        <v>45.511690592017359</v>
      </c>
      <c r="U33" s="40">
        <f t="shared" si="17"/>
        <v>45.627104187371934</v>
      </c>
      <c r="W33" t="str">
        <f>$A$15</f>
        <v>Process, plant and machine operatives</v>
      </c>
      <c r="X33" s="18">
        <f t="shared" ref="X33:AB33" si="33">X15/X$18*100</f>
        <v>1.7679803427559395</v>
      </c>
      <c r="Y33" s="18">
        <f t="shared" si="33"/>
        <v>1.8525025528949963</v>
      </c>
      <c r="Z33" s="18">
        <f t="shared" si="33"/>
        <v>1.4695464681558013</v>
      </c>
      <c r="AA33" s="18">
        <f t="shared" si="33"/>
        <v>1.7261837355115266</v>
      </c>
      <c r="AB33" s="18">
        <f t="shared" si="33"/>
        <v>1.6122081739604739</v>
      </c>
      <c r="AC33" s="11"/>
      <c r="AD33" s="40">
        <f t="shared" si="19"/>
        <v>15.035477336415809</v>
      </c>
      <c r="AE33" s="40">
        <f t="shared" si="20"/>
        <v>59.509764403580547</v>
      </c>
      <c r="AF33" s="40">
        <f t="shared" si="21"/>
        <v>74.545241739996357</v>
      </c>
    </row>
    <row r="34" spans="1:32" x14ac:dyDescent="0.2">
      <c r="A34" t="str">
        <f>$A$16</f>
        <v>Elementary occupations</v>
      </c>
      <c r="B34" s="18">
        <f t="shared" si="8"/>
        <v>12.329972036066499</v>
      </c>
      <c r="C34" s="18">
        <f t="shared" si="8"/>
        <v>11.664239825344762</v>
      </c>
      <c r="D34" s="18">
        <f t="shared" si="8"/>
        <v>11.024240084177627</v>
      </c>
      <c r="E34" s="18">
        <f t="shared" si="8"/>
        <v>10.630828236727458</v>
      </c>
      <c r="F34" s="18">
        <f t="shared" si="8"/>
        <v>10.090593685355332</v>
      </c>
      <c r="G34" s="11"/>
      <c r="H34" s="40">
        <f t="shared" si="11"/>
        <v>-5.8216771569326227</v>
      </c>
      <c r="I34" s="40">
        <f t="shared" si="12"/>
        <v>45.206276796872906</v>
      </c>
      <c r="J34" s="40">
        <f t="shared" si="13"/>
        <v>39.384599639940284</v>
      </c>
      <c r="L34" t="str">
        <f>$A$16</f>
        <v>Elementary occupations</v>
      </c>
      <c r="M34" s="18">
        <f t="shared" ref="M34:Q34" si="34">M16/M$18*100</f>
        <v>12.556981371415734</v>
      </c>
      <c r="N34" s="18">
        <f t="shared" si="34"/>
        <v>12.403595637395279</v>
      </c>
      <c r="O34" s="18">
        <f t="shared" si="34"/>
        <v>12.065979527394743</v>
      </c>
      <c r="P34" s="18">
        <f t="shared" si="34"/>
        <v>12.001568080990491</v>
      </c>
      <c r="Q34" s="18">
        <f t="shared" si="34"/>
        <v>11.242273410846868</v>
      </c>
      <c r="R34" s="11"/>
      <c r="S34" s="40">
        <f t="shared" si="15"/>
        <v>-5.8639355464469762</v>
      </c>
      <c r="T34" s="40">
        <f t="shared" si="16"/>
        <v>37.298175443638378</v>
      </c>
      <c r="U34" s="40">
        <f t="shared" si="17"/>
        <v>31.434239897191397</v>
      </c>
      <c r="W34" t="str">
        <f>$A$16</f>
        <v>Elementary occupations</v>
      </c>
      <c r="X34" s="18">
        <f t="shared" ref="X34:AB34" si="35">X16/X$18*100</f>
        <v>12.08745125202622</v>
      </c>
      <c r="Y34" s="18">
        <f t="shared" si="35"/>
        <v>10.835985224261528</v>
      </c>
      <c r="Z34" s="18">
        <f t="shared" si="35"/>
        <v>9.9237460284894734</v>
      </c>
      <c r="AA34" s="18">
        <f t="shared" si="35"/>
        <v>9.2023722086367528</v>
      </c>
      <c r="AB34" s="18">
        <f t="shared" si="35"/>
        <v>8.9183152130308176</v>
      </c>
      <c r="AC34" s="11"/>
      <c r="AD34" s="40">
        <f t="shared" si="19"/>
        <v>-5.7673985768847382</v>
      </c>
      <c r="AE34" s="40">
        <f t="shared" si="20"/>
        <v>55.363798587497982</v>
      </c>
      <c r="AF34" s="40">
        <f t="shared" si="21"/>
        <v>49.596400010613245</v>
      </c>
    </row>
    <row r="35" spans="1:32" x14ac:dyDescent="0.2">
      <c r="B35" s="18"/>
      <c r="C35" s="18"/>
      <c r="D35" s="18"/>
      <c r="E35" s="18"/>
      <c r="F35" s="18"/>
      <c r="G35" s="11"/>
      <c r="H35" s="40"/>
      <c r="I35" s="40"/>
      <c r="J35" s="40"/>
      <c r="M35" s="18"/>
      <c r="N35" s="18"/>
      <c r="O35" s="18"/>
      <c r="P35" s="18"/>
      <c r="Q35" s="18"/>
      <c r="R35" s="11"/>
      <c r="S35" s="40"/>
      <c r="T35" s="40"/>
      <c r="U35" s="40"/>
      <c r="X35" s="18"/>
      <c r="Y35" s="18"/>
      <c r="Z35" s="18"/>
      <c r="AA35" s="18"/>
      <c r="AB35" s="18"/>
      <c r="AC35" s="11"/>
      <c r="AD35" s="40"/>
      <c r="AE35" s="40"/>
      <c r="AF35" s="40"/>
    </row>
    <row r="36" spans="1:32" x14ac:dyDescent="0.2">
      <c r="A36" s="24" t="str">
        <f>$A$18</f>
        <v>All occupations</v>
      </c>
      <c r="B36" s="26">
        <f>B18/B$18*100</f>
        <v>100</v>
      </c>
      <c r="C36" s="26">
        <f>C18/C$18*100</f>
        <v>100</v>
      </c>
      <c r="D36" s="26">
        <f>D18/D$18*100</f>
        <v>100</v>
      </c>
      <c r="E36" s="26">
        <f>E18/E$18*100</f>
        <v>100</v>
      </c>
      <c r="F36" s="26">
        <f>F18/F$18*100</f>
        <v>100</v>
      </c>
      <c r="G36" s="11"/>
      <c r="H36" s="43">
        <f t="shared" si="11"/>
        <v>2.8923048654697689</v>
      </c>
      <c r="I36" s="43">
        <f t="shared" si="12"/>
        <v>49.146593425686746</v>
      </c>
      <c r="J36" s="43">
        <f t="shared" si="13"/>
        <v>52.038898291156514</v>
      </c>
      <c r="L36" s="24" t="str">
        <f>$A$18</f>
        <v>All occupations</v>
      </c>
      <c r="M36" s="26">
        <f>M18/M$18*100</f>
        <v>100</v>
      </c>
      <c r="N36" s="26">
        <f>N18/N$18*100</f>
        <v>100</v>
      </c>
      <c r="O36" s="26">
        <f>O18/O$18*100</f>
        <v>100</v>
      </c>
      <c r="P36" s="26">
        <f>P18/P$18*100</f>
        <v>100</v>
      </c>
      <c r="Q36" s="26">
        <f>Q18/Q$18*100</f>
        <v>100</v>
      </c>
      <c r="R36" s="11"/>
      <c r="S36" s="43">
        <f t="shared" ref="S36" si="36">IF(O18&gt;0,(S18/O18)*100,0)</f>
        <v>1.0332861492398826</v>
      </c>
      <c r="T36" s="43">
        <f t="shared" ref="T36" si="37">IF(O18&gt;0,(T18/O18)*100,0)</f>
        <v>39.792018510317817</v>
      </c>
      <c r="U36" s="43">
        <f t="shared" ref="U36" si="38">IF(O18&gt;0,(U18/O18)*100,0)</f>
        <v>40.825304659557702</v>
      </c>
      <c r="W36" s="24" t="str">
        <f>$A$18</f>
        <v>All occupations</v>
      </c>
      <c r="X36" s="26">
        <f>X18/X$18*100</f>
        <v>100</v>
      </c>
      <c r="Y36" s="26">
        <f>Y18/Y$18*100</f>
        <v>100</v>
      </c>
      <c r="Z36" s="26">
        <f>Z18/Z$18*100</f>
        <v>100</v>
      </c>
      <c r="AA36" s="26">
        <f>AA18/AA$18*100</f>
        <v>100</v>
      </c>
      <c r="AB36" s="26">
        <f>AB18/AB$18*100</f>
        <v>100</v>
      </c>
      <c r="AC36" s="11"/>
      <c r="AD36" s="43">
        <f t="shared" ref="AD36" si="39">IF(Z18&gt;0,(AD18/Z18)*100,0)</f>
        <v>4.8561731436123781</v>
      </c>
      <c r="AE36" s="43">
        <f t="shared" ref="AE36" si="40">IF(Z18&gt;0,(AE18/Z18)*100,0)</f>
        <v>59.028770926867558</v>
      </c>
      <c r="AF36" s="43">
        <f t="shared" ref="AF36" si="41">IF(Z18&gt;0,(AF18/Z18)*100,0)</f>
        <v>63.884944070479932</v>
      </c>
    </row>
    <row r="37" spans="1:32" x14ac:dyDescent="0.2">
      <c r="B37" s="18"/>
      <c r="C37" s="18"/>
      <c r="D37" s="18"/>
      <c r="E37" s="18"/>
      <c r="F37" s="18"/>
      <c r="G37" s="11"/>
      <c r="M37" s="18"/>
      <c r="N37" s="18"/>
      <c r="O37" s="18"/>
      <c r="P37" s="18"/>
      <c r="Q37" s="18"/>
      <c r="R37" s="11"/>
      <c r="X37" s="18"/>
      <c r="Y37" s="18"/>
      <c r="Z37" s="18"/>
      <c r="AA37" s="18"/>
      <c r="AB37" s="18"/>
      <c r="AC37" s="11"/>
    </row>
    <row r="38" spans="1:32" x14ac:dyDescent="0.2">
      <c r="B38" s="18"/>
      <c r="C38" s="18"/>
      <c r="D38" s="18"/>
      <c r="E38" s="18"/>
      <c r="F38" s="18"/>
      <c r="G38" s="11"/>
      <c r="M38" s="18"/>
      <c r="N38" s="18"/>
      <c r="O38" s="18"/>
      <c r="P38" s="18"/>
      <c r="Q38" s="18"/>
      <c r="R38" s="11"/>
      <c r="X38" s="18"/>
      <c r="Y38" s="18"/>
      <c r="Z38" s="18"/>
      <c r="AA38" s="18"/>
      <c r="AB38" s="18"/>
      <c r="AC38" s="11"/>
    </row>
    <row r="39" spans="1:32" ht="15.75" x14ac:dyDescent="0.25">
      <c r="A39" s="19" t="str">
        <f>CONCATENATE(A$1," (Continued)")</f>
        <v>Occupation Table 1  Employment Change by Occupation Group (SOC 2020) and Replacement Demand, 2015-2035, North East (Continued)</v>
      </c>
      <c r="B39" s="18"/>
      <c r="C39" s="18"/>
      <c r="D39" s="18"/>
      <c r="E39" s="18"/>
      <c r="F39" s="18"/>
      <c r="G39" s="11"/>
      <c r="L39" s="19" t="str">
        <f>CONCATENATE(L$1," (Continued)")</f>
        <v>Occupation Table 1.1  Males: Employment Change by Occupation Group (SOC 2020) and Replacement Demand, 2015-2035, North East (Continued)</v>
      </c>
      <c r="M39" s="18"/>
      <c r="N39" s="18"/>
      <c r="O39" s="18"/>
      <c r="P39" s="18"/>
      <c r="Q39" s="18"/>
      <c r="R39" s="11"/>
      <c r="W39" s="19" t="str">
        <f>CONCATENATE(W$1," (Continued)")</f>
        <v>Occupation Table 1.2  Females: Employment Change by Occupation Group (SOC 2020) and Replacement Demand, 2015-2035, North East (Continued)</v>
      </c>
      <c r="X39" s="18"/>
      <c r="Y39" s="18"/>
      <c r="Z39" s="18"/>
      <c r="AA39" s="18"/>
      <c r="AB39" s="18"/>
      <c r="AC39" s="11"/>
    </row>
    <row r="40" spans="1:32" x14ac:dyDescent="0.2">
      <c r="B40" s="18"/>
      <c r="C40" s="18"/>
      <c r="D40" s="18"/>
      <c r="E40" s="18"/>
      <c r="F40" s="18"/>
      <c r="G40" s="11"/>
      <c r="M40" s="18"/>
      <c r="N40" s="18"/>
      <c r="O40" s="18"/>
      <c r="P40" s="18"/>
      <c r="Q40" s="18"/>
      <c r="R40" s="11"/>
      <c r="X40" s="18"/>
      <c r="Y40" s="18"/>
      <c r="Z40" s="18"/>
      <c r="AA40" s="18"/>
      <c r="AB40" s="18"/>
      <c r="AC40" s="11"/>
    </row>
    <row r="41" spans="1:32" x14ac:dyDescent="0.2">
      <c r="B41" s="18"/>
      <c r="C41" s="18"/>
      <c r="D41" s="18"/>
      <c r="E41" s="18"/>
      <c r="F41" s="16" t="s">
        <v>38</v>
      </c>
      <c r="G41" s="11"/>
      <c r="J41" s="16" t="s">
        <v>38</v>
      </c>
      <c r="M41" s="18"/>
      <c r="N41" s="18"/>
      <c r="O41" s="18"/>
      <c r="P41" s="18"/>
      <c r="Q41" s="16" t="s">
        <v>38</v>
      </c>
      <c r="R41" s="11"/>
      <c r="U41" s="16" t="s">
        <v>38</v>
      </c>
      <c r="X41" s="18"/>
      <c r="Y41" s="18"/>
      <c r="Z41" s="18"/>
      <c r="AA41" s="18"/>
      <c r="AB41" s="16" t="s">
        <v>38</v>
      </c>
      <c r="AC41" s="11"/>
      <c r="AF41" s="16" t="s">
        <v>38</v>
      </c>
    </row>
    <row r="42" spans="1:32" x14ac:dyDescent="0.2">
      <c r="A42" s="36"/>
      <c r="B42" s="66"/>
      <c r="C42" s="66"/>
      <c r="D42" s="66"/>
      <c r="E42" s="66"/>
      <c r="F42" s="66"/>
      <c r="G42" s="11"/>
      <c r="H42" s="28" t="str">
        <f>H4</f>
        <v>2020-2035</v>
      </c>
      <c r="I42" s="36"/>
      <c r="J42" s="36"/>
      <c r="L42" s="36"/>
      <c r="M42" s="66"/>
      <c r="N42" s="66"/>
      <c r="O42" s="66"/>
      <c r="P42" s="66"/>
      <c r="Q42" s="66"/>
      <c r="R42" s="11"/>
      <c r="S42" s="28" t="str">
        <f>S4</f>
        <v>2020-2035</v>
      </c>
      <c r="T42" s="36"/>
      <c r="U42" s="36"/>
      <c r="W42" s="36"/>
      <c r="X42" s="66"/>
      <c r="Y42" s="66"/>
      <c r="Z42" s="66"/>
      <c r="AA42" s="66"/>
      <c r="AB42" s="66"/>
      <c r="AC42" s="11"/>
      <c r="AD42" s="28" t="str">
        <f>AD4</f>
        <v>2020-2035</v>
      </c>
      <c r="AE42" s="36"/>
      <c r="AF42" s="36"/>
    </row>
    <row r="43" spans="1:32" x14ac:dyDescent="0.2">
      <c r="H43" t="str">
        <f>H5</f>
        <v>Net</v>
      </c>
      <c r="I43" t="str">
        <f>I5</f>
        <v>Replacement</v>
      </c>
      <c r="J43" t="str">
        <f>J5</f>
        <v>Total</v>
      </c>
      <c r="S43" t="str">
        <f>S5</f>
        <v>Net</v>
      </c>
      <c r="T43" t="str">
        <f>T5</f>
        <v>Replacement</v>
      </c>
      <c r="U43" t="str">
        <f>U5</f>
        <v>Total</v>
      </c>
      <c r="AD43" t="str">
        <f>AD5</f>
        <v>Net</v>
      </c>
      <c r="AE43" t="str">
        <f>AE5</f>
        <v>Replacement</v>
      </c>
      <c r="AF43" t="str">
        <f>AF5</f>
        <v>Total</v>
      </c>
    </row>
    <row r="44" spans="1:32" x14ac:dyDescent="0.2">
      <c r="A44" s="41" t="s">
        <v>39</v>
      </c>
      <c r="B44" s="64" t="str">
        <f>CONCATENATE(B$6,"-",C$6)</f>
        <v>2015-2019</v>
      </c>
      <c r="C44" s="64" t="str">
        <f>CONCATENATE(C$6,"-",D$6)</f>
        <v>2019-2020</v>
      </c>
      <c r="D44" s="64" t="str">
        <f>CONCATENATE(D$6,"-",E$6)</f>
        <v>2020-2025</v>
      </c>
      <c r="E44" s="64" t="str">
        <f>CONCATENATE(E$6,"-",F$6)</f>
        <v>2025-2035</v>
      </c>
      <c r="F44" s="64" t="str">
        <f>CONCATENATE(D$6,"-",F$6)</f>
        <v>2020-2035</v>
      </c>
      <c r="H44" s="24" t="str">
        <f>H6</f>
        <v>Change</v>
      </c>
      <c r="I44" s="24" t="str">
        <f>I6</f>
        <v>Demand</v>
      </c>
      <c r="J44" s="24" t="str">
        <f>J6</f>
        <v>Requirement</v>
      </c>
      <c r="L44" s="41" t="s">
        <v>39</v>
      </c>
      <c r="M44" s="64" t="str">
        <f>CONCATENATE(M$6,"-",N$6)</f>
        <v>2015-2019</v>
      </c>
      <c r="N44" s="64" t="str">
        <f>CONCATENATE(N$6,"-",O$6)</f>
        <v>2019-2020</v>
      </c>
      <c r="O44" s="64" t="str">
        <f>CONCATENATE(O$6,"-",P$6)</f>
        <v>2020-2025</v>
      </c>
      <c r="P44" s="64" t="str">
        <f>CONCATENATE(P$6,"-",Q$6)</f>
        <v>2025-2035</v>
      </c>
      <c r="Q44" s="64" t="str">
        <f>CONCATENATE(O$6,"-",Q$6)</f>
        <v>2020-2035</v>
      </c>
      <c r="S44" s="24" t="str">
        <f>S6</f>
        <v>Change</v>
      </c>
      <c r="T44" s="24" t="str">
        <f>T6</f>
        <v>Demand</v>
      </c>
      <c r="U44" s="24" t="str">
        <f>U6</f>
        <v>Requirement</v>
      </c>
      <c r="W44" s="41" t="s">
        <v>39</v>
      </c>
      <c r="X44" s="64" t="str">
        <f>CONCATENATE(X$6,"-",Y$6)</f>
        <v>2015-2019</v>
      </c>
      <c r="Y44" s="64" t="str">
        <f>CONCATENATE(Y$6,"-",Z$6)</f>
        <v>2019-2020</v>
      </c>
      <c r="Z44" s="64" t="str">
        <f>CONCATENATE(Z$6,"-",AA$6)</f>
        <v>2020-2025</v>
      </c>
      <c r="AA44" s="64" t="str">
        <f>CONCATENATE(AA$6,"-",AB$6)</f>
        <v>2025-2035</v>
      </c>
      <c r="AB44" s="64" t="str">
        <f>CONCATENATE(Z$6,"-",AB$6)</f>
        <v>2020-2035</v>
      </c>
      <c r="AD44" s="24" t="str">
        <f>AD6</f>
        <v>Change</v>
      </c>
      <c r="AE44" s="24" t="str">
        <f>AE6</f>
        <v>Demand</v>
      </c>
      <c r="AF44" s="24" t="str">
        <f>AF6</f>
        <v>Requirement</v>
      </c>
    </row>
    <row r="45" spans="1:32" x14ac:dyDescent="0.2">
      <c r="A45" s="1"/>
      <c r="B45" s="20"/>
      <c r="C45" s="20"/>
      <c r="D45" s="20"/>
      <c r="E45" s="20"/>
      <c r="F45" s="20"/>
      <c r="L45" s="1"/>
      <c r="M45" s="20"/>
      <c r="N45" s="20"/>
      <c r="O45" s="20"/>
      <c r="P45" s="20"/>
      <c r="Q45" s="20"/>
      <c r="W45" s="1"/>
      <c r="X45" s="20"/>
      <c r="Y45" s="20"/>
      <c r="Z45" s="20"/>
      <c r="AA45" s="20"/>
      <c r="AB45" s="20"/>
    </row>
    <row r="46" spans="1:32" x14ac:dyDescent="0.2">
      <c r="A46" t="str">
        <f>$A$8</f>
        <v>Managers, directors and senior officials</v>
      </c>
      <c r="B46" s="18">
        <f t="shared" ref="B46:E54" si="42">IF(C$6-B$6 &lt;&gt; 0,(EXP(LN(C8/B8)/(C$6-B$6))-1)*100,0)</f>
        <v>2.6438335567162019</v>
      </c>
      <c r="C46" s="18">
        <f t="shared" si="42"/>
        <v>0.69408614933250679</v>
      </c>
      <c r="D46" s="18">
        <f t="shared" si="42"/>
        <v>0.30497509652924748</v>
      </c>
      <c r="E46" s="18">
        <f t="shared" si="42"/>
        <v>1.1227288891217935</v>
      </c>
      <c r="F46" s="18">
        <f>IF(F$6-D$6 &lt;&gt; 0,(EXP(LN(F8/D8)/(F$6-D$6))-1)*100,0)</f>
        <v>0.84940619850819576</v>
      </c>
      <c r="H46" s="18">
        <f>IF($F$6-$D$6 &lt;&gt; 0,(EXP(LN(1+(H26/100))/($F$6-$D$6))-1)*100,0)</f>
        <v>0.84940619850819576</v>
      </c>
      <c r="I46" s="18">
        <f>IF($F$6-$D$6 &lt;&gt; 0,(EXP(LN(1+(I26/100))/($F$6-$D$6))-1)*100,0)</f>
        <v>3.0331275954483594</v>
      </c>
      <c r="J46" s="18">
        <f>IF($F$6-$D$6 &lt;&gt; 0,(EXP(LN(1+(J26/100))/($F$6-$D$6))-1)*100,0)</f>
        <v>3.6039774242911937</v>
      </c>
      <c r="L46" t="str">
        <f>$A$8</f>
        <v>Managers, directors and senior officials</v>
      </c>
      <c r="M46" s="18">
        <f t="shared" ref="M46:M54" si="43">IF(N$6-M$6 &lt;&gt; 0,(EXP(LN(N8/M8)/(N$6-M$6))-1)*100,0)</f>
        <v>2.3291071639931715</v>
      </c>
      <c r="N46" s="18">
        <f t="shared" ref="N46:N54" si="44">IF(O$6-N$6 &lt;&gt; 0,(EXP(LN(O8/N8)/(O$6-N$6))-1)*100,0)</f>
        <v>-3.0298116590845248</v>
      </c>
      <c r="O46" s="18">
        <f t="shared" ref="O46:O54" si="45">IF(P$6-O$6 &lt;&gt; 0,(EXP(LN(P8/O8)/(P$6-O$6))-1)*100,0)</f>
        <v>-4.8472853413450423E-2</v>
      </c>
      <c r="P46" s="18">
        <f t="shared" ref="P46:P54" si="46">IF(Q$6-P$6 &lt;&gt; 0,(EXP(LN(Q8/P8)/(Q$6-P$6))-1)*100,0)</f>
        <v>0.91594772330283458</v>
      </c>
      <c r="Q46" s="18">
        <f>IF(Q$6-O$6 &lt;&gt; 0,(EXP(LN(Q8/O8)/(Q$6-O$6))-1)*100,0)</f>
        <v>0.59344465346831132</v>
      </c>
      <c r="S46" s="18">
        <f>IF($F$6-$D$6 &lt;&gt; 0,(EXP(LN(1+(S26/100))/($F$6-$D$6))-1)*100,0)</f>
        <v>0.59344465346831132</v>
      </c>
      <c r="T46" s="18">
        <f>IF($F$6-$D$6 &lt;&gt; 0,(EXP(LN(1+(T26/100))/($F$6-$D$6))-1)*100,0)</f>
        <v>2.7240116622225141</v>
      </c>
      <c r="U46" s="18">
        <f>IF($F$6-$D$6 &lt;&gt; 0,(EXP(LN(1+(U26/100))/($F$6-$D$6))-1)*100,0)</f>
        <v>3.1369089950089801</v>
      </c>
      <c r="W46" t="str">
        <f>$A$8</f>
        <v>Managers, directors and senior officials</v>
      </c>
      <c r="X46" s="18">
        <f t="shared" ref="X46:X54" si="47">IF(Y$6-X$6 &lt;&gt; 0,(EXP(LN(Y8/X8)/(Y$6-X$6))-1)*100,0)</f>
        <v>3.2475991512078473</v>
      </c>
      <c r="Y46" s="18">
        <f t="shared" ref="Y46:Y54" si="48">IF(Z$6-Y$6 &lt;&gt; 0,(EXP(LN(Z8/Y8)/(Z$6-Y$6))-1)*100,0)</f>
        <v>7.6802342229863596</v>
      </c>
      <c r="Z46" s="18">
        <f t="shared" ref="Z46:Z54" si="49">IF(AA$6-Z$6 &lt;&gt; 0,(EXP(LN(AA8/Z8)/(AA$6-Z$6))-1)*100,0)</f>
        <v>0.89102182497404758</v>
      </c>
      <c r="AA46" s="18">
        <f t="shared" ref="AA46:AA54" si="50">IF(AB$6-AA$6 &lt;&gt; 0,(EXP(LN(AB8/AA8)/(AB$6-AA$6))-1)*100,0)</f>
        <v>1.4482989603270546</v>
      </c>
      <c r="AB46" s="18">
        <f>IF(AB$6-Z$6 &lt;&gt; 0,(EXP(LN(AB8/Z8)/(AB$6-Z$6))-1)*100,0)</f>
        <v>1.2621987353513608</v>
      </c>
      <c r="AD46" s="18">
        <f>IF($F$6-$D$6 &lt;&gt; 0,(EXP(LN(1+(AD26/100))/($F$6-$D$6))-1)*100,0)</f>
        <v>1.2621987353513608</v>
      </c>
      <c r="AE46" s="18">
        <f>IF($F$6-$D$6 &lt;&gt; 0,(EXP(LN(1+(AE26/100))/($F$6-$D$6))-1)*100,0)</f>
        <v>3.5275736513226352</v>
      </c>
      <c r="AF46" s="18">
        <f>IF($F$6-$D$6 &lt;&gt; 0,(EXP(LN(1+(AF26/100))/($F$6-$D$6))-1)*100,0)</f>
        <v>4.331741370300235</v>
      </c>
    </row>
    <row r="47" spans="1:32" x14ac:dyDescent="0.2">
      <c r="A47" t="str">
        <f>$A$9</f>
        <v>Professional occupations</v>
      </c>
      <c r="B47" s="18">
        <f t="shared" si="42"/>
        <v>0.75518059835584239</v>
      </c>
      <c r="C47" s="18">
        <f t="shared" si="42"/>
        <v>6.6633415868458057</v>
      </c>
      <c r="D47" s="18">
        <f t="shared" si="42"/>
        <v>1.4567159523191542</v>
      </c>
      <c r="E47" s="18">
        <f t="shared" si="42"/>
        <v>0.92812393291423767</v>
      </c>
      <c r="F47" s="18">
        <f>IF(F$6-D$6 &lt;&gt; 0,(EXP(LN(F9/D9)/(F$6-D$6))-1)*100,0)</f>
        <v>1.1040145644863442</v>
      </c>
      <c r="H47" s="18">
        <f t="shared" ref="H47:J56" si="51">IF($F$6-$D$6 &lt;&gt; 0,(EXP(LN(1+(H27/100))/($F$6-$D$6))-1)*100,0)</f>
        <v>1.1040145644863442</v>
      </c>
      <c r="I47" s="18">
        <f t="shared" si="51"/>
        <v>2.8709789177224554</v>
      </c>
      <c r="J47" s="18">
        <f t="shared" si="51"/>
        <v>3.6331964099595604</v>
      </c>
      <c r="L47" t="str">
        <f>$A$9</f>
        <v>Professional occupations</v>
      </c>
      <c r="M47" s="18">
        <f t="shared" si="43"/>
        <v>-0.19234399018743797</v>
      </c>
      <c r="N47" s="18">
        <f t="shared" si="44"/>
        <v>4.7007284097756008</v>
      </c>
      <c r="O47" s="18">
        <f t="shared" si="45"/>
        <v>1.1119000942707347</v>
      </c>
      <c r="P47" s="18">
        <f t="shared" si="46"/>
        <v>0.69248524680638468</v>
      </c>
      <c r="Q47" s="18">
        <f>IF(Q$6-O$6 &lt;&gt; 0,(EXP(LN(Q9/O9)/(Q$6-O$6))-1)*100,0)</f>
        <v>0.83209653384497262</v>
      </c>
      <c r="S47" s="18">
        <f t="shared" ref="S47:U47" si="52">IF($F$6-$D$6 &lt;&gt; 0,(EXP(LN(1+(S27/100))/($F$6-$D$6))-1)*100,0)</f>
        <v>0.83209653384497262</v>
      </c>
      <c r="T47" s="18">
        <f t="shared" si="52"/>
        <v>2.3085776945287018</v>
      </c>
      <c r="U47" s="18">
        <f t="shared" si="52"/>
        <v>2.9230813277945078</v>
      </c>
      <c r="W47" t="str">
        <f>$A$9</f>
        <v>Professional occupations</v>
      </c>
      <c r="X47" s="18">
        <f t="shared" si="47"/>
        <v>1.6576363123908644</v>
      </c>
      <c r="Y47" s="18">
        <f t="shared" si="48"/>
        <v>8.448706896838809</v>
      </c>
      <c r="Z47" s="18">
        <f t="shared" si="49"/>
        <v>1.7557309670463761</v>
      </c>
      <c r="AA47" s="18">
        <f t="shared" si="50"/>
        <v>1.1247820344313375</v>
      </c>
      <c r="AB47" s="18">
        <f>IF(AB$6-Z$6 &lt;&gt; 0,(EXP(LN(AB9/Z9)/(AB$6-Z$6))-1)*100,0)</f>
        <v>1.3346624456092915</v>
      </c>
      <c r="AD47" s="18">
        <f t="shared" ref="AD47:AF47" si="53">IF($F$6-$D$6 &lt;&gt; 0,(EXP(LN(1+(AD27/100))/($F$6-$D$6))-1)*100,0)</f>
        <v>1.3346624456092915</v>
      </c>
      <c r="AE47" s="18">
        <f t="shared" si="53"/>
        <v>3.3317165141448113</v>
      </c>
      <c r="AF47" s="18">
        <f t="shared" si="53"/>
        <v>4.2051749244624625</v>
      </c>
    </row>
    <row r="48" spans="1:32" x14ac:dyDescent="0.2">
      <c r="A48" t="str">
        <f>$A$10</f>
        <v>Associate professional occupations</v>
      </c>
      <c r="B48" s="18">
        <f t="shared" si="42"/>
        <v>0.94804025383830037</v>
      </c>
      <c r="C48" s="18">
        <f t="shared" si="42"/>
        <v>4.7588871243215092</v>
      </c>
      <c r="D48" s="18">
        <f t="shared" si="42"/>
        <v>-0.82855076013176321</v>
      </c>
      <c r="E48" s="18">
        <f t="shared" si="42"/>
        <v>0.65463234866696141</v>
      </c>
      <c r="F48" s="18">
        <f t="shared" ref="F48:F56" si="54">IF(F$6-D$6 &lt;&gt; 0,(EXP(LN(F10/D10)/(F$6-D$6))-1)*100,0)</f>
        <v>0.15778954122582789</v>
      </c>
      <c r="H48" s="18">
        <f t="shared" si="51"/>
        <v>0.15778954122582789</v>
      </c>
      <c r="I48" s="18">
        <f t="shared" si="51"/>
        <v>2.5320483186269449</v>
      </c>
      <c r="J48" s="18">
        <f t="shared" si="51"/>
        <v>2.6436152781971201</v>
      </c>
      <c r="L48" t="str">
        <f>$A$10</f>
        <v>Associate professional occupations</v>
      </c>
      <c r="M48" s="18">
        <f t="shared" si="43"/>
        <v>1.2734915124213542</v>
      </c>
      <c r="N48" s="18">
        <f t="shared" si="44"/>
        <v>3.1618675233640703</v>
      </c>
      <c r="O48" s="18">
        <f t="shared" si="45"/>
        <v>-1.8445165347293346</v>
      </c>
      <c r="P48" s="18">
        <f>IF(Q$6-P$6 &lt;&gt; 0,(EXP(LN(Q10/P10)/(Q$6-P$6))-1)*100,0)</f>
        <v>0.15652099369545258</v>
      </c>
      <c r="Q48" s="18">
        <f t="shared" ref="Q48:Q54" si="55">IF(Q$6-O$6 &lt;&gt; 0,(EXP(LN(Q10/O10)/(Q$6-O$6))-1)*100,0)</f>
        <v>-0.51498359146410211</v>
      </c>
      <c r="S48" s="18">
        <f t="shared" ref="S48:U48" si="56">IF($F$6-$D$6 &lt;&gt; 0,(EXP(LN(1+(S28/100))/($F$6-$D$6))-1)*100,0)</f>
        <v>-0.51498359146410211</v>
      </c>
      <c r="T48" s="18">
        <f t="shared" si="56"/>
        <v>1.9410882241597704</v>
      </c>
      <c r="U48" s="18">
        <f t="shared" si="56"/>
        <v>1.5512320379326594</v>
      </c>
      <c r="W48" t="str">
        <f>$A$10</f>
        <v>Associate professional occupations</v>
      </c>
      <c r="X48" s="18">
        <f t="shared" si="47"/>
        <v>0.57742627139028002</v>
      </c>
      <c r="Y48" s="18">
        <f t="shared" si="48"/>
        <v>6.609157151384637</v>
      </c>
      <c r="Z48" s="18">
        <f t="shared" si="49"/>
        <v>0.26306504380628759</v>
      </c>
      <c r="AA48" s="18">
        <f t="shared" si="50"/>
        <v>1.1352962784757281</v>
      </c>
      <c r="AB48" s="18">
        <f t="shared" ref="AB48:AB54" si="57">IF(AB$6-Z$6 &lt;&gt; 0,(EXP(LN(AB10/Z10)/(AB$6-Z$6))-1)*100,0)</f>
        <v>0.84371267556921925</v>
      </c>
      <c r="AD48" s="18">
        <f t="shared" ref="AD48:AF48" si="58">IF($F$6-$D$6 &lt;&gt; 0,(EXP(LN(1+(AD28/100))/($F$6-$D$6))-1)*100,0)</f>
        <v>0.84371267556921925</v>
      </c>
      <c r="AE48" s="18">
        <f t="shared" si="58"/>
        <v>3.1424059898433665</v>
      </c>
      <c r="AF48" s="18">
        <f t="shared" si="58"/>
        <v>3.701330260600022</v>
      </c>
    </row>
    <row r="49" spans="1:32" x14ac:dyDescent="0.2">
      <c r="A49" t="str">
        <f>$A$11</f>
        <v>Administrative and secretarial occupations</v>
      </c>
      <c r="B49" s="18">
        <f t="shared" si="42"/>
        <v>-2.2712770904278035</v>
      </c>
      <c r="C49" s="18">
        <f t="shared" si="42"/>
        <v>4.107923619870979</v>
      </c>
      <c r="D49" s="18">
        <f t="shared" si="42"/>
        <v>-1.2925126439985224</v>
      </c>
      <c r="E49" s="18">
        <f t="shared" si="42"/>
        <v>-0.69799782056220172</v>
      </c>
      <c r="F49" s="18">
        <f t="shared" si="54"/>
        <v>-0.896566229350515</v>
      </c>
      <c r="H49" s="18">
        <f t="shared" si="51"/>
        <v>-0.896566229350515</v>
      </c>
      <c r="I49" s="18">
        <f t="shared" si="51"/>
        <v>2.6029353469104066</v>
      </c>
      <c r="J49" s="18">
        <f t="shared" si="51"/>
        <v>1.9900733266950077</v>
      </c>
      <c r="L49" t="str">
        <f>$A$11</f>
        <v>Administrative and secretarial occupations</v>
      </c>
      <c r="M49" s="18">
        <f t="shared" si="43"/>
        <v>-2.840823585504415</v>
      </c>
      <c r="N49" s="18">
        <f t="shared" si="44"/>
        <v>18.574609277746301</v>
      </c>
      <c r="O49" s="18">
        <f t="shared" si="45"/>
        <v>-0.85792839881692062</v>
      </c>
      <c r="P49" s="18">
        <f t="shared" si="46"/>
        <v>0.948864497992008</v>
      </c>
      <c r="Q49" s="18">
        <f t="shared" si="55"/>
        <v>0.34297091026209703</v>
      </c>
      <c r="S49" s="18">
        <f t="shared" ref="S49:U49" si="59">IF($F$6-$D$6 &lt;&gt; 0,(EXP(LN(1+(S29/100))/($F$6-$D$6))-1)*100,0)</f>
        <v>0.34297091026209703</v>
      </c>
      <c r="T49" s="18">
        <f t="shared" si="59"/>
        <v>2.1190342831626685</v>
      </c>
      <c r="U49" s="18">
        <f t="shared" si="59"/>
        <v>2.3763949006949447</v>
      </c>
      <c r="W49" t="str">
        <f>$A$11</f>
        <v>Administrative and secretarial occupations</v>
      </c>
      <c r="X49" s="18">
        <f t="shared" si="47"/>
        <v>-2.0758532388900464</v>
      </c>
      <c r="Y49" s="18">
        <f t="shared" si="48"/>
        <v>-0.75944582760318902</v>
      </c>
      <c r="Z49" s="18">
        <f t="shared" si="49"/>
        <v>-1.4693941482444073</v>
      </c>
      <c r="AA49" s="18">
        <f t="shared" si="50"/>
        <v>-1.4598933176763751</v>
      </c>
      <c r="AB49" s="18">
        <f t="shared" si="57"/>
        <v>-1.4630603629857131</v>
      </c>
      <c r="AD49" s="18">
        <f t="shared" ref="AD49:AF49" si="60">IF($F$6-$D$6 &lt;&gt; 0,(EXP(LN(1+(AD29/100))/($F$6-$D$6))-1)*100,0)</f>
        <v>-1.4630603629857131</v>
      </c>
      <c r="AE49" s="18">
        <f t="shared" si="60"/>
        <v>2.7887962761749652</v>
      </c>
      <c r="AF49" s="18">
        <f t="shared" si="60"/>
        <v>1.8288126029795793</v>
      </c>
    </row>
    <row r="50" spans="1:32" x14ac:dyDescent="0.2">
      <c r="A50" t="str">
        <f>$A$12</f>
        <v>Skilled trades occupations</v>
      </c>
      <c r="B50" s="18">
        <f t="shared" si="42"/>
        <v>-0.43999317182684683</v>
      </c>
      <c r="C50" s="18">
        <f t="shared" si="42"/>
        <v>-13.885861448745629</v>
      </c>
      <c r="D50" s="18">
        <f t="shared" si="42"/>
        <v>-0.63521033461202414</v>
      </c>
      <c r="E50" s="18">
        <f t="shared" si="42"/>
        <v>-0.78836665076936763</v>
      </c>
      <c r="F50" s="18">
        <f t="shared" si="54"/>
        <v>-0.73734079315734835</v>
      </c>
      <c r="H50" s="18">
        <f t="shared" si="51"/>
        <v>-0.73734079315734835</v>
      </c>
      <c r="I50" s="18">
        <f t="shared" si="51"/>
        <v>2.244449370335877</v>
      </c>
      <c r="J50" s="18">
        <f t="shared" si="51"/>
        <v>1.7121027238656827</v>
      </c>
      <c r="L50" t="str">
        <f>$A$12</f>
        <v>Skilled trades occupations</v>
      </c>
      <c r="M50" s="18">
        <f t="shared" si="43"/>
        <v>-0.104892685003799</v>
      </c>
      <c r="N50" s="18">
        <f t="shared" si="44"/>
        <v>-16.548630197254667</v>
      </c>
      <c r="O50" s="18">
        <f t="shared" si="45"/>
        <v>-0.91923285393273879</v>
      </c>
      <c r="P50" s="18">
        <f t="shared" si="46"/>
        <v>-0.97098095157273079</v>
      </c>
      <c r="Q50" s="18">
        <f t="shared" si="55"/>
        <v>-0.95373458940091194</v>
      </c>
      <c r="S50" s="18">
        <f t="shared" ref="S50:U50" si="61">IF($F$6-$D$6 &lt;&gt; 0,(EXP(LN(1+(S30/100))/($F$6-$D$6))-1)*100,0)</f>
        <v>-0.95373458940091194</v>
      </c>
      <c r="T50" s="18">
        <f t="shared" si="61"/>
        <v>2.0774444501322042</v>
      </c>
      <c r="U50" s="18">
        <f t="shared" si="61"/>
        <v>1.3752774182487437</v>
      </c>
      <c r="W50" t="str">
        <f>$A$12</f>
        <v>Skilled trades occupations</v>
      </c>
      <c r="X50" s="18">
        <f t="shared" si="47"/>
        <v>-3.7412128933324684</v>
      </c>
      <c r="Y50" s="18">
        <f t="shared" si="48"/>
        <v>14.914499237916834</v>
      </c>
      <c r="Z50" s="18">
        <f t="shared" si="49"/>
        <v>1.4900716483345899</v>
      </c>
      <c r="AA50" s="18">
        <f t="shared" si="50"/>
        <v>0.40629066745250242</v>
      </c>
      <c r="AB50" s="18">
        <f t="shared" si="57"/>
        <v>0.7662589240200246</v>
      </c>
      <c r="AD50" s="18">
        <f t="shared" ref="AD50:AF50" si="62">IF($F$6-$D$6 &lt;&gt; 0,(EXP(LN(1+(AD30/100))/($F$6-$D$6))-1)*100,0)</f>
        <v>0.7662589240200246</v>
      </c>
      <c r="AE50" s="18">
        <f t="shared" si="62"/>
        <v>3.4385690293738502</v>
      </c>
      <c r="AF50" s="18">
        <f t="shared" si="62"/>
        <v>3.9259651738801749</v>
      </c>
    </row>
    <row r="51" spans="1:32" x14ac:dyDescent="0.2">
      <c r="A51" t="str">
        <f>$A$13</f>
        <v>Caring, leisure and other service occupations</v>
      </c>
      <c r="B51" s="18">
        <f t="shared" si="42"/>
        <v>-0.93482200202243959</v>
      </c>
      <c r="C51" s="18">
        <f t="shared" si="42"/>
        <v>-0.90508846522984188</v>
      </c>
      <c r="D51" s="18">
        <f t="shared" si="42"/>
        <v>0.79855474646788327</v>
      </c>
      <c r="E51" s="18">
        <f t="shared" si="42"/>
        <v>0.32499428931909158</v>
      </c>
      <c r="F51" s="18">
        <f t="shared" si="54"/>
        <v>0.48260005426963293</v>
      </c>
      <c r="H51" s="18">
        <f t="shared" si="51"/>
        <v>0.48260005426963293</v>
      </c>
      <c r="I51" s="18">
        <f t="shared" si="51"/>
        <v>3.0940649585583069</v>
      </c>
      <c r="J51" s="18">
        <f t="shared" si="51"/>
        <v>3.4129388016170159</v>
      </c>
      <c r="L51" t="str">
        <f>$A$13</f>
        <v>Caring, leisure and other service occupations</v>
      </c>
      <c r="M51" s="18">
        <f t="shared" si="43"/>
        <v>0.53217042983884078</v>
      </c>
      <c r="N51" s="18">
        <f t="shared" si="44"/>
        <v>-0.29001087312716667</v>
      </c>
      <c r="O51" s="18">
        <f t="shared" si="45"/>
        <v>1.4413347597665771</v>
      </c>
      <c r="P51" s="18">
        <f t="shared" si="46"/>
        <v>0.96656931876162311</v>
      </c>
      <c r="Q51" s="18">
        <f t="shared" si="55"/>
        <v>1.1245770623804718</v>
      </c>
      <c r="S51" s="18">
        <f t="shared" ref="S51:U51" si="63">IF($F$6-$D$6 &lt;&gt; 0,(EXP(LN(1+(S31/100))/($F$6-$D$6))-1)*100,0)</f>
        <v>1.1245770623804718</v>
      </c>
      <c r="T51" s="18">
        <f t="shared" si="63"/>
        <v>2.6022101450978274</v>
      </c>
      <c r="U51" s="18">
        <f t="shared" si="63"/>
        <v>3.4063271432646314</v>
      </c>
      <c r="W51" t="str">
        <f>$A$13</f>
        <v>Caring, leisure and other service occupations</v>
      </c>
      <c r="X51" s="18">
        <f t="shared" si="47"/>
        <v>-1.250200205399743</v>
      </c>
      <c r="Y51" s="18">
        <f t="shared" si="48"/>
        <v>-1.0433495320513964</v>
      </c>
      <c r="Z51" s="18">
        <f t="shared" si="49"/>
        <v>0.6506645884771789</v>
      </c>
      <c r="AA51" s="18">
        <f t="shared" si="50"/>
        <v>0.16836148259256056</v>
      </c>
      <c r="AB51" s="18">
        <f t="shared" si="57"/>
        <v>0.32887184444079232</v>
      </c>
      <c r="AD51" s="18">
        <f t="shared" ref="AD51:AF51" si="64">IF($F$6-$D$6 &lt;&gt; 0,(EXP(LN(1+(AD31/100))/($F$6-$D$6))-1)*100,0)</f>
        <v>0.32887184444079232</v>
      </c>
      <c r="AE51" s="18">
        <f t="shared" si="64"/>
        <v>3.2010436629688721</v>
      </c>
      <c r="AF51" s="18">
        <f t="shared" si="64"/>
        <v>3.4144355049649189</v>
      </c>
    </row>
    <row r="52" spans="1:32" x14ac:dyDescent="0.2">
      <c r="A52" t="str">
        <f>$A$14</f>
        <v>Sales and customer service occupations</v>
      </c>
      <c r="B52" s="18">
        <f t="shared" si="42"/>
        <v>-2.4540452230331411</v>
      </c>
      <c r="C52" s="18">
        <f t="shared" si="42"/>
        <v>1.3840164390623411</v>
      </c>
      <c r="D52" s="18">
        <f t="shared" si="42"/>
        <v>-3.6348876803216079E-2</v>
      </c>
      <c r="E52" s="18">
        <f t="shared" si="42"/>
        <v>8.5271998899361101E-2</v>
      </c>
      <c r="F52" s="18">
        <f t="shared" si="54"/>
        <v>4.4715274753626133E-2</v>
      </c>
      <c r="H52" s="18">
        <f t="shared" si="51"/>
        <v>4.4715274753626133E-2</v>
      </c>
      <c r="I52" s="18">
        <f t="shared" si="51"/>
        <v>2.7217796363153246</v>
      </c>
      <c r="J52" s="18">
        <f t="shared" si="51"/>
        <v>2.7525144416828295</v>
      </c>
      <c r="L52" t="str">
        <f>$A$14</f>
        <v>Sales and customer service occupations</v>
      </c>
      <c r="M52" s="18">
        <f t="shared" si="43"/>
        <v>-1.5262414034191596</v>
      </c>
      <c r="N52" s="18">
        <f t="shared" si="44"/>
        <v>2.0624687377770456</v>
      </c>
      <c r="O52" s="18">
        <f t="shared" si="45"/>
        <v>0.49029306230583547</v>
      </c>
      <c r="P52" s="18">
        <f t="shared" si="46"/>
        <v>0.57766042984479515</v>
      </c>
      <c r="Q52" s="18">
        <f t="shared" si="55"/>
        <v>0.54852953746338251</v>
      </c>
      <c r="S52" s="18">
        <f t="shared" ref="S52:U52" si="65">IF($F$6-$D$6 &lt;&gt; 0,(EXP(LN(1+(S32/100))/($F$6-$D$6))-1)*100,0)</f>
        <v>0.54852953746338251</v>
      </c>
      <c r="T52" s="18">
        <f t="shared" si="65"/>
        <v>2.0393954024874539</v>
      </c>
      <c r="U52" s="18">
        <f t="shared" si="65"/>
        <v>2.4569550519650818</v>
      </c>
      <c r="W52" t="str">
        <f>$A$14</f>
        <v>Sales and customer service occupations</v>
      </c>
      <c r="X52" s="18">
        <f t="shared" si="47"/>
        <v>-2.8972309997901569</v>
      </c>
      <c r="Y52" s="18">
        <f t="shared" si="48"/>
        <v>1.0483928086535865</v>
      </c>
      <c r="Z52" s="18">
        <f t="shared" si="49"/>
        <v>-0.30370143546659678</v>
      </c>
      <c r="AA52" s="18">
        <f t="shared" si="50"/>
        <v>-0.17958001786638755</v>
      </c>
      <c r="AB52" s="18">
        <f t="shared" si="57"/>
        <v>-0.22097098430312601</v>
      </c>
      <c r="AD52" s="18">
        <f t="shared" ref="AD52:AF52" si="66">IF($F$6-$D$6 &lt;&gt; 0,(EXP(LN(1+(AD32/100))/($F$6-$D$6))-1)*100,0)</f>
        <v>-0.22097098430312601</v>
      </c>
      <c r="AE52" s="18">
        <f t="shared" si="66"/>
        <v>3.0403202363959991</v>
      </c>
      <c r="AF52" s="18">
        <f t="shared" si="66"/>
        <v>2.8958472370258947</v>
      </c>
    </row>
    <row r="53" spans="1:32" x14ac:dyDescent="0.2">
      <c r="A53" t="str">
        <f>$A$15</f>
        <v>Process, plant and machine operatives</v>
      </c>
      <c r="B53" s="18">
        <f t="shared" si="42"/>
        <v>1.2585412772713855</v>
      </c>
      <c r="C53" s="18">
        <f t="shared" si="42"/>
        <v>-11.580775003660282</v>
      </c>
      <c r="D53" s="18">
        <f t="shared" si="42"/>
        <v>1.4821534270877512</v>
      </c>
      <c r="E53" s="18">
        <f t="shared" si="42"/>
        <v>-0.58007599117302355</v>
      </c>
      <c r="F53" s="18">
        <f t="shared" si="54"/>
        <v>0.10263494685138763</v>
      </c>
      <c r="H53" s="18">
        <f t="shared" si="51"/>
        <v>0.10263494685138763</v>
      </c>
      <c r="I53" s="18">
        <f t="shared" si="51"/>
        <v>2.5950838885016481</v>
      </c>
      <c r="J53" s="18">
        <f t="shared" si="51"/>
        <v>2.6669485969358586</v>
      </c>
      <c r="L53" t="str">
        <f>$A$15</f>
        <v>Process, plant and machine operatives</v>
      </c>
      <c r="M53" s="18">
        <f t="shared" si="43"/>
        <v>1.382360265418292</v>
      </c>
      <c r="N53" s="18">
        <f t="shared" si="44"/>
        <v>-10.710824410141949</v>
      </c>
      <c r="O53" s="18">
        <f t="shared" si="45"/>
        <v>1.2483299136665682</v>
      </c>
      <c r="P53" s="18">
        <f t="shared" si="46"/>
        <v>-0.6069173254365956</v>
      </c>
      <c r="Q53" s="18">
        <f t="shared" si="55"/>
        <v>7.6900986772709956E-3</v>
      </c>
      <c r="S53" s="18">
        <f t="shared" ref="S53:U53" si="67">IF($F$6-$D$6 &lt;&gt; 0,(EXP(LN(1+(S33/100))/($F$6-$D$6))-1)*100,0)</f>
        <v>7.6900986772709956E-3</v>
      </c>
      <c r="T53" s="18">
        <f t="shared" si="67"/>
        <v>2.5321015768876354</v>
      </c>
      <c r="U53" s="18">
        <f t="shared" si="67"/>
        <v>2.5375211737988845</v>
      </c>
      <c r="W53" t="str">
        <f>$A$15</f>
        <v>Process, plant and machine operatives</v>
      </c>
      <c r="X53" s="18">
        <f t="shared" si="47"/>
        <v>0.23285799349848091</v>
      </c>
      <c r="Y53" s="18">
        <f t="shared" si="48"/>
        <v>-18.99608061680199</v>
      </c>
      <c r="Z53" s="18">
        <f t="shared" si="49"/>
        <v>3.5803995802396349</v>
      </c>
      <c r="AA53" s="18">
        <f t="shared" si="50"/>
        <v>-0.35755195629169068</v>
      </c>
      <c r="AB53" s="18">
        <f t="shared" si="57"/>
        <v>0.93817616200968512</v>
      </c>
      <c r="AD53" s="18">
        <f t="shared" ref="AD53:AF53" si="68">IF($F$6-$D$6 &lt;&gt; 0,(EXP(LN(1+(AD33/100))/($F$6-$D$6))-1)*100,0)</f>
        <v>0.93817616200968512</v>
      </c>
      <c r="AE53" s="18">
        <f t="shared" si="68"/>
        <v>3.161857088032205</v>
      </c>
      <c r="AF53" s="18">
        <f t="shared" si="68"/>
        <v>3.783234304035088</v>
      </c>
    </row>
    <row r="54" spans="1:32" x14ac:dyDescent="0.2">
      <c r="A54" t="str">
        <f>$A$16</f>
        <v>Elementary occupations</v>
      </c>
      <c r="B54" s="18">
        <f t="shared" si="42"/>
        <v>-1.6884411342681482</v>
      </c>
      <c r="C54" s="18">
        <f t="shared" si="42"/>
        <v>-6.3954852060909451</v>
      </c>
      <c r="D54" s="18">
        <f t="shared" si="42"/>
        <v>-0.56606164315031737</v>
      </c>
      <c r="E54" s="18">
        <f t="shared" si="42"/>
        <v>-0.31546792227431508</v>
      </c>
      <c r="F54" s="18">
        <f t="shared" si="54"/>
        <v>-0.39906925598005571</v>
      </c>
      <c r="H54" s="18">
        <f t="shared" si="51"/>
        <v>-0.39906925598005571</v>
      </c>
      <c r="I54" s="18">
        <f t="shared" si="51"/>
        <v>2.5177405625615101</v>
      </c>
      <c r="J54" s="18">
        <f t="shared" si="51"/>
        <v>2.2384647796247492</v>
      </c>
      <c r="L54" t="str">
        <f>$A$16</f>
        <v>Elementary occupations</v>
      </c>
      <c r="M54" s="18">
        <f t="shared" si="43"/>
        <v>-5.6021094002922656E-2</v>
      </c>
      <c r="N54" s="18">
        <f t="shared" si="44"/>
        <v>-6.3269338274206781</v>
      </c>
      <c r="O54" s="18">
        <f t="shared" si="45"/>
        <v>-8.0886162085247459E-2</v>
      </c>
      <c r="P54" s="18">
        <f t="shared" si="46"/>
        <v>-0.56224357631747823</v>
      </c>
      <c r="Q54" s="18">
        <f t="shared" si="55"/>
        <v>-0.40204931649966413</v>
      </c>
      <c r="S54" s="18">
        <f t="shared" ref="S54:U54" si="69">IF($F$6-$D$6 &lt;&gt; 0,(EXP(LN(1+(S34/100))/($F$6-$D$6))-1)*100,0)</f>
        <v>-0.40204931649966413</v>
      </c>
      <c r="T54" s="18">
        <f t="shared" si="69"/>
        <v>2.1357191258288388</v>
      </c>
      <c r="U54" s="18">
        <f t="shared" si="69"/>
        <v>1.8389472500993875</v>
      </c>
      <c r="W54" t="str">
        <f>$A$16</f>
        <v>Elementary occupations</v>
      </c>
      <c r="X54" s="18">
        <f t="shared" si="47"/>
        <v>-3.6008542979773517</v>
      </c>
      <c r="Y54" s="18">
        <f t="shared" si="48"/>
        <v>-6.4833886225874382</v>
      </c>
      <c r="Z54" s="18">
        <f t="shared" si="49"/>
        <v>-1.2034740456315363</v>
      </c>
      <c r="AA54" s="18">
        <f t="shared" si="50"/>
        <v>1.1348086870088814E-2</v>
      </c>
      <c r="AB54" s="18">
        <f t="shared" si="57"/>
        <v>-0.39524336241312241</v>
      </c>
      <c r="AD54" s="18">
        <f t="shared" ref="AD54:AF54" si="70">IF($F$6-$D$6 &lt;&gt; 0,(EXP(LN(1+(AD34/100))/($F$6-$D$6))-1)*100,0)</f>
        <v>-0.39524336241312241</v>
      </c>
      <c r="AE54" s="18">
        <f t="shared" si="70"/>
        <v>2.9808934517372432</v>
      </c>
      <c r="AF54" s="18">
        <f t="shared" si="70"/>
        <v>2.7215134592729839</v>
      </c>
    </row>
    <row r="55" spans="1:32" x14ac:dyDescent="0.2">
      <c r="B55" s="18"/>
      <c r="C55" s="18"/>
      <c r="D55" s="18"/>
      <c r="E55" s="18"/>
      <c r="F55" s="18"/>
      <c r="H55" s="18"/>
      <c r="I55" s="18"/>
      <c r="J55" s="18"/>
      <c r="M55" s="18"/>
      <c r="N55" s="18"/>
      <c r="O55" s="18"/>
      <c r="P55" s="18"/>
      <c r="Q55" s="18"/>
      <c r="S55" s="18"/>
      <c r="T55" s="18"/>
      <c r="U55" s="18"/>
      <c r="X55" s="18"/>
      <c r="Y55" s="18"/>
      <c r="Z55" s="18"/>
      <c r="AA55" s="18"/>
      <c r="AB55" s="18"/>
      <c r="AD55" s="18"/>
      <c r="AE55" s="18"/>
      <c r="AF55" s="18"/>
    </row>
    <row r="56" spans="1:32" x14ac:dyDescent="0.2">
      <c r="A56" s="24" t="str">
        <f>$A$18</f>
        <v>All occupations</v>
      </c>
      <c r="B56" s="26">
        <f>IF(C$6-B$6 &lt;&gt; 0,(EXP(LN(C18/B18)/(C$6-B$6))-1)*100,0)</f>
        <v>-0.31472867268407256</v>
      </c>
      <c r="C56" s="26">
        <f>IF(D$6-C$6 &lt;&gt; 0,(EXP(LN(D18/C18)/(D$6-C$6))-1)*100,0)</f>
        <v>-0.96138137827631587</v>
      </c>
      <c r="D56" s="26">
        <f>IF(E$6-D$6 &lt;&gt; 0,(EXP(LN(E18/D18)/(E$6-D$6))-1)*100,0)</f>
        <v>0.15922454414900589</v>
      </c>
      <c r="E56" s="26">
        <f>IF(F$6-E$6 &lt;&gt; 0,(EXP(LN(F18/E18)/(F$6-E$6))-1)*100,0)</f>
        <v>0.20578921188203481</v>
      </c>
      <c r="F56" s="26">
        <f t="shared" si="54"/>
        <v>0.1902652511108327</v>
      </c>
      <c r="H56" s="26">
        <f t="shared" si="51"/>
        <v>0.1902652511108327</v>
      </c>
      <c r="I56" s="26">
        <f t="shared" ref="I56" si="71">IF($F$6-$D$6 &lt;&gt; 0,(EXP(LN(1+(I36/100))/($F$6-$D$6))-1)*100,0)</f>
        <v>2.7008936348872803</v>
      </c>
      <c r="J56" s="26">
        <f t="shared" ref="J56" si="72">IF($F$6-$D$6 &lt;&gt; 0,(EXP(LN(1+(J36/100))/($F$6-$D$6))-1)*100,0)</f>
        <v>2.8324810651020105</v>
      </c>
      <c r="L56" s="24" t="str">
        <f>$A$18</f>
        <v>All occupations</v>
      </c>
      <c r="M56" s="26">
        <f>IF(N$6-M$6 &lt;&gt; 0,(EXP(LN(N18/M18)/(N$6-M$6))-1)*100,0)</f>
        <v>0.25153889159139631</v>
      </c>
      <c r="N56" s="26">
        <f>IF(O$6-N$6 &lt;&gt; 0,(EXP(LN(O18/N18)/(O$6-N$6))-1)*100,0)</f>
        <v>-3.7058837799540778</v>
      </c>
      <c r="O56" s="26">
        <f>IF(P$6-O$6 &lt;&gt; 0,(EXP(LN(P18/O18)/(P$6-O$6))-1)*100,0)</f>
        <v>2.6135894873791088E-2</v>
      </c>
      <c r="P56" s="26">
        <f>IF(Q$6-P$6 &lt;&gt; 0,(EXP(LN(Q18/P18)/(Q$6-P$6))-1)*100,0)</f>
        <v>8.9772455270153984E-2</v>
      </c>
      <c r="Q56" s="26">
        <f t="shared" ref="Q56" si="73">IF(Q$6-O$6 &lt;&gt; 0,(EXP(LN(Q18/O18)/(Q$6-O$6))-1)*100,0)</f>
        <v>6.8555771349854133E-2</v>
      </c>
      <c r="S56" s="26">
        <f t="shared" ref="S56:U56" si="74">IF($F$6-$D$6 &lt;&gt; 0,(EXP(LN(1+(S36/100))/($F$6-$D$6))-1)*100,0)</f>
        <v>6.8555771349854133E-2</v>
      </c>
      <c r="T56" s="26">
        <f t="shared" si="74"/>
        <v>2.2583604105580024</v>
      </c>
      <c r="U56" s="26">
        <f t="shared" si="74"/>
        <v>2.3085775846827916</v>
      </c>
      <c r="W56" s="24" t="str">
        <f>$A$18</f>
        <v>All occupations</v>
      </c>
      <c r="X56" s="26">
        <f>IF(Y$6-X$6 &lt;&gt; 0,(EXP(LN(Y18/X18)/(Y$6-X$6))-1)*100,0)</f>
        <v>-0.93054633179930901</v>
      </c>
      <c r="Y56" s="26">
        <f>IF(Z$6-Y$6 &lt;&gt; 0,(EXP(LN(Z18/Y18)/(Z$6-Y$6))-1)*100,0)</f>
        <v>2.1131149668180971</v>
      </c>
      <c r="Z56" s="26">
        <f>IF(AA$6-Z$6 &lt;&gt; 0,(EXP(LN(AA18/Z18)/(AA$6-Z$6))-1)*100,0)</f>
        <v>0.29905534062655281</v>
      </c>
      <c r="AA56" s="26">
        <f>IF(AB$6-AA$6 &lt;&gt; 0,(EXP(LN(AB18/AA18)/(AB$6-AA$6))-1)*100,0)</f>
        <v>0.3254182652938642</v>
      </c>
      <c r="AB56" s="26">
        <f t="shared" ref="AB56" si="75">IF(AB$6-Z$6 &lt;&gt; 0,(EXP(LN(AB18/Z18)/(AB$6-Z$6))-1)*100,0)</f>
        <v>0.31662985390408238</v>
      </c>
      <c r="AD56" s="26">
        <f t="shared" ref="AD56:AF56" si="76">IF($F$6-$D$6 &lt;&gt; 0,(EXP(LN(1+(AD36/100))/($F$6-$D$6))-1)*100,0)</f>
        <v>0.31662985390408238</v>
      </c>
      <c r="AE56" s="26">
        <f t="shared" si="76"/>
        <v>3.1410892299380322</v>
      </c>
      <c r="AF56" s="26">
        <f t="shared" si="76"/>
        <v>3.3481254752748768</v>
      </c>
    </row>
    <row r="57" spans="1:32" x14ac:dyDescent="0.2">
      <c r="B57" s="18"/>
      <c r="C57" s="18"/>
      <c r="D57" s="18"/>
      <c r="E57" s="18"/>
      <c r="F57" s="18"/>
      <c r="M57" s="18"/>
      <c r="N57" s="18"/>
      <c r="O57" s="18"/>
      <c r="P57" s="18"/>
      <c r="Q57" s="18"/>
      <c r="X57" s="18"/>
      <c r="Y57" s="18"/>
      <c r="Z57" s="18"/>
      <c r="AA57" s="18"/>
      <c r="AB57" s="18"/>
    </row>
    <row r="58" spans="1:32" x14ac:dyDescent="0.2">
      <c r="B58" s="18"/>
      <c r="C58" s="18"/>
      <c r="D58" s="18"/>
      <c r="E58" s="18"/>
      <c r="F58" s="18"/>
      <c r="M58" s="18"/>
      <c r="N58" s="18"/>
      <c r="O58" s="18"/>
      <c r="P58" s="18"/>
      <c r="Q58" s="18"/>
      <c r="X58" s="18"/>
      <c r="Y58" s="18"/>
      <c r="Z58" s="18"/>
      <c r="AA58" s="18"/>
      <c r="AB58" s="18"/>
    </row>
    <row r="59" spans="1:32" x14ac:dyDescent="0.2">
      <c r="B59" s="18"/>
      <c r="C59" s="18"/>
      <c r="D59" s="18"/>
      <c r="E59" s="18"/>
      <c r="F59" s="16" t="s">
        <v>36</v>
      </c>
      <c r="M59" s="18"/>
      <c r="N59" s="18"/>
      <c r="O59" s="18"/>
      <c r="P59" s="18"/>
      <c r="Q59" s="16" t="s">
        <v>36</v>
      </c>
      <c r="X59" s="18"/>
      <c r="Y59" s="18"/>
      <c r="Z59" s="18"/>
      <c r="AA59" s="18"/>
      <c r="AB59" s="16" t="s">
        <v>36</v>
      </c>
    </row>
    <row r="60" spans="1:32" x14ac:dyDescent="0.2">
      <c r="A60" s="36"/>
      <c r="B60" s="66"/>
      <c r="C60" s="66"/>
      <c r="D60" s="66"/>
      <c r="E60" s="66"/>
      <c r="F60" s="66"/>
      <c r="L60" s="36"/>
      <c r="M60" s="66"/>
      <c r="N60" s="66"/>
      <c r="O60" s="66"/>
      <c r="P60" s="66"/>
      <c r="Q60" s="66"/>
      <c r="W60" s="36"/>
      <c r="X60" s="66"/>
      <c r="Y60" s="66"/>
      <c r="Z60" s="66"/>
      <c r="AA60" s="66"/>
      <c r="AB60" s="66"/>
    </row>
    <row r="62" spans="1:32" x14ac:dyDescent="0.2">
      <c r="A62" s="41" t="s">
        <v>19</v>
      </c>
      <c r="B62" s="64" t="str">
        <f>CONCATENATE(B$6,"-",C$6)</f>
        <v>2015-2019</v>
      </c>
      <c r="C62" s="64" t="str">
        <f>CONCATENATE(C$6,"-",D$6)</f>
        <v>2019-2020</v>
      </c>
      <c r="D62" s="64" t="str">
        <f>CONCATENATE(D$6,"-",E$6)</f>
        <v>2020-2025</v>
      </c>
      <c r="E62" s="64" t="str">
        <f>CONCATENATE(E$6,"-",F$6)</f>
        <v>2025-2035</v>
      </c>
      <c r="F62" s="64" t="str">
        <f>CONCATENATE(D$6,"-",F$6)</f>
        <v>2020-2035</v>
      </c>
      <c r="L62" s="41" t="s">
        <v>19</v>
      </c>
      <c r="M62" s="64" t="str">
        <f>CONCATENATE(M$6,"-",N$6)</f>
        <v>2015-2019</v>
      </c>
      <c r="N62" s="64" t="str">
        <f>CONCATENATE(N$6,"-",O$6)</f>
        <v>2019-2020</v>
      </c>
      <c r="O62" s="64" t="str">
        <f>CONCATENATE(O$6,"-",P$6)</f>
        <v>2020-2025</v>
      </c>
      <c r="P62" s="64" t="str">
        <f>CONCATENATE(P$6,"-",Q$6)</f>
        <v>2025-2035</v>
      </c>
      <c r="Q62" s="64" t="str">
        <f>CONCATENATE(O$6,"-",Q$6)</f>
        <v>2020-2035</v>
      </c>
      <c r="W62" s="41" t="s">
        <v>19</v>
      </c>
      <c r="X62" s="64" t="str">
        <f>CONCATENATE(X$6,"-",Y$6)</f>
        <v>2015-2019</v>
      </c>
      <c r="Y62" s="64" t="str">
        <f>CONCATENATE(Y$6,"-",Z$6)</f>
        <v>2019-2020</v>
      </c>
      <c r="Z62" s="64" t="str">
        <f>CONCATENATE(Z$6,"-",AA$6)</f>
        <v>2020-2025</v>
      </c>
      <c r="AA62" s="64" t="str">
        <f>CONCATENATE(AA$6,"-",AB$6)</f>
        <v>2025-2035</v>
      </c>
      <c r="AB62" s="64" t="str">
        <f>CONCATENATE(Z$6,"-",AB$6)</f>
        <v>2020-2035</v>
      </c>
    </row>
    <row r="63" spans="1:32" x14ac:dyDescent="0.2">
      <c r="A63" s="1"/>
      <c r="B63" s="20"/>
      <c r="C63" s="20"/>
      <c r="D63" s="20"/>
      <c r="E63" s="20"/>
      <c r="F63" s="20"/>
      <c r="L63" s="1"/>
      <c r="M63" s="20"/>
      <c r="N63" s="20"/>
      <c r="O63" s="20"/>
      <c r="P63" s="20"/>
      <c r="Q63" s="20"/>
      <c r="W63" s="1"/>
      <c r="X63" s="20"/>
      <c r="Y63" s="20"/>
      <c r="Z63" s="20"/>
      <c r="AA63" s="20"/>
      <c r="AB63" s="20"/>
    </row>
    <row r="64" spans="1:32" x14ac:dyDescent="0.2">
      <c r="A64" t="str">
        <f>$A$8</f>
        <v>Managers, directors and senior officials</v>
      </c>
      <c r="B64" s="27">
        <f t="shared" ref="B64:E72" si="77">C8-B8</f>
        <v>3.9614627100283855</v>
      </c>
      <c r="C64" s="27">
        <f t="shared" si="77"/>
        <v>0.27741005246551254</v>
      </c>
      <c r="D64" s="27">
        <f t="shared" si="77"/>
        <v>0.61744195875795782</v>
      </c>
      <c r="E64" s="27">
        <f t="shared" si="77"/>
        <v>4.8266171323967839</v>
      </c>
      <c r="F64" s="27">
        <f>F8-D8</f>
        <v>5.4440590911547417</v>
      </c>
      <c r="L64" t="str">
        <f>$A$8</f>
        <v>Managers, directors and senior officials</v>
      </c>
      <c r="M64" s="27">
        <f t="shared" ref="M64:M72" si="78">N8-M8</f>
        <v>2.2937741241266565</v>
      </c>
      <c r="N64" s="27">
        <f t="shared" ref="N64:N72" si="79">O8-N8</f>
        <v>-0.7898977995148968</v>
      </c>
      <c r="O64" s="27">
        <f t="shared" ref="O64:O72" si="80">P8-O8</f>
        <v>-6.1212634441375258E-2</v>
      </c>
      <c r="P64" s="27">
        <f t="shared" ref="P64:P72" si="81">Q8-P8</f>
        <v>2.4075726632118304</v>
      </c>
      <c r="Q64" s="27">
        <f>Q8-O8</f>
        <v>2.3463600287704551</v>
      </c>
      <c r="W64" t="str">
        <f>$A$8</f>
        <v>Managers, directors and senior officials</v>
      </c>
      <c r="X64" s="27">
        <f t="shared" ref="X64:X72" si="82">Y8-X8</f>
        <v>1.6676885859017254</v>
      </c>
      <c r="Y64" s="27">
        <f t="shared" ref="Y64:Y72" si="83">Z8-Y8</f>
        <v>1.0673078519804857</v>
      </c>
      <c r="Z64" s="27">
        <f t="shared" ref="Z64:Z72" si="84">AA8-Z8</f>
        <v>0.67865459319931709</v>
      </c>
      <c r="AA64" s="27">
        <f t="shared" ref="AA64:AA72" si="85">AB8-AA8</f>
        <v>2.4190444691850281</v>
      </c>
      <c r="AB64" s="27">
        <f>AB8-Z8</f>
        <v>3.0976990623843452</v>
      </c>
    </row>
    <row r="65" spans="1:31" x14ac:dyDescent="0.2">
      <c r="A65" t="str">
        <f>$A$9</f>
        <v>Professional occupations</v>
      </c>
      <c r="B65" s="27">
        <f t="shared" si="77"/>
        <v>2.7534289111392667</v>
      </c>
      <c r="C65" s="27">
        <f t="shared" si="77"/>
        <v>6.1888254120013215</v>
      </c>
      <c r="D65" s="27">
        <f t="shared" si="77"/>
        <v>7.4289707805171759</v>
      </c>
      <c r="E65" s="27">
        <f t="shared" si="77"/>
        <v>10.307399393722378</v>
      </c>
      <c r="F65" s="27">
        <f t="shared" ref="F65:F72" si="86">F9-D9</f>
        <v>17.736370174239553</v>
      </c>
      <c r="L65" t="str">
        <f>$A$9</f>
        <v>Professional occupations</v>
      </c>
      <c r="M65" s="27">
        <f t="shared" si="78"/>
        <v>-0.34203939904626424</v>
      </c>
      <c r="N65" s="27">
        <f t="shared" si="79"/>
        <v>2.0797508797986097</v>
      </c>
      <c r="O65" s="27">
        <f t="shared" si="80"/>
        <v>2.6332329145011784</v>
      </c>
      <c r="P65" s="27">
        <f t="shared" si="81"/>
        <v>3.4977585473010961</v>
      </c>
      <c r="Q65" s="27">
        <f t="shared" ref="Q65:Q72" si="87">Q9-O9</f>
        <v>6.1309914618022745</v>
      </c>
      <c r="W65" t="str">
        <f>$A$9</f>
        <v>Professional occupations</v>
      </c>
      <c r="X65" s="27">
        <f t="shared" si="82"/>
        <v>3.0954683101855593</v>
      </c>
      <c r="Y65" s="27">
        <f t="shared" si="83"/>
        <v>4.1090745322026407</v>
      </c>
      <c r="Z65" s="27">
        <f t="shared" si="84"/>
        <v>4.7957378660160757</v>
      </c>
      <c r="AA65" s="27">
        <f t="shared" si="85"/>
        <v>6.8096408464211606</v>
      </c>
      <c r="AB65" s="27">
        <f t="shared" ref="AB65:AB72" si="88">AB9-Z9</f>
        <v>11.605378712437236</v>
      </c>
    </row>
    <row r="66" spans="1:31" x14ac:dyDescent="0.2">
      <c r="A66" t="str">
        <f>$A$10</f>
        <v>Associate professional occupations</v>
      </c>
      <c r="B66" s="27">
        <f t="shared" si="77"/>
        <v>1.9827161134915059</v>
      </c>
      <c r="C66" s="27">
        <f t="shared" si="77"/>
        <v>2.5474151950468809</v>
      </c>
      <c r="D66" s="27">
        <f t="shared" si="77"/>
        <v>-2.2849553287423845</v>
      </c>
      <c r="E66" s="27">
        <f t="shared" si="77"/>
        <v>3.6269718865474232</v>
      </c>
      <c r="F66" s="27">
        <f t="shared" si="86"/>
        <v>1.3420165578050387</v>
      </c>
      <c r="L66" t="str">
        <f>$A$10</f>
        <v>Associate professional occupations</v>
      </c>
      <c r="M66" s="27">
        <f t="shared" si="78"/>
        <v>1.4181158993827907</v>
      </c>
      <c r="N66" s="27">
        <f t="shared" si="79"/>
        <v>0.90843810324437513</v>
      </c>
      <c r="O66" s="27">
        <f t="shared" si="80"/>
        <v>-2.6345295614076143</v>
      </c>
      <c r="P66" s="27">
        <f t="shared" si="81"/>
        <v>0.42567409000067613</v>
      </c>
      <c r="Q66" s="27">
        <f t="shared" si="87"/>
        <v>-2.2088554714069382</v>
      </c>
      <c r="W66" t="str">
        <f>$A$10</f>
        <v>Associate professional occupations</v>
      </c>
      <c r="X66" s="27">
        <f t="shared" si="82"/>
        <v>0.56460021410869388</v>
      </c>
      <c r="Y66" s="27">
        <f t="shared" si="83"/>
        <v>1.6389770918025484</v>
      </c>
      <c r="Z66" s="27">
        <f t="shared" si="84"/>
        <v>0.3495742326652298</v>
      </c>
      <c r="AA66" s="27">
        <f t="shared" si="85"/>
        <v>3.2012977965467684</v>
      </c>
      <c r="AB66" s="27">
        <f t="shared" si="88"/>
        <v>3.5508720292119982</v>
      </c>
    </row>
    <row r="67" spans="1:31" x14ac:dyDescent="0.2">
      <c r="A67" t="str">
        <f>$A$11</f>
        <v>Administrative and secretarial occupations</v>
      </c>
      <c r="B67" s="27">
        <f t="shared" si="77"/>
        <v>-4.8542142627349492</v>
      </c>
      <c r="C67" s="27">
        <f t="shared" si="77"/>
        <v>2.0716838826073456</v>
      </c>
      <c r="D67" s="27">
        <f t="shared" si="77"/>
        <v>-3.3064610380051036</v>
      </c>
      <c r="E67" s="27">
        <f t="shared" si="77"/>
        <v>-3.3280387602877539</v>
      </c>
      <c r="F67" s="27">
        <f t="shared" si="86"/>
        <v>-6.6344997982928575</v>
      </c>
      <c r="L67" t="str">
        <f>$A$11</f>
        <v>Administrative and secretarial occupations</v>
      </c>
      <c r="M67" s="27">
        <f t="shared" si="78"/>
        <v>-1.5512885926092377</v>
      </c>
      <c r="N67" s="27">
        <f t="shared" si="79"/>
        <v>2.3582626567243565</v>
      </c>
      <c r="O67" s="27">
        <f t="shared" si="80"/>
        <v>-0.63479494240276324</v>
      </c>
      <c r="P67" s="27">
        <f t="shared" si="81"/>
        <v>1.4281524524143467</v>
      </c>
      <c r="Q67" s="27">
        <f t="shared" si="87"/>
        <v>0.7933575100115835</v>
      </c>
      <c r="W67" t="str">
        <f>$A$11</f>
        <v>Administrative and secretarial occupations</v>
      </c>
      <c r="X67" s="27">
        <f t="shared" si="82"/>
        <v>-3.3029256701257168</v>
      </c>
      <c r="Y67" s="27">
        <f t="shared" si="83"/>
        <v>-0.28657877411701094</v>
      </c>
      <c r="Z67" s="27">
        <f t="shared" si="84"/>
        <v>-2.6716660956022764</v>
      </c>
      <c r="AA67" s="27">
        <f t="shared" si="85"/>
        <v>-4.756191212702074</v>
      </c>
      <c r="AB67" s="27">
        <f t="shared" si="88"/>
        <v>-7.4278573083043504</v>
      </c>
    </row>
    <row r="68" spans="1:31" x14ac:dyDescent="0.2">
      <c r="A68" t="str">
        <f>$A$12</f>
        <v>Skilled trades occupations</v>
      </c>
      <c r="B68" s="27">
        <f t="shared" si="77"/>
        <v>-0.99697249132374566</v>
      </c>
      <c r="C68" s="27">
        <f t="shared" si="77"/>
        <v>-7.7795968377166815</v>
      </c>
      <c r="D68" s="27">
        <f t="shared" si="77"/>
        <v>-1.5129652560734854</v>
      </c>
      <c r="E68" s="27">
        <f t="shared" si="77"/>
        <v>-3.5562597740539772</v>
      </c>
      <c r="F68" s="27">
        <f t="shared" si="86"/>
        <v>-5.0692250301274626</v>
      </c>
      <c r="L68" t="str">
        <f>$A$12</f>
        <v>Skilled trades occupations</v>
      </c>
      <c r="M68" s="27">
        <f t="shared" si="78"/>
        <v>-0.21573729131937824</v>
      </c>
      <c r="N68" s="27">
        <f t="shared" si="79"/>
        <v>-8.4867678889760967</v>
      </c>
      <c r="O68" s="27">
        <f t="shared" si="80"/>
        <v>-1.9311901750640388</v>
      </c>
      <c r="P68" s="27">
        <f t="shared" si="81"/>
        <v>-3.7990319299059578</v>
      </c>
      <c r="Q68" s="27">
        <f t="shared" si="87"/>
        <v>-5.7302221049699966</v>
      </c>
      <c r="W68" t="str">
        <f>$A$12</f>
        <v>Skilled trades occupations</v>
      </c>
      <c r="X68" s="27">
        <f t="shared" si="82"/>
        <v>-0.78123520000437985</v>
      </c>
      <c r="Y68" s="27">
        <f t="shared" si="83"/>
        <v>0.7071710512594187</v>
      </c>
      <c r="Z68" s="27">
        <f t="shared" si="84"/>
        <v>0.4182249189905658</v>
      </c>
      <c r="AA68" s="27">
        <f t="shared" si="85"/>
        <v>0.24277215585198597</v>
      </c>
      <c r="AB68" s="27">
        <f t="shared" si="88"/>
        <v>0.66099707484255177</v>
      </c>
    </row>
    <row r="69" spans="1:31" x14ac:dyDescent="0.2">
      <c r="A69" t="str">
        <f>$A$13</f>
        <v>Caring, leisure and other service occupations</v>
      </c>
      <c r="B69" s="27">
        <f t="shared" si="77"/>
        <v>-1.6551216390976506</v>
      </c>
      <c r="C69" s="27">
        <f t="shared" si="77"/>
        <v>-0.39130071981698933</v>
      </c>
      <c r="D69" s="27">
        <f t="shared" si="77"/>
        <v>1.7381279997523507</v>
      </c>
      <c r="E69" s="27">
        <f t="shared" si="77"/>
        <v>1.4702061450858892</v>
      </c>
      <c r="F69" s="27">
        <f t="shared" si="86"/>
        <v>3.2083341448382399</v>
      </c>
      <c r="L69" t="str">
        <f>$A$13</f>
        <v>Caring, leisure and other service occupations</v>
      </c>
      <c r="M69" s="27">
        <f t="shared" si="78"/>
        <v>0.16668057714875228</v>
      </c>
      <c r="N69" s="27">
        <f t="shared" si="79"/>
        <v>-2.3011426746654351E-2</v>
      </c>
      <c r="O69" s="27">
        <f t="shared" si="80"/>
        <v>0.5868426157030795</v>
      </c>
      <c r="P69" s="27">
        <f t="shared" si="81"/>
        <v>0.8581054628382212</v>
      </c>
      <c r="Q69" s="27">
        <f t="shared" si="87"/>
        <v>1.4449480785413007</v>
      </c>
      <c r="W69" t="str">
        <f>$A$13</f>
        <v>Caring, leisure and other service occupations</v>
      </c>
      <c r="X69" s="27">
        <f t="shared" si="82"/>
        <v>-1.821802216246418</v>
      </c>
      <c r="Y69" s="27">
        <f t="shared" si="83"/>
        <v>-0.36828929307028346</v>
      </c>
      <c r="Z69" s="27">
        <f t="shared" si="84"/>
        <v>1.1512853840491744</v>
      </c>
      <c r="AA69" s="27">
        <f t="shared" si="85"/>
        <v>0.61210068224779235</v>
      </c>
      <c r="AB69" s="27">
        <f t="shared" si="88"/>
        <v>1.7633860662969667</v>
      </c>
    </row>
    <row r="70" spans="1:31" x14ac:dyDescent="0.2">
      <c r="A70" t="str">
        <f>$A$14</f>
        <v>Sales and customer service occupations</v>
      </c>
      <c r="B70" s="27">
        <f t="shared" si="77"/>
        <v>-5.3149593205918961</v>
      </c>
      <c r="C70" s="27">
        <f t="shared" si="77"/>
        <v>0.7039701500638742</v>
      </c>
      <c r="D70" s="27">
        <f t="shared" si="77"/>
        <v>-9.3654309376255185E-2</v>
      </c>
      <c r="E70" s="27">
        <f t="shared" si="77"/>
        <v>0.44062239417257842</v>
      </c>
      <c r="F70" s="27">
        <f t="shared" si="86"/>
        <v>0.34696808479632324</v>
      </c>
      <c r="L70" t="str">
        <f>$A$14</f>
        <v>Sales and customer service occupations</v>
      </c>
      <c r="M70" s="27">
        <f t="shared" si="78"/>
        <v>-1.06817200807982</v>
      </c>
      <c r="N70" s="27">
        <f t="shared" si="79"/>
        <v>0.34720216688259242</v>
      </c>
      <c r="O70" s="27">
        <f t="shared" si="80"/>
        <v>0.4253490707479024</v>
      </c>
      <c r="P70" s="27">
        <f t="shared" si="81"/>
        <v>1.0439281775495459</v>
      </c>
      <c r="Q70" s="27">
        <f t="shared" si="87"/>
        <v>1.4692772482974483</v>
      </c>
      <c r="W70" t="str">
        <f>$A$14</f>
        <v>Sales and customer service occupations</v>
      </c>
      <c r="X70" s="27">
        <f t="shared" si="82"/>
        <v>-4.2467873125119766</v>
      </c>
      <c r="Y70" s="27">
        <f t="shared" si="83"/>
        <v>0.35676798318131375</v>
      </c>
      <c r="Z70" s="27">
        <f t="shared" si="84"/>
        <v>-0.51900338012418246</v>
      </c>
      <c r="AA70" s="27">
        <f t="shared" si="85"/>
        <v>-0.60330578337701724</v>
      </c>
      <c r="AB70" s="27">
        <f t="shared" si="88"/>
        <v>-1.1223091635011997</v>
      </c>
    </row>
    <row r="71" spans="1:31" x14ac:dyDescent="0.2">
      <c r="A71" t="str">
        <f>$A$15</f>
        <v>Process, plant and machine operatives</v>
      </c>
      <c r="B71" s="27">
        <f t="shared" si="77"/>
        <v>1.9635416012195108</v>
      </c>
      <c r="C71" s="27">
        <f t="shared" si="77"/>
        <v>-4.6600114647886244</v>
      </c>
      <c r="D71" s="27">
        <f t="shared" si="77"/>
        <v>2.7160176376337759</v>
      </c>
      <c r="E71" s="27">
        <f t="shared" si="77"/>
        <v>-2.1643145473193286</v>
      </c>
      <c r="F71" s="27">
        <f t="shared" si="86"/>
        <v>0.55170309031444731</v>
      </c>
      <c r="L71" t="str">
        <f>$A$15</f>
        <v>Process, plant and machine operatives</v>
      </c>
      <c r="M71" s="27">
        <f t="shared" si="78"/>
        <v>1.9244156117946218</v>
      </c>
      <c r="N71" s="27">
        <f t="shared" si="79"/>
        <v>-3.8574061872115024</v>
      </c>
      <c r="O71" s="27">
        <f t="shared" si="80"/>
        <v>2.0578477698527564</v>
      </c>
      <c r="P71" s="27">
        <f t="shared" si="81"/>
        <v>-2.0207345822840921</v>
      </c>
      <c r="Q71" s="27">
        <f t="shared" si="87"/>
        <v>3.711318756866433E-2</v>
      </c>
      <c r="W71" t="str">
        <f>$A$15</f>
        <v>Process, plant and machine operatives</v>
      </c>
      <c r="X71" s="27">
        <f t="shared" si="82"/>
        <v>3.9125989424819707E-2</v>
      </c>
      <c r="Y71" s="27">
        <f t="shared" si="83"/>
        <v>-0.80260527757708378</v>
      </c>
      <c r="Z71" s="27">
        <f t="shared" si="84"/>
        <v>0.65816986778101771</v>
      </c>
      <c r="AA71" s="27">
        <f t="shared" si="85"/>
        <v>-0.14357996503518589</v>
      </c>
      <c r="AB71" s="27">
        <f t="shared" si="88"/>
        <v>0.51458990274583183</v>
      </c>
    </row>
    <row r="72" spans="1:31" x14ac:dyDescent="0.2">
      <c r="A72" t="str">
        <f>$A$16</f>
        <v>Elementary occupations</v>
      </c>
      <c r="B72" s="27">
        <f t="shared" si="77"/>
        <v>-3.9758816221307072</v>
      </c>
      <c r="C72" s="27">
        <f t="shared" si="77"/>
        <v>-3.6073956698623562</v>
      </c>
      <c r="D72" s="27">
        <f t="shared" si="77"/>
        <v>-1.4775224444644053</v>
      </c>
      <c r="E72" s="27">
        <f t="shared" si="77"/>
        <v>-1.5962038702638708</v>
      </c>
      <c r="F72" s="27">
        <f t="shared" si="86"/>
        <v>-3.0737263147282761</v>
      </c>
      <c r="L72" t="str">
        <f>$A$16</f>
        <v>Elementary occupations</v>
      </c>
      <c r="M72" s="27">
        <f t="shared" si="78"/>
        <v>-7.1114347811001011E-2</v>
      </c>
      <c r="N72" s="27">
        <f t="shared" si="79"/>
        <v>-2.0050742045423213</v>
      </c>
      <c r="O72" s="27">
        <f t="shared" si="80"/>
        <v>-0.11986532275181716</v>
      </c>
      <c r="P72" s="27">
        <f t="shared" si="81"/>
        <v>-1.6209034273648548</v>
      </c>
      <c r="Q72" s="27">
        <f t="shared" si="87"/>
        <v>-1.740768750116672</v>
      </c>
      <c r="W72" t="str">
        <f>$A$16</f>
        <v>Elementary occupations</v>
      </c>
      <c r="X72" s="27">
        <f t="shared" si="82"/>
        <v>-3.9047672743197523</v>
      </c>
      <c r="Y72" s="27">
        <f t="shared" si="83"/>
        <v>-1.6023214653200668</v>
      </c>
      <c r="Z72" s="27">
        <f t="shared" si="84"/>
        <v>-1.3576571217125526</v>
      </c>
      <c r="AA72" s="27">
        <f t="shared" si="85"/>
        <v>2.4699557100937852E-2</v>
      </c>
      <c r="AB72" s="27">
        <f t="shared" si="88"/>
        <v>-1.3329575646116147</v>
      </c>
    </row>
    <row r="73" spans="1:31" x14ac:dyDescent="0.2">
      <c r="B73" s="27"/>
      <c r="C73" s="27"/>
      <c r="D73" s="27"/>
      <c r="E73" s="27"/>
      <c r="F73" s="27"/>
      <c r="M73" s="27"/>
      <c r="N73" s="27"/>
      <c r="O73" s="27"/>
      <c r="P73" s="27"/>
      <c r="Q73" s="27"/>
      <c r="X73" s="27"/>
      <c r="Y73" s="27"/>
      <c r="Z73" s="27"/>
      <c r="AA73" s="27"/>
      <c r="AB73" s="27"/>
    </row>
    <row r="74" spans="1:31" x14ac:dyDescent="0.2">
      <c r="A74" s="24" t="str">
        <f>$A$18</f>
        <v>All occupations</v>
      </c>
      <c r="B74" s="29">
        <f>C18-B18</f>
        <v>-6.1360000000002515</v>
      </c>
      <c r="C74" s="29">
        <f t="shared" ref="C74" si="89">D18-C18</f>
        <v>-4.6489999999997167</v>
      </c>
      <c r="D74" s="29">
        <f>E18-D18</f>
        <v>3.8249999999996476</v>
      </c>
      <c r="E74" s="29">
        <f>F18-E18</f>
        <v>10.0270000000001</v>
      </c>
      <c r="F74" s="29">
        <f>F18-D18</f>
        <v>13.851999999999748</v>
      </c>
      <c r="L74" s="24" t="str">
        <f>$A$18</f>
        <v>All occupations</v>
      </c>
      <c r="M74" s="29">
        <f>N18-M18</f>
        <v>2.5546345735871228</v>
      </c>
      <c r="N74" s="29">
        <f t="shared" ref="N74" si="90">O18-N18</f>
        <v>-9.4685037003415857</v>
      </c>
      <c r="O74" s="29">
        <f>P18-O18</f>
        <v>0.32167973473733014</v>
      </c>
      <c r="P74" s="29">
        <f>Q18-P18</f>
        <v>2.2205214537607958</v>
      </c>
      <c r="Q74" s="29">
        <f>Q18-O18</f>
        <v>2.5422011884981259</v>
      </c>
      <c r="W74" s="24" t="str">
        <f>$A$18</f>
        <v>All occupations</v>
      </c>
      <c r="X74" s="29">
        <f>Y18-X18</f>
        <v>-8.6906345735874595</v>
      </c>
      <c r="Y74" s="29">
        <f t="shared" ref="Y74" si="91">Z18-Y18</f>
        <v>4.8195037003419827</v>
      </c>
      <c r="Z74" s="29">
        <f>AA18-Z18</f>
        <v>3.5033202652623459</v>
      </c>
      <c r="AA74" s="29">
        <f>AB18-AA18</f>
        <v>7.80647854623939</v>
      </c>
      <c r="AB74" s="29">
        <f>AB18-Z18</f>
        <v>11.309798811501736</v>
      </c>
    </row>
    <row r="78" spans="1:31" x14ac:dyDescent="0.2">
      <c r="D78" s="1" t="s">
        <v>13</v>
      </c>
      <c r="H78" s="41" t="s">
        <v>44</v>
      </c>
      <c r="O78" s="1" t="s">
        <v>13</v>
      </c>
      <c r="S78" s="41" t="s">
        <v>44</v>
      </c>
      <c r="Z78" s="1" t="s">
        <v>13</v>
      </c>
      <c r="AD78" s="41" t="s">
        <v>44</v>
      </c>
    </row>
    <row r="79" spans="1:31" x14ac:dyDescent="0.2">
      <c r="A79" s="22"/>
      <c r="B79" s="23">
        <f>B6</f>
        <v>2015</v>
      </c>
      <c r="C79" s="23">
        <f>C6</f>
        <v>2019</v>
      </c>
      <c r="D79" s="23">
        <f>D6</f>
        <v>2020</v>
      </c>
      <c r="E79" s="23">
        <f>E6</f>
        <v>2025</v>
      </c>
      <c r="F79" s="23">
        <f>F6</f>
        <v>2035</v>
      </c>
      <c r="H79" s="75" t="str">
        <f>CONCATENATE(B$6,"-",D$6)</f>
        <v>2015-2020</v>
      </c>
      <c r="I79" s="75" t="str">
        <f>F44</f>
        <v>2020-2035</v>
      </c>
      <c r="L79" s="22"/>
      <c r="M79" s="23">
        <f>M6</f>
        <v>2015</v>
      </c>
      <c r="N79" s="23">
        <f>N6</f>
        <v>2019</v>
      </c>
      <c r="O79" s="23">
        <f>O6</f>
        <v>2020</v>
      </c>
      <c r="P79" s="23">
        <f>P6</f>
        <v>2025</v>
      </c>
      <c r="Q79" s="23">
        <f>Q6</f>
        <v>2035</v>
      </c>
      <c r="S79" s="75" t="str">
        <f>CONCATENATE(M$6,"-",O$6)</f>
        <v>2015-2020</v>
      </c>
      <c r="T79" s="75" t="str">
        <f>Q44</f>
        <v>2020-2035</v>
      </c>
      <c r="W79" s="22"/>
      <c r="X79" s="23">
        <f>X6</f>
        <v>2015</v>
      </c>
      <c r="Y79" s="23">
        <f>Y6</f>
        <v>2019</v>
      </c>
      <c r="Z79" s="23">
        <f>Z6</f>
        <v>2020</v>
      </c>
      <c r="AA79" s="23">
        <f>AA6</f>
        <v>2025</v>
      </c>
      <c r="AB79" s="23">
        <f>AB6</f>
        <v>2035</v>
      </c>
      <c r="AD79" s="75" t="str">
        <f>CONCATENATE(X$6,"-",Z$6)</f>
        <v>2015-2020</v>
      </c>
      <c r="AE79" s="75" t="str">
        <f>AB44</f>
        <v>2020-2035</v>
      </c>
    </row>
    <row r="80" spans="1:31" x14ac:dyDescent="0.2">
      <c r="A80" t="str">
        <f t="shared" ref="A80:F88" si="92">A8</f>
        <v>Managers, directors and senior officials</v>
      </c>
      <c r="B80" s="11">
        <f t="shared" si="92"/>
        <v>36.006205962267231</v>
      </c>
      <c r="C80" s="11">
        <f t="shared" si="92"/>
        <v>39.967668672295616</v>
      </c>
      <c r="D80" s="11">
        <f t="shared" si="92"/>
        <v>40.245078724761129</v>
      </c>
      <c r="E80" s="11">
        <f t="shared" si="92"/>
        <v>40.862520683519087</v>
      </c>
      <c r="F80" s="11">
        <f t="shared" si="92"/>
        <v>45.689137815915871</v>
      </c>
      <c r="H80" s="40">
        <f>IF(D$6-B$6 &lt;&gt; 0,(EXP(LN(D8/B8)/(D$6-B$6))-1)*100,0)</f>
        <v>2.2508869728540271</v>
      </c>
      <c r="I80" s="40">
        <f t="shared" ref="I80:I88" si="93">F46</f>
        <v>0.84940619850819576</v>
      </c>
      <c r="L80" t="str">
        <f t="shared" ref="L80:Q88" si="94">L8</f>
        <v>Managers, directors and senior officials</v>
      </c>
      <c r="M80" s="11">
        <f t="shared" si="94"/>
        <v>23.777080714209085</v>
      </c>
      <c r="N80" s="11">
        <f t="shared" si="94"/>
        <v>26.070854838335741</v>
      </c>
      <c r="O80" s="11">
        <f t="shared" si="94"/>
        <v>25.280957038820844</v>
      </c>
      <c r="P80" s="11">
        <f t="shared" si="94"/>
        <v>25.219744404379469</v>
      </c>
      <c r="Q80" s="11">
        <f t="shared" si="94"/>
        <v>27.627317067591299</v>
      </c>
      <c r="S80" s="40">
        <f t="shared" ref="S80:S88" si="95">IF(O$6-M$6 &lt;&gt; 0,(EXP(LN(O8/M8)/(O$6-M$6))-1)*100,0)</f>
        <v>1.2341395109166209</v>
      </c>
      <c r="T80" s="40">
        <f t="shared" ref="T80:T88" si="96">Q46</f>
        <v>0.59344465346831132</v>
      </c>
      <c r="W80" t="str">
        <f t="shared" ref="W80:AB88" si="97">W8</f>
        <v>Managers, directors and senior officials</v>
      </c>
      <c r="X80" s="11">
        <f t="shared" si="97"/>
        <v>12.229125248058107</v>
      </c>
      <c r="Y80" s="11">
        <f t="shared" si="97"/>
        <v>13.896813833959833</v>
      </c>
      <c r="Z80" s="11">
        <f t="shared" si="97"/>
        <v>14.964121685940318</v>
      </c>
      <c r="AA80" s="11">
        <f t="shared" si="97"/>
        <v>15.642776279139635</v>
      </c>
      <c r="AB80" s="11">
        <f t="shared" si="97"/>
        <v>18.061820748324664</v>
      </c>
      <c r="AD80" s="40">
        <f t="shared" ref="AD80:AD88" si="98">IF(Z$6-X$6 &lt;&gt; 0,(EXP(LN(Z8/X8)/(Z$6-X$6))-1)*100,0)</f>
        <v>4.1192827329200821</v>
      </c>
      <c r="AE80" s="40">
        <f t="shared" ref="AE80:AE88" si="99">AB46</f>
        <v>1.2621987353513608</v>
      </c>
    </row>
    <row r="81" spans="1:31" x14ac:dyDescent="0.2">
      <c r="A81" t="str">
        <f t="shared" si="92"/>
        <v>Professional occupations</v>
      </c>
      <c r="B81" s="11">
        <f t="shared" si="92"/>
        <v>90.125276635320631</v>
      </c>
      <c r="C81" s="11">
        <f t="shared" si="92"/>
        <v>92.878705546459898</v>
      </c>
      <c r="D81" s="11">
        <f t="shared" si="92"/>
        <v>99.067530958461219</v>
      </c>
      <c r="E81" s="11">
        <f t="shared" si="92"/>
        <v>106.4965017389784</v>
      </c>
      <c r="F81" s="11">
        <f t="shared" si="92"/>
        <v>116.80390113270077</v>
      </c>
      <c r="H81" s="40">
        <f t="shared" ref="H81:H88" si="100">IF(D$6-B$6 &lt;&gt; 0,(EXP(LN(D9/B9)/(D$6-B$6))-1)*100,0)</f>
        <v>1.9100338169437014</v>
      </c>
      <c r="I81" s="40">
        <f t="shared" si="93"/>
        <v>1.1040145644863442</v>
      </c>
      <c r="L81" t="str">
        <f t="shared" si="94"/>
        <v>Professional occupations</v>
      </c>
      <c r="M81" s="11">
        <f t="shared" si="94"/>
        <v>44.585201277396358</v>
      </c>
      <c r="N81" s="11">
        <f t="shared" si="94"/>
        <v>44.243161878350094</v>
      </c>
      <c r="O81" s="11">
        <f t="shared" si="94"/>
        <v>46.322912758148703</v>
      </c>
      <c r="P81" s="11">
        <f t="shared" si="94"/>
        <v>48.956145672649882</v>
      </c>
      <c r="Q81" s="11">
        <f t="shared" si="94"/>
        <v>52.453904219950978</v>
      </c>
      <c r="S81" s="40">
        <f t="shared" si="95"/>
        <v>0.7676256671987236</v>
      </c>
      <c r="T81" s="40">
        <f t="shared" si="96"/>
        <v>0.83209653384497262</v>
      </c>
      <c r="W81" t="str">
        <f t="shared" si="97"/>
        <v>Professional occupations</v>
      </c>
      <c r="X81" s="11">
        <f t="shared" si="97"/>
        <v>45.540075357924252</v>
      </c>
      <c r="Y81" s="11">
        <f t="shared" si="97"/>
        <v>48.635543668109811</v>
      </c>
      <c r="Z81" s="11">
        <f t="shared" si="97"/>
        <v>52.744618200312452</v>
      </c>
      <c r="AA81" s="11">
        <f t="shared" si="97"/>
        <v>57.540356066328528</v>
      </c>
      <c r="AB81" s="11">
        <f t="shared" si="97"/>
        <v>64.349996912749688</v>
      </c>
      <c r="AD81" s="40">
        <f t="shared" si="98"/>
        <v>2.9809470901097423</v>
      </c>
      <c r="AE81" s="40">
        <f t="shared" si="99"/>
        <v>1.3346624456092915</v>
      </c>
    </row>
    <row r="82" spans="1:31" x14ac:dyDescent="0.2">
      <c r="A82" t="str">
        <f t="shared" si="92"/>
        <v>Associate professional occupations</v>
      </c>
      <c r="B82" s="11">
        <f t="shared" si="92"/>
        <v>51.546924924381955</v>
      </c>
      <c r="C82" s="11">
        <f t="shared" si="92"/>
        <v>53.529641037873461</v>
      </c>
      <c r="D82" s="11">
        <f t="shared" si="92"/>
        <v>56.077056232920341</v>
      </c>
      <c r="E82" s="11">
        <f t="shared" si="92"/>
        <v>53.792100904177957</v>
      </c>
      <c r="F82" s="11">
        <f t="shared" si="92"/>
        <v>57.41907279072538</v>
      </c>
      <c r="H82" s="40">
        <f t="shared" si="100"/>
        <v>1.6989546787445464</v>
      </c>
      <c r="I82" s="40">
        <f t="shared" si="93"/>
        <v>0.15778954122582789</v>
      </c>
      <c r="L82" t="str">
        <f t="shared" si="94"/>
        <v>Associate professional occupations</v>
      </c>
      <c r="M82" s="11">
        <f t="shared" si="94"/>
        <v>27.312945618268792</v>
      </c>
      <c r="N82" s="11">
        <f t="shared" si="94"/>
        <v>28.731061517651582</v>
      </c>
      <c r="O82" s="11">
        <f t="shared" si="94"/>
        <v>29.639499620895958</v>
      </c>
      <c r="P82" s="11">
        <f t="shared" si="94"/>
        <v>27.004970059488343</v>
      </c>
      <c r="Q82" s="11">
        <f t="shared" si="94"/>
        <v>27.430644149489019</v>
      </c>
      <c r="S82" s="40">
        <f t="shared" si="95"/>
        <v>1.6483809256407023</v>
      </c>
      <c r="T82" s="40">
        <f t="shared" si="96"/>
        <v>-0.51498359146410211</v>
      </c>
      <c r="W82" t="str">
        <f t="shared" si="97"/>
        <v>Associate professional occupations</v>
      </c>
      <c r="X82" s="11">
        <f t="shared" si="97"/>
        <v>24.233979306113163</v>
      </c>
      <c r="Y82" s="11">
        <f t="shared" si="97"/>
        <v>24.798579520221857</v>
      </c>
      <c r="Z82" s="11">
        <f t="shared" si="97"/>
        <v>26.437556612024405</v>
      </c>
      <c r="AA82" s="11">
        <f t="shared" si="97"/>
        <v>26.787130844689635</v>
      </c>
      <c r="AB82" s="11">
        <f t="shared" si="97"/>
        <v>29.988428641236403</v>
      </c>
      <c r="AD82" s="40">
        <f t="shared" si="98"/>
        <v>1.755833588227329</v>
      </c>
      <c r="AE82" s="40">
        <f t="shared" si="99"/>
        <v>0.84371267556921925</v>
      </c>
    </row>
    <row r="83" spans="1:31" x14ac:dyDescent="0.2">
      <c r="A83" t="str">
        <f t="shared" si="92"/>
        <v>Administrative and secretarial occupations</v>
      </c>
      <c r="B83" s="11">
        <f t="shared" si="92"/>
        <v>55.285626195180079</v>
      </c>
      <c r="C83" s="11">
        <f t="shared" si="92"/>
        <v>50.43141193244513</v>
      </c>
      <c r="D83" s="11">
        <f t="shared" si="92"/>
        <v>52.503095815052475</v>
      </c>
      <c r="E83" s="11">
        <f t="shared" si="92"/>
        <v>49.196634777047372</v>
      </c>
      <c r="F83" s="11">
        <f t="shared" si="92"/>
        <v>45.868596016759618</v>
      </c>
      <c r="H83" s="40">
        <f t="shared" si="100"/>
        <v>-1.0275010638791882</v>
      </c>
      <c r="I83" s="40">
        <f t="shared" si="93"/>
        <v>-0.896566229350515</v>
      </c>
      <c r="L83" t="str">
        <f t="shared" si="94"/>
        <v>Administrative and secretarial occupations</v>
      </c>
      <c r="M83" s="11">
        <f t="shared" si="94"/>
        <v>14.247451518360375</v>
      </c>
      <c r="N83" s="11">
        <f t="shared" si="94"/>
        <v>12.696162925751137</v>
      </c>
      <c r="O83" s="11">
        <f t="shared" si="94"/>
        <v>15.054425582475494</v>
      </c>
      <c r="P83" s="11">
        <f t="shared" si="94"/>
        <v>14.419630640072731</v>
      </c>
      <c r="Q83" s="11">
        <f t="shared" si="94"/>
        <v>15.847783092487077</v>
      </c>
      <c r="S83" s="40">
        <f t="shared" si="95"/>
        <v>1.1079721809116982</v>
      </c>
      <c r="T83" s="40">
        <f t="shared" si="96"/>
        <v>0.34297091026209703</v>
      </c>
      <c r="W83" t="str">
        <f t="shared" si="97"/>
        <v>Administrative and secretarial occupations</v>
      </c>
      <c r="X83" s="11">
        <f t="shared" si="97"/>
        <v>41.038174676819665</v>
      </c>
      <c r="Y83" s="11">
        <f t="shared" si="97"/>
        <v>37.735249006693948</v>
      </c>
      <c r="Z83" s="11">
        <f t="shared" si="97"/>
        <v>37.448670232576937</v>
      </c>
      <c r="AA83" s="11">
        <f t="shared" si="97"/>
        <v>34.777004136974661</v>
      </c>
      <c r="AB83" s="11">
        <f t="shared" si="97"/>
        <v>30.020812924272587</v>
      </c>
      <c r="AD83" s="40">
        <f t="shared" si="98"/>
        <v>-1.8139761751652106</v>
      </c>
      <c r="AE83" s="40">
        <f t="shared" si="99"/>
        <v>-1.4630603629857131</v>
      </c>
    </row>
    <row r="84" spans="1:31" x14ac:dyDescent="0.2">
      <c r="A84" t="str">
        <f t="shared" si="92"/>
        <v>Skilled trades occupations</v>
      </c>
      <c r="B84" s="11">
        <f t="shared" si="92"/>
        <v>57.02228187837261</v>
      </c>
      <c r="C84" s="11">
        <f t="shared" si="92"/>
        <v>56.025309387048864</v>
      </c>
      <c r="D84" s="11">
        <f t="shared" si="92"/>
        <v>48.245712549332183</v>
      </c>
      <c r="E84" s="11">
        <f t="shared" si="92"/>
        <v>46.732747293258697</v>
      </c>
      <c r="F84" s="11">
        <f t="shared" si="92"/>
        <v>43.17648751920472</v>
      </c>
      <c r="H84" s="40">
        <f t="shared" si="100"/>
        <v>-3.2874517651660384</v>
      </c>
      <c r="I84" s="40">
        <f t="shared" si="93"/>
        <v>-0.73734079315734835</v>
      </c>
      <c r="L84" t="str">
        <f t="shared" si="94"/>
        <v>Skilled trades occupations</v>
      </c>
      <c r="M84" s="11">
        <f t="shared" si="94"/>
        <v>51.499546209739762</v>
      </c>
      <c r="N84" s="11">
        <f t="shared" si="94"/>
        <v>51.283808918420384</v>
      </c>
      <c r="O84" s="11">
        <f t="shared" si="94"/>
        <v>42.797041029444287</v>
      </c>
      <c r="P84" s="11">
        <f t="shared" si="94"/>
        <v>40.865850854380248</v>
      </c>
      <c r="Q84" s="11">
        <f t="shared" si="94"/>
        <v>37.06681892447429</v>
      </c>
      <c r="S84" s="40">
        <f t="shared" si="95"/>
        <v>-3.6343914841787672</v>
      </c>
      <c r="T84" s="40">
        <f t="shared" si="96"/>
        <v>-0.95373458940091194</v>
      </c>
      <c r="W84" t="str">
        <f t="shared" si="97"/>
        <v>Skilled trades occupations</v>
      </c>
      <c r="X84" s="11">
        <f t="shared" si="97"/>
        <v>5.522735668632869</v>
      </c>
      <c r="Y84" s="11">
        <f t="shared" si="97"/>
        <v>4.7415004686284892</v>
      </c>
      <c r="Z84" s="11">
        <f t="shared" si="97"/>
        <v>5.4486715198879079</v>
      </c>
      <c r="AA84" s="11">
        <f t="shared" si="97"/>
        <v>5.8668964388784737</v>
      </c>
      <c r="AB84" s="11">
        <f t="shared" si="97"/>
        <v>6.1096685947304596</v>
      </c>
      <c r="AD84" s="40">
        <f t="shared" si="98"/>
        <v>-0.26966591696884201</v>
      </c>
      <c r="AE84" s="40">
        <f t="shared" si="99"/>
        <v>0.7662589240200246</v>
      </c>
    </row>
    <row r="85" spans="1:31" x14ac:dyDescent="0.2">
      <c r="A85" t="str">
        <f t="shared" si="92"/>
        <v>Caring, leisure and other service occupations</v>
      </c>
      <c r="B85" s="11">
        <f t="shared" si="92"/>
        <v>44.888544099919955</v>
      </c>
      <c r="C85" s="11">
        <f t="shared" si="92"/>
        <v>43.233422460822304</v>
      </c>
      <c r="D85" s="11">
        <f t="shared" si="92"/>
        <v>42.842121741005315</v>
      </c>
      <c r="E85" s="11">
        <f t="shared" si="92"/>
        <v>44.580249740757665</v>
      </c>
      <c r="F85" s="11">
        <f t="shared" si="92"/>
        <v>46.050455885843554</v>
      </c>
      <c r="H85" s="40">
        <f t="shared" si="100"/>
        <v>-0.92887600847602059</v>
      </c>
      <c r="I85" s="40">
        <f t="shared" si="93"/>
        <v>0.48260005426963293</v>
      </c>
      <c r="L85" t="str">
        <f t="shared" si="94"/>
        <v>Caring, leisure and other service occupations</v>
      </c>
      <c r="M85" s="11">
        <f t="shared" si="94"/>
        <v>7.7679966639228635</v>
      </c>
      <c r="N85" s="11">
        <f t="shared" si="94"/>
        <v>7.9346772410716158</v>
      </c>
      <c r="O85" s="11">
        <f t="shared" si="94"/>
        <v>7.9116658143249614</v>
      </c>
      <c r="P85" s="11">
        <f t="shared" si="94"/>
        <v>8.4985084300280409</v>
      </c>
      <c r="Q85" s="11">
        <f t="shared" si="94"/>
        <v>9.3566138928662621</v>
      </c>
      <c r="S85" s="40">
        <f t="shared" si="95"/>
        <v>0.36719359145687136</v>
      </c>
      <c r="T85" s="40">
        <f t="shared" si="96"/>
        <v>1.1245770623804718</v>
      </c>
      <c r="W85" t="str">
        <f t="shared" si="97"/>
        <v>Caring, leisure and other service occupations</v>
      </c>
      <c r="X85" s="11">
        <f t="shared" si="97"/>
        <v>37.120547435997089</v>
      </c>
      <c r="Y85" s="11">
        <f t="shared" si="97"/>
        <v>35.298745219750671</v>
      </c>
      <c r="Z85" s="11">
        <f t="shared" si="97"/>
        <v>34.930455926680388</v>
      </c>
      <c r="AA85" s="11">
        <f t="shared" si="97"/>
        <v>36.081741310729562</v>
      </c>
      <c r="AB85" s="11">
        <f t="shared" si="97"/>
        <v>36.693841992977354</v>
      </c>
      <c r="AD85" s="40">
        <f>IF(Z$6-X$6 &lt;&gt; 0,(EXP(LN(Z13/X13)/(Z$6-X$6))-1)*100,0)</f>
        <v>-1.2088646903478995</v>
      </c>
      <c r="AE85" s="40">
        <f t="shared" si="99"/>
        <v>0.32887184444079232</v>
      </c>
    </row>
    <row r="86" spans="1:31" x14ac:dyDescent="0.2">
      <c r="A86" t="str">
        <f t="shared" si="92"/>
        <v>Sales and customer service occupations</v>
      </c>
      <c r="B86" s="11">
        <f t="shared" si="92"/>
        <v>56.179250393666827</v>
      </c>
      <c r="C86" s="11">
        <f t="shared" si="92"/>
        <v>50.864291073074931</v>
      </c>
      <c r="D86" s="11">
        <f t="shared" si="92"/>
        <v>51.568261223138805</v>
      </c>
      <c r="E86" s="11">
        <f t="shared" si="92"/>
        <v>51.47460691376255</v>
      </c>
      <c r="F86" s="11">
        <f t="shared" si="92"/>
        <v>51.915229307935128</v>
      </c>
      <c r="H86" s="40">
        <f t="shared" si="100"/>
        <v>-1.6982363604291617</v>
      </c>
      <c r="I86" s="40">
        <f t="shared" si="93"/>
        <v>4.4715274753626133E-2</v>
      </c>
      <c r="L86" t="str">
        <f t="shared" si="94"/>
        <v>Sales and customer service occupations</v>
      </c>
      <c r="M86" s="11">
        <f t="shared" si="94"/>
        <v>17.902471627903907</v>
      </c>
      <c r="N86" s="11">
        <f t="shared" si="94"/>
        <v>16.834299619824087</v>
      </c>
      <c r="O86" s="11">
        <f t="shared" si="94"/>
        <v>17.181501786706679</v>
      </c>
      <c r="P86" s="11">
        <f t="shared" si="94"/>
        <v>17.606850857454582</v>
      </c>
      <c r="Q86" s="11">
        <f t="shared" si="94"/>
        <v>18.650779035004128</v>
      </c>
      <c r="S86" s="40">
        <f t="shared" si="95"/>
        <v>-0.81873903509445123</v>
      </c>
      <c r="T86" s="40">
        <f t="shared" si="96"/>
        <v>0.54852953746338251</v>
      </c>
      <c r="W86" t="str">
        <f t="shared" si="97"/>
        <v>Sales and customer service occupations</v>
      </c>
      <c r="X86" s="11">
        <f t="shared" si="97"/>
        <v>38.276778765762849</v>
      </c>
      <c r="Y86" s="11">
        <f t="shared" si="97"/>
        <v>34.029991453250872</v>
      </c>
      <c r="Z86" s="11">
        <f t="shared" si="97"/>
        <v>34.386759436432186</v>
      </c>
      <c r="AA86" s="11">
        <f t="shared" si="97"/>
        <v>33.867756056308004</v>
      </c>
      <c r="AB86" s="11">
        <f t="shared" si="97"/>
        <v>33.264450272930986</v>
      </c>
      <c r="AD86" s="40">
        <f t="shared" si="98"/>
        <v>-2.1206281236722968</v>
      </c>
      <c r="AE86" s="40">
        <f t="shared" si="99"/>
        <v>-0.22097098430312601</v>
      </c>
    </row>
    <row r="87" spans="1:31" x14ac:dyDescent="0.2">
      <c r="A87" t="str">
        <f t="shared" si="92"/>
        <v>Process, plant and machine operatives</v>
      </c>
      <c r="B87" s="11">
        <f t="shared" si="92"/>
        <v>38.275660553349219</v>
      </c>
      <c r="C87" s="11">
        <f t="shared" si="92"/>
        <v>40.23920215456873</v>
      </c>
      <c r="D87" s="11">
        <f t="shared" si="92"/>
        <v>35.579190689780106</v>
      </c>
      <c r="E87" s="11">
        <f t="shared" si="92"/>
        <v>38.295208327413881</v>
      </c>
      <c r="F87" s="11">
        <f t="shared" si="92"/>
        <v>36.130893780094553</v>
      </c>
      <c r="H87" s="40">
        <f t="shared" si="100"/>
        <v>-1.4504435088838363</v>
      </c>
      <c r="I87" s="40">
        <f t="shared" si="93"/>
        <v>0.10263494685138763</v>
      </c>
      <c r="L87" t="str">
        <f t="shared" si="94"/>
        <v>Process, plant and machine operatives</v>
      </c>
      <c r="M87" s="11">
        <f t="shared" si="94"/>
        <v>34.089676670018648</v>
      </c>
      <c r="N87" s="11">
        <f t="shared" si="94"/>
        <v>36.014092281813269</v>
      </c>
      <c r="O87" s="11">
        <f t="shared" si="94"/>
        <v>32.156686094601767</v>
      </c>
      <c r="P87" s="11">
        <f t="shared" si="94"/>
        <v>34.214533864454523</v>
      </c>
      <c r="Q87" s="11">
        <f t="shared" si="94"/>
        <v>32.193799282170431</v>
      </c>
      <c r="S87" s="40">
        <f t="shared" si="95"/>
        <v>-1.1606954849784579</v>
      </c>
      <c r="T87" s="40">
        <f t="shared" si="96"/>
        <v>7.6900986772709956E-3</v>
      </c>
      <c r="W87" t="str">
        <f t="shared" si="97"/>
        <v>Process, plant and machine operatives</v>
      </c>
      <c r="X87" s="11">
        <f t="shared" si="97"/>
        <v>4.1859838833306231</v>
      </c>
      <c r="Y87" s="11">
        <f t="shared" si="97"/>
        <v>4.2251098727554428</v>
      </c>
      <c r="Z87" s="11">
        <f t="shared" si="97"/>
        <v>3.422504595178359</v>
      </c>
      <c r="AA87" s="11">
        <f t="shared" si="97"/>
        <v>4.0806744629593767</v>
      </c>
      <c r="AB87" s="11">
        <f t="shared" si="97"/>
        <v>3.9370944979241909</v>
      </c>
      <c r="AD87" s="40">
        <f t="shared" si="98"/>
        <v>-3.9473618390106435</v>
      </c>
      <c r="AE87" s="40">
        <f t="shared" si="99"/>
        <v>0.93817616200968512</v>
      </c>
    </row>
    <row r="88" spans="1:31" x14ac:dyDescent="0.2">
      <c r="A88" t="str">
        <f t="shared" si="92"/>
        <v>Elementary occupations</v>
      </c>
      <c r="B88" s="11">
        <f t="shared" si="92"/>
        <v>60.381229357541621</v>
      </c>
      <c r="C88" s="11">
        <f t="shared" si="92"/>
        <v>56.405347735410913</v>
      </c>
      <c r="D88" s="11">
        <f t="shared" si="92"/>
        <v>52.797952065548557</v>
      </c>
      <c r="E88" s="11">
        <f t="shared" si="92"/>
        <v>51.320429621084152</v>
      </c>
      <c r="F88" s="11">
        <f t="shared" si="92"/>
        <v>49.724225750820281</v>
      </c>
      <c r="H88" s="40">
        <f t="shared" si="100"/>
        <v>-2.6484153285311396</v>
      </c>
      <c r="I88" s="40">
        <f t="shared" si="93"/>
        <v>-0.39906925598005571</v>
      </c>
      <c r="L88" t="str">
        <f t="shared" si="94"/>
        <v>Elementary occupations</v>
      </c>
      <c r="M88" s="11">
        <f t="shared" si="94"/>
        <v>31.762202941979808</v>
      </c>
      <c r="N88" s="11">
        <f t="shared" si="94"/>
        <v>31.691088594168807</v>
      </c>
      <c r="O88" s="11">
        <f t="shared" si="94"/>
        <v>29.686014389626486</v>
      </c>
      <c r="P88" s="11">
        <f t="shared" si="94"/>
        <v>29.566149066874669</v>
      </c>
      <c r="Q88" s="11">
        <f t="shared" si="94"/>
        <v>27.945245639509814</v>
      </c>
      <c r="S88" s="40">
        <f t="shared" si="95"/>
        <v>-1.3429204167688669</v>
      </c>
      <c r="T88" s="40">
        <f t="shared" si="96"/>
        <v>-0.40204931649966413</v>
      </c>
      <c r="W88" t="str">
        <f t="shared" si="97"/>
        <v>Elementary occupations</v>
      </c>
      <c r="X88" s="11">
        <f t="shared" si="97"/>
        <v>28.619026415561848</v>
      </c>
      <c r="Y88" s="11">
        <f t="shared" si="97"/>
        <v>24.714259141242096</v>
      </c>
      <c r="Z88" s="11">
        <f t="shared" si="97"/>
        <v>23.111937675922029</v>
      </c>
      <c r="AA88" s="11">
        <f t="shared" si="97"/>
        <v>21.754280554209476</v>
      </c>
      <c r="AB88" s="11">
        <f t="shared" si="97"/>
        <v>21.778980111310414</v>
      </c>
      <c r="AD88" s="40">
        <f t="shared" si="98"/>
        <v>-4.1843830267756621</v>
      </c>
      <c r="AE88" s="40">
        <f t="shared" si="99"/>
        <v>-0.39524336241312241</v>
      </c>
    </row>
    <row r="89" spans="1:31" x14ac:dyDescent="0.2">
      <c r="B89" s="11"/>
      <c r="C89" s="11"/>
      <c r="D89" s="11"/>
      <c r="E89" s="11"/>
      <c r="F89" s="11"/>
      <c r="H89" s="40"/>
      <c r="I89" s="40"/>
      <c r="M89" s="11"/>
      <c r="N89" s="11"/>
      <c r="O89" s="11"/>
      <c r="P89" s="11"/>
      <c r="Q89" s="11"/>
      <c r="S89" s="40"/>
      <c r="T89" s="40"/>
      <c r="X89" s="11"/>
      <c r="Y89" s="11"/>
      <c r="Z89" s="11"/>
      <c r="AA89" s="11"/>
      <c r="AB89" s="11"/>
      <c r="AD89" s="40"/>
      <c r="AE89" s="40"/>
    </row>
    <row r="90" spans="1:31" x14ac:dyDescent="0.2">
      <c r="A90" s="24" t="str">
        <f t="shared" ref="A90:F90" si="101">A18</f>
        <v>All occupations</v>
      </c>
      <c r="B90" s="34">
        <f t="shared" si="101"/>
        <v>489.71100000000007</v>
      </c>
      <c r="C90" s="34">
        <f t="shared" si="101"/>
        <v>483.57499999999982</v>
      </c>
      <c r="D90" s="34">
        <f t="shared" si="101"/>
        <v>478.9260000000001</v>
      </c>
      <c r="E90" s="34">
        <f t="shared" si="101"/>
        <v>482.75099999999975</v>
      </c>
      <c r="F90" s="34">
        <f t="shared" si="101"/>
        <v>492.77799999999985</v>
      </c>
      <c r="H90" s="43">
        <f>IF(D$6-B$6 &lt;&gt; 0,(EXP(LN(D18/B18)/(D$6-B$6))-1)*100,0)</f>
        <v>-0.44439610986766187</v>
      </c>
      <c r="I90" s="43">
        <f>F56</f>
        <v>0.1902652511108327</v>
      </c>
      <c r="L90" s="24" t="str">
        <f t="shared" ref="L90:Q90" si="102">L18</f>
        <v>All occupations</v>
      </c>
      <c r="M90" s="34">
        <f t="shared" si="102"/>
        <v>252.94457324179962</v>
      </c>
      <c r="N90" s="34">
        <f t="shared" si="102"/>
        <v>255.49920781538674</v>
      </c>
      <c r="O90" s="34">
        <f t="shared" si="102"/>
        <v>246.03070411504515</v>
      </c>
      <c r="P90" s="34">
        <f t="shared" si="102"/>
        <v>246.35238384978248</v>
      </c>
      <c r="Q90" s="34">
        <f t="shared" si="102"/>
        <v>248.57290530354328</v>
      </c>
      <c r="S90" s="43">
        <f>IF(O$6-M$6 &lt;&gt; 0,(EXP(LN(O18/M18)/(O$6-M$6))-1)*100,0)</f>
        <v>-0.55274759788335182</v>
      </c>
      <c r="T90" s="43">
        <f>Q56</f>
        <v>6.8555771349854133E-2</v>
      </c>
      <c r="W90" s="24" t="str">
        <f t="shared" ref="W90:AB90" si="103">W18</f>
        <v>All occupations</v>
      </c>
      <c r="X90" s="34">
        <f t="shared" si="103"/>
        <v>236.76642675820048</v>
      </c>
      <c r="Y90" s="34">
        <f t="shared" si="103"/>
        <v>228.07579218461302</v>
      </c>
      <c r="Z90" s="34">
        <f t="shared" si="103"/>
        <v>232.895295884955</v>
      </c>
      <c r="AA90" s="34">
        <f t="shared" si="103"/>
        <v>236.39861615021735</v>
      </c>
      <c r="AB90" s="34">
        <f t="shared" si="103"/>
        <v>244.20509469645674</v>
      </c>
      <c r="AD90" s="43">
        <f>IF(Z$6-X$6 &lt;&gt; 0,(EXP(LN(Z18/X18)/(Z$6-X$6))-1)*100,0)</f>
        <v>-0.32915978512056965</v>
      </c>
      <c r="AE90" s="43">
        <f>AB56</f>
        <v>0.31662985390408238</v>
      </c>
    </row>
  </sheetData>
  <phoneticPr fontId="4" type="noConversion"/>
  <pageMargins left="0.39370078740157483" right="0.39370078740157483" top="0.78740157480314965" bottom="0.78740157480314965" header="0.51181102362204722" footer="0.51181102362204722"/>
  <pageSetup paperSize="9" scale="73" fitToHeight="0" orientation="landscape" r:id="rId1"/>
  <headerFooter alignWithMargins="0"/>
  <rowBreaks count="1" manualBreakCount="1">
    <brk id="38" max="31" man="1"/>
  </rowBreaks>
  <colBreaks count="2" manualBreakCount="2">
    <brk id="11" max="89" man="1"/>
    <brk id="22" max="89" man="1"/>
  </colBreaks>
  <ignoredErrors>
    <ignoredError sqref="C45 C57:C61 C63" formula="1"/>
  </ignoredErrors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42"/>
  <dimension ref="A1:AF182"/>
  <sheetViews>
    <sheetView showGridLines="0" zoomScale="85" zoomScaleNormal="85" workbookViewId="0"/>
  </sheetViews>
  <sheetFormatPr defaultColWidth="9.140625" defaultRowHeight="12.75" x14ac:dyDescent="0.2"/>
  <cols>
    <col min="1" max="1" width="55.7109375" customWidth="1"/>
    <col min="2" max="6" width="10" customWidth="1"/>
    <col min="7" max="7" width="6.7109375" customWidth="1"/>
    <col min="8" max="10" width="13" customWidth="1"/>
    <col min="12" max="12" width="55.7109375" customWidth="1"/>
    <col min="13" max="17" width="10" customWidth="1"/>
    <col min="18" max="18" width="6.7109375" customWidth="1"/>
    <col min="19" max="21" width="13" customWidth="1"/>
    <col min="23" max="23" width="55.7109375" customWidth="1"/>
    <col min="24" max="28" width="10" customWidth="1"/>
    <col min="29" max="29" width="6.7109375" customWidth="1"/>
    <col min="30" max="32" width="13" customWidth="1"/>
  </cols>
  <sheetData>
    <row r="1" spans="1:32" ht="15.75" x14ac:dyDescent="0.25">
      <c r="A1" s="19" t="str">
        <f>CONCATENATE("Occupation Table 2  Employment Change by Occupation (SOC 2020) and Replacement Demand, ",B$6,"-",F$6,", ",Info!B5)</f>
        <v>Occupation Table 2  Employment Change by Occupation (SOC 2020) and Replacement Demand, 2015-2035, North East</v>
      </c>
      <c r="L1" s="19" t="str">
        <f>CONCATENATE("Occupation Table 2.1  Males: Employment Change by Occupation (SOC 2020) and Replacement Demand, ",M$6,"-",Q$6,", ",Info!B5)</f>
        <v>Occupation Table 2.1  Males: Employment Change by Occupation (SOC 2020) and Replacement Demand, 2015-2035, North East</v>
      </c>
      <c r="W1" s="19" t="str">
        <f>CONCATENATE("Occupation Table 2.2  Females: Employment Change by Occupation (SOC 2020) and Replacement Demand, ",X$6,"-",AB$6,", ",Info!B5)</f>
        <v>Occupation Table 2.2  Females: Employment Change by Occupation (SOC 2020) and Replacement Demand, 2015-2035, North East</v>
      </c>
    </row>
    <row r="2" spans="1:32" ht="12.75" customHeight="1" x14ac:dyDescent="0.2">
      <c r="A2" s="182" t="s">
        <v>518</v>
      </c>
      <c r="D2" s="340"/>
      <c r="G2" s="86"/>
      <c r="J2" s="86"/>
      <c r="M2" s="86"/>
      <c r="P2" s="86"/>
      <c r="S2" s="86"/>
      <c r="V2" s="86"/>
    </row>
    <row r="3" spans="1:32" x14ac:dyDescent="0.2">
      <c r="F3" s="16" t="s">
        <v>36</v>
      </c>
      <c r="J3" s="16" t="s">
        <v>36</v>
      </c>
      <c r="Q3" s="16" t="s">
        <v>36</v>
      </c>
      <c r="U3" s="16" t="s">
        <v>36</v>
      </c>
      <c r="AB3" s="16" t="s">
        <v>36</v>
      </c>
      <c r="AF3" s="16" t="s">
        <v>36</v>
      </c>
    </row>
    <row r="4" spans="1:32" x14ac:dyDescent="0.2">
      <c r="A4" s="36"/>
      <c r="B4" s="36"/>
      <c r="C4" s="36"/>
      <c r="D4" s="36"/>
      <c r="E4" s="36"/>
      <c r="F4" s="36"/>
      <c r="H4" s="99" t="str">
        <f>CONCATENATE(D6,"-",F6)</f>
        <v>2020-2035</v>
      </c>
      <c r="I4" s="36"/>
      <c r="J4" s="36"/>
      <c r="L4" s="28" t="s">
        <v>104</v>
      </c>
      <c r="M4" s="36"/>
      <c r="N4" s="36"/>
      <c r="O4" s="36"/>
      <c r="P4" s="36"/>
      <c r="Q4" s="36"/>
      <c r="S4" s="99" t="str">
        <f>CONCATENATE(O6,"-",Q6)</f>
        <v>2020-2035</v>
      </c>
      <c r="T4" s="36"/>
      <c r="U4" s="36"/>
      <c r="W4" s="28" t="s">
        <v>105</v>
      </c>
      <c r="X4" s="36"/>
      <c r="Y4" s="36"/>
      <c r="Z4" s="36"/>
      <c r="AA4" s="36"/>
      <c r="AB4" s="36"/>
      <c r="AD4" s="99" t="str">
        <f>CONCATENATE(Z6,"-",AB6)</f>
        <v>2020-2035</v>
      </c>
      <c r="AE4" s="36"/>
      <c r="AF4" s="36"/>
    </row>
    <row r="5" spans="1:32" x14ac:dyDescent="0.2">
      <c r="H5" s="16" t="s">
        <v>30</v>
      </c>
      <c r="I5" s="16" t="s">
        <v>31</v>
      </c>
      <c r="J5" s="16" t="s">
        <v>33</v>
      </c>
      <c r="S5" s="16" t="s">
        <v>30</v>
      </c>
      <c r="T5" s="16" t="s">
        <v>31</v>
      </c>
      <c r="U5" s="16" t="s">
        <v>33</v>
      </c>
      <c r="AD5" s="16" t="s">
        <v>30</v>
      </c>
      <c r="AE5" s="16" t="s">
        <v>31</v>
      </c>
      <c r="AF5" s="16" t="s">
        <v>33</v>
      </c>
    </row>
    <row r="6" spans="1:32" x14ac:dyDescent="0.2">
      <c r="A6" s="41" t="s">
        <v>18</v>
      </c>
      <c r="B6" s="42">
        <v>2015</v>
      </c>
      <c r="C6" s="42">
        <v>2019</v>
      </c>
      <c r="D6" s="42">
        <v>2020</v>
      </c>
      <c r="E6" s="42">
        <v>2025</v>
      </c>
      <c r="F6" s="42">
        <v>2035</v>
      </c>
      <c r="H6" s="63" t="s">
        <v>19</v>
      </c>
      <c r="I6" s="63" t="s">
        <v>32</v>
      </c>
      <c r="J6" s="63" t="s">
        <v>34</v>
      </c>
      <c r="L6" s="41" t="s">
        <v>18</v>
      </c>
      <c r="M6" s="42">
        <f>B6</f>
        <v>2015</v>
      </c>
      <c r="N6" s="42">
        <f t="shared" ref="N6:Q6" si="0">C6</f>
        <v>2019</v>
      </c>
      <c r="O6" s="42">
        <f t="shared" si="0"/>
        <v>2020</v>
      </c>
      <c r="P6" s="42">
        <f t="shared" si="0"/>
        <v>2025</v>
      </c>
      <c r="Q6" s="42">
        <f t="shared" si="0"/>
        <v>2035</v>
      </c>
      <c r="S6" s="63" t="s">
        <v>19</v>
      </c>
      <c r="T6" s="63" t="s">
        <v>32</v>
      </c>
      <c r="U6" s="63" t="s">
        <v>34</v>
      </c>
      <c r="W6" s="41" t="s">
        <v>18</v>
      </c>
      <c r="X6" s="42">
        <f>B6</f>
        <v>2015</v>
      </c>
      <c r="Y6" s="42">
        <f t="shared" ref="Y6:AB6" si="1">C6</f>
        <v>2019</v>
      </c>
      <c r="Z6" s="42">
        <f t="shared" si="1"/>
        <v>2020</v>
      </c>
      <c r="AA6" s="42">
        <f t="shared" si="1"/>
        <v>2025</v>
      </c>
      <c r="AB6" s="42">
        <f t="shared" si="1"/>
        <v>2035</v>
      </c>
      <c r="AD6" s="63" t="s">
        <v>19</v>
      </c>
      <c r="AE6" s="63" t="s">
        <v>32</v>
      </c>
      <c r="AF6" s="63" t="s">
        <v>34</v>
      </c>
    </row>
    <row r="8" spans="1:32" x14ac:dyDescent="0.2">
      <c r="A8" s="10" t="str">
        <f>name!D4</f>
        <v>11 Corporate managers and directors</v>
      </c>
      <c r="B8" s="11">
        <v>21.732746128315462</v>
      </c>
      <c r="C8" s="11">
        <v>24.68359891633521</v>
      </c>
      <c r="D8" s="11">
        <v>25.412554043295046</v>
      </c>
      <c r="E8" s="11">
        <v>23.185685027332152</v>
      </c>
      <c r="F8" s="11">
        <v>25.23356948501899</v>
      </c>
      <c r="G8" s="10"/>
      <c r="H8" s="11">
        <f>F8-D8</f>
        <v>-0.1789845582760563</v>
      </c>
      <c r="I8" s="11">
        <f>'RD T1'!E7</f>
        <v>12.336519298622383</v>
      </c>
      <c r="J8" s="11">
        <f>SUM(H8:I8)</f>
        <v>12.157534740346327</v>
      </c>
      <c r="L8" s="10" t="str">
        <f>name!D4</f>
        <v>11 Corporate managers and directors</v>
      </c>
      <c r="M8" s="11">
        <v>14.884311138596459</v>
      </c>
      <c r="N8" s="11">
        <v>16.622865373817429</v>
      </c>
      <c r="O8" s="11">
        <v>16.741476842741733</v>
      </c>
      <c r="P8" s="11">
        <v>14.743313970781722</v>
      </c>
      <c r="Q8" s="11">
        <v>15.304667538337902</v>
      </c>
      <c r="R8" s="10"/>
      <c r="S8" s="11">
        <f>Q8-O8</f>
        <v>-1.4368093044038304</v>
      </c>
      <c r="T8" s="11">
        <f>'RD T1'!T7</f>
        <v>6.9684394897754185</v>
      </c>
      <c r="U8" s="11">
        <f>SUM(S8:T8)</f>
        <v>5.5316301853715881</v>
      </c>
      <c r="W8" s="10" t="str">
        <f>name!D4</f>
        <v>11 Corporate managers and directors</v>
      </c>
      <c r="X8" s="11">
        <v>6.848434989718978</v>
      </c>
      <c r="Y8" s="11">
        <v>8.0607335425177578</v>
      </c>
      <c r="Z8" s="11">
        <v>8.6710772005533556</v>
      </c>
      <c r="AA8" s="11">
        <v>8.4423710565504226</v>
      </c>
      <c r="AB8" s="11">
        <v>9.9289019466811599</v>
      </c>
      <c r="AC8" s="10"/>
      <c r="AD8" s="11">
        <f>AB8-Z8</f>
        <v>1.2578247461278043</v>
      </c>
      <c r="AE8" s="11">
        <f>'RD T1'!T36</f>
        <v>5.3680798088469652</v>
      </c>
      <c r="AF8" s="11">
        <f>SUM(AD8:AE8)</f>
        <v>6.6259045549747695</v>
      </c>
    </row>
    <row r="9" spans="1:32" x14ac:dyDescent="0.2">
      <c r="A9" s="10" t="str">
        <f>name!D5</f>
        <v>12 Other managers and proprietors</v>
      </c>
      <c r="B9" s="11">
        <v>14.273459833951772</v>
      </c>
      <c r="C9" s="11">
        <v>15.284069755960404</v>
      </c>
      <c r="D9" s="11">
        <v>14.832524681466086</v>
      </c>
      <c r="E9" s="11">
        <v>17.676835656186935</v>
      </c>
      <c r="F9" s="11">
        <v>20.455568330896881</v>
      </c>
      <c r="H9" s="11">
        <f t="shared" ref="H9:H32" si="2">F9-D9</f>
        <v>5.6230436494307945</v>
      </c>
      <c r="I9" s="11">
        <f>'RD T1'!E8</f>
        <v>10.422098128302226</v>
      </c>
      <c r="J9" s="11">
        <f>SUM(H9:I9)</f>
        <v>16.045141777733022</v>
      </c>
      <c r="L9" s="10" t="str">
        <f>name!D5</f>
        <v>12 Other managers and proprietors</v>
      </c>
      <c r="M9" s="11">
        <v>8.8927695756126237</v>
      </c>
      <c r="N9" s="11">
        <v>9.4479894645183116</v>
      </c>
      <c r="O9" s="11">
        <v>8.5394801960791096</v>
      </c>
      <c r="P9" s="11">
        <v>10.476430433597745</v>
      </c>
      <c r="Q9" s="11">
        <v>12.322649529253395</v>
      </c>
      <c r="S9" s="11">
        <f t="shared" ref="S9:S32" si="3">Q9-O9</f>
        <v>3.7831693331742855</v>
      </c>
      <c r="T9" s="11">
        <f>'RD T1'!T8</f>
        <v>5.5838040433541538</v>
      </c>
      <c r="U9" s="11">
        <f>SUM(S9:T9)</f>
        <v>9.3669733765284384</v>
      </c>
      <c r="W9" s="10" t="str">
        <f>name!D5</f>
        <v>12 Other managers and proprietors</v>
      </c>
      <c r="X9" s="11">
        <v>5.3806902583391292</v>
      </c>
      <c r="Y9" s="11">
        <v>5.8360802914420749</v>
      </c>
      <c r="Z9" s="11">
        <v>6.2930444853869627</v>
      </c>
      <c r="AA9" s="11">
        <v>7.2004052225892137</v>
      </c>
      <c r="AB9" s="11">
        <v>8.1329188016435054</v>
      </c>
      <c r="AD9" s="11">
        <f t="shared" ref="AD9:AD32" si="4">AB9-Z9</f>
        <v>1.8398743162565427</v>
      </c>
      <c r="AE9" s="11">
        <f>'RD T1'!T37</f>
        <v>4.8382940849480711</v>
      </c>
      <c r="AF9" s="11">
        <f>SUM(AD9:AE9)</f>
        <v>6.6781684012046139</v>
      </c>
    </row>
    <row r="10" spans="1:32" x14ac:dyDescent="0.2">
      <c r="A10" s="10" t="str">
        <f>name!D6</f>
        <v>21 Science, research, engineering and technology professionals</v>
      </c>
      <c r="B10" s="11">
        <v>21.426021449350184</v>
      </c>
      <c r="C10" s="11">
        <v>22.375685399680563</v>
      </c>
      <c r="D10" s="11">
        <v>23.469639078952422</v>
      </c>
      <c r="E10" s="11">
        <v>24.314393776822961</v>
      </c>
      <c r="F10" s="11">
        <v>26.474817136388868</v>
      </c>
      <c r="G10" s="11"/>
      <c r="H10" s="11">
        <f t="shared" si="2"/>
        <v>3.0051780574364457</v>
      </c>
      <c r="I10" s="11">
        <f>'RD T1'!E9</f>
        <v>9.0801877363810739</v>
      </c>
      <c r="J10" s="11">
        <f t="shared" ref="J10:J32" si="5">SUM(H10:I10)</f>
        <v>12.08536579381752</v>
      </c>
      <c r="L10" s="10" t="str">
        <f>name!D6</f>
        <v>21 Science, research, engineering and technology professionals</v>
      </c>
      <c r="M10" s="11">
        <v>17.941545497871417</v>
      </c>
      <c r="N10" s="11">
        <v>18.893759731497138</v>
      </c>
      <c r="O10" s="11">
        <v>19.127041645921725</v>
      </c>
      <c r="P10" s="11">
        <v>19.227882604986487</v>
      </c>
      <c r="Q10" s="11">
        <v>20.286600576930685</v>
      </c>
      <c r="R10" s="11"/>
      <c r="S10" s="11">
        <f t="shared" si="3"/>
        <v>1.1595589310089593</v>
      </c>
      <c r="T10" s="11">
        <f>'RD T1'!T9</f>
        <v>6.3109021340716787</v>
      </c>
      <c r="U10" s="11">
        <f t="shared" ref="U10:U32" si="6">SUM(S10:T10)</f>
        <v>7.470461065080638</v>
      </c>
      <c r="W10" s="10" t="str">
        <f>name!D6</f>
        <v>21 Science, research, engineering and technology professionals</v>
      </c>
      <c r="X10" s="11">
        <v>3.484475951478744</v>
      </c>
      <c r="Y10" s="11">
        <v>3.4819256681834223</v>
      </c>
      <c r="Z10" s="11">
        <v>4.3425974330306794</v>
      </c>
      <c r="AA10" s="11">
        <v>5.0865111718365075</v>
      </c>
      <c r="AB10" s="11">
        <v>6.1882165594581462</v>
      </c>
      <c r="AC10" s="11"/>
      <c r="AD10" s="11">
        <f t="shared" si="4"/>
        <v>1.8456191264274668</v>
      </c>
      <c r="AE10" s="11">
        <f>'RD T1'!T38</f>
        <v>2.7692856023093966</v>
      </c>
      <c r="AF10" s="11">
        <f t="shared" ref="AF10:AF32" si="7">SUM(AD10:AE10)</f>
        <v>4.6149047287368639</v>
      </c>
    </row>
    <row r="11" spans="1:32" x14ac:dyDescent="0.2">
      <c r="A11" s="10" t="str">
        <f>name!D7</f>
        <v>22 Health professionals</v>
      </c>
      <c r="B11" s="11">
        <v>27.572687353088558</v>
      </c>
      <c r="C11" s="11">
        <v>27.845345060706606</v>
      </c>
      <c r="D11" s="11">
        <v>29.027771962856097</v>
      </c>
      <c r="E11" s="11">
        <v>31.484028005298615</v>
      </c>
      <c r="F11" s="11">
        <v>34.325942505499306</v>
      </c>
      <c r="G11" s="11"/>
      <c r="H11" s="11">
        <f t="shared" si="2"/>
        <v>5.2981705426432093</v>
      </c>
      <c r="I11" s="11">
        <f>'RD T1'!E10</f>
        <v>17.600447825754891</v>
      </c>
      <c r="J11" s="11">
        <f t="shared" si="5"/>
        <v>22.8986183683981</v>
      </c>
      <c r="L11" s="10" t="str">
        <f>name!D7</f>
        <v>22 Health professionals</v>
      </c>
      <c r="M11" s="11">
        <v>6.7810987893322174</v>
      </c>
      <c r="N11" s="11">
        <v>6.8323181000760114</v>
      </c>
      <c r="O11" s="11">
        <v>7.7200961463991424</v>
      </c>
      <c r="P11" s="11">
        <v>8.3113285097162297</v>
      </c>
      <c r="Q11" s="11">
        <v>9.1520704129762578</v>
      </c>
      <c r="R11" s="11"/>
      <c r="S11" s="11">
        <f t="shared" si="3"/>
        <v>1.4319742665771154</v>
      </c>
      <c r="T11" s="11">
        <f>'RD T1'!T10</f>
        <v>3.3221536265778795</v>
      </c>
      <c r="U11" s="11">
        <f t="shared" si="6"/>
        <v>4.7541278931549948</v>
      </c>
      <c r="W11" s="10" t="str">
        <f>name!D7</f>
        <v>22 Health professionals</v>
      </c>
      <c r="X11" s="11">
        <v>20.791588563756338</v>
      </c>
      <c r="Y11" s="11">
        <v>21.013026960630611</v>
      </c>
      <c r="Z11" s="11">
        <v>21.307675816456939</v>
      </c>
      <c r="AA11" s="11">
        <v>23.17269949558235</v>
      </c>
      <c r="AB11" s="11">
        <v>25.173872092522984</v>
      </c>
      <c r="AC11" s="11"/>
      <c r="AD11" s="11">
        <f t="shared" si="4"/>
        <v>3.8661962760660451</v>
      </c>
      <c r="AE11" s="11">
        <f>'RD T1'!T39</f>
        <v>14.27829419917701</v>
      </c>
      <c r="AF11" s="11">
        <f t="shared" si="7"/>
        <v>18.144490475243053</v>
      </c>
    </row>
    <row r="12" spans="1:32" x14ac:dyDescent="0.2">
      <c r="A12" s="10" t="str">
        <f>name!D8</f>
        <v>23 Teaching and other educational professionals</v>
      </c>
      <c r="B12" s="11">
        <v>21.073206393473654</v>
      </c>
      <c r="C12" s="11">
        <v>21.064663212375553</v>
      </c>
      <c r="D12" s="11">
        <v>22.082745267226372</v>
      </c>
      <c r="E12" s="11">
        <v>24.074771011161502</v>
      </c>
      <c r="F12" s="11">
        <v>25.804378704259623</v>
      </c>
      <c r="G12" s="11"/>
      <c r="H12" s="11">
        <f t="shared" si="2"/>
        <v>3.7216334370332511</v>
      </c>
      <c r="I12" s="11">
        <f>'RD T1'!E11</f>
        <v>12.212742194513231</v>
      </c>
      <c r="J12" s="11">
        <f t="shared" si="5"/>
        <v>15.934375631546482</v>
      </c>
      <c r="L12" s="10" t="str">
        <f>name!D8</f>
        <v>23 Teaching and other educational professionals</v>
      </c>
      <c r="M12" s="11">
        <v>8.947303779179995</v>
      </c>
      <c r="N12" s="11">
        <v>7.4491986146062432</v>
      </c>
      <c r="O12" s="11">
        <v>7.2882127538216164</v>
      </c>
      <c r="P12" s="11">
        <v>8.106675332173797</v>
      </c>
      <c r="Q12" s="11">
        <v>8.4725641561284952</v>
      </c>
      <c r="R12" s="11"/>
      <c r="S12" s="11">
        <f t="shared" si="3"/>
        <v>1.1843514023068789</v>
      </c>
      <c r="T12" s="11">
        <f>'RD T1'!T11</f>
        <v>3.5234892981428305</v>
      </c>
      <c r="U12" s="11">
        <f t="shared" si="6"/>
        <v>4.7078407004497098</v>
      </c>
      <c r="W12" s="10" t="str">
        <f>name!D8</f>
        <v>23 Teaching and other educational professionals</v>
      </c>
      <c r="X12" s="11">
        <v>12.125902614293683</v>
      </c>
      <c r="Y12" s="11">
        <v>13.615464597769298</v>
      </c>
      <c r="Z12" s="11">
        <v>14.794532513404732</v>
      </c>
      <c r="AA12" s="11">
        <v>15.968095678987732</v>
      </c>
      <c r="AB12" s="11">
        <v>17.331814548131153</v>
      </c>
      <c r="AC12" s="11"/>
      <c r="AD12" s="11">
        <f t="shared" si="4"/>
        <v>2.5372820347264202</v>
      </c>
      <c r="AE12" s="11">
        <f>'RD T1'!T40</f>
        <v>8.6892528963704017</v>
      </c>
      <c r="AF12" s="11">
        <f t="shared" si="7"/>
        <v>11.226534931096822</v>
      </c>
    </row>
    <row r="13" spans="1:32" x14ac:dyDescent="0.2">
      <c r="A13" s="10" t="str">
        <f>name!D9</f>
        <v>24 Business, media and public service professionals</v>
      </c>
      <c r="B13" s="11">
        <v>20.053361439408231</v>
      </c>
      <c r="C13" s="11">
        <v>21.593011873697176</v>
      </c>
      <c r="D13" s="11">
        <v>24.487374649426325</v>
      </c>
      <c r="E13" s="11">
        <v>26.623308945695321</v>
      </c>
      <c r="F13" s="11">
        <v>30.198762786552976</v>
      </c>
      <c r="G13" s="11"/>
      <c r="H13" s="11">
        <f t="shared" si="2"/>
        <v>5.7113881371266508</v>
      </c>
      <c r="I13" s="11">
        <f>'RD T1'!E12</f>
        <v>13.508324936347462</v>
      </c>
      <c r="J13" s="11">
        <f t="shared" si="5"/>
        <v>19.219713073474111</v>
      </c>
      <c r="L13" s="10" t="str">
        <f>name!D9</f>
        <v>24 Business, media and public service professionals</v>
      </c>
      <c r="M13" s="11">
        <v>10.915253211012727</v>
      </c>
      <c r="N13" s="11">
        <v>11.0678854321707</v>
      </c>
      <c r="O13" s="11">
        <v>12.187562212006219</v>
      </c>
      <c r="P13" s="11">
        <v>13.310259225773365</v>
      </c>
      <c r="Q13" s="11">
        <v>14.54266907391554</v>
      </c>
      <c r="R13" s="11"/>
      <c r="S13" s="11">
        <f t="shared" si="3"/>
        <v>2.3551068619093218</v>
      </c>
      <c r="T13" s="11">
        <f>'RD T1'!T12</f>
        <v>5.7549262525084632</v>
      </c>
      <c r="U13" s="11">
        <f t="shared" si="6"/>
        <v>8.1100331144177851</v>
      </c>
      <c r="W13" s="10" t="str">
        <f>name!D9</f>
        <v>24 Business, media and public service professionals</v>
      </c>
      <c r="X13" s="11">
        <v>9.1381082283954846</v>
      </c>
      <c r="Y13" s="11">
        <v>10.52512644152648</v>
      </c>
      <c r="Z13" s="11">
        <v>12.299812437420103</v>
      </c>
      <c r="AA13" s="11">
        <v>13.313049719921946</v>
      </c>
      <c r="AB13" s="11">
        <v>15.656093712637396</v>
      </c>
      <c r="AC13" s="11"/>
      <c r="AD13" s="11">
        <f t="shared" si="4"/>
        <v>3.3562812752172935</v>
      </c>
      <c r="AE13" s="11">
        <f>'RD T1'!T41</f>
        <v>7.7533986838390003</v>
      </c>
      <c r="AF13" s="11">
        <f t="shared" si="7"/>
        <v>11.109679959056294</v>
      </c>
    </row>
    <row r="14" spans="1:32" x14ac:dyDescent="0.2">
      <c r="A14" s="10" t="str">
        <f>name!D10</f>
        <v>31 Science, engineering and technology associate professionals</v>
      </c>
      <c r="B14" s="11">
        <v>9.0554566906705691</v>
      </c>
      <c r="C14" s="11">
        <v>9.8720265188058818</v>
      </c>
      <c r="D14" s="11">
        <v>10.70984051084127</v>
      </c>
      <c r="E14" s="11">
        <v>9.1332068964074171</v>
      </c>
      <c r="F14" s="11">
        <v>9.3668808984236378</v>
      </c>
      <c r="G14" s="11"/>
      <c r="H14" s="11">
        <f t="shared" si="2"/>
        <v>-1.3429596124176317</v>
      </c>
      <c r="I14" s="11">
        <f>'RD T1'!E13</f>
        <v>3.6611651701787267</v>
      </c>
      <c r="J14" s="11">
        <f t="shared" si="5"/>
        <v>2.3182055577610949</v>
      </c>
      <c r="L14" s="10" t="str">
        <f>name!D10</f>
        <v>31 Science, engineering and technology associate professionals</v>
      </c>
      <c r="M14" s="11">
        <v>7.3355241694617623</v>
      </c>
      <c r="N14" s="11">
        <v>8.1832916879174391</v>
      </c>
      <c r="O14" s="11">
        <v>8.6266453818890092</v>
      </c>
      <c r="P14" s="11">
        <v>6.986132931834617</v>
      </c>
      <c r="Q14" s="11">
        <v>6.8404536736621671</v>
      </c>
      <c r="R14" s="11"/>
      <c r="S14" s="11">
        <f t="shared" si="3"/>
        <v>-1.7861917082268421</v>
      </c>
      <c r="T14" s="11">
        <f>'RD T1'!T13</f>
        <v>2.5082552314270119</v>
      </c>
      <c r="U14" s="11">
        <f t="shared" si="6"/>
        <v>0.72206352320016975</v>
      </c>
      <c r="W14" s="10" t="str">
        <f>name!D10</f>
        <v>31 Science, engineering and technology associate professionals</v>
      </c>
      <c r="X14" s="11">
        <v>1.7199325212088039</v>
      </c>
      <c r="Y14" s="11">
        <v>1.6887348308884227</v>
      </c>
      <c r="Z14" s="11">
        <v>2.0831951289522657</v>
      </c>
      <c r="AA14" s="11">
        <v>2.1470739645727939</v>
      </c>
      <c r="AB14" s="11">
        <v>2.526427224761481</v>
      </c>
      <c r="AC14" s="11"/>
      <c r="AD14" s="11">
        <f t="shared" si="4"/>
        <v>0.4432320958092153</v>
      </c>
      <c r="AE14" s="11">
        <f>'RD T1'!T42</f>
        <v>1.1529099387517145</v>
      </c>
      <c r="AF14" s="11">
        <f t="shared" si="7"/>
        <v>1.5961420345609298</v>
      </c>
    </row>
    <row r="15" spans="1:32" x14ac:dyDescent="0.2">
      <c r="A15" s="10" t="str">
        <f>name!D11</f>
        <v>32 Health and social care associate professionals</v>
      </c>
      <c r="B15" s="11">
        <v>9.6622274795413947</v>
      </c>
      <c r="C15" s="11">
        <v>9.7417880098546501</v>
      </c>
      <c r="D15" s="11">
        <v>10.403152312211862</v>
      </c>
      <c r="E15" s="11">
        <v>10.414924512502774</v>
      </c>
      <c r="F15" s="11">
        <v>11.167106544013857</v>
      </c>
      <c r="G15" s="11"/>
      <c r="H15" s="11">
        <f t="shared" si="2"/>
        <v>0.76395423180199451</v>
      </c>
      <c r="I15" s="11">
        <f>'RD T1'!E14</f>
        <v>6.2364884498569912</v>
      </c>
      <c r="J15" s="11">
        <f t="shared" si="5"/>
        <v>7.0004426816589858</v>
      </c>
      <c r="L15" s="10" t="str">
        <f>name!D11</f>
        <v>32 Health and social care associate professionals</v>
      </c>
      <c r="M15" s="11">
        <v>2.2430780111794433</v>
      </c>
      <c r="N15" s="11">
        <v>2.1520031562862454</v>
      </c>
      <c r="O15" s="11">
        <v>2.3972691129580945</v>
      </c>
      <c r="P15" s="11">
        <v>2.1604249566321543</v>
      </c>
      <c r="Q15" s="11">
        <v>2.2788064345784065</v>
      </c>
      <c r="R15" s="11"/>
      <c r="S15" s="11">
        <f t="shared" si="3"/>
        <v>-0.11846267837968805</v>
      </c>
      <c r="T15" s="11">
        <f>'RD T1'!T14</f>
        <v>1.0694227217009287</v>
      </c>
      <c r="U15" s="11">
        <f t="shared" si="6"/>
        <v>0.95096004332124062</v>
      </c>
      <c r="W15" s="10" t="str">
        <f>name!D11</f>
        <v>32 Health and social care associate professionals</v>
      </c>
      <c r="X15" s="11">
        <v>7.419149468361951</v>
      </c>
      <c r="Y15" s="11">
        <v>7.5897848535684123</v>
      </c>
      <c r="Z15" s="11">
        <v>8.005883199253784</v>
      </c>
      <c r="AA15" s="11">
        <v>8.2544995558706358</v>
      </c>
      <c r="AB15" s="11">
        <v>8.8883001094354537</v>
      </c>
      <c r="AC15" s="11"/>
      <c r="AD15" s="11">
        <f t="shared" si="4"/>
        <v>0.88241691018166968</v>
      </c>
      <c r="AE15" s="11">
        <f>'RD T1'!T43</f>
        <v>5.1670657281560608</v>
      </c>
      <c r="AF15" s="11">
        <f t="shared" si="7"/>
        <v>6.0494826383377305</v>
      </c>
    </row>
    <row r="16" spans="1:32" x14ac:dyDescent="0.2">
      <c r="A16" s="10" t="str">
        <f>name!D12</f>
        <v>33 Protective service occupations</v>
      </c>
      <c r="B16" s="11">
        <v>6.3572759436806443</v>
      </c>
      <c r="C16" s="11">
        <v>6.7089345467370718</v>
      </c>
      <c r="D16" s="11">
        <v>7.0494931142783734</v>
      </c>
      <c r="E16" s="11">
        <v>7.9951903969727285</v>
      </c>
      <c r="F16" s="11">
        <v>9.0336950732721473</v>
      </c>
      <c r="G16" s="11"/>
      <c r="H16" s="11">
        <f t="shared" si="2"/>
        <v>1.9842019589937738</v>
      </c>
      <c r="I16" s="11">
        <f>'RD T1'!E15</f>
        <v>2.9452063890016458</v>
      </c>
      <c r="J16" s="11">
        <f t="shared" si="5"/>
        <v>4.9294083479954196</v>
      </c>
      <c r="L16" s="10" t="str">
        <f>name!D12</f>
        <v>33 Protective service occupations</v>
      </c>
      <c r="M16" s="11">
        <v>4.7816311174126795</v>
      </c>
      <c r="N16" s="11">
        <v>4.9256962993964342</v>
      </c>
      <c r="O16" s="11">
        <v>5.0789899320119778</v>
      </c>
      <c r="P16" s="11">
        <v>5.4810162053260223</v>
      </c>
      <c r="Q16" s="11">
        <v>5.7692885267473732</v>
      </c>
      <c r="R16" s="11"/>
      <c r="S16" s="11">
        <f t="shared" si="3"/>
        <v>0.69029859473539545</v>
      </c>
      <c r="T16" s="11">
        <f>'RD T1'!T15</f>
        <v>1.5363257690562591</v>
      </c>
      <c r="U16" s="11">
        <f t="shared" si="6"/>
        <v>2.2266243637916547</v>
      </c>
      <c r="W16" s="10" t="str">
        <f>name!D12</f>
        <v>33 Protective service occupations</v>
      </c>
      <c r="X16" s="11">
        <v>1.5756448262679652</v>
      </c>
      <c r="Y16" s="11">
        <v>1.7832382473406383</v>
      </c>
      <c r="Z16" s="11">
        <v>1.9705031822664021</v>
      </c>
      <c r="AA16" s="11">
        <v>2.5141741916467013</v>
      </c>
      <c r="AB16" s="11">
        <v>3.2644065465247682</v>
      </c>
      <c r="AC16" s="11"/>
      <c r="AD16" s="11">
        <f t="shared" si="4"/>
        <v>1.2939033642583662</v>
      </c>
      <c r="AE16" s="11">
        <f>'RD T1'!T44</f>
        <v>1.4088806199453869</v>
      </c>
      <c r="AF16" s="11">
        <f t="shared" si="7"/>
        <v>2.7027839842037533</v>
      </c>
    </row>
    <row r="17" spans="1:32" x14ac:dyDescent="0.2">
      <c r="A17" s="10" t="str">
        <f>name!D13</f>
        <v>34 Culture, media and sports occupations</v>
      </c>
      <c r="B17" s="11">
        <v>5.8966157276684097</v>
      </c>
      <c r="C17" s="11">
        <v>6.113108843472463</v>
      </c>
      <c r="D17" s="11">
        <v>5.720866276556551</v>
      </c>
      <c r="E17" s="11">
        <v>5.3345050395726972</v>
      </c>
      <c r="F17" s="11">
        <v>5.9844066350434453</v>
      </c>
      <c r="G17" s="11"/>
      <c r="H17" s="11">
        <f t="shared" si="2"/>
        <v>0.26354035848689428</v>
      </c>
      <c r="I17" s="11">
        <f>'RD T1'!E16</f>
        <v>2.7459772657378823</v>
      </c>
      <c r="J17" s="11">
        <f t="shared" si="5"/>
        <v>3.0095176242247765</v>
      </c>
      <c r="L17" s="10" t="str">
        <f>name!D13</f>
        <v>34 Culture, media and sports occupations</v>
      </c>
      <c r="M17" s="11">
        <v>2.5649209536208399</v>
      </c>
      <c r="N17" s="11">
        <v>2.9125260588112316</v>
      </c>
      <c r="O17" s="11">
        <v>2.4569628507640457</v>
      </c>
      <c r="P17" s="11">
        <v>2.3099903240075248</v>
      </c>
      <c r="Q17" s="11">
        <v>2.5179229348509042</v>
      </c>
      <c r="R17" s="11"/>
      <c r="S17" s="11">
        <f t="shared" si="3"/>
        <v>6.096008408685849E-2</v>
      </c>
      <c r="T17" s="11">
        <f>'RD T1'!T16</f>
        <v>0.96419172692347299</v>
      </c>
      <c r="U17" s="11">
        <f t="shared" si="6"/>
        <v>1.0251518110103315</v>
      </c>
      <c r="W17" s="10" t="str">
        <f>name!D13</f>
        <v>34 Culture, media and sports occupations</v>
      </c>
      <c r="X17" s="11">
        <v>3.3316947740475733</v>
      </c>
      <c r="Y17" s="11">
        <v>3.2005827846612322</v>
      </c>
      <c r="Z17" s="11">
        <v>3.2639034257924968</v>
      </c>
      <c r="AA17" s="11">
        <v>3.0245147155651688</v>
      </c>
      <c r="AB17" s="11">
        <v>3.4664837001925366</v>
      </c>
      <c r="AC17" s="11"/>
      <c r="AD17" s="11">
        <f t="shared" si="4"/>
        <v>0.20258027440003978</v>
      </c>
      <c r="AE17" s="11">
        <f>'RD T1'!T45</f>
        <v>1.781785538814409</v>
      </c>
      <c r="AF17" s="11">
        <f t="shared" si="7"/>
        <v>1.9843658132144488</v>
      </c>
    </row>
    <row r="18" spans="1:32" x14ac:dyDescent="0.2">
      <c r="A18" s="10" t="str">
        <f>name!D14</f>
        <v>35 Business and public service associate professionals</v>
      </c>
      <c r="B18" s="11">
        <v>20.575349082820939</v>
      </c>
      <c r="C18" s="11">
        <v>21.093783119003387</v>
      </c>
      <c r="D18" s="11">
        <v>22.193704019032278</v>
      </c>
      <c r="E18" s="11">
        <v>20.914274058722345</v>
      </c>
      <c r="F18" s="11">
        <v>21.86698363997229</v>
      </c>
      <c r="G18" s="11"/>
      <c r="H18" s="11">
        <f t="shared" si="2"/>
        <v>-0.32672037905998863</v>
      </c>
      <c r="I18" s="11">
        <f>'RD T1'!E17</f>
        <v>9.932143281264036</v>
      </c>
      <c r="J18" s="11">
        <f t="shared" si="5"/>
        <v>9.6054229022040474</v>
      </c>
      <c r="L18" s="10" t="str">
        <f>name!D14</f>
        <v>35 Business and public service associate professionals</v>
      </c>
      <c r="M18" s="11">
        <v>10.387791366594064</v>
      </c>
      <c r="N18" s="11">
        <v>10.557544315240234</v>
      </c>
      <c r="O18" s="11">
        <v>11.079632343272831</v>
      </c>
      <c r="P18" s="11">
        <v>10.067405641688021</v>
      </c>
      <c r="Q18" s="11">
        <v>10.024172579650168</v>
      </c>
      <c r="R18" s="11"/>
      <c r="S18" s="11">
        <f t="shared" si="3"/>
        <v>-1.0554597636226628</v>
      </c>
      <c r="T18" s="11">
        <f>'RD T1'!T17</f>
        <v>3.8289684090916727</v>
      </c>
      <c r="U18" s="11">
        <f t="shared" si="6"/>
        <v>2.7735086454690099</v>
      </c>
      <c r="W18" s="10" t="str">
        <f>name!D14</f>
        <v>35 Business and public service associate professionals</v>
      </c>
      <c r="X18" s="11">
        <v>10.187557716226868</v>
      </c>
      <c r="Y18" s="11">
        <v>10.536238803763151</v>
      </c>
      <c r="Z18" s="11">
        <v>11.114071675759456</v>
      </c>
      <c r="AA18" s="11">
        <v>10.846868417034338</v>
      </c>
      <c r="AB18" s="11">
        <v>11.842811060322166</v>
      </c>
      <c r="AC18" s="11"/>
      <c r="AD18" s="11">
        <f t="shared" si="4"/>
        <v>0.7287393845627097</v>
      </c>
      <c r="AE18" s="11">
        <f>'RD T1'!T46</f>
        <v>6.1031748721723664</v>
      </c>
      <c r="AF18" s="11">
        <f t="shared" si="7"/>
        <v>6.8319142567350761</v>
      </c>
    </row>
    <row r="19" spans="1:32" x14ac:dyDescent="0.2">
      <c r="A19" s="10" t="str">
        <f>name!D15</f>
        <v>41 Administrative occupations</v>
      </c>
      <c r="B19" s="11">
        <v>45.581332961093828</v>
      </c>
      <c r="C19" s="11">
        <v>42.127551018988008</v>
      </c>
      <c r="D19" s="11">
        <v>44.153660141328722</v>
      </c>
      <c r="E19" s="11">
        <v>40.122971669022455</v>
      </c>
      <c r="F19" s="11">
        <v>37.996794001250002</v>
      </c>
      <c r="G19" s="11"/>
      <c r="H19" s="11">
        <f t="shared" si="2"/>
        <v>-6.1568661400787192</v>
      </c>
      <c r="I19" s="11">
        <f>'RD T1'!E18</f>
        <v>20.052753489846818</v>
      </c>
      <c r="J19" s="11">
        <f t="shared" si="5"/>
        <v>13.895887349768099</v>
      </c>
      <c r="L19" s="10" t="str">
        <f>name!D15</f>
        <v>41 Administrative occupations</v>
      </c>
      <c r="M19" s="11">
        <v>13.596877625623438</v>
      </c>
      <c r="N19" s="11">
        <v>12.201408666219956</v>
      </c>
      <c r="O19" s="11">
        <v>14.604987514178681</v>
      </c>
      <c r="P19" s="11">
        <v>13.769454334873826</v>
      </c>
      <c r="Q19" s="11">
        <v>15.071019098243234</v>
      </c>
      <c r="R19" s="11"/>
      <c r="S19" s="11">
        <f t="shared" si="3"/>
        <v>0.46603158406455236</v>
      </c>
      <c r="T19" s="11">
        <f>'RD T1'!T18</f>
        <v>5.3391317615468914</v>
      </c>
      <c r="U19" s="11">
        <f t="shared" si="6"/>
        <v>5.8051633456114438</v>
      </c>
      <c r="W19" s="10" t="str">
        <f>name!D15</f>
        <v>41 Administrative occupations</v>
      </c>
      <c r="X19" s="11">
        <v>31.984455335470361</v>
      </c>
      <c r="Y19" s="11">
        <v>29.926142352768007</v>
      </c>
      <c r="Z19" s="11">
        <v>29.548672627150001</v>
      </c>
      <c r="AA19" s="11">
        <v>26.353517334148641</v>
      </c>
      <c r="AB19" s="11">
        <v>22.925774903006811</v>
      </c>
      <c r="AC19" s="11"/>
      <c r="AD19" s="11">
        <f t="shared" si="4"/>
        <v>-6.6228977241431899</v>
      </c>
      <c r="AE19" s="11">
        <f>'RD T1'!T47</f>
        <v>14.713621728299925</v>
      </c>
      <c r="AF19" s="11">
        <f t="shared" si="7"/>
        <v>8.0907240041567352</v>
      </c>
    </row>
    <row r="20" spans="1:32" x14ac:dyDescent="0.2">
      <c r="A20" s="10" t="str">
        <f>name!D16</f>
        <v>42 Secretarial and related occupations</v>
      </c>
      <c r="B20" s="11">
        <v>9.7042932340862489</v>
      </c>
      <c r="C20" s="11">
        <v>8.3038609134571253</v>
      </c>
      <c r="D20" s="11">
        <v>8.3494356737237503</v>
      </c>
      <c r="E20" s="11">
        <v>9.0736631080249186</v>
      </c>
      <c r="F20" s="11">
        <v>7.8718020155096147</v>
      </c>
      <c r="G20" s="11"/>
      <c r="H20" s="11">
        <f t="shared" si="2"/>
        <v>-0.47763365821413561</v>
      </c>
      <c r="I20" s="11">
        <f>'RD T1'!E19</f>
        <v>4.6378219525536162</v>
      </c>
      <c r="J20" s="11">
        <f t="shared" si="5"/>
        <v>4.1601882943394806</v>
      </c>
      <c r="L20" s="10" t="str">
        <f>name!D16</f>
        <v>42 Secretarial and related occupations</v>
      </c>
      <c r="M20" s="11">
        <v>0.650573892736936</v>
      </c>
      <c r="N20" s="11">
        <v>0.49475425953118046</v>
      </c>
      <c r="O20" s="11">
        <v>0.44943806829681276</v>
      </c>
      <c r="P20" s="11">
        <v>0.65017630519890435</v>
      </c>
      <c r="Q20" s="11">
        <v>0.77676399424384424</v>
      </c>
      <c r="R20" s="11"/>
      <c r="S20" s="11">
        <f t="shared" si="3"/>
        <v>0.32732592594703147</v>
      </c>
      <c r="T20" s="11">
        <f>'RD T1'!T19</f>
        <v>0.22530390304247921</v>
      </c>
      <c r="U20" s="11">
        <f t="shared" si="6"/>
        <v>0.55262982898951063</v>
      </c>
      <c r="W20" s="10" t="str">
        <f>name!D16</f>
        <v>42 Secretarial and related occupations</v>
      </c>
      <c r="X20" s="11">
        <v>9.0537193413493053</v>
      </c>
      <c r="Y20" s="11">
        <v>7.8091066539259444</v>
      </c>
      <c r="Z20" s="11">
        <v>7.8999976054269387</v>
      </c>
      <c r="AA20" s="11">
        <v>8.4234868028260177</v>
      </c>
      <c r="AB20" s="11">
        <v>7.0950380212657747</v>
      </c>
      <c r="AC20" s="11"/>
      <c r="AD20" s="11">
        <f t="shared" si="4"/>
        <v>-0.80495958416116409</v>
      </c>
      <c r="AE20" s="11">
        <f>'RD T1'!T48</f>
        <v>4.4125180495111378</v>
      </c>
      <c r="AF20" s="11">
        <f t="shared" si="7"/>
        <v>3.6075584653499737</v>
      </c>
    </row>
    <row r="21" spans="1:32" x14ac:dyDescent="0.2">
      <c r="A21" s="10" t="str">
        <f>name!D17</f>
        <v>51 Skilled agricultural and related trades</v>
      </c>
      <c r="B21" s="11">
        <v>4.6441267016966554</v>
      </c>
      <c r="C21" s="11">
        <v>3.9176639986628095</v>
      </c>
      <c r="D21" s="11">
        <v>3.9137663619264487</v>
      </c>
      <c r="E21" s="11">
        <v>3.9545639006839899</v>
      </c>
      <c r="F21" s="11">
        <v>4.3882264054856144</v>
      </c>
      <c r="G21" s="11"/>
      <c r="H21" s="11">
        <f t="shared" si="2"/>
        <v>0.47446004355916571</v>
      </c>
      <c r="I21" s="11">
        <f>'RD T1'!E20</f>
        <v>2.283254796446442</v>
      </c>
      <c r="J21" s="11">
        <f t="shared" si="5"/>
        <v>2.7577148400056077</v>
      </c>
      <c r="L21" s="10" t="str">
        <f>name!D17</f>
        <v>51 Skilled agricultural and related trades</v>
      </c>
      <c r="M21" s="11">
        <v>4.2836949855344377</v>
      </c>
      <c r="N21" s="11">
        <v>3.4686937502952242</v>
      </c>
      <c r="O21" s="11">
        <v>3.1163793860498887</v>
      </c>
      <c r="P21" s="11">
        <v>3.0743284461102629</v>
      </c>
      <c r="Q21" s="11">
        <v>3.3493576756243195</v>
      </c>
      <c r="R21" s="11"/>
      <c r="S21" s="11">
        <f t="shared" si="3"/>
        <v>0.23297828957443079</v>
      </c>
      <c r="T21" s="11">
        <f>'RD T1'!T20</f>
        <v>1.6426863786140786</v>
      </c>
      <c r="U21" s="11">
        <f t="shared" si="6"/>
        <v>1.8756646681885094</v>
      </c>
      <c r="W21" s="10" t="str">
        <f>name!D17</f>
        <v>51 Skilled agricultural and related trades</v>
      </c>
      <c r="X21" s="11">
        <v>0.36043171616221981</v>
      </c>
      <c r="Y21" s="11">
        <v>0.44897024836758748</v>
      </c>
      <c r="Z21" s="11">
        <v>0.79738697587656127</v>
      </c>
      <c r="AA21" s="11">
        <v>0.88023545457372632</v>
      </c>
      <c r="AB21" s="11">
        <v>1.0388687298613</v>
      </c>
      <c r="AC21" s="11"/>
      <c r="AD21" s="11">
        <f t="shared" si="4"/>
        <v>0.2414817539847387</v>
      </c>
      <c r="AE21" s="11">
        <f>'RD T1'!T49</f>
        <v>0.64056841783236329</v>
      </c>
      <c r="AF21" s="11">
        <f t="shared" si="7"/>
        <v>0.88205017181710199</v>
      </c>
    </row>
    <row r="22" spans="1:32" x14ac:dyDescent="0.2">
      <c r="A22" s="10" t="str">
        <f>name!D18</f>
        <v>52 Skilled metal, electrical and electronic trades</v>
      </c>
      <c r="B22" s="11">
        <v>23.746739359376484</v>
      </c>
      <c r="C22" s="11">
        <v>23.284125331339183</v>
      </c>
      <c r="D22" s="11">
        <v>19.8153660104539</v>
      </c>
      <c r="E22" s="11">
        <v>18.71073724003908</v>
      </c>
      <c r="F22" s="11">
        <v>16.745561719909368</v>
      </c>
      <c r="G22" s="11"/>
      <c r="H22" s="11">
        <f t="shared" si="2"/>
        <v>-3.069804290544532</v>
      </c>
      <c r="I22" s="11">
        <f>'RD T1'!E21</f>
        <v>6.7622557130528973</v>
      </c>
      <c r="J22" s="11">
        <f t="shared" si="5"/>
        <v>3.6924514225083653</v>
      </c>
      <c r="L22" s="10" t="str">
        <f>name!D18</f>
        <v>52 Skilled metal, electrical and electronic trades</v>
      </c>
      <c r="M22" s="11">
        <v>23.535808416248269</v>
      </c>
      <c r="N22" s="11">
        <v>22.946940065781018</v>
      </c>
      <c r="O22" s="11">
        <v>19.543006807047067</v>
      </c>
      <c r="P22" s="11">
        <v>18.083266114855945</v>
      </c>
      <c r="Q22" s="11">
        <v>15.915944266502725</v>
      </c>
      <c r="R22" s="11"/>
      <c r="S22" s="11">
        <f t="shared" si="3"/>
        <v>-3.6270625405443422</v>
      </c>
      <c r="T22" s="11">
        <f>'RD T1'!T21</f>
        <v>6.3784774196712899</v>
      </c>
      <c r="U22" s="11">
        <f t="shared" si="6"/>
        <v>2.7514148791269477</v>
      </c>
      <c r="W22" s="10" t="str">
        <f>name!D18</f>
        <v>52 Skilled metal, electrical and electronic trades</v>
      </c>
      <c r="X22" s="11">
        <v>0.21093094312820745</v>
      </c>
      <c r="Y22" s="11">
        <v>0.33718526555816686</v>
      </c>
      <c r="Z22" s="11">
        <v>0.27235920340683756</v>
      </c>
      <c r="AA22" s="11">
        <v>0.62747112518315085</v>
      </c>
      <c r="AB22" s="11">
        <v>0.82961745340667281</v>
      </c>
      <c r="AC22" s="11"/>
      <c r="AD22" s="11">
        <f t="shared" si="4"/>
        <v>0.55725824999983531</v>
      </c>
      <c r="AE22" s="11">
        <f>'RD T1'!T50</f>
        <v>0.3837782933816074</v>
      </c>
      <c r="AF22" s="11">
        <f t="shared" si="7"/>
        <v>0.94103654338144271</v>
      </c>
    </row>
    <row r="23" spans="1:32" x14ac:dyDescent="0.2">
      <c r="A23" s="10" t="str">
        <f>name!D19</f>
        <v>53 Skilled construction and building trades</v>
      </c>
      <c r="B23" s="11">
        <v>18.075106264951447</v>
      </c>
      <c r="C23" s="11">
        <v>19.872573195366002</v>
      </c>
      <c r="D23" s="11">
        <v>16.08769129935639</v>
      </c>
      <c r="E23" s="11">
        <v>15.823444092159617</v>
      </c>
      <c r="F23" s="11">
        <v>14.220772873886741</v>
      </c>
      <c r="G23" s="11"/>
      <c r="H23" s="11">
        <f t="shared" si="2"/>
        <v>-1.8669184254696489</v>
      </c>
      <c r="I23" s="11">
        <f>'RD T1'!E22</f>
        <v>6.3752923673231559</v>
      </c>
      <c r="J23" s="11">
        <f t="shared" si="5"/>
        <v>4.5083739418535069</v>
      </c>
      <c r="L23" s="10" t="str">
        <f>name!D19</f>
        <v>53 Skilled construction and building trades</v>
      </c>
      <c r="M23" s="11">
        <v>17.418885111691093</v>
      </c>
      <c r="N23" s="11">
        <v>19.49957810616274</v>
      </c>
      <c r="O23" s="11">
        <v>15.636638571163395</v>
      </c>
      <c r="P23" s="11">
        <v>15.341043324097443</v>
      </c>
      <c r="Q23" s="11">
        <v>13.676851141139826</v>
      </c>
      <c r="R23" s="11"/>
      <c r="S23" s="11">
        <f t="shared" si="3"/>
        <v>-1.9597874300235691</v>
      </c>
      <c r="T23" s="11">
        <f>'RD T1'!T22</f>
        <v>6.1000098918836709</v>
      </c>
      <c r="U23" s="11">
        <f t="shared" si="6"/>
        <v>4.1402224618601018</v>
      </c>
      <c r="W23" s="10" t="str">
        <f>name!D19</f>
        <v>53 Skilled construction and building trades</v>
      </c>
      <c r="X23" s="11">
        <v>0.65622115326037855</v>
      </c>
      <c r="Y23" s="11">
        <v>0.37299508920326846</v>
      </c>
      <c r="Z23" s="11">
        <v>0.45105272819299563</v>
      </c>
      <c r="AA23" s="11">
        <v>0.48240076806218002</v>
      </c>
      <c r="AB23" s="11">
        <v>0.54392173274691369</v>
      </c>
      <c r="AC23" s="11"/>
      <c r="AD23" s="11">
        <f t="shared" si="4"/>
        <v>9.2869004553918055E-2</v>
      </c>
      <c r="AE23" s="11">
        <f>'RD T1'!T51</f>
        <v>0.27528247543948509</v>
      </c>
      <c r="AF23" s="11">
        <f t="shared" si="7"/>
        <v>0.36815147999340314</v>
      </c>
    </row>
    <row r="24" spans="1:32" x14ac:dyDescent="0.2">
      <c r="A24" s="10" t="str">
        <f>name!D20</f>
        <v>54 Textiles, printing and other skilled trades</v>
      </c>
      <c r="B24" s="11">
        <v>10.556309552348026</v>
      </c>
      <c r="C24" s="11">
        <v>8.9509468616808654</v>
      </c>
      <c r="D24" s="11">
        <v>8.4288888775954423</v>
      </c>
      <c r="E24" s="11">
        <v>8.2440020603760154</v>
      </c>
      <c r="F24" s="11">
        <v>7.8219265199229948</v>
      </c>
      <c r="G24" s="11"/>
      <c r="H24" s="11">
        <f t="shared" si="2"/>
        <v>-0.60696235767244744</v>
      </c>
      <c r="I24" s="11">
        <f>'RD T1'!E23</f>
        <v>3.6396472965623197</v>
      </c>
      <c r="J24" s="11">
        <f t="shared" si="5"/>
        <v>3.0326849388898722</v>
      </c>
      <c r="L24" s="10" t="str">
        <f>name!D20</f>
        <v>54 Textiles, printing and other skilled trades</v>
      </c>
      <c r="M24" s="11">
        <v>6.2611576962659647</v>
      </c>
      <c r="N24" s="11">
        <v>5.3685969961814033</v>
      </c>
      <c r="O24" s="11">
        <v>4.5010162651839343</v>
      </c>
      <c r="P24" s="11">
        <v>4.3672129693165962</v>
      </c>
      <c r="Q24" s="11">
        <v>4.1246658412074204</v>
      </c>
      <c r="R24" s="11"/>
      <c r="S24" s="11">
        <f t="shared" si="3"/>
        <v>-0.37635042397651386</v>
      </c>
      <c r="T24" s="11">
        <f>'RD T1'!T23</f>
        <v>1.3404564802195176</v>
      </c>
      <c r="U24" s="11">
        <f t="shared" si="6"/>
        <v>0.96410605624300372</v>
      </c>
      <c r="W24" s="10" t="str">
        <f>name!D20</f>
        <v>54 Textiles, printing and other skilled trades</v>
      </c>
      <c r="X24" s="11">
        <v>4.2951518560820627</v>
      </c>
      <c r="Y24" s="11">
        <v>3.5823498654994661</v>
      </c>
      <c r="Z24" s="11">
        <v>3.9278726124115133</v>
      </c>
      <c r="AA24" s="11">
        <v>3.8767890910594165</v>
      </c>
      <c r="AB24" s="11">
        <v>3.697260678715574</v>
      </c>
      <c r="AC24" s="11"/>
      <c r="AD24" s="11">
        <f t="shared" si="4"/>
        <v>-0.23061193369593935</v>
      </c>
      <c r="AE24" s="11">
        <f>'RD T1'!T52</f>
        <v>2.2991908163428025</v>
      </c>
      <c r="AF24" s="11">
        <f t="shared" si="7"/>
        <v>2.0685788826468632</v>
      </c>
    </row>
    <row r="25" spans="1:32" x14ac:dyDescent="0.2">
      <c r="A25" s="10" t="str">
        <f>name!D21</f>
        <v>61 Caring personal service occupations</v>
      </c>
      <c r="B25" s="11">
        <v>33.611923724291344</v>
      </c>
      <c r="C25" s="11">
        <v>31.35753209221701</v>
      </c>
      <c r="D25" s="11">
        <v>31.610179921526679</v>
      </c>
      <c r="E25" s="11">
        <v>33.638633531936662</v>
      </c>
      <c r="F25" s="11">
        <v>34.878615994605461</v>
      </c>
      <c r="G25" s="11"/>
      <c r="H25" s="11">
        <f t="shared" si="2"/>
        <v>3.2684360730787816</v>
      </c>
      <c r="I25" s="11">
        <f>'RD T1'!E24</f>
        <v>19.192002656081087</v>
      </c>
      <c r="J25" s="11">
        <f t="shared" si="5"/>
        <v>22.460438729159868</v>
      </c>
      <c r="L25" s="10" t="str">
        <f>name!D21</f>
        <v>61 Caring personal service occupations</v>
      </c>
      <c r="M25" s="11">
        <v>4.2336782685535237</v>
      </c>
      <c r="N25" s="11">
        <v>4.2328400685670688</v>
      </c>
      <c r="O25" s="11">
        <v>4.073021279148481</v>
      </c>
      <c r="P25" s="11">
        <v>4.9099472227986505</v>
      </c>
      <c r="Q25" s="11">
        <v>5.5155253762279699</v>
      </c>
      <c r="R25" s="11"/>
      <c r="S25" s="11">
        <f t="shared" si="3"/>
        <v>1.4425040970794889</v>
      </c>
      <c r="T25" s="11">
        <f>'RD T1'!T24</f>
        <v>2.1937721232145733</v>
      </c>
      <c r="U25" s="11">
        <f t="shared" si="6"/>
        <v>3.6362762202940622</v>
      </c>
      <c r="W25" s="10" t="str">
        <f>name!D21</f>
        <v>61 Caring personal service occupations</v>
      </c>
      <c r="X25" s="11">
        <v>29.378245455737815</v>
      </c>
      <c r="Y25" s="11">
        <v>27.124692023649928</v>
      </c>
      <c r="Z25" s="11">
        <v>27.537158642378223</v>
      </c>
      <c r="AA25" s="11">
        <v>28.728686309137963</v>
      </c>
      <c r="AB25" s="11">
        <v>29.363090618377537</v>
      </c>
      <c r="AC25" s="11"/>
      <c r="AD25" s="11">
        <f t="shared" si="4"/>
        <v>1.825931975999314</v>
      </c>
      <c r="AE25" s="11">
        <f>'RD T1'!T53</f>
        <v>16.998230532866511</v>
      </c>
      <c r="AF25" s="11">
        <f t="shared" si="7"/>
        <v>18.824162508865825</v>
      </c>
    </row>
    <row r="26" spans="1:32" x14ac:dyDescent="0.2">
      <c r="A26" s="10" t="str">
        <f>name!D22</f>
        <v>62 Leisure, travel and related personal service occupations</v>
      </c>
      <c r="B26" s="11">
        <v>10.694469678421898</v>
      </c>
      <c r="C26" s="11">
        <v>11.35031775343238</v>
      </c>
      <c r="D26" s="11">
        <v>10.590117171876656</v>
      </c>
      <c r="E26" s="11">
        <v>10.409965299818033</v>
      </c>
      <c r="F26" s="11">
        <v>10.611845266662291</v>
      </c>
      <c r="G26" s="11"/>
      <c r="H26" s="11">
        <f t="shared" si="2"/>
        <v>2.1728094785634866E-2</v>
      </c>
      <c r="I26" s="11">
        <f>'RD T1'!E25</f>
        <v>5.3628239277546745</v>
      </c>
      <c r="J26" s="11">
        <f t="shared" si="5"/>
        <v>5.3845520225403094</v>
      </c>
      <c r="L26" s="10" t="str">
        <f>name!D22</f>
        <v>62 Leisure, travel and related personal service occupations</v>
      </c>
      <c r="M26" s="11">
        <v>3.1085815266615908</v>
      </c>
      <c r="N26" s="11">
        <v>3.3671249699476986</v>
      </c>
      <c r="O26" s="11">
        <v>3.3537100397346249</v>
      </c>
      <c r="P26" s="11">
        <v>3.2685105693520469</v>
      </c>
      <c r="Q26" s="11">
        <v>3.4842695685751388</v>
      </c>
      <c r="R26" s="11"/>
      <c r="S26" s="11">
        <f t="shared" si="3"/>
        <v>0.13055952884051392</v>
      </c>
      <c r="T26" s="11">
        <f>'RD T1'!T25</f>
        <v>1.3884643988927041</v>
      </c>
      <c r="U26" s="11">
        <f t="shared" si="6"/>
        <v>1.519023927733218</v>
      </c>
      <c r="W26" s="10" t="str">
        <f>name!D22</f>
        <v>62 Leisure, travel and related personal service occupations</v>
      </c>
      <c r="X26" s="11">
        <v>7.585888151760309</v>
      </c>
      <c r="Y26" s="11">
        <v>7.9831927834846823</v>
      </c>
      <c r="Z26" s="11">
        <v>7.2364071321420349</v>
      </c>
      <c r="AA26" s="11">
        <v>7.1414547304659743</v>
      </c>
      <c r="AB26" s="11">
        <v>7.1275756980871705</v>
      </c>
      <c r="AC26" s="11"/>
      <c r="AD26" s="11">
        <f t="shared" si="4"/>
        <v>-0.1088314340548644</v>
      </c>
      <c r="AE26" s="11">
        <f>'RD T1'!T54</f>
        <v>3.97435952886197</v>
      </c>
      <c r="AF26" s="11">
        <f t="shared" si="7"/>
        <v>3.8655280948071056</v>
      </c>
    </row>
    <row r="27" spans="1:32" x14ac:dyDescent="0.2">
      <c r="A27" s="10" t="str">
        <f>name!D23</f>
        <v>63 Community and civil enforcement occupations</v>
      </c>
      <c r="B27" s="11">
        <v>0.58215069720671409</v>
      </c>
      <c r="C27" s="11">
        <v>0.52557261517291309</v>
      </c>
      <c r="D27" s="11">
        <v>0.64182464760198232</v>
      </c>
      <c r="E27" s="11">
        <v>0.53165090900297174</v>
      </c>
      <c r="F27" s="11">
        <v>0.55999462457579885</v>
      </c>
      <c r="G27" s="11"/>
      <c r="H27" s="11">
        <f t="shared" si="2"/>
        <v>-8.1830023026183474E-2</v>
      </c>
      <c r="I27" s="11">
        <f>'RD T1'!E26</f>
        <v>0.26989722988942771</v>
      </c>
      <c r="J27" s="11">
        <f t="shared" si="5"/>
        <v>0.18806720686324424</v>
      </c>
      <c r="L27" s="10" t="str">
        <f>name!D23</f>
        <v>63 Community and civil enforcement occupations</v>
      </c>
      <c r="M27" s="11">
        <v>0.42573686870774907</v>
      </c>
      <c r="N27" s="11">
        <v>0.33471220255684864</v>
      </c>
      <c r="O27" s="11">
        <v>0.48493449544185557</v>
      </c>
      <c r="P27" s="11">
        <v>0.32005063787734456</v>
      </c>
      <c r="Q27" s="11">
        <v>0.3568189480631539</v>
      </c>
      <c r="R27" s="11"/>
      <c r="S27" s="11">
        <f t="shared" si="3"/>
        <v>-0.12811554737870168</v>
      </c>
      <c r="T27" s="11">
        <f>'RD T1'!T26</f>
        <v>0.13714100799867437</v>
      </c>
      <c r="U27" s="11">
        <f t="shared" si="6"/>
        <v>9.0254606199726972E-3</v>
      </c>
      <c r="W27" s="10" t="str">
        <f>name!D23</f>
        <v>63 Community and civil enforcement occupations</v>
      </c>
      <c r="X27" s="11">
        <v>0.15641382849896493</v>
      </c>
      <c r="Y27" s="11">
        <v>0.19086041261606401</v>
      </c>
      <c r="Z27" s="11">
        <v>0.15689015216012697</v>
      </c>
      <c r="AA27" s="11">
        <v>0.21160027112562671</v>
      </c>
      <c r="AB27" s="11">
        <v>0.20317567651264545</v>
      </c>
      <c r="AC27" s="11"/>
      <c r="AD27" s="11">
        <f t="shared" si="4"/>
        <v>4.6285524352518481E-2</v>
      </c>
      <c r="AE27" s="11">
        <f>'RD T1'!T55</f>
        <v>0.13275622189075337</v>
      </c>
      <c r="AF27" s="11">
        <f t="shared" si="7"/>
        <v>0.17904174624327185</v>
      </c>
    </row>
    <row r="28" spans="1:32" x14ac:dyDescent="0.2">
      <c r="A28" s="10" t="str">
        <f>name!D24</f>
        <v>71 Sales occupations</v>
      </c>
      <c r="B28" s="11">
        <v>47.90500212035964</v>
      </c>
      <c r="C28" s="11">
        <v>42.371397183233768</v>
      </c>
      <c r="D28" s="11">
        <v>42.678069113601978</v>
      </c>
      <c r="E28" s="11">
        <v>40.14254357355194</v>
      </c>
      <c r="F28" s="11">
        <v>38.750591491417339</v>
      </c>
      <c r="G28" s="11"/>
      <c r="H28" s="11">
        <f t="shared" si="2"/>
        <v>-3.9274776221846395</v>
      </c>
      <c r="I28" s="11">
        <f>'RD T1'!E27</f>
        <v>20.151986000600566</v>
      </c>
      <c r="J28" s="11">
        <f t="shared" si="5"/>
        <v>16.224508378415926</v>
      </c>
      <c r="L28" s="10" t="str">
        <f>name!D24</f>
        <v>71 Sales occupations</v>
      </c>
      <c r="M28" s="11">
        <v>14.678591553434686</v>
      </c>
      <c r="N28" s="11">
        <v>13.868718732767851</v>
      </c>
      <c r="O28" s="11">
        <v>13.617463359659922</v>
      </c>
      <c r="P28" s="11">
        <v>12.744719047804658</v>
      </c>
      <c r="Q28" s="11">
        <v>12.78662373081189</v>
      </c>
      <c r="R28" s="11"/>
      <c r="S28" s="11">
        <f t="shared" si="3"/>
        <v>-0.83083962884803242</v>
      </c>
      <c r="T28" s="11">
        <f>'RD T1'!T27</f>
        <v>4.3482916443685395</v>
      </c>
      <c r="U28" s="11">
        <f t="shared" si="6"/>
        <v>3.5174520155205071</v>
      </c>
      <c r="W28" s="10" t="str">
        <f>name!D24</f>
        <v>71 Sales occupations</v>
      </c>
      <c r="X28" s="11">
        <v>33.226410566924891</v>
      </c>
      <c r="Y28" s="11">
        <v>28.502678450465943</v>
      </c>
      <c r="Z28" s="11">
        <v>29.060605753942106</v>
      </c>
      <c r="AA28" s="11">
        <v>27.397824525747311</v>
      </c>
      <c r="AB28" s="11">
        <v>25.963967760605421</v>
      </c>
      <c r="AC28" s="11"/>
      <c r="AD28" s="11">
        <f t="shared" si="4"/>
        <v>-3.0966379933366852</v>
      </c>
      <c r="AE28" s="11">
        <f>'RD T1'!T56</f>
        <v>15.803694356232027</v>
      </c>
      <c r="AF28" s="11">
        <f t="shared" si="7"/>
        <v>12.707056362895342</v>
      </c>
    </row>
    <row r="29" spans="1:32" x14ac:dyDescent="0.2">
      <c r="A29" s="10" t="str">
        <f>name!D25</f>
        <v>72 Customer service occupations</v>
      </c>
      <c r="B29" s="11">
        <v>8.2742482733071885</v>
      </c>
      <c r="C29" s="11">
        <v>8.4928938898411648</v>
      </c>
      <c r="D29" s="11">
        <v>8.8901921095368301</v>
      </c>
      <c r="E29" s="11">
        <v>11.332063340210611</v>
      </c>
      <c r="F29" s="11">
        <v>13.164637816517791</v>
      </c>
      <c r="G29" s="11"/>
      <c r="H29" s="11">
        <f t="shared" si="2"/>
        <v>4.2744457069809609</v>
      </c>
      <c r="I29" s="11">
        <f>'RD T1'!E28</f>
        <v>5.427013668687052</v>
      </c>
      <c r="J29" s="11">
        <f t="shared" si="5"/>
        <v>9.7014593756680121</v>
      </c>
      <c r="L29" s="10" t="str">
        <f>name!D25</f>
        <v>72 Customer service occupations</v>
      </c>
      <c r="M29" s="11">
        <v>3.22388007446922</v>
      </c>
      <c r="N29" s="11">
        <v>2.9655808870562352</v>
      </c>
      <c r="O29" s="11">
        <v>3.5640384270467584</v>
      </c>
      <c r="P29" s="11">
        <v>4.8621318096499238</v>
      </c>
      <c r="Q29" s="11">
        <v>5.8641553041922387</v>
      </c>
      <c r="R29" s="11"/>
      <c r="S29" s="11">
        <f t="shared" si="3"/>
        <v>2.3001168771454803</v>
      </c>
      <c r="T29" s="11">
        <f>'RD T1'!T28</f>
        <v>1.7285764011537963</v>
      </c>
      <c r="U29" s="11">
        <f t="shared" si="6"/>
        <v>4.0286932782992766</v>
      </c>
      <c r="W29" s="10" t="str">
        <f>name!D25</f>
        <v>72 Customer service occupations</v>
      </c>
      <c r="X29" s="11">
        <v>5.0503681988379601</v>
      </c>
      <c r="Y29" s="11">
        <v>5.5273130027849326</v>
      </c>
      <c r="Z29" s="11">
        <v>5.3261536824900828</v>
      </c>
      <c r="AA29" s="11">
        <v>6.469931530560693</v>
      </c>
      <c r="AB29" s="11">
        <v>7.3004825123255657</v>
      </c>
      <c r="AC29" s="11"/>
      <c r="AD29" s="11">
        <f t="shared" si="4"/>
        <v>1.9743288298354829</v>
      </c>
      <c r="AE29" s="11">
        <f>'RD T1'!T57</f>
        <v>3.6984372675332557</v>
      </c>
      <c r="AF29" s="11">
        <f t="shared" si="7"/>
        <v>5.6727660973687382</v>
      </c>
    </row>
    <row r="30" spans="1:32" x14ac:dyDescent="0.2">
      <c r="A30" s="10" t="str">
        <f>name!D26</f>
        <v>81 Process, plant and machine operatives</v>
      </c>
      <c r="B30" s="11">
        <v>20.497099930923987</v>
      </c>
      <c r="C30" s="11">
        <v>18.90603423685317</v>
      </c>
      <c r="D30" s="11">
        <v>16.493271233190935</v>
      </c>
      <c r="E30" s="11">
        <v>19.238164300614457</v>
      </c>
      <c r="F30" s="11">
        <v>18.228830196942472</v>
      </c>
      <c r="G30" s="11"/>
      <c r="H30" s="11">
        <f t="shared" si="2"/>
        <v>1.7355589637515365</v>
      </c>
      <c r="I30" s="11">
        <f>'RD T1'!E29</f>
        <v>7.0373090229278628</v>
      </c>
      <c r="J30" s="11">
        <f t="shared" si="5"/>
        <v>8.7728679866793993</v>
      </c>
      <c r="L30" s="10" t="str">
        <f>name!D26</f>
        <v>81 Process, plant and machine operatives</v>
      </c>
      <c r="M30" s="11">
        <v>16.923765414781563</v>
      </c>
      <c r="N30" s="11">
        <v>15.28893696405542</v>
      </c>
      <c r="O30" s="11">
        <v>13.571436767463242</v>
      </c>
      <c r="P30" s="11">
        <v>15.847776176288008</v>
      </c>
      <c r="Q30" s="11">
        <v>15.045739385707581</v>
      </c>
      <c r="R30" s="11"/>
      <c r="S30" s="11">
        <f t="shared" si="3"/>
        <v>1.4743026182443391</v>
      </c>
      <c r="T30" s="11">
        <f>'RD T1'!T29</f>
        <v>5.4341536127781245</v>
      </c>
      <c r="U30" s="11">
        <f t="shared" si="6"/>
        <v>6.9084562310224635</v>
      </c>
      <c r="W30" s="10" t="str">
        <f>name!D26</f>
        <v>81 Process, plant and machine operatives</v>
      </c>
      <c r="X30" s="11">
        <v>3.5733345161424328</v>
      </c>
      <c r="Y30" s="11">
        <v>3.6170972727977277</v>
      </c>
      <c r="Z30" s="11">
        <v>2.9218344657276933</v>
      </c>
      <c r="AA30" s="11">
        <v>3.3903881243264649</v>
      </c>
      <c r="AB30" s="11">
        <v>3.183090811234909</v>
      </c>
      <c r="AC30" s="11"/>
      <c r="AD30" s="11">
        <f t="shared" si="4"/>
        <v>0.26125634550721566</v>
      </c>
      <c r="AE30" s="11">
        <f>'RD T1'!T58</f>
        <v>1.6031554101497367</v>
      </c>
      <c r="AF30" s="11">
        <f t="shared" si="7"/>
        <v>1.8644117556569524</v>
      </c>
    </row>
    <row r="31" spans="1:32" x14ac:dyDescent="0.2">
      <c r="A31" s="10" t="str">
        <f>name!D27</f>
        <v>82 Transport and mobile machine drivers and operatives</v>
      </c>
      <c r="B31" s="11">
        <v>17.778560622425232</v>
      </c>
      <c r="C31" s="11">
        <v>21.33316791771556</v>
      </c>
      <c r="D31" s="11">
        <v>19.085919456589171</v>
      </c>
      <c r="E31" s="11">
        <v>19.057044026799424</v>
      </c>
      <c r="F31" s="11">
        <v>17.902063583152078</v>
      </c>
      <c r="G31" s="11"/>
      <c r="H31" s="11">
        <f t="shared" si="2"/>
        <v>-1.1838558734370928</v>
      </c>
      <c r="I31" s="11">
        <f>'RD T1'!E30</f>
        <v>9.6344668783859309</v>
      </c>
      <c r="J31" s="11">
        <f t="shared" si="5"/>
        <v>8.4506110049488381</v>
      </c>
      <c r="L31" s="10" t="str">
        <f>name!D27</f>
        <v>82 Transport and mobile machine drivers and operatives</v>
      </c>
      <c r="M31" s="11">
        <v>17.165911255237084</v>
      </c>
      <c r="N31" s="11">
        <v>20.725155317757849</v>
      </c>
      <c r="O31" s="11">
        <v>18.585249327138524</v>
      </c>
      <c r="P31" s="11">
        <v>18.366757688166519</v>
      </c>
      <c r="Q31" s="11">
        <v>17.148059896462854</v>
      </c>
      <c r="R31" s="11"/>
      <c r="S31" s="11">
        <f t="shared" si="3"/>
        <v>-1.4371894306756694</v>
      </c>
      <c r="T31" s="11">
        <f>'RD T1'!T30</f>
        <v>9.2008978672433042</v>
      </c>
      <c r="U31" s="11">
        <f t="shared" si="6"/>
        <v>7.7637084365676348</v>
      </c>
      <c r="W31" s="10" t="str">
        <f>name!D27</f>
        <v>82 Transport and mobile machine drivers and operatives</v>
      </c>
      <c r="X31" s="11">
        <v>0.61264936718818985</v>
      </c>
      <c r="Y31" s="11">
        <v>0.60801259995771462</v>
      </c>
      <c r="Z31" s="11">
        <v>0.5006701294506658</v>
      </c>
      <c r="AA31" s="11">
        <v>0.69028633863291211</v>
      </c>
      <c r="AB31" s="11">
        <v>0.75400368668928197</v>
      </c>
      <c r="AC31" s="11"/>
      <c r="AD31" s="11">
        <f t="shared" si="4"/>
        <v>0.25333355723861617</v>
      </c>
      <c r="AE31" s="11">
        <f>'RD T1'!T59</f>
        <v>0.43356901114262286</v>
      </c>
      <c r="AF31" s="11">
        <f t="shared" si="7"/>
        <v>0.68690256838123909</v>
      </c>
    </row>
    <row r="32" spans="1:32" x14ac:dyDescent="0.2">
      <c r="A32" s="10" t="str">
        <f>name!D28</f>
        <v>91 Elementary trades and related occupations</v>
      </c>
      <c r="B32" s="11">
        <v>8.7079014188987056</v>
      </c>
      <c r="C32" s="11">
        <v>7.6248517810092737</v>
      </c>
      <c r="D32" s="11">
        <v>6.6946553065972703</v>
      </c>
      <c r="E32" s="11">
        <v>5.3429118918296057</v>
      </c>
      <c r="F32" s="11">
        <v>4.88114497890591</v>
      </c>
      <c r="G32" s="11"/>
      <c r="H32" s="11">
        <f t="shared" si="2"/>
        <v>-1.8135103276913602</v>
      </c>
      <c r="I32" s="11">
        <f>'RD T1'!E31</f>
        <v>2.0209886404964919</v>
      </c>
      <c r="J32" s="11">
        <f t="shared" si="5"/>
        <v>0.20747831280513163</v>
      </c>
      <c r="L32" s="10" t="str">
        <f>name!D28</f>
        <v>91 Elementary trades and related occupations</v>
      </c>
      <c r="M32" s="11">
        <v>6.8295019132610335</v>
      </c>
      <c r="N32" s="11">
        <v>6.121772474320518</v>
      </c>
      <c r="O32" s="11">
        <v>5.5425480168031349</v>
      </c>
      <c r="P32" s="11">
        <v>4.395842459297735</v>
      </c>
      <c r="Q32" s="11">
        <v>4.0194584821412009</v>
      </c>
      <c r="R32" s="11"/>
      <c r="S32" s="11">
        <f t="shared" si="3"/>
        <v>-1.523089534661934</v>
      </c>
      <c r="T32" s="11">
        <f>'RD T1'!T31</f>
        <v>1.425981370975949</v>
      </c>
      <c r="U32" s="11">
        <f t="shared" si="6"/>
        <v>-9.7108163685984961E-2</v>
      </c>
      <c r="W32" s="10" t="str">
        <f>name!D28</f>
        <v>91 Elementary trades and related occupations</v>
      </c>
      <c r="X32" s="11">
        <v>1.8783995056376899</v>
      </c>
      <c r="Y32" s="11">
        <v>1.5030793066887511</v>
      </c>
      <c r="Z32" s="11">
        <v>1.1521072897941402</v>
      </c>
      <c r="AA32" s="11">
        <v>0.94706943253186571</v>
      </c>
      <c r="AB32" s="11">
        <v>0.86168649676470543</v>
      </c>
      <c r="AC32" s="11"/>
      <c r="AD32" s="11">
        <f t="shared" si="4"/>
        <v>-0.2904207930294348</v>
      </c>
      <c r="AE32" s="11">
        <f>'RD T1'!T60</f>
        <v>0.59500726952054261</v>
      </c>
      <c r="AF32" s="11">
        <f t="shared" si="7"/>
        <v>0.30458647649110782</v>
      </c>
    </row>
    <row r="33" spans="1:32" x14ac:dyDescent="0.2">
      <c r="A33" s="10" t="str">
        <f>name!D29</f>
        <v>92 Elementary administration and service occupations</v>
      </c>
      <c r="B33" s="11">
        <v>51.673327938642913</v>
      </c>
      <c r="C33" s="11">
        <v>48.780495954401637</v>
      </c>
      <c r="D33" s="11">
        <v>46.103296758951288</v>
      </c>
      <c r="E33" s="11">
        <v>45.977517729254544</v>
      </c>
      <c r="F33" s="11">
        <v>44.843080771914373</v>
      </c>
      <c r="G33" s="11"/>
      <c r="H33" s="11">
        <f t="shared" ref="H33" si="8">F33-D33</f>
        <v>-1.260215987036915</v>
      </c>
      <c r="I33" s="11">
        <f>'RD T1'!E32</f>
        <v>21.846999713335666</v>
      </c>
      <c r="J33" s="11">
        <f>SUM(H33:I33)</f>
        <v>20.586783726298751</v>
      </c>
      <c r="L33" s="10" t="str">
        <f>name!D29</f>
        <v>92 Elementary administration and service occupations</v>
      </c>
      <c r="M33" s="11">
        <v>24.932701028718775</v>
      </c>
      <c r="N33" s="11">
        <v>25.569316119848288</v>
      </c>
      <c r="O33" s="11">
        <v>24.143466372823351</v>
      </c>
      <c r="P33" s="11">
        <v>25.170306607576933</v>
      </c>
      <c r="Q33" s="11">
        <v>23.925787157368614</v>
      </c>
      <c r="R33" s="11"/>
      <c r="S33" s="11">
        <f t="shared" ref="S33" si="9">Q33-O33</f>
        <v>-0.21767921545473712</v>
      </c>
      <c r="T33" s="11">
        <f>'RD T1'!T32</f>
        <v>9.6463603582906714</v>
      </c>
      <c r="U33" s="11">
        <f t="shared" ref="U33" si="10">SUM(S33:T33)</f>
        <v>9.4286811428359343</v>
      </c>
      <c r="W33" s="10" t="str">
        <f>name!D29</f>
        <v>92 Elementary administration and service occupations</v>
      </c>
      <c r="X33" s="11">
        <v>26.74062690992416</v>
      </c>
      <c r="Y33" s="11">
        <v>23.211179834553345</v>
      </c>
      <c r="Z33" s="11">
        <v>21.959830386127887</v>
      </c>
      <c r="AA33" s="11">
        <v>20.807211121677611</v>
      </c>
      <c r="AB33" s="11">
        <v>20.917293614545709</v>
      </c>
      <c r="AC33" s="11"/>
      <c r="AD33" s="11">
        <f t="shared" ref="AD33" si="11">AB33-Z33</f>
        <v>-1.0425367715821778</v>
      </c>
      <c r="AE33" s="11">
        <f>'RD T1'!T61</f>
        <v>12.200639355044991</v>
      </c>
      <c r="AF33" s="11">
        <f t="shared" ref="AF33" si="12">SUM(AD33:AE33)</f>
        <v>11.158102583462814</v>
      </c>
    </row>
    <row r="34" spans="1:32" x14ac:dyDescent="0.2">
      <c r="H34" s="11"/>
      <c r="L34" s="10"/>
      <c r="S34" s="11"/>
      <c r="W34" s="10"/>
      <c r="AD34" s="11"/>
    </row>
    <row r="35" spans="1:32" x14ac:dyDescent="0.2">
      <c r="A35" s="231" t="str">
        <f>name!D3</f>
        <v>All occupations</v>
      </c>
      <c r="B35" s="34">
        <f>SUM(B8:B33)</f>
        <v>489.71100000000007</v>
      </c>
      <c r="C35" s="34">
        <f>SUM(C8:C33)</f>
        <v>483.57499999999982</v>
      </c>
      <c r="D35" s="34">
        <f>SUM(D8:D33)</f>
        <v>478.9260000000001</v>
      </c>
      <c r="E35" s="34">
        <f>SUM(E8:E33)</f>
        <v>482.75099999999981</v>
      </c>
      <c r="F35" s="34">
        <f>SUM(F8:F33)</f>
        <v>492.77799999999979</v>
      </c>
      <c r="G35" s="11"/>
      <c r="H35" s="34">
        <f>F35-D35</f>
        <v>13.851999999999691</v>
      </c>
      <c r="I35" s="34">
        <f>SUM(I8:I33)</f>
        <v>235.37581402990455</v>
      </c>
      <c r="J35" s="34">
        <f>SUM(J8:J33)</f>
        <v>249.22781402990427</v>
      </c>
      <c r="L35" s="231" t="str">
        <f>name!D3</f>
        <v>All occupations</v>
      </c>
      <c r="M35" s="34">
        <f>SUM(M8:M33)</f>
        <v>252.94457324179956</v>
      </c>
      <c r="N35" s="34">
        <f>SUM(N8:N33)</f>
        <v>255.49920781538671</v>
      </c>
      <c r="O35" s="34">
        <f>SUM(O8:O33)</f>
        <v>246.03070411504518</v>
      </c>
      <c r="P35" s="34">
        <f>SUM(P8:P33)</f>
        <v>246.35238384978254</v>
      </c>
      <c r="Q35" s="34">
        <f>SUM(Q8:Q33)</f>
        <v>248.57290530354337</v>
      </c>
      <c r="R35" s="11"/>
      <c r="S35" s="34">
        <f>Q35-O35</f>
        <v>2.5422011884981828</v>
      </c>
      <c r="T35" s="34">
        <f>SUM(T8:T33)</f>
        <v>97.900583322524056</v>
      </c>
      <c r="U35" s="34">
        <f>SUM(U8:U33)</f>
        <v>100.44278451102215</v>
      </c>
      <c r="W35" s="231" t="str">
        <f>name!D3</f>
        <v>All occupations</v>
      </c>
      <c r="X35" s="34">
        <f>SUM(X8:X33)</f>
        <v>236.76642675820045</v>
      </c>
      <c r="Y35" s="34">
        <f>SUM(Y8:Y33)</f>
        <v>228.07579218461308</v>
      </c>
      <c r="Z35" s="34">
        <f>SUM(Z8:Z33)</f>
        <v>232.89529588495495</v>
      </c>
      <c r="AA35" s="34">
        <f>SUM(AA8:AA33)</f>
        <v>236.39861615021738</v>
      </c>
      <c r="AB35" s="34">
        <f>SUM(AB8:AB33)</f>
        <v>244.20509469645674</v>
      </c>
      <c r="AC35" s="11"/>
      <c r="AD35" s="34">
        <f t="shared" ref="AD35" si="13">AB35-Z35</f>
        <v>11.309798811501793</v>
      </c>
      <c r="AE35" s="34">
        <f>SUM(AE8:AE33)</f>
        <v>137.47523070738052</v>
      </c>
      <c r="AF35" s="34">
        <f>SUM(AF8:AF33)</f>
        <v>148.78502951888225</v>
      </c>
    </row>
    <row r="36" spans="1:32" x14ac:dyDescent="0.2">
      <c r="B36" s="11"/>
      <c r="C36" s="11"/>
      <c r="D36" s="11"/>
      <c r="E36" s="11"/>
      <c r="F36" s="11"/>
      <c r="G36" s="11"/>
      <c r="M36" s="11"/>
      <c r="N36" s="11"/>
      <c r="O36" s="11"/>
      <c r="P36" s="11"/>
      <c r="Q36" s="11"/>
      <c r="R36" s="11"/>
      <c r="X36" s="11"/>
      <c r="Y36" s="11"/>
      <c r="Z36" s="11"/>
      <c r="AA36" s="11"/>
      <c r="AB36" s="11"/>
      <c r="AC36" s="11"/>
    </row>
    <row r="37" spans="1:32" x14ac:dyDescent="0.2">
      <c r="B37" s="11"/>
      <c r="C37" s="11"/>
      <c r="D37" s="11"/>
      <c r="E37" s="11"/>
      <c r="F37" s="11"/>
      <c r="G37" s="11"/>
      <c r="H37" s="11"/>
      <c r="I37" s="11"/>
      <c r="J37" s="11"/>
      <c r="M37" s="11"/>
      <c r="N37" s="11"/>
      <c r="O37" s="11"/>
      <c r="P37" s="11"/>
      <c r="Q37" s="11"/>
      <c r="R37" s="11"/>
      <c r="S37" s="11"/>
      <c r="T37" s="11"/>
      <c r="U37" s="11"/>
      <c r="X37" s="11"/>
      <c r="Y37" s="11"/>
      <c r="Z37" s="11"/>
      <c r="AA37" s="11"/>
      <c r="AB37" s="11"/>
      <c r="AC37" s="11"/>
      <c r="AD37" s="11"/>
      <c r="AE37" s="11"/>
      <c r="AF37" s="11"/>
    </row>
    <row r="38" spans="1:32" ht="15.75" x14ac:dyDescent="0.25">
      <c r="A38" s="19" t="str">
        <f>CONCATENATE(A$1," (Continued)")</f>
        <v>Occupation Table 2  Employment Change by Occupation (SOC 2020) and Replacement Demand, 2015-2035, North East (Continued)</v>
      </c>
      <c r="L38" s="19" t="str">
        <f>CONCATENATE(L$1," (Continued)")</f>
        <v>Occupation Table 2.1  Males: Employment Change by Occupation (SOC 2020) and Replacement Demand, 2015-2035, North East (Continued)</v>
      </c>
      <c r="W38" s="19" t="str">
        <f>CONCATENATE(W$1," (Continued)")</f>
        <v>Occupation Table 2.2  Females: Employment Change by Occupation (SOC 2020) and Replacement Demand, 2015-2035, North East (Continued)</v>
      </c>
    </row>
    <row r="40" spans="1:32" x14ac:dyDescent="0.2">
      <c r="F40" s="16" t="s">
        <v>35</v>
      </c>
      <c r="J40" s="16" t="s">
        <v>35</v>
      </c>
      <c r="Q40" s="16" t="s">
        <v>35</v>
      </c>
      <c r="U40" s="16" t="s">
        <v>35</v>
      </c>
      <c r="AB40" s="16" t="s">
        <v>35</v>
      </c>
      <c r="AF40" s="16" t="s">
        <v>35</v>
      </c>
    </row>
    <row r="41" spans="1:32" x14ac:dyDescent="0.2">
      <c r="A41" s="36"/>
      <c r="B41" s="36"/>
      <c r="C41" s="36"/>
      <c r="D41" s="36"/>
      <c r="E41" s="36"/>
      <c r="F41" s="36"/>
      <c r="H41" s="99" t="str">
        <f>$H$4</f>
        <v>2020-2035</v>
      </c>
      <c r="I41" s="36"/>
      <c r="J41" s="36"/>
      <c r="L41" s="36"/>
      <c r="M41" s="36"/>
      <c r="N41" s="36"/>
      <c r="O41" s="36"/>
      <c r="P41" s="36"/>
      <c r="Q41" s="36"/>
      <c r="S41" s="99" t="str">
        <f>$H$4</f>
        <v>2020-2035</v>
      </c>
      <c r="T41" s="36"/>
      <c r="U41" s="36"/>
      <c r="W41" s="36"/>
      <c r="X41" s="36"/>
      <c r="Y41" s="36"/>
      <c r="Z41" s="36"/>
      <c r="AA41" s="36"/>
      <c r="AB41" s="36"/>
      <c r="AD41" s="99" t="str">
        <f>$H$4</f>
        <v>2020-2035</v>
      </c>
      <c r="AE41" s="36"/>
      <c r="AF41" s="36"/>
    </row>
    <row r="42" spans="1:32" x14ac:dyDescent="0.2">
      <c r="H42" s="16" t="str">
        <f t="shared" ref="H42:J43" si="14">H5</f>
        <v>Net</v>
      </c>
      <c r="I42" s="16" t="str">
        <f t="shared" si="14"/>
        <v>Replacement</v>
      </c>
      <c r="J42" s="16" t="str">
        <f t="shared" si="14"/>
        <v>Total</v>
      </c>
      <c r="S42" s="16" t="str">
        <f t="shared" ref="S42:U42" si="15">S5</f>
        <v>Net</v>
      </c>
      <c r="T42" s="16" t="str">
        <f t="shared" si="15"/>
        <v>Replacement</v>
      </c>
      <c r="U42" s="16" t="str">
        <f t="shared" si="15"/>
        <v>Total</v>
      </c>
      <c r="AD42" s="16" t="str">
        <f t="shared" ref="AD42:AF42" si="16">AD5</f>
        <v>Net</v>
      </c>
      <c r="AE42" s="16" t="str">
        <f t="shared" si="16"/>
        <v>Replacement</v>
      </c>
      <c r="AF42" s="16" t="str">
        <f t="shared" si="16"/>
        <v>Total</v>
      </c>
    </row>
    <row r="43" spans="1:32" x14ac:dyDescent="0.2">
      <c r="A43" s="41" t="s">
        <v>37</v>
      </c>
      <c r="B43" s="35">
        <f>B$6</f>
        <v>2015</v>
      </c>
      <c r="C43" s="35">
        <f>C$6</f>
        <v>2019</v>
      </c>
      <c r="D43" s="35">
        <f>D$6</f>
        <v>2020</v>
      </c>
      <c r="E43" s="35">
        <f>E$6</f>
        <v>2025</v>
      </c>
      <c r="F43" s="35">
        <f>F$6</f>
        <v>2035</v>
      </c>
      <c r="H43" s="63" t="str">
        <f t="shared" si="14"/>
        <v>Change</v>
      </c>
      <c r="I43" s="63" t="str">
        <f t="shared" si="14"/>
        <v>Demand</v>
      </c>
      <c r="J43" s="63" t="str">
        <f t="shared" si="14"/>
        <v>Requirement</v>
      </c>
      <c r="L43" s="41" t="s">
        <v>37</v>
      </c>
      <c r="M43" s="35">
        <f>M$6</f>
        <v>2015</v>
      </c>
      <c r="N43" s="35">
        <f>N$6</f>
        <v>2019</v>
      </c>
      <c r="O43" s="35">
        <f>O$6</f>
        <v>2020</v>
      </c>
      <c r="P43" s="35">
        <f>P$6</f>
        <v>2025</v>
      </c>
      <c r="Q43" s="35">
        <f>Q$6</f>
        <v>2035</v>
      </c>
      <c r="S43" s="63" t="str">
        <f t="shared" ref="S43:U43" si="17">S6</f>
        <v>Change</v>
      </c>
      <c r="T43" s="63" t="str">
        <f t="shared" si="17"/>
        <v>Demand</v>
      </c>
      <c r="U43" s="63" t="str">
        <f t="shared" si="17"/>
        <v>Requirement</v>
      </c>
      <c r="W43" s="41" t="s">
        <v>37</v>
      </c>
      <c r="X43" s="35">
        <f>X$6</f>
        <v>2015</v>
      </c>
      <c r="Y43" s="35">
        <f>Y$6</f>
        <v>2019</v>
      </c>
      <c r="Z43" s="35">
        <f>Z$6</f>
        <v>2020</v>
      </c>
      <c r="AA43" s="35">
        <f>AA$6</f>
        <v>2025</v>
      </c>
      <c r="AB43" s="35">
        <f>AB$6</f>
        <v>2035</v>
      </c>
      <c r="AD43" s="63" t="str">
        <f t="shared" ref="AD43:AF43" si="18">AD6</f>
        <v>Change</v>
      </c>
      <c r="AE43" s="63" t="str">
        <f t="shared" si="18"/>
        <v>Demand</v>
      </c>
      <c r="AF43" s="63" t="str">
        <f t="shared" si="18"/>
        <v>Requirement</v>
      </c>
    </row>
    <row r="44" spans="1:32" x14ac:dyDescent="0.2">
      <c r="G44" s="11"/>
      <c r="R44" s="11"/>
      <c r="AC44" s="11"/>
    </row>
    <row r="45" spans="1:32" x14ac:dyDescent="0.2">
      <c r="A45" t="str">
        <f t="shared" ref="A45:A70" si="19">A8</f>
        <v>11 Corporate managers and directors</v>
      </c>
      <c r="B45" s="173">
        <f t="shared" ref="B45:F54" si="20">B8/B$35*100</f>
        <v>4.4378717505458232</v>
      </c>
      <c r="C45" s="173">
        <f t="shared" si="20"/>
        <v>5.1043993002812842</v>
      </c>
      <c r="D45" s="173">
        <f t="shared" si="20"/>
        <v>5.306154613300393</v>
      </c>
      <c r="E45" s="173">
        <f t="shared" si="20"/>
        <v>4.802824857396911</v>
      </c>
      <c r="F45" s="173">
        <f t="shared" si="20"/>
        <v>5.1206769549409676</v>
      </c>
      <c r="H45" s="68">
        <f t="shared" ref="H45:H70" si="21">IF(D8&gt;0,(H8/D8)*100,0)</f>
        <v>-0.7043155047348747</v>
      </c>
      <c r="I45" s="69">
        <f t="shared" ref="I45:I70" si="22">IF(D8&gt;0,I8/D8*100,0)</f>
        <v>48.544980081910744</v>
      </c>
      <c r="J45" s="69">
        <f t="shared" ref="J45:J70" si="23">IF(D8&gt;0,(J8/D8)*100,0)</f>
        <v>47.840664577175865</v>
      </c>
      <c r="L45" t="str">
        <f t="shared" ref="L45:L70" si="24">L8</f>
        <v>11 Corporate managers and directors</v>
      </c>
      <c r="M45" s="173">
        <f t="shared" ref="M45:Q45" si="25">M8/M$35*100</f>
        <v>5.8844160789201698</v>
      </c>
      <c r="N45" s="173">
        <f t="shared" si="25"/>
        <v>6.5060340170715643</v>
      </c>
      <c r="O45" s="173">
        <f t="shared" si="25"/>
        <v>6.8046290819512247</v>
      </c>
      <c r="P45" s="173">
        <f t="shared" si="25"/>
        <v>5.984644329551811</v>
      </c>
      <c r="Q45" s="173">
        <f t="shared" si="25"/>
        <v>6.1570135810452449</v>
      </c>
      <c r="S45" s="68">
        <f t="shared" ref="S45:S70" si="26">IF(O8&gt;0,(S8/O8)*100,0)</f>
        <v>-8.5823330755121461</v>
      </c>
      <c r="T45" s="69">
        <f t="shared" ref="T45:T70" si="27">IF(O8&gt;0,T8/O8*100,0)</f>
        <v>41.623803892764606</v>
      </c>
      <c r="U45" s="69">
        <f t="shared" ref="U45:U70" si="28">IF(O8&gt;0,(U8/O8)*100,0)</f>
        <v>33.04147081725246</v>
      </c>
      <c r="W45" t="str">
        <f t="shared" ref="W45:W70" si="29">W8</f>
        <v>11 Corporate managers and directors</v>
      </c>
      <c r="X45" s="173">
        <f t="shared" ref="X45:AB45" si="30">X8/X$35*100</f>
        <v>2.8924856802915708</v>
      </c>
      <c r="Y45" s="173">
        <f t="shared" si="30"/>
        <v>3.5342345916278122</v>
      </c>
      <c r="Z45" s="173">
        <f t="shared" si="30"/>
        <v>3.7231654540745529</v>
      </c>
      <c r="AA45" s="173">
        <f t="shared" si="30"/>
        <v>3.5712438566839131</v>
      </c>
      <c r="AB45" s="173">
        <f t="shared" si="30"/>
        <v>4.0658045889757686</v>
      </c>
      <c r="AD45" s="68">
        <f t="shared" ref="AD45:AD70" si="31">IF(Z8&gt;0,(AD8/Z8)*100,0)</f>
        <v>14.505980249461214</v>
      </c>
      <c r="AE45" s="69">
        <f t="shared" ref="AE45:AE70" si="32">IF(Z8&gt;0,AE8/Z8*100,0)</f>
        <v>61.907877010994603</v>
      </c>
      <c r="AF45" s="69">
        <f t="shared" ref="AF45:AF70" si="33">IF(Z8&gt;0,(AF8/Z8)*100,0)</f>
        <v>76.413857260455814</v>
      </c>
    </row>
    <row r="46" spans="1:32" x14ac:dyDescent="0.2">
      <c r="A46" t="str">
        <f t="shared" si="19"/>
        <v>12 Other managers and proprietors</v>
      </c>
      <c r="B46" s="173">
        <f t="shared" si="20"/>
        <v>2.9146700470178883</v>
      </c>
      <c r="C46" s="173">
        <f t="shared" si="20"/>
        <v>3.1606410083152374</v>
      </c>
      <c r="D46" s="173">
        <f t="shared" si="20"/>
        <v>3.0970389332519188</v>
      </c>
      <c r="E46" s="173">
        <f t="shared" si="20"/>
        <v>3.6616880454285834</v>
      </c>
      <c r="F46" s="173">
        <f t="shared" si="20"/>
        <v>4.1510717464856164</v>
      </c>
      <c r="H46" s="68">
        <f t="shared" si="21"/>
        <v>37.910226142802536</v>
      </c>
      <c r="I46" s="69">
        <f t="shared" si="22"/>
        <v>70.265166262120644</v>
      </c>
      <c r="J46" s="69">
        <f t="shared" si="23"/>
        <v>108.17539240492317</v>
      </c>
      <c r="L46" t="str">
        <f t="shared" si="24"/>
        <v>12 Other managers and proprietors</v>
      </c>
      <c r="M46" s="173">
        <f t="shared" ref="M46:Q46" si="34">M9/M$35*100</f>
        <v>3.5156988986324995</v>
      </c>
      <c r="N46" s="173">
        <f t="shared" si="34"/>
        <v>3.6978546999429618</v>
      </c>
      <c r="O46" s="173">
        <f t="shared" si="34"/>
        <v>3.4709001979224539</v>
      </c>
      <c r="P46" s="173">
        <f t="shared" si="34"/>
        <v>4.2526198731593858</v>
      </c>
      <c r="Q46" s="173">
        <f t="shared" si="34"/>
        <v>4.9573582906011673</v>
      </c>
      <c r="S46" s="68">
        <f t="shared" si="26"/>
        <v>44.302103246416827</v>
      </c>
      <c r="T46" s="69">
        <f t="shared" si="27"/>
        <v>65.388102263155901</v>
      </c>
      <c r="U46" s="69">
        <f t="shared" si="28"/>
        <v>109.69020550957271</v>
      </c>
      <c r="W46" t="str">
        <f t="shared" si="29"/>
        <v>12 Other managers and proprietors</v>
      </c>
      <c r="X46" s="173">
        <f t="shared" ref="X46:AB46" si="35">X9/X$35*100</f>
        <v>2.2725731565963114</v>
      </c>
      <c r="Y46" s="173">
        <f t="shared" si="35"/>
        <v>2.5588337260791505</v>
      </c>
      <c r="Z46" s="173">
        <f t="shared" si="35"/>
        <v>2.7020917109874065</v>
      </c>
      <c r="AA46" s="173">
        <f t="shared" si="35"/>
        <v>3.0458745232306188</v>
      </c>
      <c r="AB46" s="173">
        <f t="shared" si="35"/>
        <v>3.3303640989769692</v>
      </c>
      <c r="AD46" s="68">
        <f t="shared" si="31"/>
        <v>29.236632929083896</v>
      </c>
      <c r="AE46" s="69">
        <f t="shared" si="32"/>
        <v>76.883201702817175</v>
      </c>
      <c r="AF46" s="69">
        <f t="shared" si="33"/>
        <v>106.11983463190107</v>
      </c>
    </row>
    <row r="47" spans="1:32" x14ac:dyDescent="0.2">
      <c r="A47" t="str">
        <f t="shared" si="19"/>
        <v>21 Science, research, engineering and technology professionals</v>
      </c>
      <c r="B47" s="173">
        <f t="shared" si="20"/>
        <v>4.3752379361195031</v>
      </c>
      <c r="C47" s="173">
        <f t="shared" si="20"/>
        <v>4.6271385823668663</v>
      </c>
      <c r="D47" s="173">
        <f t="shared" si="20"/>
        <v>4.9004729496733148</v>
      </c>
      <c r="E47" s="173">
        <f t="shared" si="20"/>
        <v>5.0366325034692769</v>
      </c>
      <c r="F47" s="173">
        <f t="shared" si="20"/>
        <v>5.3725647525638074</v>
      </c>
      <c r="H47" s="68">
        <f t="shared" si="21"/>
        <v>12.804534604588316</v>
      </c>
      <c r="I47" s="69">
        <f t="shared" si="22"/>
        <v>38.689081267228296</v>
      </c>
      <c r="J47" s="69">
        <f t="shared" si="23"/>
        <v>51.493615871816608</v>
      </c>
      <c r="L47" t="str">
        <f t="shared" si="24"/>
        <v>21 Science, research, engineering and technology professionals</v>
      </c>
      <c r="M47" s="173">
        <f t="shared" ref="M47:Q47" si="36">M10/M$35*100</f>
        <v>7.0930738967546052</v>
      </c>
      <c r="N47" s="173">
        <f t="shared" si="36"/>
        <v>7.3948408267273367</v>
      </c>
      <c r="O47" s="173">
        <f t="shared" si="36"/>
        <v>7.7742498501235131</v>
      </c>
      <c r="P47" s="173">
        <f t="shared" si="36"/>
        <v>7.8050320863592733</v>
      </c>
      <c r="Q47" s="173">
        <f t="shared" si="36"/>
        <v>8.1612276093236389</v>
      </c>
      <c r="S47" s="68">
        <f t="shared" si="26"/>
        <v>6.0624060556494941</v>
      </c>
      <c r="T47" s="69">
        <f t="shared" si="27"/>
        <v>32.99465882334863</v>
      </c>
      <c r="U47" s="69">
        <f t="shared" si="28"/>
        <v>39.057064878998119</v>
      </c>
      <c r="W47" t="str">
        <f t="shared" si="29"/>
        <v>21 Science, research, engineering and technology professionals</v>
      </c>
      <c r="X47" s="173">
        <f t="shared" ref="X47:AB47" si="37">X10/X$35*100</f>
        <v>1.4716934318721175</v>
      </c>
      <c r="Y47" s="173">
        <f t="shared" si="37"/>
        <v>1.5266528879860348</v>
      </c>
      <c r="Z47" s="173">
        <f t="shared" si="37"/>
        <v>1.8646136310008703</v>
      </c>
      <c r="AA47" s="173">
        <f t="shared" si="37"/>
        <v>2.1516670675450698</v>
      </c>
      <c r="AB47" s="173">
        <f t="shared" si="37"/>
        <v>2.5340243483249218</v>
      </c>
      <c r="AD47" s="68">
        <f t="shared" si="31"/>
        <v>42.500350421370229</v>
      </c>
      <c r="AE47" s="69">
        <f t="shared" si="32"/>
        <v>63.770258353805652</v>
      </c>
      <c r="AF47" s="69">
        <f t="shared" si="33"/>
        <v>106.27060877517589</v>
      </c>
    </row>
    <row r="48" spans="1:32" x14ac:dyDescent="0.2">
      <c r="A48" t="str">
        <f t="shared" si="19"/>
        <v>22 Health professionals</v>
      </c>
      <c r="B48" s="173">
        <f t="shared" si="20"/>
        <v>5.6303998384942453</v>
      </c>
      <c r="C48" s="173">
        <f t="shared" si="20"/>
        <v>5.7582267612483307</v>
      </c>
      <c r="D48" s="173">
        <f t="shared" si="20"/>
        <v>6.0610140111115474</v>
      </c>
      <c r="E48" s="173">
        <f t="shared" si="20"/>
        <v>6.5217944665673668</v>
      </c>
      <c r="F48" s="173">
        <f t="shared" si="20"/>
        <v>6.9658025531779657</v>
      </c>
      <c r="H48" s="68">
        <f t="shared" si="21"/>
        <v>18.25207442521852</v>
      </c>
      <c r="I48" s="69">
        <f t="shared" si="22"/>
        <v>60.633133842571183</v>
      </c>
      <c r="J48" s="69">
        <f t="shared" si="23"/>
        <v>78.885208267789707</v>
      </c>
      <c r="L48" t="str">
        <f t="shared" si="24"/>
        <v>22 Health professionals</v>
      </c>
      <c r="M48" s="173">
        <f t="shared" ref="M48:Q48" si="38">M11/M$35*100</f>
        <v>2.6808635197917057</v>
      </c>
      <c r="N48" s="173">
        <f t="shared" si="38"/>
        <v>2.6741053948835587</v>
      </c>
      <c r="O48" s="173">
        <f t="shared" si="38"/>
        <v>3.137858818950169</v>
      </c>
      <c r="P48" s="173">
        <f t="shared" si="38"/>
        <v>3.3737560724332996</v>
      </c>
      <c r="Q48" s="173">
        <f t="shared" si="38"/>
        <v>3.6818455341302223</v>
      </c>
      <c r="S48" s="68">
        <f t="shared" si="26"/>
        <v>18.548658454791735</v>
      </c>
      <c r="T48" s="69">
        <f t="shared" si="27"/>
        <v>43.032542128732686</v>
      </c>
      <c r="U48" s="69">
        <f t="shared" si="28"/>
        <v>61.581200583524421</v>
      </c>
      <c r="W48" t="str">
        <f t="shared" si="29"/>
        <v>22 Health professionals</v>
      </c>
      <c r="X48" s="173">
        <f t="shared" ref="X48:AB48" si="39">X11/X$35*100</f>
        <v>8.7814766850326755</v>
      </c>
      <c r="Y48" s="173">
        <f t="shared" si="39"/>
        <v>9.2131772334794224</v>
      </c>
      <c r="Z48" s="173">
        <f t="shared" si="39"/>
        <v>9.1490365812207965</v>
      </c>
      <c r="AA48" s="173">
        <f t="shared" si="39"/>
        <v>9.8023837334383828</v>
      </c>
      <c r="AB48" s="173">
        <f t="shared" si="39"/>
        <v>10.308495866482117</v>
      </c>
      <c r="AD48" s="68">
        <f t="shared" si="31"/>
        <v>18.144617504833619</v>
      </c>
      <c r="AE48" s="69">
        <f t="shared" si="32"/>
        <v>67.010096841013507</v>
      </c>
      <c r="AF48" s="69">
        <f t="shared" si="33"/>
        <v>85.154714345847111</v>
      </c>
    </row>
    <row r="49" spans="1:32" x14ac:dyDescent="0.2">
      <c r="A49" t="str">
        <f t="shared" si="19"/>
        <v>23 Teaching and other educational professionals</v>
      </c>
      <c r="B49" s="173">
        <f t="shared" si="20"/>
        <v>4.3031923713115798</v>
      </c>
      <c r="C49" s="173">
        <f t="shared" si="20"/>
        <v>4.3560281677869117</v>
      </c>
      <c r="D49" s="173">
        <f t="shared" si="20"/>
        <v>4.6108887943495169</v>
      </c>
      <c r="E49" s="173">
        <f t="shared" si="20"/>
        <v>4.9869955755993285</v>
      </c>
      <c r="F49" s="173">
        <f t="shared" si="20"/>
        <v>5.236511919010109</v>
      </c>
      <c r="H49" s="68">
        <f t="shared" si="21"/>
        <v>16.853128503712956</v>
      </c>
      <c r="I49" s="69">
        <f t="shared" si="22"/>
        <v>55.304456247287824</v>
      </c>
      <c r="J49" s="69">
        <f t="shared" si="23"/>
        <v>72.157584751000783</v>
      </c>
      <c r="L49" t="str">
        <f t="shared" si="24"/>
        <v>23 Teaching and other educational professionals</v>
      </c>
      <c r="M49" s="173">
        <f t="shared" ref="M49:Q49" si="40">M12/M$35*100</f>
        <v>3.537258643073129</v>
      </c>
      <c r="N49" s="173">
        <f t="shared" si="40"/>
        <v>2.9155466579719223</v>
      </c>
      <c r="O49" s="173">
        <f t="shared" si="40"/>
        <v>2.9623183740569274</v>
      </c>
      <c r="P49" s="173">
        <f t="shared" si="40"/>
        <v>3.2906827226469941</v>
      </c>
      <c r="Q49" s="173">
        <f t="shared" si="40"/>
        <v>3.4084825720575909</v>
      </c>
      <c r="S49" s="68">
        <f t="shared" si="26"/>
        <v>16.250230918215955</v>
      </c>
      <c r="T49" s="69">
        <f t="shared" si="27"/>
        <v>48.345038998693731</v>
      </c>
      <c r="U49" s="69">
        <f t="shared" si="28"/>
        <v>64.595269916909686</v>
      </c>
      <c r="W49" t="str">
        <f t="shared" si="29"/>
        <v>23 Teaching and other educational professionals</v>
      </c>
      <c r="X49" s="173">
        <f t="shared" ref="X49:AB49" si="41">X12/X$35*100</f>
        <v>5.1214620165203382</v>
      </c>
      <c r="Y49" s="173">
        <f t="shared" si="41"/>
        <v>5.9697105367273835</v>
      </c>
      <c r="Z49" s="173">
        <f t="shared" si="41"/>
        <v>6.3524393900651814</v>
      </c>
      <c r="AA49" s="173">
        <f t="shared" si="41"/>
        <v>6.7547331448171208</v>
      </c>
      <c r="AB49" s="173">
        <f t="shared" si="41"/>
        <v>7.0972370865867216</v>
      </c>
      <c r="AD49" s="68">
        <f t="shared" si="31"/>
        <v>17.150133215953193</v>
      </c>
      <c r="AE49" s="69">
        <f t="shared" si="32"/>
        <v>58.732865594079556</v>
      </c>
      <c r="AF49" s="69">
        <f t="shared" si="33"/>
        <v>75.88299881003276</v>
      </c>
    </row>
    <row r="50" spans="1:32" x14ac:dyDescent="0.2">
      <c r="A50" t="str">
        <f t="shared" si="19"/>
        <v>24 Business, media and public service professionals</v>
      </c>
      <c r="B50" s="173">
        <f t="shared" si="20"/>
        <v>4.0949379204077969</v>
      </c>
      <c r="C50" s="173">
        <f t="shared" si="20"/>
        <v>4.4652870544790746</v>
      </c>
      <c r="D50" s="173">
        <f t="shared" si="20"/>
        <v>5.1129766705976127</v>
      </c>
      <c r="E50" s="173">
        <f t="shared" si="20"/>
        <v>5.514915338486162</v>
      </c>
      <c r="F50" s="173">
        <f t="shared" si="20"/>
        <v>6.1282692787731978</v>
      </c>
      <c r="H50" s="68">
        <f t="shared" si="21"/>
        <v>23.323807549375054</v>
      </c>
      <c r="I50" s="69">
        <f t="shared" si="22"/>
        <v>55.164447515258338</v>
      </c>
      <c r="J50" s="69">
        <f t="shared" si="23"/>
        <v>78.488255064633393</v>
      </c>
      <c r="L50" t="str">
        <f t="shared" si="24"/>
        <v>24 Business, media and public service professionals</v>
      </c>
      <c r="M50" s="173">
        <f t="shared" ref="M50:Q50" si="42">M13/M$35*100</f>
        <v>4.3152747145827917</v>
      </c>
      <c r="N50" s="173">
        <f t="shared" si="42"/>
        <v>4.3318668291793303</v>
      </c>
      <c r="O50" s="173">
        <f t="shared" si="42"/>
        <v>4.9536752966846178</v>
      </c>
      <c r="P50" s="173">
        <f t="shared" si="42"/>
        <v>5.4029350224958712</v>
      </c>
      <c r="Q50" s="173">
        <f t="shared" si="42"/>
        <v>5.8504642958398234</v>
      </c>
      <c r="S50" s="68">
        <f t="shared" si="26"/>
        <v>19.323855098678042</v>
      </c>
      <c r="T50" s="69">
        <f t="shared" si="27"/>
        <v>47.219666676566099</v>
      </c>
      <c r="U50" s="69">
        <f t="shared" si="28"/>
        <v>66.543521775244145</v>
      </c>
      <c r="W50" t="str">
        <f t="shared" si="29"/>
        <v>24 Business, media and public service professionals</v>
      </c>
      <c r="X50" s="173">
        <f t="shared" ref="X50:AB50" si="43">X13/X$35*100</f>
        <v>3.8595456093645613</v>
      </c>
      <c r="Y50" s="173">
        <f t="shared" si="43"/>
        <v>4.6147494833678131</v>
      </c>
      <c r="Z50" s="173">
        <f t="shared" si="43"/>
        <v>5.2812627196626307</v>
      </c>
      <c r="AA50" s="173">
        <f t="shared" si="43"/>
        <v>5.6316106822987013</v>
      </c>
      <c r="AB50" s="173">
        <f t="shared" si="43"/>
        <v>6.4110430341748961</v>
      </c>
      <c r="AD50" s="68">
        <f t="shared" si="31"/>
        <v>27.287255739009275</v>
      </c>
      <c r="AE50" s="69">
        <f t="shared" si="32"/>
        <v>63.036722903599681</v>
      </c>
      <c r="AF50" s="69">
        <f t="shared" si="33"/>
        <v>90.323978642608964</v>
      </c>
    </row>
    <row r="51" spans="1:32" x14ac:dyDescent="0.2">
      <c r="A51" t="str">
        <f t="shared" si="19"/>
        <v>31 Science, engineering and technology associate professionals</v>
      </c>
      <c r="B51" s="173">
        <f t="shared" si="20"/>
        <v>1.8491430028466926</v>
      </c>
      <c r="C51" s="173">
        <f t="shared" si="20"/>
        <v>2.0414675115144258</v>
      </c>
      <c r="D51" s="173">
        <f t="shared" si="20"/>
        <v>2.2362203160490908</v>
      </c>
      <c r="E51" s="173">
        <f t="shared" si="20"/>
        <v>1.8919084365247136</v>
      </c>
      <c r="F51" s="173">
        <f t="shared" si="20"/>
        <v>1.9008317941189827</v>
      </c>
      <c r="H51" s="68">
        <f t="shared" si="21"/>
        <v>-12.53949217131844</v>
      </c>
      <c r="I51" s="69">
        <f t="shared" si="22"/>
        <v>34.18505781176323</v>
      </c>
      <c r="J51" s="69">
        <f t="shared" si="23"/>
        <v>21.645565640444794</v>
      </c>
      <c r="L51" t="str">
        <f t="shared" si="24"/>
        <v>31 Science, engineering and technology associate professionals</v>
      </c>
      <c r="M51" s="173">
        <f t="shared" ref="M51:Q51" si="44">M14/M$35*100</f>
        <v>2.9000520056421411</v>
      </c>
      <c r="N51" s="173">
        <f t="shared" si="44"/>
        <v>3.2028638201611765</v>
      </c>
      <c r="O51" s="173">
        <f t="shared" si="44"/>
        <v>3.5063287783199399</v>
      </c>
      <c r="P51" s="173">
        <f t="shared" si="44"/>
        <v>2.8358292388575088</v>
      </c>
      <c r="Q51" s="173">
        <f t="shared" si="44"/>
        <v>2.7518903016839213</v>
      </c>
      <c r="S51" s="68">
        <f t="shared" si="26"/>
        <v>-20.705519111482392</v>
      </c>
      <c r="T51" s="69">
        <f t="shared" si="27"/>
        <v>29.075673339869802</v>
      </c>
      <c r="U51" s="69">
        <f t="shared" si="28"/>
        <v>8.3701542283874062</v>
      </c>
      <c r="W51" t="str">
        <f t="shared" si="29"/>
        <v>31 Science, engineering and technology associate professionals</v>
      </c>
      <c r="X51" s="173">
        <f t="shared" ref="X51:AB51" si="45">X14/X$35*100</f>
        <v>0.72642584709245894</v>
      </c>
      <c r="Y51" s="173">
        <f t="shared" si="45"/>
        <v>0.74042703730762338</v>
      </c>
      <c r="Z51" s="173">
        <f t="shared" si="45"/>
        <v>0.89447711729708679</v>
      </c>
      <c r="AA51" s="173">
        <f t="shared" si="45"/>
        <v>0.90824303438750043</v>
      </c>
      <c r="AB51" s="173">
        <f t="shared" si="45"/>
        <v>1.034551399470921</v>
      </c>
      <c r="AD51" s="68">
        <f t="shared" si="31"/>
        <v>21.276552044941514</v>
      </c>
      <c r="AE51" s="69">
        <f t="shared" si="32"/>
        <v>55.343348432826154</v>
      </c>
      <c r="AF51" s="69">
        <f t="shared" si="33"/>
        <v>76.619900477767672</v>
      </c>
    </row>
    <row r="52" spans="1:32" x14ac:dyDescent="0.2">
      <c r="A52" t="str">
        <f t="shared" si="19"/>
        <v>32 Health and social care associate professionals</v>
      </c>
      <c r="B52" s="173">
        <f t="shared" si="20"/>
        <v>1.973046854071359</v>
      </c>
      <c r="C52" s="173">
        <f t="shared" si="20"/>
        <v>2.0145350793268166</v>
      </c>
      <c r="D52" s="173">
        <f t="shared" si="20"/>
        <v>2.1721836593151886</v>
      </c>
      <c r="E52" s="173">
        <f t="shared" si="20"/>
        <v>2.1574112767250151</v>
      </c>
      <c r="F52" s="173">
        <f t="shared" si="20"/>
        <v>2.266153631861378</v>
      </c>
      <c r="H52" s="68">
        <f t="shared" si="21"/>
        <v>7.3434879051536894</v>
      </c>
      <c r="I52" s="69">
        <f t="shared" si="22"/>
        <v>59.948064420206713</v>
      </c>
      <c r="J52" s="69">
        <f t="shared" si="23"/>
        <v>67.291552325360399</v>
      </c>
      <c r="L52" t="str">
        <f t="shared" si="24"/>
        <v>32 Health and social care associate professionals</v>
      </c>
      <c r="M52" s="173">
        <f t="shared" ref="M52:Q52" si="46">M15/M$35*100</f>
        <v>0.88678637475064459</v>
      </c>
      <c r="N52" s="173">
        <f t="shared" si="46"/>
        <v>0.84227390553836667</v>
      </c>
      <c r="O52" s="173">
        <f t="shared" si="46"/>
        <v>0.97437802390595918</v>
      </c>
      <c r="P52" s="173">
        <f t="shared" si="46"/>
        <v>0.87696531402330946</v>
      </c>
      <c r="Q52" s="173">
        <f t="shared" si="46"/>
        <v>0.91675576298054484</v>
      </c>
      <c r="S52" s="68">
        <f t="shared" si="26"/>
        <v>-4.9415677922580743</v>
      </c>
      <c r="T52" s="69">
        <f t="shared" si="27"/>
        <v>44.610040479824207</v>
      </c>
      <c r="U52" s="69">
        <f t="shared" si="28"/>
        <v>39.66847268756613</v>
      </c>
      <c r="W52" t="str">
        <f t="shared" si="29"/>
        <v>32 Health and social care associate professionals</v>
      </c>
      <c r="X52" s="173">
        <f t="shared" ref="X52:AB52" si="47">X15/X$35*100</f>
        <v>3.1335310372947491</v>
      </c>
      <c r="Y52" s="173">
        <f t="shared" si="47"/>
        <v>3.3277467901656816</v>
      </c>
      <c r="Z52" s="173">
        <f t="shared" si="47"/>
        <v>3.4375461165211814</v>
      </c>
      <c r="AA52" s="173">
        <f t="shared" si="47"/>
        <v>3.4917715214649938</v>
      </c>
      <c r="AB52" s="173">
        <f t="shared" si="47"/>
        <v>3.6396866005123587</v>
      </c>
      <c r="AD52" s="68">
        <f t="shared" si="31"/>
        <v>11.022105721751204</v>
      </c>
      <c r="AE52" s="69">
        <f t="shared" si="32"/>
        <v>64.540858260805948</v>
      </c>
      <c r="AF52" s="69">
        <f t="shared" si="33"/>
        <v>75.562963982557136</v>
      </c>
    </row>
    <row r="53" spans="1:32" x14ac:dyDescent="0.2">
      <c r="A53" t="str">
        <f t="shared" si="19"/>
        <v>33 Protective service occupations</v>
      </c>
      <c r="B53" s="173">
        <f t="shared" si="20"/>
        <v>1.298168908535982</v>
      </c>
      <c r="C53" s="173">
        <f t="shared" si="20"/>
        <v>1.3873617425915472</v>
      </c>
      <c r="D53" s="173">
        <f t="shared" si="20"/>
        <v>1.4719378597692279</v>
      </c>
      <c r="E53" s="173">
        <f t="shared" si="20"/>
        <v>1.6561727260995278</v>
      </c>
      <c r="F53" s="173">
        <f t="shared" si="20"/>
        <v>1.8332180156728082</v>
      </c>
      <c r="H53" s="68">
        <f t="shared" si="21"/>
        <v>28.146732351222219</v>
      </c>
      <c r="I53" s="69">
        <f t="shared" si="22"/>
        <v>41.778981002709074</v>
      </c>
      <c r="J53" s="69">
        <f t="shared" si="23"/>
        <v>69.9257133539313</v>
      </c>
      <c r="L53" t="str">
        <f t="shared" si="24"/>
        <v>33 Protective service occupations</v>
      </c>
      <c r="M53" s="173">
        <f t="shared" ref="M53:Q53" si="48">M16/M$35*100</f>
        <v>1.8903869160465177</v>
      </c>
      <c r="N53" s="173">
        <f t="shared" si="48"/>
        <v>1.9278714566330637</v>
      </c>
      <c r="O53" s="173">
        <f t="shared" si="48"/>
        <v>2.0643723921698069</v>
      </c>
      <c r="P53" s="173">
        <f t="shared" si="48"/>
        <v>2.2248683449591309</v>
      </c>
      <c r="Q53" s="173">
        <f t="shared" si="48"/>
        <v>2.3209643543821641</v>
      </c>
      <c r="S53" s="68">
        <f t="shared" si="26"/>
        <v>13.591257395187281</v>
      </c>
      <c r="T53" s="69">
        <f t="shared" si="27"/>
        <v>30.24864765675294</v>
      </c>
      <c r="U53" s="69">
        <f t="shared" si="28"/>
        <v>43.839905051940228</v>
      </c>
      <c r="W53" t="str">
        <f t="shared" si="29"/>
        <v>33 Protective service occupations</v>
      </c>
      <c r="X53" s="173">
        <f t="shared" ref="X53:AB53" si="49">X16/X$35*100</f>
        <v>0.66548490334615928</v>
      </c>
      <c r="Y53" s="173">
        <f t="shared" si="49"/>
        <v>0.7818621302418709</v>
      </c>
      <c r="Z53" s="173">
        <f t="shared" si="49"/>
        <v>0.84608973091486839</v>
      </c>
      <c r="AA53" s="173">
        <f t="shared" si="49"/>
        <v>1.0635316875328458</v>
      </c>
      <c r="AB53" s="173">
        <f t="shared" si="49"/>
        <v>1.3367479292691975</v>
      </c>
      <c r="AD53" s="68">
        <f t="shared" si="31"/>
        <v>65.663601860828507</v>
      </c>
      <c r="AE53" s="69">
        <f t="shared" si="32"/>
        <v>71.498520409641912</v>
      </c>
      <c r="AF53" s="69">
        <f t="shared" si="33"/>
        <v>137.16212227047043</v>
      </c>
    </row>
    <row r="54" spans="1:32" x14ac:dyDescent="0.2">
      <c r="A54" t="str">
        <f t="shared" si="19"/>
        <v>34 Culture, media and sports occupations</v>
      </c>
      <c r="B54" s="173">
        <f t="shared" si="20"/>
        <v>1.204101138767234</v>
      </c>
      <c r="C54" s="173">
        <f t="shared" si="20"/>
        <v>1.2641490654960379</v>
      </c>
      <c r="D54" s="173">
        <f t="shared" si="20"/>
        <v>1.194519879178944</v>
      </c>
      <c r="E54" s="173">
        <f t="shared" si="20"/>
        <v>1.1050220589025603</v>
      </c>
      <c r="F54" s="173">
        <f t="shared" si="20"/>
        <v>1.2144224448014009</v>
      </c>
      <c r="H54" s="68">
        <f t="shared" si="21"/>
        <v>4.60665126131076</v>
      </c>
      <c r="I54" s="69">
        <f t="shared" si="22"/>
        <v>47.999326203281136</v>
      </c>
      <c r="J54" s="69">
        <f t="shared" si="23"/>
        <v>52.605977464591888</v>
      </c>
      <c r="L54" t="str">
        <f t="shared" si="24"/>
        <v>34 Culture, media and sports occupations</v>
      </c>
      <c r="M54" s="173">
        <f t="shared" ref="M54:Q54" si="50">M17/M$35*100</f>
        <v>1.014024899110578</v>
      </c>
      <c r="N54" s="173">
        <f t="shared" si="50"/>
        <v>1.1399354556573436</v>
      </c>
      <c r="O54" s="173">
        <f t="shared" si="50"/>
        <v>0.99864074266728819</v>
      </c>
      <c r="P54" s="173">
        <f t="shared" si="50"/>
        <v>0.93767727671597445</v>
      </c>
      <c r="Q54" s="173">
        <f t="shared" si="50"/>
        <v>1.0129514847067331</v>
      </c>
      <c r="S54" s="68">
        <f t="shared" si="26"/>
        <v>2.4811154172681786</v>
      </c>
      <c r="T54" s="69">
        <f t="shared" si="27"/>
        <v>39.243235876506503</v>
      </c>
      <c r="U54" s="69">
        <f t="shared" si="28"/>
        <v>41.724351293774689</v>
      </c>
      <c r="W54" t="str">
        <f t="shared" si="29"/>
        <v>34 Culture, media and sports occupations</v>
      </c>
      <c r="X54" s="173">
        <f t="shared" ref="X54:AB54" si="51">X17/X$35*100</f>
        <v>1.4071652048244545</v>
      </c>
      <c r="Y54" s="173">
        <f t="shared" si="51"/>
        <v>1.4032978923385964</v>
      </c>
      <c r="Z54" s="173">
        <f t="shared" si="51"/>
        <v>1.4014466944857453</v>
      </c>
      <c r="AA54" s="173">
        <f t="shared" si="51"/>
        <v>1.279413037529487</v>
      </c>
      <c r="AB54" s="173">
        <f t="shared" si="51"/>
        <v>1.4194968800717789</v>
      </c>
      <c r="AD54" s="68">
        <f t="shared" si="31"/>
        <v>6.2066871464143265</v>
      </c>
      <c r="AE54" s="69">
        <f t="shared" si="32"/>
        <v>54.590632943797345</v>
      </c>
      <c r="AF54" s="69">
        <f t="shared" si="33"/>
        <v>60.797320090211684</v>
      </c>
    </row>
    <row r="55" spans="1:32" x14ac:dyDescent="0.2">
      <c r="A55" t="str">
        <f t="shared" si="19"/>
        <v>35 Business and public service associate professionals</v>
      </c>
      <c r="B55" s="173">
        <f t="shared" ref="B55:F64" si="52">B18/B$35*100</f>
        <v>4.2015288778117981</v>
      </c>
      <c r="C55" s="173">
        <f t="shared" si="52"/>
        <v>4.3620499651560554</v>
      </c>
      <c r="D55" s="173">
        <f t="shared" si="52"/>
        <v>4.6340570399252234</v>
      </c>
      <c r="E55" s="173">
        <f t="shared" si="52"/>
        <v>4.332310872214113</v>
      </c>
      <c r="F55" s="173">
        <f t="shared" si="52"/>
        <v>4.4374918604264595</v>
      </c>
      <c r="H55" s="68">
        <f t="shared" si="21"/>
        <v>-1.4721309195608294</v>
      </c>
      <c r="I55" s="69">
        <f t="shared" si="22"/>
        <v>44.752075961483023</v>
      </c>
      <c r="J55" s="69">
        <f t="shared" si="23"/>
        <v>43.279945041922197</v>
      </c>
      <c r="L55" t="str">
        <f t="shared" si="24"/>
        <v>35 Business and public service associate professionals</v>
      </c>
      <c r="M55" s="173">
        <f t="shared" ref="M55:Q55" si="53">M18/M$35*100</f>
        <v>4.1067460880704365</v>
      </c>
      <c r="N55" s="173">
        <f t="shared" si="53"/>
        <v>4.13212408974226</v>
      </c>
      <c r="O55" s="173">
        <f t="shared" si="53"/>
        <v>4.5033535074922764</v>
      </c>
      <c r="P55" s="173">
        <f t="shared" si="53"/>
        <v>4.0865874664426993</v>
      </c>
      <c r="Q55" s="173">
        <f t="shared" si="53"/>
        <v>4.0326891490483279</v>
      </c>
      <c r="S55" s="68">
        <f t="shared" si="26"/>
        <v>-9.526126237063286</v>
      </c>
      <c r="T55" s="69">
        <f t="shared" si="27"/>
        <v>34.558623341111947</v>
      </c>
      <c r="U55" s="69">
        <f t="shared" si="28"/>
        <v>25.032497104048655</v>
      </c>
      <c r="W55" t="str">
        <f t="shared" si="29"/>
        <v>35 Business and public service associate professionals</v>
      </c>
      <c r="X55" s="173">
        <f t="shared" ref="X55:AB55" si="54">X18/X$35*100</f>
        <v>4.3027881341601653</v>
      </c>
      <c r="Y55" s="173">
        <f t="shared" si="54"/>
        <v>4.619621706820479</v>
      </c>
      <c r="Z55" s="173">
        <f t="shared" si="54"/>
        <v>4.7721323153085748</v>
      </c>
      <c r="AA55" s="173">
        <f t="shared" si="54"/>
        <v>4.5883806739975972</v>
      </c>
      <c r="AB55" s="173">
        <f t="shared" si="54"/>
        <v>4.8495348039493615</v>
      </c>
      <c r="AD55" s="68">
        <f t="shared" si="31"/>
        <v>6.5569073677304042</v>
      </c>
      <c r="AE55" s="69">
        <f t="shared" si="32"/>
        <v>54.913941984770574</v>
      </c>
      <c r="AF55" s="69">
        <f t="shared" si="33"/>
        <v>61.470849352500977</v>
      </c>
    </row>
    <row r="56" spans="1:32" x14ac:dyDescent="0.2">
      <c r="A56" t="str">
        <f t="shared" si="19"/>
        <v>41 Administrative occupations</v>
      </c>
      <c r="B56" s="173">
        <f t="shared" si="52"/>
        <v>9.3078025531576412</v>
      </c>
      <c r="C56" s="173">
        <f t="shared" si="52"/>
        <v>8.7116891938144079</v>
      </c>
      <c r="D56" s="173">
        <f t="shared" si="52"/>
        <v>9.2193073964096151</v>
      </c>
      <c r="E56" s="173">
        <f t="shared" si="52"/>
        <v>8.3113181886774896</v>
      </c>
      <c r="F56" s="173">
        <f t="shared" si="52"/>
        <v>7.7107326222457209</v>
      </c>
      <c r="H56" s="68">
        <f t="shared" si="21"/>
        <v>-13.944180664460404</v>
      </c>
      <c r="I56" s="69">
        <f t="shared" si="22"/>
        <v>45.415835121394693</v>
      </c>
      <c r="J56" s="69">
        <f t="shared" si="23"/>
        <v>31.471654456934289</v>
      </c>
      <c r="L56" t="str">
        <f t="shared" si="24"/>
        <v>41 Administrative occupations</v>
      </c>
      <c r="M56" s="173">
        <f t="shared" ref="M56:Q56" si="55">M19/M$35*100</f>
        <v>5.3754375717029736</v>
      </c>
      <c r="N56" s="173">
        <f t="shared" si="55"/>
        <v>4.7755172200127509</v>
      </c>
      <c r="O56" s="173">
        <f t="shared" si="55"/>
        <v>5.9362458709012662</v>
      </c>
      <c r="P56" s="173">
        <f t="shared" si="55"/>
        <v>5.5893326947751314</v>
      </c>
      <c r="Q56" s="173">
        <f t="shared" si="55"/>
        <v>6.0630176405748433</v>
      </c>
      <c r="S56" s="68">
        <f t="shared" si="26"/>
        <v>3.1909071035639287</v>
      </c>
      <c r="T56" s="69">
        <f t="shared" si="27"/>
        <v>36.556907401417519</v>
      </c>
      <c r="U56" s="69">
        <f t="shared" si="28"/>
        <v>39.747814504981449</v>
      </c>
      <c r="W56" t="str">
        <f t="shared" si="29"/>
        <v>41 Administrative occupations</v>
      </c>
      <c r="X56" s="173">
        <f t="shared" ref="X56:AB56" si="56">X19/X$35*100</f>
        <v>13.508864315520011</v>
      </c>
      <c r="Y56" s="173">
        <f t="shared" si="56"/>
        <v>13.121139278360882</v>
      </c>
      <c r="Z56" s="173">
        <f t="shared" si="56"/>
        <v>12.687535192529772</v>
      </c>
      <c r="AA56" s="173">
        <f t="shared" si="56"/>
        <v>11.147915230350813</v>
      </c>
      <c r="AB56" s="173">
        <f t="shared" si="56"/>
        <v>9.3879183526057073</v>
      </c>
      <c r="AD56" s="68">
        <f t="shared" si="31"/>
        <v>-22.413520254232736</v>
      </c>
      <c r="AE56" s="69">
        <f t="shared" si="32"/>
        <v>49.794526860677699</v>
      </c>
      <c r="AF56" s="69">
        <f t="shared" si="33"/>
        <v>27.381006606444956</v>
      </c>
    </row>
    <row r="57" spans="1:32" x14ac:dyDescent="0.2">
      <c r="A57" t="str">
        <f t="shared" si="19"/>
        <v>42 Secretarial and related occupations</v>
      </c>
      <c r="B57" s="173">
        <f t="shared" si="52"/>
        <v>1.9816367682339682</v>
      </c>
      <c r="C57" s="173">
        <f t="shared" si="52"/>
        <v>1.717181598192034</v>
      </c>
      <c r="D57" s="173">
        <f t="shared" si="52"/>
        <v>1.7433665480102871</v>
      </c>
      <c r="E57" s="173">
        <f t="shared" si="52"/>
        <v>1.8795741713688676</v>
      </c>
      <c r="F57" s="173">
        <f t="shared" si="52"/>
        <v>1.5974337359844837</v>
      </c>
      <c r="H57" s="68">
        <f t="shared" si="21"/>
        <v>-5.7205501890059667</v>
      </c>
      <c r="I57" s="69">
        <f t="shared" si="22"/>
        <v>55.546531930884399</v>
      </c>
      <c r="J57" s="69">
        <f t="shared" si="23"/>
        <v>49.825981741878437</v>
      </c>
      <c r="L57" t="str">
        <f t="shared" si="24"/>
        <v>42 Secretarial and related occupations</v>
      </c>
      <c r="M57" s="173">
        <f t="shared" ref="M57:Q57" si="57">M20/M$35*100</f>
        <v>0.25720017804652689</v>
      </c>
      <c r="N57" s="173">
        <f t="shared" si="57"/>
        <v>0.19364218925041432</v>
      </c>
      <c r="O57" s="173">
        <f t="shared" si="57"/>
        <v>0.18267560136992222</v>
      </c>
      <c r="P57" s="173">
        <f t="shared" si="57"/>
        <v>0.26392125582002091</v>
      </c>
      <c r="Q57" s="173">
        <f t="shared" si="57"/>
        <v>0.31248940559121008</v>
      </c>
      <c r="S57" s="68">
        <f t="shared" si="26"/>
        <v>72.830040229449949</v>
      </c>
      <c r="T57" s="69">
        <f t="shared" si="27"/>
        <v>50.130133367716098</v>
      </c>
      <c r="U57" s="69">
        <f t="shared" si="28"/>
        <v>122.96017359716605</v>
      </c>
      <c r="W57" t="str">
        <f t="shared" si="29"/>
        <v>42 Secretarial and related occupations</v>
      </c>
      <c r="X57" s="173">
        <f t="shared" ref="X57:AB57" si="58">X20/X$35*100</f>
        <v>3.8239033571239753</v>
      </c>
      <c r="Y57" s="173">
        <f t="shared" si="58"/>
        <v>3.4239085959657487</v>
      </c>
      <c r="Z57" s="173">
        <f t="shared" si="58"/>
        <v>3.3920812249163506</v>
      </c>
      <c r="AA57" s="173">
        <f t="shared" si="58"/>
        <v>3.5632555469247706</v>
      </c>
      <c r="AB57" s="173">
        <f t="shared" si="58"/>
        <v>2.9053603611688774</v>
      </c>
      <c r="AD57" s="68">
        <f t="shared" si="31"/>
        <v>-10.189364913328498</v>
      </c>
      <c r="AE57" s="69">
        <f t="shared" si="32"/>
        <v>55.854675784710864</v>
      </c>
      <c r="AF57" s="69">
        <f t="shared" si="33"/>
        <v>45.66531087138236</v>
      </c>
    </row>
    <row r="58" spans="1:32" x14ac:dyDescent="0.2">
      <c r="A58" t="str">
        <f t="shared" si="19"/>
        <v>51 Skilled agricultural and related trades</v>
      </c>
      <c r="B58" s="173">
        <f t="shared" si="52"/>
        <v>0.94834028676028403</v>
      </c>
      <c r="C58" s="173">
        <f t="shared" si="52"/>
        <v>0.8101460990875895</v>
      </c>
      <c r="D58" s="173">
        <f t="shared" si="52"/>
        <v>0.81719646916777289</v>
      </c>
      <c r="E58" s="173">
        <f t="shared" si="52"/>
        <v>0.81917259636624085</v>
      </c>
      <c r="F58" s="173">
        <f t="shared" si="52"/>
        <v>0.89050777540507409</v>
      </c>
      <c r="H58" s="68">
        <f t="shared" si="21"/>
        <v>12.122850463808096</v>
      </c>
      <c r="I58" s="69">
        <f t="shared" si="22"/>
        <v>58.339067417467646</v>
      </c>
      <c r="J58" s="69">
        <f t="shared" si="23"/>
        <v>70.461917881275753</v>
      </c>
      <c r="L58" t="str">
        <f t="shared" si="24"/>
        <v>51 Skilled agricultural and related trades</v>
      </c>
      <c r="M58" s="173">
        <f t="shared" ref="M58:Q58" si="59">M21/M$35*100</f>
        <v>1.6935310888996566</v>
      </c>
      <c r="N58" s="173">
        <f t="shared" si="59"/>
        <v>1.3576142877130017</v>
      </c>
      <c r="O58" s="173">
        <f t="shared" si="59"/>
        <v>1.266662792052432</v>
      </c>
      <c r="P58" s="173">
        <f t="shared" si="59"/>
        <v>1.2479393939962382</v>
      </c>
      <c r="Q58" s="173">
        <f t="shared" si="59"/>
        <v>1.3474347381241214</v>
      </c>
      <c r="S58" s="68">
        <f t="shared" si="26"/>
        <v>7.4759283358544568</v>
      </c>
      <c r="T58" s="69">
        <f t="shared" si="27"/>
        <v>52.711373524269021</v>
      </c>
      <c r="U58" s="69">
        <f t="shared" si="28"/>
        <v>60.187301860123476</v>
      </c>
      <c r="W58" t="str">
        <f t="shared" si="29"/>
        <v>51 Skilled agricultural and related trades</v>
      </c>
      <c r="X58" s="173">
        <f t="shared" ref="X58:AB58" si="60">X21/X$35*100</f>
        <v>0.15223092272719624</v>
      </c>
      <c r="Y58" s="173">
        <f t="shared" si="60"/>
        <v>0.19685133791146678</v>
      </c>
      <c r="Z58" s="173">
        <f t="shared" si="60"/>
        <v>0.34238002654654415</v>
      </c>
      <c r="AA58" s="173">
        <f t="shared" si="60"/>
        <v>0.37235220277871195</v>
      </c>
      <c r="AB58" s="173">
        <f t="shared" si="60"/>
        <v>0.42540829508598016</v>
      </c>
      <c r="AD58" s="68">
        <f t="shared" si="31"/>
        <v>30.284135719583293</v>
      </c>
      <c r="AE58" s="69">
        <f t="shared" si="32"/>
        <v>80.333443762132106</v>
      </c>
      <c r="AF58" s="69">
        <f t="shared" si="33"/>
        <v>110.6175794817154</v>
      </c>
    </row>
    <row r="59" spans="1:32" x14ac:dyDescent="0.2">
      <c r="A59" t="str">
        <f t="shared" si="19"/>
        <v>52 Skilled metal, electrical and electronic trades</v>
      </c>
      <c r="B59" s="173">
        <f t="shared" si="52"/>
        <v>4.8491333376984551</v>
      </c>
      <c r="C59" s="173">
        <f t="shared" si="52"/>
        <v>4.8149977420956818</v>
      </c>
      <c r="D59" s="173">
        <f t="shared" si="52"/>
        <v>4.1374588162793202</v>
      </c>
      <c r="E59" s="173">
        <f t="shared" si="52"/>
        <v>3.8758567543182902</v>
      </c>
      <c r="F59" s="173">
        <f t="shared" si="52"/>
        <v>3.3981958853498688</v>
      </c>
      <c r="H59" s="68">
        <f t="shared" si="21"/>
        <v>-15.492039303866553</v>
      </c>
      <c r="I59" s="69">
        <f t="shared" si="22"/>
        <v>34.12632251902572</v>
      </c>
      <c r="J59" s="69">
        <f t="shared" si="23"/>
        <v>18.634283215159165</v>
      </c>
      <c r="L59" t="str">
        <f t="shared" si="24"/>
        <v>52 Skilled metal, electrical and electronic trades</v>
      </c>
      <c r="M59" s="173">
        <f t="shared" ref="M59:Q59" si="61">M22/M$35*100</f>
        <v>9.3047295360432472</v>
      </c>
      <c r="N59" s="173">
        <f t="shared" si="61"/>
        <v>8.9812176961274712</v>
      </c>
      <c r="O59" s="173">
        <f t="shared" si="61"/>
        <v>7.9433202767686506</v>
      </c>
      <c r="P59" s="173">
        <f t="shared" si="61"/>
        <v>7.3404063854655117</v>
      </c>
      <c r="Q59" s="173">
        <f t="shared" si="61"/>
        <v>6.4029280452216062</v>
      </c>
      <c r="S59" s="68">
        <f t="shared" si="26"/>
        <v>-18.559388411185786</v>
      </c>
      <c r="T59" s="69">
        <f t="shared" si="27"/>
        <v>32.638157897848437</v>
      </c>
      <c r="U59" s="69">
        <f t="shared" si="28"/>
        <v>14.078769486662654</v>
      </c>
      <c r="W59" t="str">
        <f t="shared" si="29"/>
        <v>52 Skilled metal, electrical and electronic trades</v>
      </c>
      <c r="X59" s="173">
        <f t="shared" ref="X59:AB59" si="62">X22/X$35*100</f>
        <v>8.9088198025483706E-2</v>
      </c>
      <c r="Y59" s="173">
        <f t="shared" si="62"/>
        <v>0.14783912940889249</v>
      </c>
      <c r="Z59" s="173">
        <f t="shared" si="62"/>
        <v>0.11694491396742376</v>
      </c>
      <c r="AA59" s="173">
        <f t="shared" si="62"/>
        <v>0.26542927171131575</v>
      </c>
      <c r="AB59" s="173">
        <f t="shared" si="62"/>
        <v>0.33972159935396712</v>
      </c>
      <c r="AD59" s="68">
        <f t="shared" si="31"/>
        <v>204.60415621330364</v>
      </c>
      <c r="AE59" s="69">
        <f t="shared" si="32"/>
        <v>140.90887643269286</v>
      </c>
      <c r="AF59" s="69">
        <f t="shared" si="33"/>
        <v>345.51303264599653</v>
      </c>
    </row>
    <row r="60" spans="1:32" x14ac:dyDescent="0.2">
      <c r="A60" t="str">
        <f t="shared" si="19"/>
        <v>53 Skilled construction and building trades</v>
      </c>
      <c r="B60" s="173">
        <f t="shared" si="52"/>
        <v>3.6909741183986973</v>
      </c>
      <c r="C60" s="173">
        <f t="shared" si="52"/>
        <v>4.1095121119507851</v>
      </c>
      <c r="D60" s="173">
        <f t="shared" si="52"/>
        <v>3.3591183814109873</v>
      </c>
      <c r="E60" s="173">
        <f t="shared" si="52"/>
        <v>3.2777651609545342</v>
      </c>
      <c r="F60" s="173">
        <f t="shared" si="52"/>
        <v>2.885837613263325</v>
      </c>
      <c r="H60" s="68">
        <f t="shared" si="21"/>
        <v>-11.604638544651449</v>
      </c>
      <c r="I60" s="69">
        <f t="shared" si="22"/>
        <v>39.62838575587417</v>
      </c>
      <c r="J60" s="69">
        <f t="shared" si="23"/>
        <v>28.023747211222723</v>
      </c>
      <c r="L60" t="str">
        <f t="shared" si="24"/>
        <v>53 Skilled construction and building trades</v>
      </c>
      <c r="M60" s="173">
        <f t="shared" ref="M60:Q60" si="63">M23/M$35*100</f>
        <v>6.8864434956822347</v>
      </c>
      <c r="N60" s="173">
        <f t="shared" si="63"/>
        <v>7.6319524717479119</v>
      </c>
      <c r="O60" s="173">
        <f t="shared" si="63"/>
        <v>6.3555638827305163</v>
      </c>
      <c r="P60" s="173">
        <f t="shared" si="63"/>
        <v>6.2272761823372083</v>
      </c>
      <c r="Q60" s="173">
        <f t="shared" si="63"/>
        <v>5.502148805976427</v>
      </c>
      <c r="S60" s="68">
        <f t="shared" si="26"/>
        <v>-12.533303888201065</v>
      </c>
      <c r="T60" s="69">
        <f t="shared" si="27"/>
        <v>39.0110052369767</v>
      </c>
      <c r="U60" s="69">
        <f t="shared" si="28"/>
        <v>26.477701348775639</v>
      </c>
      <c r="W60" t="str">
        <f t="shared" si="29"/>
        <v>53 Skilled construction and building trades</v>
      </c>
      <c r="X60" s="173">
        <f t="shared" ref="X60:AB60" si="64">X23/X$35*100</f>
        <v>0.27715971484865526</v>
      </c>
      <c r="Y60" s="173">
        <f t="shared" si="64"/>
        <v>0.16353997310742749</v>
      </c>
      <c r="Z60" s="173">
        <f t="shared" si="64"/>
        <v>0.19367189297623494</v>
      </c>
      <c r="AA60" s="173">
        <f t="shared" si="64"/>
        <v>0.20406243315554892</v>
      </c>
      <c r="AB60" s="173">
        <f t="shared" si="64"/>
        <v>0.22273152549212791</v>
      </c>
      <c r="AD60" s="68">
        <f t="shared" si="31"/>
        <v>20.589389831643238</v>
      </c>
      <c r="AE60" s="69">
        <f t="shared" si="32"/>
        <v>61.031107503178148</v>
      </c>
      <c r="AF60" s="69">
        <f t="shared" si="33"/>
        <v>81.62049733482138</v>
      </c>
    </row>
    <row r="61" spans="1:32" x14ac:dyDescent="0.2">
      <c r="A61" t="str">
        <f t="shared" si="19"/>
        <v>54 Textiles, printing and other skilled trades</v>
      </c>
      <c r="B61" s="173">
        <f t="shared" si="52"/>
        <v>2.1556202642677058</v>
      </c>
      <c r="C61" s="173">
        <f t="shared" si="52"/>
        <v>1.850994543076228</v>
      </c>
      <c r="D61" s="173">
        <f t="shared" si="52"/>
        <v>1.7599564186524517</v>
      </c>
      <c r="E61" s="173">
        <f t="shared" si="52"/>
        <v>1.7077130985489453</v>
      </c>
      <c r="F61" s="173">
        <f t="shared" si="52"/>
        <v>1.5873124449393028</v>
      </c>
      <c r="H61" s="68">
        <f t="shared" si="21"/>
        <v>-7.2009770977737588</v>
      </c>
      <c r="I61" s="69">
        <f t="shared" si="22"/>
        <v>43.180629729699589</v>
      </c>
      <c r="J61" s="69">
        <f t="shared" si="23"/>
        <v>35.979652631925831</v>
      </c>
      <c r="L61" t="str">
        <f t="shared" si="24"/>
        <v>54 Textiles, printing and other skilled trades</v>
      </c>
      <c r="M61" s="173">
        <f t="shared" ref="M61:Q61" si="65">M24/M$35*100</f>
        <v>2.4753081736530005</v>
      </c>
      <c r="N61" s="173">
        <f t="shared" si="65"/>
        <v>2.1012186464627054</v>
      </c>
      <c r="O61" s="173">
        <f t="shared" si="65"/>
        <v>1.8294530682151107</v>
      </c>
      <c r="P61" s="173">
        <f t="shared" si="65"/>
        <v>1.7727504402715977</v>
      </c>
      <c r="Q61" s="173">
        <f t="shared" si="65"/>
        <v>1.6593384689979018</v>
      </c>
      <c r="S61" s="68">
        <f t="shared" si="26"/>
        <v>-8.3614544316945345</v>
      </c>
      <c r="T61" s="69">
        <f t="shared" si="27"/>
        <v>29.781196095383134</v>
      </c>
      <c r="U61" s="69">
        <f t="shared" si="28"/>
        <v>21.419741663688598</v>
      </c>
      <c r="W61" t="str">
        <f t="shared" si="29"/>
        <v>54 Textiles, printing and other skilled trades</v>
      </c>
      <c r="X61" s="173">
        <f t="shared" ref="X61:AB61" si="66">X24/X$35*100</f>
        <v>1.8140882197240404</v>
      </c>
      <c r="Y61" s="173">
        <f t="shared" si="66"/>
        <v>1.5706839516750546</v>
      </c>
      <c r="Z61" s="173">
        <f t="shared" si="66"/>
        <v>1.6865401241731366</v>
      </c>
      <c r="AA61" s="173">
        <f t="shared" si="66"/>
        <v>1.6399373034383355</v>
      </c>
      <c r="AB61" s="173">
        <f t="shared" si="66"/>
        <v>1.5139981757183294</v>
      </c>
      <c r="AD61" s="68">
        <f t="shared" si="31"/>
        <v>-5.8711663144888853</v>
      </c>
      <c r="AE61" s="69">
        <f t="shared" si="32"/>
        <v>58.535269424922021</v>
      </c>
      <c r="AF61" s="69">
        <f t="shared" si="33"/>
        <v>52.664103110433139</v>
      </c>
    </row>
    <row r="62" spans="1:32" x14ac:dyDescent="0.2">
      <c r="A62" t="str">
        <f t="shared" si="19"/>
        <v>61 Caring personal service occupations</v>
      </c>
      <c r="B62" s="173">
        <f t="shared" si="52"/>
        <v>6.8636244079245383</v>
      </c>
      <c r="C62" s="173">
        <f t="shared" si="52"/>
        <v>6.484522998959215</v>
      </c>
      <c r="D62" s="173">
        <f t="shared" si="52"/>
        <v>6.6002221473728024</v>
      </c>
      <c r="E62" s="173">
        <f t="shared" si="52"/>
        <v>6.9681126568223934</v>
      </c>
      <c r="F62" s="173">
        <f t="shared" si="52"/>
        <v>7.077957212904284</v>
      </c>
      <c r="H62" s="68">
        <f t="shared" si="21"/>
        <v>10.339821162653243</v>
      </c>
      <c r="I62" s="69">
        <f t="shared" si="22"/>
        <v>60.714626439096108</v>
      </c>
      <c r="J62" s="69">
        <f t="shared" si="23"/>
        <v>71.054447601749345</v>
      </c>
      <c r="L62" t="str">
        <f t="shared" si="24"/>
        <v>61 Caring personal service occupations</v>
      </c>
      <c r="M62" s="173">
        <f t="shared" ref="M62:Q62" si="67">M25/M$35*100</f>
        <v>1.6737573035442772</v>
      </c>
      <c r="N62" s="173">
        <f t="shared" si="67"/>
        <v>1.6566940088618771</v>
      </c>
      <c r="O62" s="173">
        <f t="shared" si="67"/>
        <v>1.6554930791255695</v>
      </c>
      <c r="P62" s="173">
        <f t="shared" si="67"/>
        <v>1.9930585391828692</v>
      </c>
      <c r="Q62" s="173">
        <f t="shared" si="67"/>
        <v>2.2188763371022753</v>
      </c>
      <c r="S62" s="68">
        <f t="shared" si="26"/>
        <v>35.416070730204083</v>
      </c>
      <c r="T62" s="69">
        <f t="shared" si="27"/>
        <v>53.861052345722349</v>
      </c>
      <c r="U62" s="69">
        <f t="shared" si="28"/>
        <v>89.277123075926426</v>
      </c>
      <c r="W62" t="str">
        <f t="shared" si="29"/>
        <v>61 Caring personal service occupations</v>
      </c>
      <c r="X62" s="173">
        <f t="shared" ref="X62:AB62" si="68">X25/X$35*100</f>
        <v>12.408112863797442</v>
      </c>
      <c r="Y62" s="173">
        <f t="shared" si="68"/>
        <v>11.892841306759196</v>
      </c>
      <c r="Z62" s="173">
        <f t="shared" si="68"/>
        <v>11.8238363457461</v>
      </c>
      <c r="AA62" s="173">
        <f t="shared" si="68"/>
        <v>12.152645720600402</v>
      </c>
      <c r="AB62" s="173">
        <f t="shared" si="68"/>
        <v>12.023946779192062</v>
      </c>
      <c r="AD62" s="68">
        <f t="shared" si="31"/>
        <v>6.6307929576630382</v>
      </c>
      <c r="AE62" s="69">
        <f t="shared" si="32"/>
        <v>61.728338619174515</v>
      </c>
      <c r="AF62" s="69">
        <f t="shared" si="33"/>
        <v>68.359131576837555</v>
      </c>
    </row>
    <row r="63" spans="1:32" x14ac:dyDescent="0.2">
      <c r="A63" t="str">
        <f t="shared" si="19"/>
        <v>62 Leisure, travel and related personal service occupations</v>
      </c>
      <c r="B63" s="173">
        <f t="shared" si="52"/>
        <v>2.1838328480311646</v>
      </c>
      <c r="C63" s="173">
        <f t="shared" si="52"/>
        <v>2.34716802014835</v>
      </c>
      <c r="D63" s="173">
        <f t="shared" si="52"/>
        <v>2.2112220200775599</v>
      </c>
      <c r="E63" s="173">
        <f t="shared" si="52"/>
        <v>2.1563839950239432</v>
      </c>
      <c r="F63" s="173">
        <f t="shared" si="52"/>
        <v>2.1534738293232034</v>
      </c>
      <c r="H63" s="68">
        <f t="shared" si="21"/>
        <v>0.20517331803784439</v>
      </c>
      <c r="I63" s="69">
        <f t="shared" si="22"/>
        <v>50.639892276133693</v>
      </c>
      <c r="J63" s="69">
        <f t="shared" si="23"/>
        <v>50.845065594171537</v>
      </c>
      <c r="L63" t="str">
        <f t="shared" si="24"/>
        <v>62 Leisure, travel and related personal service occupations</v>
      </c>
      <c r="M63" s="173">
        <f t="shared" ref="M63:Q63" si="69">M26/M$35*100</f>
        <v>1.2289575881471775</v>
      </c>
      <c r="N63" s="173">
        <f t="shared" si="69"/>
        <v>1.317861217159094</v>
      </c>
      <c r="O63" s="173">
        <f t="shared" si="69"/>
        <v>1.3631266275474354</v>
      </c>
      <c r="P63" s="173">
        <f t="shared" si="69"/>
        <v>1.3267623062032456</v>
      </c>
      <c r="Q63" s="173">
        <f t="shared" si="69"/>
        <v>1.4017093151485449</v>
      </c>
      <c r="S63" s="68">
        <f t="shared" si="26"/>
        <v>3.8929879832677763</v>
      </c>
      <c r="T63" s="69">
        <f t="shared" si="27"/>
        <v>41.400848088899529</v>
      </c>
      <c r="U63" s="69">
        <f t="shared" si="28"/>
        <v>45.293836072167302</v>
      </c>
      <c r="W63" t="str">
        <f t="shared" si="29"/>
        <v>62 Leisure, travel and related personal service occupations</v>
      </c>
      <c r="X63" s="173">
        <f t="shared" ref="X63:AB63" si="70">X26/X$35*100</f>
        <v>3.2039543171834306</v>
      </c>
      <c r="Y63" s="173">
        <f t="shared" si="70"/>
        <v>3.500236788401808</v>
      </c>
      <c r="Z63" s="173">
        <f t="shared" si="70"/>
        <v>3.1071504062137252</v>
      </c>
      <c r="AA63" s="173">
        <f t="shared" si="70"/>
        <v>3.0209376208564609</v>
      </c>
      <c r="AB63" s="173">
        <f t="shared" si="70"/>
        <v>2.9186842751772399</v>
      </c>
      <c r="AD63" s="68">
        <f t="shared" si="31"/>
        <v>-1.5039429383604819</v>
      </c>
      <c r="AE63" s="69">
        <f t="shared" si="32"/>
        <v>54.921723671530451</v>
      </c>
      <c r="AF63" s="69">
        <f t="shared" si="33"/>
        <v>53.41778073316997</v>
      </c>
    </row>
    <row r="64" spans="1:32" x14ac:dyDescent="0.2">
      <c r="A64" t="str">
        <f t="shared" si="19"/>
        <v>63 Community and civil enforcement occupations</v>
      </c>
      <c r="B64" s="173">
        <f t="shared" si="52"/>
        <v>0.11887637753832647</v>
      </c>
      <c r="C64" s="173">
        <f t="shared" si="52"/>
        <v>0.10868481935023798</v>
      </c>
      <c r="D64" s="173">
        <f t="shared" si="52"/>
        <v>0.13401332306076141</v>
      </c>
      <c r="E64" s="173">
        <f t="shared" si="52"/>
        <v>0.11012942676513812</v>
      </c>
      <c r="F64" s="173">
        <f t="shared" si="52"/>
        <v>0.11364034607385051</v>
      </c>
      <c r="H64" s="68">
        <f t="shared" si="21"/>
        <v>-12.749591860007392</v>
      </c>
      <c r="I64" s="69">
        <f t="shared" si="22"/>
        <v>42.051552694000051</v>
      </c>
      <c r="J64" s="69">
        <f t="shared" si="23"/>
        <v>29.301960833992659</v>
      </c>
      <c r="L64" t="str">
        <f t="shared" si="24"/>
        <v>63 Community and civil enforcement occupations</v>
      </c>
      <c r="M64" s="173">
        <f t="shared" ref="M64:Q64" si="71">M27/M$35*100</f>
        <v>0.16831231571857863</v>
      </c>
      <c r="N64" s="173">
        <f t="shared" si="71"/>
        <v>0.13100322518365615</v>
      </c>
      <c r="O64" s="173">
        <f t="shared" si="71"/>
        <v>0.19710324253476014</v>
      </c>
      <c r="P64" s="173">
        <f t="shared" si="71"/>
        <v>0.12991578683991983</v>
      </c>
      <c r="Q64" s="173">
        <f t="shared" si="71"/>
        <v>0.14354699987411199</v>
      </c>
      <c r="S64" s="68">
        <f t="shared" si="26"/>
        <v>-26.419144973790164</v>
      </c>
      <c r="T64" s="69">
        <f t="shared" si="27"/>
        <v>28.280316060773576</v>
      </c>
      <c r="U64" s="69">
        <f t="shared" si="28"/>
        <v>1.8611710869834097</v>
      </c>
      <c r="W64" t="str">
        <f t="shared" si="29"/>
        <v>63 Community and civil enforcement occupations</v>
      </c>
      <c r="X64" s="173">
        <f t="shared" ref="X64:AB64" si="72">X27/X$35*100</f>
        <v>6.6062503303605524E-2</v>
      </c>
      <c r="Y64" s="173">
        <f t="shared" si="72"/>
        <v>8.3682889265851795E-2</v>
      </c>
      <c r="Z64" s="173">
        <f t="shared" si="72"/>
        <v>6.7365101370543426E-2</v>
      </c>
      <c r="AA64" s="173">
        <f t="shared" si="72"/>
        <v>8.9509944927582505E-2</v>
      </c>
      <c r="AB64" s="173">
        <f t="shared" si="72"/>
        <v>8.3198786972560806E-2</v>
      </c>
      <c r="AD64" s="68">
        <f t="shared" si="31"/>
        <v>29.501867207878053</v>
      </c>
      <c r="AE64" s="69">
        <f t="shared" si="32"/>
        <v>84.617307117694835</v>
      </c>
      <c r="AF64" s="69">
        <f t="shared" si="33"/>
        <v>114.11917432557289</v>
      </c>
    </row>
    <row r="65" spans="1:32" x14ac:dyDescent="0.2">
      <c r="A65" t="str">
        <f t="shared" si="19"/>
        <v>71 Sales occupations</v>
      </c>
      <c r="B65" s="173">
        <f t="shared" ref="B65:F70" si="73">B28/B$35*100</f>
        <v>9.7823006059409803</v>
      </c>
      <c r="C65" s="173">
        <f t="shared" si="73"/>
        <v>8.7621149114891761</v>
      </c>
      <c r="D65" s="173">
        <f t="shared" si="73"/>
        <v>8.9112032158625691</v>
      </c>
      <c r="E65" s="173">
        <f t="shared" si="73"/>
        <v>8.3153724329005954</v>
      </c>
      <c r="F65" s="173">
        <f t="shared" si="73"/>
        <v>7.8637016042553354</v>
      </c>
      <c r="H65" s="68">
        <f t="shared" si="21"/>
        <v>-9.2025663385340657</v>
      </c>
      <c r="I65" s="69">
        <f t="shared" si="22"/>
        <v>47.218598261695732</v>
      </c>
      <c r="J65" s="69">
        <f t="shared" si="23"/>
        <v>38.016031923161663</v>
      </c>
      <c r="L65" t="str">
        <f t="shared" si="24"/>
        <v>71 Sales occupations</v>
      </c>
      <c r="M65" s="173">
        <f t="shared" ref="M65:Q65" si="74">M28/M$35*100</f>
        <v>5.8030861723223648</v>
      </c>
      <c r="N65" s="173">
        <f t="shared" si="74"/>
        <v>5.4280867840454601</v>
      </c>
      <c r="O65" s="173">
        <f t="shared" si="74"/>
        <v>5.5348633857066591</v>
      </c>
      <c r="P65" s="173">
        <f t="shared" si="74"/>
        <v>5.173369483437174</v>
      </c>
      <c r="Q65" s="173">
        <f t="shared" si="74"/>
        <v>5.1440134696891358</v>
      </c>
      <c r="S65" s="68">
        <f t="shared" si="26"/>
        <v>-6.1012804433848791</v>
      </c>
      <c r="T65" s="69">
        <f t="shared" si="27"/>
        <v>31.93173008454588</v>
      </c>
      <c r="U65" s="69">
        <f t="shared" si="28"/>
        <v>25.830449641161003</v>
      </c>
      <c r="W65" t="str">
        <f t="shared" si="29"/>
        <v>71 Sales occupations</v>
      </c>
      <c r="X65" s="173">
        <f t="shared" ref="X65:AB65" si="75">X28/X$35*100</f>
        <v>14.033413023062439</v>
      </c>
      <c r="Y65" s="173">
        <f t="shared" si="75"/>
        <v>12.49702047615593</v>
      </c>
      <c r="Z65" s="173">
        <f t="shared" si="75"/>
        <v>12.477970258487915</v>
      </c>
      <c r="AA65" s="173">
        <f t="shared" si="75"/>
        <v>11.589672127495708</v>
      </c>
      <c r="AB65" s="173">
        <f t="shared" si="75"/>
        <v>10.632033616202087</v>
      </c>
      <c r="AD65" s="68">
        <f t="shared" si="31"/>
        <v>-10.655792998797427</v>
      </c>
      <c r="AE65" s="69">
        <f t="shared" si="32"/>
        <v>54.381847680818687</v>
      </c>
      <c r="AF65" s="69">
        <f t="shared" si="33"/>
        <v>43.726054682021257</v>
      </c>
    </row>
    <row r="66" spans="1:32" x14ac:dyDescent="0.2">
      <c r="A66" t="str">
        <f t="shared" si="19"/>
        <v>72 Customer service occupations</v>
      </c>
      <c r="B66" s="173">
        <f t="shared" si="73"/>
        <v>1.6896186267629658</v>
      </c>
      <c r="C66" s="173">
        <f t="shared" si="73"/>
        <v>1.7562723238052353</v>
      </c>
      <c r="D66" s="173">
        <f t="shared" si="73"/>
        <v>1.8562767754385496</v>
      </c>
      <c r="E66" s="173">
        <f t="shared" si="73"/>
        <v>2.3473930328907899</v>
      </c>
      <c r="F66" s="173">
        <f t="shared" si="73"/>
        <v>2.6715149248785046</v>
      </c>
      <c r="H66" s="68">
        <f t="shared" si="21"/>
        <v>48.080465014874186</v>
      </c>
      <c r="I66" s="69">
        <f t="shared" si="22"/>
        <v>61.044953830247358</v>
      </c>
      <c r="J66" s="69">
        <f t="shared" si="23"/>
        <v>109.12541884512154</v>
      </c>
      <c r="L66" t="str">
        <f t="shared" si="24"/>
        <v>72 Customer service occupations</v>
      </c>
      <c r="M66" s="173">
        <f t="shared" ref="M66:Q66" si="76">M29/M$35*100</f>
        <v>1.2745401228226343</v>
      </c>
      <c r="N66" s="173">
        <f t="shared" si="76"/>
        <v>1.1607006191577089</v>
      </c>
      <c r="O66" s="173">
        <f t="shared" si="76"/>
        <v>1.4486153018446821</v>
      </c>
      <c r="P66" s="173">
        <f t="shared" si="76"/>
        <v>1.9736491823901687</v>
      </c>
      <c r="Q66" s="173">
        <f t="shared" si="76"/>
        <v>2.3591289231749775</v>
      </c>
      <c r="S66" s="68">
        <f t="shared" si="26"/>
        <v>64.536814746170066</v>
      </c>
      <c r="T66" s="69">
        <f t="shared" si="27"/>
        <v>48.500498424371173</v>
      </c>
      <c r="U66" s="69">
        <f t="shared" si="28"/>
        <v>113.03731317054124</v>
      </c>
      <c r="W66" t="str">
        <f t="shared" si="29"/>
        <v>72 Customer service occupations</v>
      </c>
      <c r="X66" s="173">
        <f t="shared" ref="X66:AB66" si="77">X29/X$35*100</f>
        <v>2.1330592635060071</v>
      </c>
      <c r="Y66" s="173">
        <f t="shared" si="77"/>
        <v>2.42345447968933</v>
      </c>
      <c r="Z66" s="173">
        <f t="shared" si="77"/>
        <v>2.2869305548881003</v>
      </c>
      <c r="AA66" s="173">
        <f t="shared" si="77"/>
        <v>2.7368736906858344</v>
      </c>
      <c r="AB66" s="173">
        <f t="shared" si="77"/>
        <v>2.9894882092447563</v>
      </c>
      <c r="AD66" s="68">
        <f t="shared" si="31"/>
        <v>37.068566690558669</v>
      </c>
      <c r="AE66" s="69">
        <f t="shared" si="32"/>
        <v>69.439176711930003</v>
      </c>
      <c r="AF66" s="69">
        <f t="shared" si="33"/>
        <v>106.50774340248866</v>
      </c>
    </row>
    <row r="67" spans="1:32" x14ac:dyDescent="0.2">
      <c r="A67" t="str">
        <f t="shared" si="19"/>
        <v>81 Process, plant and machine operatives</v>
      </c>
      <c r="B67" s="173">
        <f t="shared" si="73"/>
        <v>4.1855502390030006</v>
      </c>
      <c r="C67" s="173">
        <f t="shared" si="73"/>
        <v>3.9096384711478422</v>
      </c>
      <c r="D67" s="173">
        <f t="shared" si="73"/>
        <v>3.4438036843251218</v>
      </c>
      <c r="E67" s="173">
        <f t="shared" si="73"/>
        <v>3.985111227240226</v>
      </c>
      <c r="F67" s="173">
        <f t="shared" si="73"/>
        <v>3.6991972443864132</v>
      </c>
      <c r="H67" s="68">
        <f t="shared" si="21"/>
        <v>10.522830427107213</v>
      </c>
      <c r="I67" s="69">
        <f t="shared" si="22"/>
        <v>42.66775779910801</v>
      </c>
      <c r="J67" s="69">
        <f t="shared" si="23"/>
        <v>53.190588226215219</v>
      </c>
      <c r="L67" t="str">
        <f t="shared" si="24"/>
        <v>81 Process, plant and machine operatives</v>
      </c>
      <c r="M67" s="173">
        <f t="shared" ref="M67:Q67" si="78">M30/M$35*100</f>
        <v>6.6907011278725781</v>
      </c>
      <c r="N67" s="173">
        <f t="shared" si="78"/>
        <v>5.9839469150536786</v>
      </c>
      <c r="O67" s="173">
        <f t="shared" si="78"/>
        <v>5.5161557238470413</v>
      </c>
      <c r="P67" s="173">
        <f t="shared" si="78"/>
        <v>6.4329704988572196</v>
      </c>
      <c r="Q67" s="173">
        <f t="shared" si="78"/>
        <v>6.0528477016972397</v>
      </c>
      <c r="S67" s="68">
        <f t="shared" si="26"/>
        <v>10.863275889689859</v>
      </c>
      <c r="T67" s="69">
        <f t="shared" si="27"/>
        <v>40.041107702068821</v>
      </c>
      <c r="U67" s="69">
        <f t="shared" si="28"/>
        <v>50.904383591758688</v>
      </c>
      <c r="W67" t="str">
        <f t="shared" si="29"/>
        <v>81 Process, plant and machine operatives</v>
      </c>
      <c r="X67" s="173">
        <f t="shared" ref="X67:AB67" si="79">X30/X$35*100</f>
        <v>1.5092234845406223</v>
      </c>
      <c r="Y67" s="173">
        <f t="shared" si="79"/>
        <v>1.5859189781394747</v>
      </c>
      <c r="Z67" s="173">
        <f t="shared" si="79"/>
        <v>1.2545699794516305</v>
      </c>
      <c r="AA67" s="173">
        <f t="shared" si="79"/>
        <v>1.4341827289598315</v>
      </c>
      <c r="AB67" s="173">
        <f t="shared" si="79"/>
        <v>1.3034497970615408</v>
      </c>
      <c r="AD67" s="68">
        <f t="shared" si="31"/>
        <v>8.9415176859497016</v>
      </c>
      <c r="AE67" s="69">
        <f t="shared" si="32"/>
        <v>54.86811210403274</v>
      </c>
      <c r="AF67" s="69">
        <f t="shared" si="33"/>
        <v>63.809629789982438</v>
      </c>
    </row>
    <row r="68" spans="1:32" x14ac:dyDescent="0.2">
      <c r="A68" t="str">
        <f t="shared" si="19"/>
        <v>82 Transport and mobile machine drivers and operatives</v>
      </c>
      <c r="B68" s="173">
        <f t="shared" si="73"/>
        <v>3.6304188842858807</v>
      </c>
      <c r="C68" s="173">
        <f t="shared" si="73"/>
        <v>4.411553102975871</v>
      </c>
      <c r="D68" s="173">
        <f t="shared" si="73"/>
        <v>3.9851499932326009</v>
      </c>
      <c r="E68" s="173">
        <f t="shared" si="73"/>
        <v>3.9475928639815208</v>
      </c>
      <c r="F68" s="173">
        <f t="shared" si="73"/>
        <v>3.632886123802622</v>
      </c>
      <c r="H68" s="68">
        <f t="shared" si="21"/>
        <v>-6.2027709806161919</v>
      </c>
      <c r="I68" s="69">
        <f t="shared" si="22"/>
        <v>50.479448476660913</v>
      </c>
      <c r="J68" s="69">
        <f t="shared" si="23"/>
        <v>44.276677496044719</v>
      </c>
      <c r="L68" t="str">
        <f t="shared" si="24"/>
        <v>82 Transport and mobile machine drivers and operatives</v>
      </c>
      <c r="M68" s="173">
        <f t="shared" ref="M68:Q68" si="80">M31/M$35*100</f>
        <v>6.7864319187538058</v>
      </c>
      <c r="N68" s="173">
        <f t="shared" si="80"/>
        <v>8.1116319283201062</v>
      </c>
      <c r="O68" s="173">
        <f t="shared" si="80"/>
        <v>7.5540365557170333</v>
      </c>
      <c r="P68" s="173">
        <f t="shared" si="80"/>
        <v>7.4554820217879261</v>
      </c>
      <c r="Q68" s="173">
        <f t="shared" si="80"/>
        <v>6.8986038021813361</v>
      </c>
      <c r="S68" s="68">
        <f t="shared" si="26"/>
        <v>-7.7329574942912327</v>
      </c>
      <c r="T68" s="69">
        <f t="shared" si="27"/>
        <v>49.506453775726236</v>
      </c>
      <c r="U68" s="69">
        <f t="shared" si="28"/>
        <v>41.773496281435001</v>
      </c>
      <c r="W68" t="str">
        <f t="shared" si="29"/>
        <v>82 Transport and mobile machine drivers and operatives</v>
      </c>
      <c r="X68" s="173">
        <f t="shared" ref="X68:AB68" si="81">X31/X$35*100</f>
        <v>0.2587568582153173</v>
      </c>
      <c r="Y68" s="173">
        <f t="shared" si="81"/>
        <v>0.26658357475552097</v>
      </c>
      <c r="Z68" s="173">
        <f t="shared" si="81"/>
        <v>0.21497648870417099</v>
      </c>
      <c r="AA68" s="173">
        <f t="shared" si="81"/>
        <v>0.29200100655169481</v>
      </c>
      <c r="AB68" s="173">
        <f t="shared" si="81"/>
        <v>0.30875837689893293</v>
      </c>
      <c r="AD68" s="68">
        <f t="shared" si="31"/>
        <v>50.598895827193289</v>
      </c>
      <c r="AE68" s="69">
        <f t="shared" si="32"/>
        <v>86.59773883821147</v>
      </c>
      <c r="AF68" s="69">
        <f t="shared" si="33"/>
        <v>137.19663466540476</v>
      </c>
    </row>
    <row r="69" spans="1:32" x14ac:dyDescent="0.2">
      <c r="A69" t="str">
        <f t="shared" si="19"/>
        <v>91 Elementary trades and related occupations</v>
      </c>
      <c r="B69" s="173">
        <f t="shared" si="73"/>
        <v>1.7781714968417504</v>
      </c>
      <c r="C69" s="173">
        <f t="shared" si="73"/>
        <v>1.5767671573198112</v>
      </c>
      <c r="D69" s="173">
        <f t="shared" si="73"/>
        <v>1.3978475394105287</v>
      </c>
      <c r="E69" s="173">
        <f t="shared" si="73"/>
        <v>1.1067635057886172</v>
      </c>
      <c r="F69" s="173">
        <f t="shared" si="73"/>
        <v>0.99053630212913557</v>
      </c>
      <c r="H69" s="68">
        <f t="shared" si="21"/>
        <v>-27.088927579351701</v>
      </c>
      <c r="I69" s="69">
        <f t="shared" si="22"/>
        <v>30.188091065792467</v>
      </c>
      <c r="J69" s="69">
        <f t="shared" si="23"/>
        <v>3.0991634864407649</v>
      </c>
      <c r="L69" t="str">
        <f t="shared" si="24"/>
        <v>91 Elementary trades and related occupations</v>
      </c>
      <c r="M69" s="173">
        <f t="shared" ref="M69:Q70" si="82">M32/M$35*100</f>
        <v>2.6999993815769461</v>
      </c>
      <c r="N69" s="173">
        <f t="shared" si="82"/>
        <v>2.3960044834048415</v>
      </c>
      <c r="O69" s="173">
        <f t="shared" si="82"/>
        <v>2.2527871213226343</v>
      </c>
      <c r="P69" s="173">
        <f t="shared" si="82"/>
        <v>1.7843717972618331</v>
      </c>
      <c r="Q69" s="173">
        <f t="shared" si="82"/>
        <v>1.6170139208184668</v>
      </c>
      <c r="S69" s="68">
        <f t="shared" si="26"/>
        <v>-27.479952001217502</v>
      </c>
      <c r="T69" s="69">
        <f t="shared" si="27"/>
        <v>25.727902882444226</v>
      </c>
      <c r="U69" s="69">
        <f t="shared" si="28"/>
        <v>-1.7520491187732752</v>
      </c>
      <c r="W69" t="str">
        <f t="shared" si="29"/>
        <v>91 Elementary trades and related occupations</v>
      </c>
      <c r="X69" s="173">
        <f t="shared" ref="X69:AB70" si="83">X32/X$35*100</f>
        <v>0.79335551554191408</v>
      </c>
      <c r="Y69" s="173">
        <f t="shared" si="83"/>
        <v>0.65902623522276427</v>
      </c>
      <c r="Z69" s="173">
        <f t="shared" si="83"/>
        <v>0.49468894827453075</v>
      </c>
      <c r="AA69" s="173">
        <f t="shared" si="83"/>
        <v>0.40062393255722739</v>
      </c>
      <c r="AB69" s="173">
        <f t="shared" si="83"/>
        <v>0.35285361177078173</v>
      </c>
      <c r="AD69" s="68">
        <f t="shared" si="31"/>
        <v>-25.207790593992986</v>
      </c>
      <c r="AE69" s="69">
        <f t="shared" si="32"/>
        <v>51.645126698821528</v>
      </c>
      <c r="AF69" s="69">
        <f t="shared" si="33"/>
        <v>26.437336104828539</v>
      </c>
    </row>
    <row r="70" spans="1:32" x14ac:dyDescent="0.2">
      <c r="A70" t="str">
        <f t="shared" si="19"/>
        <v>92 Elementary administration and service occupations</v>
      </c>
      <c r="B70" s="173">
        <f t="shared" si="73"/>
        <v>10.551800539224748</v>
      </c>
      <c r="C70" s="173">
        <f t="shared" si="73"/>
        <v>10.087472668024951</v>
      </c>
      <c r="D70" s="173">
        <f t="shared" si="73"/>
        <v>9.6263925447670999</v>
      </c>
      <c r="E70" s="173">
        <f t="shared" si="73"/>
        <v>9.5240647309388393</v>
      </c>
      <c r="F70" s="173">
        <f t="shared" si="73"/>
        <v>9.1000573832261971</v>
      </c>
      <c r="H70" s="68">
        <f t="shared" si="21"/>
        <v>-2.7334617600686766</v>
      </c>
      <c r="I70" s="69">
        <f t="shared" si="22"/>
        <v>47.387066108442482</v>
      </c>
      <c r="J70" s="69">
        <f t="shared" si="23"/>
        <v>44.653604348373804</v>
      </c>
      <c r="L70" t="str">
        <f t="shared" si="24"/>
        <v>92 Elementary administration and service occupations</v>
      </c>
      <c r="M70" s="173">
        <f t="shared" si="82"/>
        <v>9.8569819898387916</v>
      </c>
      <c r="N70" s="173">
        <f t="shared" si="82"/>
        <v>10.00759115399044</v>
      </c>
      <c r="O70" s="173">
        <f t="shared" si="82"/>
        <v>9.8131924060721083</v>
      </c>
      <c r="P70" s="173">
        <f t="shared" si="82"/>
        <v>10.217196283728654</v>
      </c>
      <c r="Q70" s="173">
        <f t="shared" si="82"/>
        <v>9.6252594900283999</v>
      </c>
      <c r="S70" s="68">
        <f t="shared" si="26"/>
        <v>-0.90160713500429135</v>
      </c>
      <c r="T70" s="69">
        <f t="shared" si="27"/>
        <v>39.954330539499168</v>
      </c>
      <c r="U70" s="69">
        <f t="shared" si="28"/>
        <v>39.05272340449487</v>
      </c>
      <c r="W70" t="str">
        <f t="shared" si="29"/>
        <v>92 Elementary administration and service occupations</v>
      </c>
      <c r="X70" s="173">
        <f t="shared" si="83"/>
        <v>11.294095736484309</v>
      </c>
      <c r="Y70" s="173">
        <f t="shared" si="83"/>
        <v>10.176958989038761</v>
      </c>
      <c r="Z70" s="173">
        <f t="shared" si="83"/>
        <v>9.4290570802149443</v>
      </c>
      <c r="AA70" s="173">
        <f t="shared" si="83"/>
        <v>8.8017482760795236</v>
      </c>
      <c r="AB70" s="173">
        <f t="shared" si="83"/>
        <v>8.5654616012600346</v>
      </c>
      <c r="AD70" s="68">
        <f t="shared" si="31"/>
        <v>-4.7474718759246537</v>
      </c>
      <c r="AE70" s="69">
        <f t="shared" si="32"/>
        <v>55.558896132240555</v>
      </c>
      <c r="AF70" s="69">
        <f t="shared" si="33"/>
        <v>50.811424256315895</v>
      </c>
    </row>
    <row r="71" spans="1:32" x14ac:dyDescent="0.2">
      <c r="H71" s="68"/>
      <c r="I71" s="69"/>
      <c r="J71" s="69"/>
      <c r="S71" s="68"/>
      <c r="T71" s="69"/>
      <c r="U71" s="69"/>
      <c r="AD71" s="68"/>
      <c r="AE71" s="69"/>
      <c r="AF71" s="69"/>
    </row>
    <row r="72" spans="1:32" x14ac:dyDescent="0.2">
      <c r="A72" s="24" t="str">
        <f>A35</f>
        <v>All occupations</v>
      </c>
      <c r="B72" s="26">
        <f>B35/B$35*100</f>
        <v>100</v>
      </c>
      <c r="C72" s="26">
        <f>C35/C$35*100</f>
        <v>100</v>
      </c>
      <c r="D72" s="26">
        <f>D35/D$35*100</f>
        <v>100</v>
      </c>
      <c r="E72" s="26">
        <f>E35/E$35*100</f>
        <v>100</v>
      </c>
      <c r="F72" s="26">
        <f>F35/F$35*100</f>
        <v>100</v>
      </c>
      <c r="H72" s="70">
        <f>IF(D35&gt;0,(H35/D35)*100,0)</f>
        <v>2.892304865469757</v>
      </c>
      <c r="I72" s="67">
        <f>IF(D35&gt;0,I35/D35*100,0)</f>
        <v>49.146593425686746</v>
      </c>
      <c r="J72" s="67">
        <f>IF(D35&gt;0,(J35/D35)*100,0)</f>
        <v>52.038898291156514</v>
      </c>
      <c r="L72" s="24" t="str">
        <f>L35</f>
        <v>All occupations</v>
      </c>
      <c r="M72" s="26">
        <f>M35/M$35*100</f>
        <v>100</v>
      </c>
      <c r="N72" s="26">
        <f>N35/N$35*100</f>
        <v>100</v>
      </c>
      <c r="O72" s="26">
        <f>O35/O$35*100</f>
        <v>100</v>
      </c>
      <c r="P72" s="26">
        <f>P35/P$35*100</f>
        <v>100</v>
      </c>
      <c r="Q72" s="26">
        <f>Q35/Q$35*100</f>
        <v>100</v>
      </c>
      <c r="S72" s="70">
        <f t="shared" ref="S72" si="84">IF(O35&gt;0,(S35/O35)*100,0)</f>
        <v>1.0332861492399081</v>
      </c>
      <c r="T72" s="67">
        <f t="shared" ref="T72" si="85">IF(O35&gt;0,T35/O35*100,0)</f>
        <v>39.792018510317824</v>
      </c>
      <c r="U72" s="67">
        <f t="shared" ref="U72" si="86">IF(O35&gt;0,(U35/O35)*100,0)</f>
        <v>40.825304659557702</v>
      </c>
      <c r="W72" s="24" t="str">
        <f>W35</f>
        <v>All occupations</v>
      </c>
      <c r="X72" s="26">
        <f>X35/X$35*100</f>
        <v>100</v>
      </c>
      <c r="Y72" s="26">
        <f>Y35/Y$35*100</f>
        <v>100</v>
      </c>
      <c r="Z72" s="26">
        <f>Z35/Z$35*100</f>
        <v>100</v>
      </c>
      <c r="AA72" s="26">
        <f>AA35/AA$35*100</f>
        <v>100</v>
      </c>
      <c r="AB72" s="26">
        <f>AB35/AB$35*100</f>
        <v>100</v>
      </c>
      <c r="AD72" s="70">
        <f t="shared" ref="AD72" si="87">IF(Z35&gt;0,(AD35/Z35)*100,0)</f>
        <v>4.8561731436123896</v>
      </c>
      <c r="AE72" s="67">
        <f t="shared" ref="AE72" si="88">IF(Z35&gt;0,AE35/Z35*100,0)</f>
        <v>59.02877092686758</v>
      </c>
      <c r="AF72" s="67">
        <f t="shared" ref="AF72" si="89">IF(Z35&gt;0,(AF35/Z35)*100,0)</f>
        <v>63.884944070479946</v>
      </c>
    </row>
    <row r="73" spans="1:32" x14ac:dyDescent="0.2">
      <c r="B73" s="18"/>
      <c r="C73" s="18"/>
      <c r="D73" s="18"/>
      <c r="E73" s="18"/>
      <c r="F73" s="18"/>
      <c r="M73" s="18"/>
      <c r="N73" s="18"/>
      <c r="O73" s="18"/>
      <c r="P73" s="18"/>
      <c r="Q73" s="18"/>
      <c r="X73" s="18"/>
      <c r="Y73" s="18"/>
      <c r="Z73" s="18"/>
      <c r="AA73" s="18"/>
      <c r="AB73" s="18"/>
    </row>
    <row r="74" spans="1:32" x14ac:dyDescent="0.2">
      <c r="B74" s="18"/>
      <c r="C74" s="18"/>
      <c r="D74" s="18"/>
      <c r="E74" s="18"/>
      <c r="F74" s="18"/>
      <c r="M74" s="18"/>
      <c r="N74" s="18"/>
      <c r="O74" s="18"/>
      <c r="P74" s="18"/>
      <c r="Q74" s="18"/>
      <c r="X74" s="18"/>
      <c r="Y74" s="18"/>
      <c r="Z74" s="18"/>
      <c r="AA74" s="18"/>
      <c r="AB74" s="18"/>
    </row>
    <row r="75" spans="1:32" ht="15.75" x14ac:dyDescent="0.25">
      <c r="A75" s="19" t="str">
        <f>CONCATENATE(A$1," (Continued)")</f>
        <v>Occupation Table 2  Employment Change by Occupation (SOC 2020) and Replacement Demand, 2015-2035, North East (Continued)</v>
      </c>
      <c r="B75" s="18"/>
      <c r="C75" s="18"/>
      <c r="D75" s="18"/>
      <c r="E75" s="18"/>
      <c r="F75" s="18"/>
      <c r="L75" s="19" t="str">
        <f>CONCATENATE(L$1," (Continued)")</f>
        <v>Occupation Table 2.1  Males: Employment Change by Occupation (SOC 2020) and Replacement Demand, 2015-2035, North East (Continued)</v>
      </c>
      <c r="M75" s="18"/>
      <c r="N75" s="18"/>
      <c r="O75" s="18"/>
      <c r="P75" s="18"/>
      <c r="Q75" s="18"/>
      <c r="W75" s="19" t="str">
        <f>CONCATENATE(W$1," (Continued)")</f>
        <v>Occupation Table 2.2  Females: Employment Change by Occupation (SOC 2020) and Replacement Demand, 2015-2035, North East (Continued)</v>
      </c>
      <c r="X75" s="18"/>
      <c r="Y75" s="18"/>
      <c r="Z75" s="18"/>
      <c r="AA75" s="18"/>
      <c r="AB75" s="18"/>
    </row>
    <row r="77" spans="1:32" x14ac:dyDescent="0.2">
      <c r="F77" s="16" t="s">
        <v>38</v>
      </c>
      <c r="J77" s="16" t="s">
        <v>38</v>
      </c>
      <c r="Q77" s="16" t="s">
        <v>38</v>
      </c>
      <c r="U77" s="16" t="s">
        <v>38</v>
      </c>
      <c r="AB77" s="16" t="s">
        <v>38</v>
      </c>
      <c r="AF77" s="16" t="s">
        <v>38</v>
      </c>
    </row>
    <row r="78" spans="1:32" x14ac:dyDescent="0.2">
      <c r="A78" s="36"/>
      <c r="B78" s="36"/>
      <c r="C78" s="36"/>
      <c r="D78" s="36"/>
      <c r="E78" s="36"/>
      <c r="F78" s="36"/>
      <c r="H78" s="99" t="str">
        <f>$H$4</f>
        <v>2020-2035</v>
      </c>
      <c r="I78" s="36"/>
      <c r="J78" s="36"/>
      <c r="L78" s="36"/>
      <c r="M78" s="36"/>
      <c r="N78" s="36"/>
      <c r="O78" s="36"/>
      <c r="P78" s="36"/>
      <c r="Q78" s="36"/>
      <c r="S78" s="99" t="str">
        <f>$H$4</f>
        <v>2020-2035</v>
      </c>
      <c r="T78" s="36"/>
      <c r="U78" s="36"/>
      <c r="W78" s="36"/>
      <c r="X78" s="36"/>
      <c r="Y78" s="36"/>
      <c r="Z78" s="36"/>
      <c r="AA78" s="36"/>
      <c r="AB78" s="36"/>
      <c r="AD78" s="99" t="str">
        <f>$H$4</f>
        <v>2020-2035</v>
      </c>
      <c r="AE78" s="36"/>
      <c r="AF78" s="36"/>
    </row>
    <row r="79" spans="1:32" x14ac:dyDescent="0.2">
      <c r="H79" s="16" t="str">
        <f t="shared" ref="H79:J80" si="90">H42</f>
        <v>Net</v>
      </c>
      <c r="I79" s="16" t="str">
        <f t="shared" si="90"/>
        <v>Replacement</v>
      </c>
      <c r="J79" s="16" t="str">
        <f t="shared" si="90"/>
        <v>Total</v>
      </c>
      <c r="S79" s="16" t="str">
        <f t="shared" ref="S79:U79" si="91">S42</f>
        <v>Net</v>
      </c>
      <c r="T79" s="16" t="str">
        <f t="shared" si="91"/>
        <v>Replacement</v>
      </c>
      <c r="U79" s="16" t="str">
        <f t="shared" si="91"/>
        <v>Total</v>
      </c>
      <c r="AD79" s="16" t="str">
        <f t="shared" ref="AD79:AF79" si="92">AD42</f>
        <v>Net</v>
      </c>
      <c r="AE79" s="16" t="str">
        <f t="shared" si="92"/>
        <v>Replacement</v>
      </c>
      <c r="AF79" s="16" t="str">
        <f t="shared" si="92"/>
        <v>Total</v>
      </c>
    </row>
    <row r="80" spans="1:32" x14ac:dyDescent="0.2">
      <c r="A80" s="41" t="s">
        <v>39</v>
      </c>
      <c r="B80" s="64" t="str">
        <f>CONCATENATE(B$6,"-",C$6)</f>
        <v>2015-2019</v>
      </c>
      <c r="C80" s="64" t="str">
        <f>CONCATENATE(C$6,"-",D$6)</f>
        <v>2019-2020</v>
      </c>
      <c r="D80" s="64" t="str">
        <f>CONCATENATE(D$6,"-",E$6)</f>
        <v>2020-2025</v>
      </c>
      <c r="E80" s="64" t="str">
        <f>CONCATENATE(E$6,"-",F$6)</f>
        <v>2025-2035</v>
      </c>
      <c r="F80" s="64" t="str">
        <f>CONCATENATE(D$6,"-",F$6)</f>
        <v>2020-2035</v>
      </c>
      <c r="H80" s="63" t="str">
        <f t="shared" si="90"/>
        <v>Change</v>
      </c>
      <c r="I80" s="63" t="str">
        <f t="shared" si="90"/>
        <v>Demand</v>
      </c>
      <c r="J80" s="63" t="str">
        <f t="shared" si="90"/>
        <v>Requirement</v>
      </c>
      <c r="L80" s="41" t="s">
        <v>39</v>
      </c>
      <c r="M80" s="64" t="str">
        <f>CONCATENATE(M$6,"-",N$6)</f>
        <v>2015-2019</v>
      </c>
      <c r="N80" s="64" t="str">
        <f>CONCATENATE(N$6,"-",O$6)</f>
        <v>2019-2020</v>
      </c>
      <c r="O80" s="64" t="str">
        <f>CONCATENATE(O$6,"-",P$6)</f>
        <v>2020-2025</v>
      </c>
      <c r="P80" s="64" t="str">
        <f>CONCATENATE(P$6,"-",Q$6)</f>
        <v>2025-2035</v>
      </c>
      <c r="Q80" s="64" t="str">
        <f>CONCATENATE(O$6,"-",Q$6)</f>
        <v>2020-2035</v>
      </c>
      <c r="S80" s="63" t="str">
        <f t="shared" ref="S80:U80" si="93">S43</f>
        <v>Change</v>
      </c>
      <c r="T80" s="63" t="str">
        <f t="shared" si="93"/>
        <v>Demand</v>
      </c>
      <c r="U80" s="63" t="str">
        <f t="shared" si="93"/>
        <v>Requirement</v>
      </c>
      <c r="W80" s="41" t="s">
        <v>39</v>
      </c>
      <c r="X80" s="64" t="str">
        <f>CONCATENATE(X$6,"-",Y$6)</f>
        <v>2015-2019</v>
      </c>
      <c r="Y80" s="64" t="str">
        <f>CONCATENATE(Y$6,"-",Z$6)</f>
        <v>2019-2020</v>
      </c>
      <c r="Z80" s="64" t="str">
        <f>CONCATENATE(Z$6,"-",AA$6)</f>
        <v>2020-2025</v>
      </c>
      <c r="AA80" s="64" t="str">
        <f>CONCATENATE(AA$6,"-",AB$6)</f>
        <v>2025-2035</v>
      </c>
      <c r="AB80" s="64" t="str">
        <f>CONCATENATE(Z$6,"-",AB$6)</f>
        <v>2020-2035</v>
      </c>
      <c r="AD80" s="63" t="str">
        <f t="shared" ref="AD80:AF80" si="94">AD43</f>
        <v>Change</v>
      </c>
      <c r="AE80" s="63" t="str">
        <f t="shared" si="94"/>
        <v>Demand</v>
      </c>
      <c r="AF80" s="63" t="str">
        <f t="shared" si="94"/>
        <v>Requirement</v>
      </c>
    </row>
    <row r="82" spans="1:32" x14ac:dyDescent="0.2">
      <c r="A82" t="str">
        <f t="shared" ref="A82:A107" si="95">A8</f>
        <v>11 Corporate managers and directors</v>
      </c>
      <c r="B82" s="18">
        <f>IF(AND(C$6-B$6 &lt;&gt; 0,B8&lt;&gt;0,C8&lt;&gt;0),(EXP(LN(C8/B8)/(C$6-B$6))-1)*100,0)</f>
        <v>3.2341695535799575</v>
      </c>
      <c r="C82" s="18">
        <f t="shared" ref="B82:E107" si="96">IF(AND(D$6-C$6 &lt;&gt; 0,C8&lt;&gt;0,D8&lt;&gt;0),(EXP(LN(D8/C8)/(D$6-C$6))-1)*100,0)</f>
        <v>2.9531962880721796</v>
      </c>
      <c r="D82" s="18">
        <f t="shared" si="96"/>
        <v>-1.8174464081448405</v>
      </c>
      <c r="E82" s="18">
        <f t="shared" si="96"/>
        <v>0.84999377532994913</v>
      </c>
      <c r="F82" s="18">
        <f t="shared" ref="F82:F107" si="97">IF(AND(F$6-D$6 &lt;&gt; 0,D8&lt;&gt;0,F8&lt;&gt;0),(EXP(LN(F8/D8)/(F$6-D$6))-1)*100,0)</f>
        <v>-4.7109400992328965E-2</v>
      </c>
      <c r="H82" s="18">
        <f t="shared" ref="H82:H107" si="98">IF($F$6-$D$6 &lt;&gt; 0,(EXP(LN(1+(H45/100))/($F$6-$D$6))-1)*100,0)</f>
        <v>-4.7109400992328965E-2</v>
      </c>
      <c r="I82" s="18">
        <f t="shared" ref="I82:I107" si="99">IF(D8&gt;0,((1+(I8/D8))^(1/($F$6-$D$6))-1)*100,0)</f>
        <v>2.6732238388089025</v>
      </c>
      <c r="J82" s="18">
        <f t="shared" ref="J82:J107" si="100">IF($F$6-$D$6 &lt;&gt; 0,(EXP(LN(1+(J45/100))/($F$6-$D$6))-1)*100,0)</f>
        <v>2.6406972861949818</v>
      </c>
      <c r="L82" t="str">
        <f t="shared" ref="L82:L107" si="101">L8</f>
        <v>11 Corporate managers and directors</v>
      </c>
      <c r="M82" s="18">
        <f t="shared" ref="M82:P107" si="102">IF(AND(N$6-M$6 &lt;&gt; 0,M8&lt;&gt;0,N8&lt;&gt;0),(EXP(LN(N8/M8)/(N$6-M$6))-1)*100,0)</f>
        <v>2.8002774858565616</v>
      </c>
      <c r="N82" s="18">
        <f t="shared" si="102"/>
        <v>0.7135440626928613</v>
      </c>
      <c r="O82" s="18">
        <f t="shared" si="102"/>
        <v>-2.5099552894983446</v>
      </c>
      <c r="P82" s="18">
        <f t="shared" si="102"/>
        <v>0.37438065854225044</v>
      </c>
      <c r="Q82" s="18">
        <f t="shared" ref="Q82:Q107" si="103">IF(AND(Q$6-O$6 &lt;&gt; 0,O8&lt;&gt;0,Q8&lt;&gt;0),(EXP(LN(Q8/O8)/(Q$6-O$6))-1)*100,0)</f>
        <v>-0.59642384793161529</v>
      </c>
      <c r="S82" s="18">
        <f t="shared" ref="S82:S107" si="104">IF($F$6-$D$6 &lt;&gt; 0,(EXP(LN(1+(S45/100))/($F$6-$D$6))-1)*100,0)</f>
        <v>-0.59642384793161529</v>
      </c>
      <c r="T82" s="18">
        <f t="shared" ref="T82:T107" si="105">IF(O8&gt;0,((1+(T8/O8))^(1/($F$6-$D$6))-1)*100,0)</f>
        <v>2.3471492233494429</v>
      </c>
      <c r="U82" s="18">
        <f t="shared" ref="U82:U107" si="106">IF($F$6-$D$6 &lt;&gt; 0,(EXP(LN(1+(U45/100))/($F$6-$D$6))-1)*100,0)</f>
        <v>1.9214990283039191</v>
      </c>
      <c r="W82" t="str">
        <f t="shared" ref="W82:W107" si="107">W8</f>
        <v>11 Corporate managers and directors</v>
      </c>
      <c r="X82" s="18">
        <f t="shared" ref="X82:AA107" si="108">IF(AND(Y$6-X$6 &lt;&gt; 0,X8&lt;&gt;0,Y8&lt;&gt;0),(EXP(LN(Y8/X8)/(Y$6-X$6))-1)*100,0)</f>
        <v>4.1587614202218237</v>
      </c>
      <c r="Y82" s="18">
        <f t="shared" si="108"/>
        <v>7.5718128482505032</v>
      </c>
      <c r="Z82" s="18">
        <f t="shared" si="108"/>
        <v>-0.53317012832930777</v>
      </c>
      <c r="AA82" s="18">
        <f t="shared" si="108"/>
        <v>1.6350905802188231</v>
      </c>
      <c r="AB82" s="18">
        <f t="shared" ref="AB82:AB107" si="109">IF(AND(AB$6-Z$6 &lt;&gt; 0,Z8&lt;&gt;0,AB8&lt;&gt;0),(EXP(LN(AB8/Z8)/(AB$6-Z$6))-1)*100,0)</f>
        <v>0.90713552577643686</v>
      </c>
      <c r="AD82" s="18">
        <f t="shared" ref="AD82:AD107" si="110">IF($F$6-$D$6 &lt;&gt; 0,(EXP(LN(1+(AD45/100))/($F$6-$D$6))-1)*100,0)</f>
        <v>0.90713552577643686</v>
      </c>
      <c r="AE82" s="18">
        <f t="shared" ref="AE82:AE107" si="111">IF(Z8&gt;0,((1+(AE8/Z8))^(1/($F$6-$D$6))-1)*100,0)</f>
        <v>3.2645361401475448</v>
      </c>
      <c r="AF82" s="18">
        <f t="shared" ref="AF82:AF107" si="112">IF($F$6-$D$6 &lt;&gt; 0,(EXP(LN(1+(AF45/100))/($F$6-$D$6))-1)*100,0)</f>
        <v>3.8569377259577875</v>
      </c>
    </row>
    <row r="83" spans="1:32" x14ac:dyDescent="0.2">
      <c r="A83" t="str">
        <f t="shared" si="95"/>
        <v>12 Other managers and proprietors</v>
      </c>
      <c r="B83" s="18">
        <f t="shared" si="96"/>
        <v>1.7249390866562075</v>
      </c>
      <c r="C83" s="18">
        <f t="shared" si="96"/>
        <v>-2.9543510446111809</v>
      </c>
      <c r="D83" s="18">
        <f t="shared" si="96"/>
        <v>3.5709330920834725</v>
      </c>
      <c r="E83" s="18">
        <f t="shared" si="96"/>
        <v>1.4707107992975255</v>
      </c>
      <c r="F83" s="18">
        <f t="shared" si="97"/>
        <v>2.1660096790900418</v>
      </c>
      <c r="H83" s="18">
        <f t="shared" si="98"/>
        <v>2.1660096790900418</v>
      </c>
      <c r="I83" s="18">
        <f t="shared" si="99"/>
        <v>3.6116016381638749</v>
      </c>
      <c r="J83" s="18">
        <f t="shared" si="100"/>
        <v>5.0095085904807268</v>
      </c>
      <c r="L83" t="str">
        <f t="shared" si="101"/>
        <v>12 Other managers and proprietors</v>
      </c>
      <c r="M83" s="18">
        <f t="shared" si="102"/>
        <v>1.5256059571620684</v>
      </c>
      <c r="N83" s="18">
        <f t="shared" si="102"/>
        <v>-9.6159005241388762</v>
      </c>
      <c r="O83" s="18">
        <f t="shared" si="102"/>
        <v>4.1732898316376277</v>
      </c>
      <c r="P83" s="18">
        <f t="shared" si="102"/>
        <v>1.6363537928662186</v>
      </c>
      <c r="Q83" s="18">
        <f t="shared" si="103"/>
        <v>2.4750590882163248</v>
      </c>
      <c r="S83" s="18">
        <f t="shared" si="104"/>
        <v>2.4750590882163248</v>
      </c>
      <c r="T83" s="18">
        <f t="shared" si="105"/>
        <v>3.4110507389716993</v>
      </c>
      <c r="U83" s="18">
        <f t="shared" si="106"/>
        <v>5.0602773630245235</v>
      </c>
      <c r="W83" t="str">
        <f t="shared" si="107"/>
        <v>12 Other managers and proprietors</v>
      </c>
      <c r="X83" s="18">
        <f t="shared" si="108"/>
        <v>2.0518345872585497</v>
      </c>
      <c r="Y83" s="18">
        <f t="shared" si="108"/>
        <v>7.8299847007754941</v>
      </c>
      <c r="Z83" s="18">
        <f t="shared" si="108"/>
        <v>2.7304587029299388</v>
      </c>
      <c r="AA83" s="18">
        <f t="shared" si="108"/>
        <v>1.2252713913338154</v>
      </c>
      <c r="AB83" s="18">
        <f t="shared" si="109"/>
        <v>1.7245339871738041</v>
      </c>
      <c r="AD83" s="18">
        <f t="shared" si="110"/>
        <v>1.7245339871738041</v>
      </c>
      <c r="AE83" s="18">
        <f t="shared" si="111"/>
        <v>3.875335472283381</v>
      </c>
      <c r="AF83" s="18">
        <f t="shared" si="112"/>
        <v>4.940062622082797</v>
      </c>
    </row>
    <row r="84" spans="1:32" x14ac:dyDescent="0.2">
      <c r="A84" t="str">
        <f t="shared" si="95"/>
        <v>21 Science, research, engineering and technology professionals</v>
      </c>
      <c r="B84" s="18">
        <f t="shared" si="96"/>
        <v>1.0901178820918345</v>
      </c>
      <c r="C84" s="18">
        <f t="shared" si="96"/>
        <v>4.8890286922226522</v>
      </c>
      <c r="D84" s="18">
        <f t="shared" si="96"/>
        <v>0.70972428356224082</v>
      </c>
      <c r="E84" s="18">
        <f t="shared" si="96"/>
        <v>0.85488820534651566</v>
      </c>
      <c r="F84" s="18">
        <f t="shared" si="97"/>
        <v>0.80647699734308631</v>
      </c>
      <c r="H84" s="18">
        <f t="shared" si="98"/>
        <v>0.80647699734308631</v>
      </c>
      <c r="I84" s="18">
        <f t="shared" si="99"/>
        <v>2.204374523247199</v>
      </c>
      <c r="J84" s="18">
        <f t="shared" si="100"/>
        <v>2.8078528020938132</v>
      </c>
      <c r="L84" t="str">
        <f t="shared" si="101"/>
        <v>21 Science, research, engineering and technology professionals</v>
      </c>
      <c r="M84" s="18">
        <f t="shared" si="102"/>
        <v>1.3012103515382289</v>
      </c>
      <c r="N84" s="18">
        <f t="shared" si="102"/>
        <v>1.2347035091998748</v>
      </c>
      <c r="O84" s="18">
        <f t="shared" si="102"/>
        <v>0.10522167621047629</v>
      </c>
      <c r="P84" s="18">
        <f t="shared" si="102"/>
        <v>0.53743053855939138</v>
      </c>
      <c r="Q84" s="18">
        <f t="shared" si="103"/>
        <v>0.39315397226125093</v>
      </c>
      <c r="S84" s="18">
        <f t="shared" si="104"/>
        <v>0.39315397226125093</v>
      </c>
      <c r="T84" s="18">
        <f t="shared" si="105"/>
        <v>1.9191078279416462</v>
      </c>
      <c r="U84" s="18">
        <f t="shared" si="106"/>
        <v>2.2224307612940253</v>
      </c>
      <c r="W84" t="str">
        <f t="shared" si="107"/>
        <v>21 Science, research, engineering and technology professionals</v>
      </c>
      <c r="X84" s="18">
        <f t="shared" si="108"/>
        <v>-1.8302490716581854E-2</v>
      </c>
      <c r="Y84" s="18">
        <f t="shared" si="108"/>
        <v>24.718269339054654</v>
      </c>
      <c r="Z84" s="18">
        <f t="shared" si="108"/>
        <v>3.21292508936315</v>
      </c>
      <c r="AA84" s="18">
        <f t="shared" si="108"/>
        <v>1.9798925617839913</v>
      </c>
      <c r="AB84" s="18">
        <f t="shared" si="109"/>
        <v>2.3892579402795544</v>
      </c>
      <c r="AD84" s="18">
        <f t="shared" si="110"/>
        <v>2.3892579402795544</v>
      </c>
      <c r="AE84" s="18">
        <f t="shared" si="111"/>
        <v>3.3433024061205963</v>
      </c>
      <c r="AF84" s="18">
        <f t="shared" si="112"/>
        <v>4.9451783676593308</v>
      </c>
    </row>
    <row r="85" spans="1:32" x14ac:dyDescent="0.2">
      <c r="A85" t="str">
        <f t="shared" si="95"/>
        <v>22 Health professionals</v>
      </c>
      <c r="B85" s="18">
        <f t="shared" si="96"/>
        <v>0.24630571186332606</v>
      </c>
      <c r="C85" s="18">
        <f t="shared" si="96"/>
        <v>4.2464077912183873</v>
      </c>
      <c r="D85" s="18">
        <f t="shared" si="96"/>
        <v>1.6378143945306789</v>
      </c>
      <c r="E85" s="18">
        <f t="shared" si="96"/>
        <v>0.86795547643123694</v>
      </c>
      <c r="F85" s="18">
        <f t="shared" si="97"/>
        <v>1.1239250003088008</v>
      </c>
      <c r="H85" s="18">
        <f t="shared" si="98"/>
        <v>1.1239250003088008</v>
      </c>
      <c r="I85" s="18">
        <f t="shared" si="99"/>
        <v>3.2101340577784576</v>
      </c>
      <c r="J85" s="18">
        <f t="shared" si="100"/>
        <v>3.9533035474774492</v>
      </c>
      <c r="L85" t="str">
        <f t="shared" si="101"/>
        <v>22 Health professionals</v>
      </c>
      <c r="M85" s="18">
        <f t="shared" si="102"/>
        <v>0.1882986490022942</v>
      </c>
      <c r="N85" s="18">
        <f t="shared" si="102"/>
        <v>12.993804347506209</v>
      </c>
      <c r="O85" s="18">
        <f t="shared" si="102"/>
        <v>1.486797419286745</v>
      </c>
      <c r="P85" s="18">
        <f t="shared" si="102"/>
        <v>0.96826427159339978</v>
      </c>
      <c r="Q85" s="18">
        <f t="shared" si="103"/>
        <v>1.1408136086379805</v>
      </c>
      <c r="S85" s="18">
        <f t="shared" si="104"/>
        <v>1.1408136086379805</v>
      </c>
      <c r="T85" s="18">
        <f t="shared" si="105"/>
        <v>2.4147062861371582</v>
      </c>
      <c r="U85" s="18">
        <f t="shared" si="106"/>
        <v>3.250632804071607</v>
      </c>
      <c r="W85" t="str">
        <f t="shared" si="107"/>
        <v>22 Health professionals</v>
      </c>
      <c r="X85" s="18">
        <f t="shared" si="108"/>
        <v>0.26520273975627617</v>
      </c>
      <c r="Y85" s="18">
        <f t="shared" si="108"/>
        <v>1.4022199485032472</v>
      </c>
      <c r="Z85" s="18">
        <f t="shared" si="108"/>
        <v>1.6923093255776234</v>
      </c>
      <c r="AA85" s="18">
        <f t="shared" si="108"/>
        <v>0.8317579951192311</v>
      </c>
      <c r="AB85" s="18">
        <f t="shared" si="109"/>
        <v>1.1177962416670573</v>
      </c>
      <c r="AD85" s="18">
        <f t="shared" si="110"/>
        <v>1.1177962416670573</v>
      </c>
      <c r="AE85" s="18">
        <f t="shared" si="111"/>
        <v>3.4783547830465</v>
      </c>
      <c r="AF85" s="18">
        <f t="shared" si="112"/>
        <v>4.1923063879586442</v>
      </c>
    </row>
    <row r="86" spans="1:32" x14ac:dyDescent="0.2">
      <c r="A86" t="str">
        <f t="shared" si="95"/>
        <v>23 Teaching and other educational professionals</v>
      </c>
      <c r="B86" s="18">
        <f t="shared" si="96"/>
        <v>-1.0136663636506338E-2</v>
      </c>
      <c r="C86" s="18">
        <f t="shared" si="96"/>
        <v>4.8331276156017067</v>
      </c>
      <c r="D86" s="18">
        <f t="shared" si="96"/>
        <v>1.7423630954812808</v>
      </c>
      <c r="E86" s="18">
        <f t="shared" si="96"/>
        <v>0.69620983633098543</v>
      </c>
      <c r="F86" s="18">
        <f t="shared" si="97"/>
        <v>1.0437268786075427</v>
      </c>
      <c r="H86" s="18">
        <f t="shared" si="98"/>
        <v>1.0437268786075649</v>
      </c>
      <c r="I86" s="18">
        <f t="shared" si="99"/>
        <v>2.978270697133012</v>
      </c>
      <c r="J86" s="18">
        <f t="shared" si="100"/>
        <v>3.6879792609999296</v>
      </c>
      <c r="L86" t="str">
        <f t="shared" si="101"/>
        <v>23 Teaching and other educational professionals</v>
      </c>
      <c r="M86" s="18">
        <f t="shared" si="102"/>
        <v>-4.4777941719176706</v>
      </c>
      <c r="N86" s="18">
        <f t="shared" si="102"/>
        <v>-2.1611165054583048</v>
      </c>
      <c r="O86" s="18">
        <f t="shared" si="102"/>
        <v>2.1514057797777708</v>
      </c>
      <c r="P86" s="18">
        <f t="shared" si="102"/>
        <v>0.44242943564778425</v>
      </c>
      <c r="Q86" s="18">
        <f t="shared" si="103"/>
        <v>1.0088875969727074</v>
      </c>
      <c r="S86" s="18">
        <f t="shared" si="104"/>
        <v>1.0088875969727074</v>
      </c>
      <c r="T86" s="18">
        <f t="shared" si="105"/>
        <v>2.6640048572622366</v>
      </c>
      <c r="U86" s="18">
        <f t="shared" si="106"/>
        <v>3.3779279982344423</v>
      </c>
      <c r="W86" t="str">
        <f t="shared" si="107"/>
        <v>23 Teaching and other educational professionals</v>
      </c>
      <c r="X86" s="18">
        <f t="shared" si="108"/>
        <v>2.9389175939733558</v>
      </c>
      <c r="Y86" s="18">
        <f t="shared" si="108"/>
        <v>8.6597699782393622</v>
      </c>
      <c r="Z86" s="18">
        <f t="shared" si="108"/>
        <v>1.5384140808540225</v>
      </c>
      <c r="AA86" s="18">
        <f t="shared" si="108"/>
        <v>0.8228781064224755</v>
      </c>
      <c r="AB86" s="18">
        <f t="shared" si="109"/>
        <v>1.0608280753559018</v>
      </c>
      <c r="AD86" s="18">
        <f t="shared" si="110"/>
        <v>1.0608280753559018</v>
      </c>
      <c r="AE86" s="18">
        <f t="shared" si="111"/>
        <v>3.1282837770423066</v>
      </c>
      <c r="AF86" s="18">
        <f t="shared" si="112"/>
        <v>3.8360735652713807</v>
      </c>
    </row>
    <row r="87" spans="1:32" x14ac:dyDescent="0.2">
      <c r="A87" t="str">
        <f t="shared" si="95"/>
        <v>24 Business, media and public service professionals</v>
      </c>
      <c r="B87" s="18">
        <f t="shared" si="96"/>
        <v>1.8665295260993586</v>
      </c>
      <c r="C87" s="18">
        <f t="shared" si="96"/>
        <v>13.40416423914823</v>
      </c>
      <c r="D87" s="18">
        <f t="shared" si="96"/>
        <v>1.6866549597249536</v>
      </c>
      <c r="E87" s="18">
        <f t="shared" si="96"/>
        <v>1.2681116805970394</v>
      </c>
      <c r="F87" s="18">
        <f t="shared" si="97"/>
        <v>1.4074343417149748</v>
      </c>
      <c r="H87" s="18">
        <f t="shared" si="98"/>
        <v>1.4074343417149748</v>
      </c>
      <c r="I87" s="18">
        <f t="shared" si="99"/>
        <v>2.9720790197655722</v>
      </c>
      <c r="J87" s="18">
        <f t="shared" si="100"/>
        <v>3.9379091724884852</v>
      </c>
      <c r="L87" t="str">
        <f t="shared" si="101"/>
        <v>24 Business, media and public service professionals</v>
      </c>
      <c r="M87" s="18">
        <f t="shared" si="102"/>
        <v>0.34776636958282481</v>
      </c>
      <c r="N87" s="18">
        <f t="shared" si="102"/>
        <v>10.116447145188069</v>
      </c>
      <c r="O87" s="18">
        <f t="shared" si="102"/>
        <v>1.7780049582139412</v>
      </c>
      <c r="P87" s="18">
        <f t="shared" si="102"/>
        <v>0.88945146632537497</v>
      </c>
      <c r="Q87" s="18">
        <f t="shared" si="103"/>
        <v>1.1847706746412001</v>
      </c>
      <c r="S87" s="18">
        <f t="shared" si="104"/>
        <v>1.1847706746412001</v>
      </c>
      <c r="T87" s="18">
        <f t="shared" si="105"/>
        <v>2.6118982904622001</v>
      </c>
      <c r="U87" s="18">
        <f t="shared" si="106"/>
        <v>3.4590571561404326</v>
      </c>
      <c r="W87" t="str">
        <f t="shared" si="107"/>
        <v>24 Business, media and public service professionals</v>
      </c>
      <c r="X87" s="18">
        <f t="shared" si="108"/>
        <v>3.5959449357907181</v>
      </c>
      <c r="Y87" s="18">
        <f t="shared" si="108"/>
        <v>16.861422100276812</v>
      </c>
      <c r="Z87" s="18">
        <f t="shared" si="108"/>
        <v>1.595813700493931</v>
      </c>
      <c r="AA87" s="18">
        <f t="shared" si="108"/>
        <v>1.6343668103148579</v>
      </c>
      <c r="AB87" s="18">
        <f t="shared" si="109"/>
        <v>1.6215141484313245</v>
      </c>
      <c r="AD87" s="18">
        <f t="shared" si="110"/>
        <v>1.6215141484313245</v>
      </c>
      <c r="AE87" s="18">
        <f t="shared" si="111"/>
        <v>3.3123790516701002</v>
      </c>
      <c r="AF87" s="18">
        <f t="shared" si="112"/>
        <v>4.3837513551520102</v>
      </c>
    </row>
    <row r="88" spans="1:32" x14ac:dyDescent="0.2">
      <c r="A88" t="str">
        <f t="shared" si="95"/>
        <v>31 Science, engineering and technology associate professionals</v>
      </c>
      <c r="B88" s="18">
        <f t="shared" si="96"/>
        <v>2.1819035419688548</v>
      </c>
      <c r="C88" s="18">
        <f t="shared" si="96"/>
        <v>8.4867477861752185</v>
      </c>
      <c r="D88" s="18">
        <f t="shared" si="96"/>
        <v>-3.1347377729232906</v>
      </c>
      <c r="E88" s="18">
        <f t="shared" si="96"/>
        <v>0.25295216507554841</v>
      </c>
      <c r="F88" s="18">
        <f t="shared" si="97"/>
        <v>-0.88924154174949699</v>
      </c>
      <c r="H88" s="18">
        <f t="shared" si="98"/>
        <v>-0.88924154174949699</v>
      </c>
      <c r="I88" s="18">
        <f t="shared" si="99"/>
        <v>1.9796719314274291</v>
      </c>
      <c r="J88" s="18">
        <f t="shared" si="100"/>
        <v>1.3148452641149611</v>
      </c>
      <c r="L88" t="str">
        <f t="shared" si="101"/>
        <v>31 Science, engineering and technology associate professionals</v>
      </c>
      <c r="M88" s="18">
        <f t="shared" si="102"/>
        <v>2.7718607565066167</v>
      </c>
      <c r="N88" s="18">
        <f t="shared" si="102"/>
        <v>5.4177916525470771</v>
      </c>
      <c r="O88" s="18">
        <f t="shared" si="102"/>
        <v>-4.1308272513700395</v>
      </c>
      <c r="P88" s="18">
        <f t="shared" si="102"/>
        <v>-0.2105093030093208</v>
      </c>
      <c r="Q88" s="18">
        <f t="shared" si="103"/>
        <v>-1.5347780864571559</v>
      </c>
      <c r="S88" s="18">
        <f t="shared" si="104"/>
        <v>-1.5347780864571559</v>
      </c>
      <c r="T88" s="18">
        <f t="shared" si="105"/>
        <v>1.7160827903007103</v>
      </c>
      <c r="U88" s="18">
        <f t="shared" si="106"/>
        <v>0.53732199167277894</v>
      </c>
      <c r="W88" t="str">
        <f t="shared" si="107"/>
        <v>31 Science, engineering and technology associate professionals</v>
      </c>
      <c r="X88" s="18">
        <f t="shared" si="108"/>
        <v>-0.45659020306122455</v>
      </c>
      <c r="Y88" s="18">
        <f t="shared" si="108"/>
        <v>23.358332572338924</v>
      </c>
      <c r="Z88" s="18">
        <f t="shared" si="108"/>
        <v>0.60589081221937846</v>
      </c>
      <c r="AA88" s="18">
        <f t="shared" si="108"/>
        <v>1.640309468161516</v>
      </c>
      <c r="AB88" s="18">
        <f t="shared" si="109"/>
        <v>1.2943268644856731</v>
      </c>
      <c r="AD88" s="18">
        <f t="shared" si="110"/>
        <v>1.2943268644856731</v>
      </c>
      <c r="AE88" s="18">
        <f t="shared" si="111"/>
        <v>2.9799897214425108</v>
      </c>
      <c r="AF88" s="18">
        <f t="shared" si="112"/>
        <v>3.8650199946502317</v>
      </c>
    </row>
    <row r="89" spans="1:32" x14ac:dyDescent="0.2">
      <c r="A89" t="str">
        <f t="shared" si="95"/>
        <v>32 Health and social care associate professionals</v>
      </c>
      <c r="B89" s="18">
        <f t="shared" si="96"/>
        <v>0.2052219206845951</v>
      </c>
      <c r="C89" s="18">
        <f t="shared" si="96"/>
        <v>6.7889416366706534</v>
      </c>
      <c r="D89" s="18">
        <f t="shared" si="96"/>
        <v>2.2621749614271103E-2</v>
      </c>
      <c r="E89" s="18">
        <f t="shared" si="96"/>
        <v>0.69976413365493428</v>
      </c>
      <c r="F89" s="18">
        <f t="shared" si="97"/>
        <v>0.47354217872870308</v>
      </c>
      <c r="H89" s="18">
        <f t="shared" si="98"/>
        <v>0.47354217872870308</v>
      </c>
      <c r="I89" s="18">
        <f t="shared" si="99"/>
        <v>3.1807307354038805</v>
      </c>
      <c r="J89" s="18">
        <f t="shared" si="100"/>
        <v>3.489971513898249</v>
      </c>
      <c r="L89" t="str">
        <f t="shared" si="101"/>
        <v>32 Health and social care associate professionals</v>
      </c>
      <c r="M89" s="18">
        <f t="shared" si="102"/>
        <v>-1.0308975914866569</v>
      </c>
      <c r="N89" s="18">
        <f t="shared" si="102"/>
        <v>11.397100229867196</v>
      </c>
      <c r="O89" s="18">
        <f t="shared" si="102"/>
        <v>-2.0590123639738001</v>
      </c>
      <c r="P89" s="18">
        <f t="shared" si="102"/>
        <v>0.53489418563676949</v>
      </c>
      <c r="Q89" s="18">
        <f>IF(AND(Q$6-O$6 &lt;&gt; 0,O15&lt;&gt;0,Q15&lt;&gt;0),(EXP(LN(Q15/O15)/(Q$6-O$6))-1)*100,0)</f>
        <v>-0.3372859593100519</v>
      </c>
      <c r="S89" s="18">
        <f t="shared" si="104"/>
        <v>-0.3372859593100519</v>
      </c>
      <c r="T89" s="18">
        <f t="shared" si="105"/>
        <v>2.489623211457892</v>
      </c>
      <c r="U89" s="18">
        <f t="shared" si="106"/>
        <v>2.252332976911009</v>
      </c>
      <c r="W89" t="str">
        <f t="shared" si="107"/>
        <v>32 Health and social care associate professionals</v>
      </c>
      <c r="X89" s="18">
        <f t="shared" si="108"/>
        <v>0.570089391444073</v>
      </c>
      <c r="Y89" s="18">
        <f t="shared" si="108"/>
        <v>5.482347045578484</v>
      </c>
      <c r="Z89" s="18">
        <f t="shared" si="108"/>
        <v>0.61350993140860677</v>
      </c>
      <c r="AA89" s="18">
        <f t="shared" si="108"/>
        <v>0.74251673604772694</v>
      </c>
      <c r="AB89" s="18">
        <f t="shared" si="109"/>
        <v>0.69949609910802124</v>
      </c>
      <c r="AD89" s="18">
        <f t="shared" si="110"/>
        <v>0.69949609910802124</v>
      </c>
      <c r="AE89" s="18">
        <f t="shared" si="111"/>
        <v>3.3756493453838354</v>
      </c>
      <c r="AF89" s="18">
        <f t="shared" si="112"/>
        <v>3.823466922897123</v>
      </c>
    </row>
    <row r="90" spans="1:32" x14ac:dyDescent="0.2">
      <c r="A90" t="str">
        <f t="shared" si="95"/>
        <v>33 Protective service occupations</v>
      </c>
      <c r="B90" s="18">
        <f t="shared" si="96"/>
        <v>1.3551038610351451</v>
      </c>
      <c r="C90" s="18">
        <f t="shared" si="96"/>
        <v>5.0761945159672806</v>
      </c>
      <c r="D90" s="18">
        <f t="shared" si="96"/>
        <v>2.5496503522915992</v>
      </c>
      <c r="E90" s="18">
        <f t="shared" si="96"/>
        <v>1.2287004853618777</v>
      </c>
      <c r="F90" s="18">
        <f t="shared" si="97"/>
        <v>1.6671156181951918</v>
      </c>
      <c r="H90" s="18">
        <f t="shared" si="98"/>
        <v>1.6671156181951918</v>
      </c>
      <c r="I90" s="18">
        <f t="shared" si="99"/>
        <v>2.3546215169747198</v>
      </c>
      <c r="J90" s="18">
        <f t="shared" si="100"/>
        <v>3.5978176387617911</v>
      </c>
      <c r="L90" t="str">
        <f t="shared" si="101"/>
        <v>33 Protective service occupations</v>
      </c>
      <c r="M90" s="18">
        <f t="shared" si="102"/>
        <v>0.74485834529876005</v>
      </c>
      <c r="N90" s="18">
        <f t="shared" si="102"/>
        <v>3.1121210748280781</v>
      </c>
      <c r="O90" s="18">
        <f t="shared" si="102"/>
        <v>1.53522764078875</v>
      </c>
      <c r="P90" s="18">
        <f t="shared" si="102"/>
        <v>0.51389839761752931</v>
      </c>
      <c r="Q90" s="18">
        <f t="shared" si="103"/>
        <v>0.85319485493577929</v>
      </c>
      <c r="S90" s="18">
        <f t="shared" si="104"/>
        <v>0.85319485493577929</v>
      </c>
      <c r="T90" s="18">
        <f t="shared" si="105"/>
        <v>1.7774459262460907</v>
      </c>
      <c r="U90" s="18">
        <f t="shared" si="106"/>
        <v>2.4531445405598706</v>
      </c>
      <c r="W90" t="str">
        <f t="shared" si="107"/>
        <v>33 Protective service occupations</v>
      </c>
      <c r="X90" s="18">
        <f t="shared" si="108"/>
        <v>3.1425253889839189</v>
      </c>
      <c r="Y90" s="18">
        <f t="shared" si="108"/>
        <v>10.50139739908753</v>
      </c>
      <c r="Z90" s="18">
        <f t="shared" si="108"/>
        <v>4.9937976852979071</v>
      </c>
      <c r="AA90" s="18">
        <f t="shared" si="108"/>
        <v>2.6457299808442691</v>
      </c>
      <c r="AB90" s="18">
        <f t="shared" si="109"/>
        <v>3.4225258005220915</v>
      </c>
      <c r="AD90" s="18">
        <f t="shared" si="110"/>
        <v>3.4225258005220915</v>
      </c>
      <c r="AE90" s="18">
        <f t="shared" si="111"/>
        <v>3.6614688838688902</v>
      </c>
      <c r="AF90" s="18">
        <f t="shared" si="112"/>
        <v>5.9261095605080971</v>
      </c>
    </row>
    <row r="91" spans="1:32" x14ac:dyDescent="0.2">
      <c r="A91" t="str">
        <f t="shared" si="95"/>
        <v>34 Culture, media and sports occupations</v>
      </c>
      <c r="B91" s="18">
        <f t="shared" si="96"/>
        <v>0.90549692422110528</v>
      </c>
      <c r="C91" s="18">
        <f t="shared" si="96"/>
        <v>-6.4164171939249171</v>
      </c>
      <c r="D91" s="18">
        <f t="shared" si="96"/>
        <v>-1.3887493863998901</v>
      </c>
      <c r="E91" s="18">
        <f t="shared" si="96"/>
        <v>1.1562442981678744</v>
      </c>
      <c r="F91" s="18">
        <f t="shared" si="97"/>
        <v>0.30069753214485573</v>
      </c>
      <c r="H91" s="18">
        <f t="shared" si="98"/>
        <v>0.30069753214485573</v>
      </c>
      <c r="I91" s="18">
        <f t="shared" si="99"/>
        <v>2.6480371655336343</v>
      </c>
      <c r="J91" s="18">
        <f t="shared" si="100"/>
        <v>2.8580065069265359</v>
      </c>
      <c r="L91" t="str">
        <f t="shared" si="101"/>
        <v>34 Culture, media and sports occupations</v>
      </c>
      <c r="M91" s="18">
        <f t="shared" si="102"/>
        <v>3.228343566113745</v>
      </c>
      <c r="N91" s="18">
        <f t="shared" si="102"/>
        <v>-15.641515263665218</v>
      </c>
      <c r="O91" s="18">
        <f t="shared" si="102"/>
        <v>-1.2260744574208227</v>
      </c>
      <c r="P91" s="18">
        <f t="shared" si="102"/>
        <v>0.86563507516550509</v>
      </c>
      <c r="Q91" s="18">
        <f t="shared" si="103"/>
        <v>0.16352259118048718</v>
      </c>
      <c r="S91" s="18">
        <f t="shared" si="104"/>
        <v>0.16352259118048718</v>
      </c>
      <c r="T91" s="18">
        <f t="shared" si="105"/>
        <v>2.2315488271324568</v>
      </c>
      <c r="U91" s="18">
        <f t="shared" si="106"/>
        <v>2.3519917859003314</v>
      </c>
      <c r="W91" t="str">
        <f t="shared" si="107"/>
        <v>34 Culture, media and sports occupations</v>
      </c>
      <c r="X91" s="18">
        <f t="shared" si="108"/>
        <v>-0.99868474747172309</v>
      </c>
      <c r="Y91" s="18">
        <f t="shared" si="108"/>
        <v>1.9784097269637257</v>
      </c>
      <c r="Z91" s="18">
        <f>IF(AND(AA$6-Z$6 &lt;&gt; 0,Z17&lt;&gt;0,AA17&lt;&gt;0),(EXP(LN(AA17/Z17)/(AA$6-Z$6))-1)*100,0)</f>
        <v>-1.5119178955879997</v>
      </c>
      <c r="AA91" s="18">
        <f t="shared" si="108"/>
        <v>1.3732443909294068</v>
      </c>
      <c r="AB91" s="18">
        <f t="shared" si="109"/>
        <v>0.40225279561914018</v>
      </c>
      <c r="AD91" s="18">
        <f t="shared" si="110"/>
        <v>0.40225279561914018</v>
      </c>
      <c r="AE91" s="18">
        <f t="shared" si="111"/>
        <v>2.9466483255811582</v>
      </c>
      <c r="AF91" s="18">
        <f t="shared" si="112"/>
        <v>3.2171635776282903</v>
      </c>
    </row>
    <row r="92" spans="1:32" x14ac:dyDescent="0.2">
      <c r="A92" t="str">
        <f t="shared" si="95"/>
        <v>35 Business and public service associate professionals</v>
      </c>
      <c r="B92" s="18">
        <f t="shared" si="96"/>
        <v>0.62405529612261645</v>
      </c>
      <c r="C92" s="18">
        <f t="shared" si="96"/>
        <v>5.2144316352526365</v>
      </c>
      <c r="D92" s="18">
        <f t="shared" si="96"/>
        <v>-1.1805116468627253</v>
      </c>
      <c r="E92" s="18">
        <f t="shared" si="96"/>
        <v>0.44645372566123331</v>
      </c>
      <c r="F92" s="18">
        <f t="shared" si="97"/>
        <v>-9.8822758130379107E-2</v>
      </c>
      <c r="H92" s="18">
        <f t="shared" si="98"/>
        <v>-9.8822758130379107E-2</v>
      </c>
      <c r="I92" s="18">
        <f t="shared" si="99"/>
        <v>2.4963311342605987</v>
      </c>
      <c r="J92" s="18">
        <f t="shared" si="100"/>
        <v>2.4265065225031801</v>
      </c>
      <c r="L92" t="str">
        <f t="shared" si="101"/>
        <v>35 Business and public service associate professionals</v>
      </c>
      <c r="M92" s="18">
        <f t="shared" si="102"/>
        <v>0.40605959220840759</v>
      </c>
      <c r="N92" s="18">
        <f t="shared" si="102"/>
        <v>4.9451653949388774</v>
      </c>
      <c r="O92" s="18">
        <f t="shared" si="102"/>
        <v>-1.8978684705688198</v>
      </c>
      <c r="P92" s="18">
        <f t="shared" si="102"/>
        <v>-4.3026811236956952E-2</v>
      </c>
      <c r="Q92" s="18">
        <f t="shared" si="103"/>
        <v>-0.66517163842686466</v>
      </c>
      <c r="S92" s="18">
        <f t="shared" si="104"/>
        <v>-0.66517163842686466</v>
      </c>
      <c r="T92" s="18">
        <f t="shared" si="105"/>
        <v>1.9985745254397669</v>
      </c>
      <c r="U92" s="18">
        <f t="shared" si="106"/>
        <v>1.5005028116220842</v>
      </c>
      <c r="W92" t="str">
        <f t="shared" si="107"/>
        <v>35 Business and public service associate professionals</v>
      </c>
      <c r="X92" s="18">
        <f t="shared" si="108"/>
        <v>0.84488633105537225</v>
      </c>
      <c r="Y92" s="18">
        <f t="shared" si="108"/>
        <v>5.4842423635075965</v>
      </c>
      <c r="Z92" s="18">
        <f t="shared" si="108"/>
        <v>-0.48552969157656944</v>
      </c>
      <c r="AA92" s="18">
        <f t="shared" si="108"/>
        <v>0.88231574773565136</v>
      </c>
      <c r="AB92" s="18">
        <f t="shared" si="109"/>
        <v>0.42429089537916465</v>
      </c>
      <c r="AD92" s="18">
        <f t="shared" si="110"/>
        <v>0.42429089537916465</v>
      </c>
      <c r="AE92" s="18">
        <f t="shared" si="111"/>
        <v>2.9609877634769077</v>
      </c>
      <c r="AF92" s="18">
        <f t="shared" si="112"/>
        <v>3.2459303315482746</v>
      </c>
    </row>
    <row r="93" spans="1:32" x14ac:dyDescent="0.2">
      <c r="A93" t="str">
        <f t="shared" si="95"/>
        <v>41 Administrative occupations</v>
      </c>
      <c r="B93" s="18">
        <f t="shared" si="96"/>
        <v>-1.9506321577671293</v>
      </c>
      <c r="C93" s="18">
        <f t="shared" si="96"/>
        <v>4.8094633401013276</v>
      </c>
      <c r="D93" s="18">
        <f t="shared" si="96"/>
        <v>-1.8963250869322157</v>
      </c>
      <c r="E93" s="18">
        <f t="shared" si="96"/>
        <v>-0.54299285629331173</v>
      </c>
      <c r="F93" s="18">
        <f t="shared" si="97"/>
        <v>-0.99616532864348351</v>
      </c>
      <c r="H93" s="18">
        <f t="shared" si="98"/>
        <v>-0.99616532864348351</v>
      </c>
      <c r="I93" s="18">
        <f t="shared" si="99"/>
        <v>2.5275973406280183</v>
      </c>
      <c r="J93" s="18">
        <f t="shared" si="100"/>
        <v>1.8408796503147862</v>
      </c>
      <c r="L93" t="str">
        <f t="shared" si="101"/>
        <v>41 Administrative occupations</v>
      </c>
      <c r="M93" s="18">
        <f t="shared" si="102"/>
        <v>-2.6709025445721735</v>
      </c>
      <c r="N93" s="18">
        <f t="shared" si="102"/>
        <v>19.699191410686211</v>
      </c>
      <c r="O93" s="18">
        <f t="shared" si="102"/>
        <v>-1.1712942312652297</v>
      </c>
      <c r="P93" s="18">
        <f t="shared" si="102"/>
        <v>0.90730074317886267</v>
      </c>
      <c r="Q93" s="18">
        <f t="shared" si="103"/>
        <v>0.20962309408838475</v>
      </c>
      <c r="S93" s="18">
        <f t="shared" si="104"/>
        <v>0.20962309408838475</v>
      </c>
      <c r="T93" s="18">
        <f t="shared" si="105"/>
        <v>2.0988643688328201</v>
      </c>
      <c r="U93" s="18">
        <f t="shared" si="106"/>
        <v>2.2562043998762826</v>
      </c>
      <c r="W93" t="str">
        <f t="shared" si="107"/>
        <v>41 Administrative occupations</v>
      </c>
      <c r="X93" s="18">
        <f t="shared" si="108"/>
        <v>-1.6491892194334556</v>
      </c>
      <c r="Y93" s="18">
        <f t="shared" si="108"/>
        <v>-1.2613377333049125</v>
      </c>
      <c r="Z93" s="18">
        <f t="shared" si="108"/>
        <v>-2.262748435800277</v>
      </c>
      <c r="AA93" s="18">
        <f t="shared" si="108"/>
        <v>-1.383736444720074</v>
      </c>
      <c r="AB93" s="18">
        <f t="shared" si="109"/>
        <v>-1.6776153381497516</v>
      </c>
      <c r="AD93" s="18">
        <f t="shared" si="110"/>
        <v>-1.6776153381497516</v>
      </c>
      <c r="AE93" s="18">
        <f t="shared" si="111"/>
        <v>2.7305775463672299</v>
      </c>
      <c r="AF93" s="18">
        <f t="shared" si="112"/>
        <v>1.6265022529622142</v>
      </c>
    </row>
    <row r="94" spans="1:32" x14ac:dyDescent="0.2">
      <c r="A94" t="str">
        <f t="shared" si="95"/>
        <v>42 Secretarial and related occupations</v>
      </c>
      <c r="B94" s="18">
        <f t="shared" si="96"/>
        <v>-3.8212698452808502</v>
      </c>
      <c r="C94" s="18">
        <f t="shared" si="96"/>
        <v>0.54883819396309708</v>
      </c>
      <c r="D94" s="18">
        <f t="shared" si="96"/>
        <v>1.6775576008879689</v>
      </c>
      <c r="E94" s="18">
        <f t="shared" si="96"/>
        <v>-1.4108434378099277</v>
      </c>
      <c r="F94" s="18">
        <f t="shared" si="97"/>
        <v>-0.39194284862599238</v>
      </c>
      <c r="H94" s="18">
        <f t="shared" si="98"/>
        <v>-0.39194284862599238</v>
      </c>
      <c r="I94" s="18">
        <f t="shared" si="99"/>
        <v>2.9889638525960827</v>
      </c>
      <c r="J94" s="18">
        <f t="shared" si="100"/>
        <v>2.7320155434991555</v>
      </c>
      <c r="L94" t="str">
        <f t="shared" si="101"/>
        <v>42 Secretarial and related occupations</v>
      </c>
      <c r="M94" s="18">
        <f t="shared" si="102"/>
        <v>-6.6158376236890142</v>
      </c>
      <c r="N94" s="18">
        <f t="shared" si="102"/>
        <v>-9.159333216718224</v>
      </c>
      <c r="O94" s="18">
        <f t="shared" si="102"/>
        <v>7.664432751257344</v>
      </c>
      <c r="P94" s="18">
        <f t="shared" si="102"/>
        <v>1.794847201273031</v>
      </c>
      <c r="Q94" s="18">
        <f t="shared" si="103"/>
        <v>3.7149308362435463</v>
      </c>
      <c r="S94" s="18">
        <f t="shared" si="104"/>
        <v>3.7149308362435463</v>
      </c>
      <c r="T94" s="18">
        <f t="shared" si="105"/>
        <v>2.745905678753191</v>
      </c>
      <c r="U94" s="18">
        <f t="shared" si="106"/>
        <v>5.4909377413702831</v>
      </c>
      <c r="W94" t="str">
        <f t="shared" si="107"/>
        <v>42 Secretarial and related occupations</v>
      </c>
      <c r="X94" s="18">
        <f t="shared" si="108"/>
        <v>-3.6296177312669209</v>
      </c>
      <c r="Y94" s="18">
        <f t="shared" si="108"/>
        <v>1.1639097214186434</v>
      </c>
      <c r="Z94" s="18">
        <f t="shared" si="108"/>
        <v>1.2914966157453023</v>
      </c>
      <c r="AA94" s="18">
        <f t="shared" si="108"/>
        <v>-1.7016376083747509</v>
      </c>
      <c r="AB94" s="18">
        <f t="shared" si="109"/>
        <v>-0.71388489508794617</v>
      </c>
      <c r="AD94" s="18">
        <f t="shared" si="110"/>
        <v>-0.71388489508794617</v>
      </c>
      <c r="AE94" s="18">
        <f t="shared" si="111"/>
        <v>3.0025529757602865</v>
      </c>
      <c r="AF94" s="18">
        <f t="shared" si="112"/>
        <v>2.5393144018392322</v>
      </c>
    </row>
    <row r="95" spans="1:32" x14ac:dyDescent="0.2">
      <c r="A95" t="str">
        <f t="shared" si="95"/>
        <v>51 Skilled agricultural and related trades</v>
      </c>
      <c r="B95" s="18">
        <f t="shared" si="96"/>
        <v>-4.1635360089834599</v>
      </c>
      <c r="C95" s="18">
        <f t="shared" si="96"/>
        <v>-9.9488795815338982E-2</v>
      </c>
      <c r="D95" s="18">
        <f t="shared" si="96"/>
        <v>0.20761834002498425</v>
      </c>
      <c r="E95" s="18">
        <f t="shared" si="96"/>
        <v>1.0459806055043597</v>
      </c>
      <c r="F95" s="18">
        <f t="shared" si="97"/>
        <v>0.76575007290091701</v>
      </c>
      <c r="H95" s="18">
        <f t="shared" si="98"/>
        <v>0.76575007290091701</v>
      </c>
      <c r="I95" s="18">
        <f t="shared" si="99"/>
        <v>3.1112073623712044</v>
      </c>
      <c r="J95" s="18">
        <f t="shared" si="100"/>
        <v>3.6195792986430719</v>
      </c>
      <c r="L95" t="str">
        <f t="shared" si="101"/>
        <v>51 Skilled agricultural and related trades</v>
      </c>
      <c r="M95" s="18">
        <f t="shared" si="102"/>
        <v>-5.1391843694570394</v>
      </c>
      <c r="N95" s="18">
        <f t="shared" si="102"/>
        <v>-10.156975207608044</v>
      </c>
      <c r="O95" s="18">
        <f t="shared" si="102"/>
        <v>-0.27133898623220576</v>
      </c>
      <c r="P95" s="18">
        <f t="shared" si="102"/>
        <v>0.86050224703049238</v>
      </c>
      <c r="Q95" s="18">
        <f t="shared" si="103"/>
        <v>0.48180171011216189</v>
      </c>
      <c r="S95" s="18">
        <f t="shared" si="104"/>
        <v>0.48180171011216189</v>
      </c>
      <c r="T95" s="18">
        <f t="shared" si="105"/>
        <v>2.8627408501604501</v>
      </c>
      <c r="U95" s="18">
        <f t="shared" si="106"/>
        <v>3.1910121896049803</v>
      </c>
      <c r="W95" t="str">
        <f t="shared" si="107"/>
        <v>51 Skilled agricultural and related trades</v>
      </c>
      <c r="X95" s="18">
        <f t="shared" si="108"/>
        <v>5.6449254019173223</v>
      </c>
      <c r="Y95" s="18">
        <f t="shared" si="108"/>
        <v>77.603522455170122</v>
      </c>
      <c r="Z95" s="18">
        <f t="shared" si="108"/>
        <v>1.9966584458346981</v>
      </c>
      <c r="AA95" s="18">
        <f t="shared" si="108"/>
        <v>1.6707861526638057</v>
      </c>
      <c r="AB95" s="18">
        <f t="shared" si="109"/>
        <v>1.7792944036472136</v>
      </c>
      <c r="AD95" s="18">
        <f t="shared" si="110"/>
        <v>1.7792944036472136</v>
      </c>
      <c r="AE95" s="18">
        <f t="shared" si="111"/>
        <v>4.0091989936114514</v>
      </c>
      <c r="AF95" s="18">
        <f t="shared" si="112"/>
        <v>5.0911895219088565</v>
      </c>
    </row>
    <row r="96" spans="1:32" x14ac:dyDescent="0.2">
      <c r="A96" t="str">
        <f t="shared" si="95"/>
        <v>52 Skilled metal, electrical and electronic trades</v>
      </c>
      <c r="B96" s="18">
        <f t="shared" si="96"/>
        <v>-0.49062793998131404</v>
      </c>
      <c r="C96" s="18">
        <f t="shared" si="96"/>
        <v>-14.897528988200904</v>
      </c>
      <c r="D96" s="18">
        <f t="shared" si="96"/>
        <v>-1.1406478130058906</v>
      </c>
      <c r="E96" s="18">
        <f t="shared" si="96"/>
        <v>-1.1035090900494371</v>
      </c>
      <c r="F96" s="18">
        <f t="shared" si="97"/>
        <v>-1.1158902143306393</v>
      </c>
      <c r="H96" s="18">
        <f t="shared" si="98"/>
        <v>-1.1158902143306393</v>
      </c>
      <c r="I96" s="18">
        <f t="shared" si="99"/>
        <v>1.9766954302397943</v>
      </c>
      <c r="J96" s="18">
        <f t="shared" si="100"/>
        <v>1.1456820682174795</v>
      </c>
      <c r="L96" t="str">
        <f t="shared" si="101"/>
        <v>52 Skilled metal, electrical and electronic trades</v>
      </c>
      <c r="M96" s="18">
        <f t="shared" si="102"/>
        <v>-0.63145853386429307</v>
      </c>
      <c r="N96" s="18">
        <f t="shared" si="102"/>
        <v>-14.833931012047962</v>
      </c>
      <c r="O96" s="18">
        <f t="shared" si="102"/>
        <v>-1.5406196949364515</v>
      </c>
      <c r="P96" s="18">
        <f t="shared" si="102"/>
        <v>-1.2685412743700053</v>
      </c>
      <c r="Q96" s="18">
        <f t="shared" si="103"/>
        <v>-1.359317517659997</v>
      </c>
      <c r="S96" s="18">
        <f t="shared" si="104"/>
        <v>-1.359317517659997</v>
      </c>
      <c r="T96" s="18">
        <f t="shared" si="105"/>
        <v>1.9008716135975545</v>
      </c>
      <c r="U96" s="18">
        <f t="shared" si="106"/>
        <v>0.8819934030061205</v>
      </c>
      <c r="W96" t="str">
        <f t="shared" si="107"/>
        <v>52 Skilled metal, electrical and electronic trades</v>
      </c>
      <c r="X96" s="18">
        <f t="shared" si="108"/>
        <v>12.442909208178898</v>
      </c>
      <c r="Y96" s="18">
        <f t="shared" si="108"/>
        <v>-19.225650932290318</v>
      </c>
      <c r="Z96" s="18">
        <f t="shared" si="108"/>
        <v>18.16540233482835</v>
      </c>
      <c r="AA96" s="18">
        <f t="shared" si="108"/>
        <v>2.8320309968867141</v>
      </c>
      <c r="AB96" s="18">
        <f t="shared" si="109"/>
        <v>7.7082711505028101</v>
      </c>
      <c r="AD96" s="18">
        <f t="shared" si="110"/>
        <v>7.7082711505028101</v>
      </c>
      <c r="AE96" s="18">
        <f t="shared" si="111"/>
        <v>6.0368587064210333</v>
      </c>
      <c r="AF96" s="18">
        <f t="shared" si="112"/>
        <v>10.473308559974548</v>
      </c>
    </row>
    <row r="97" spans="1:32" x14ac:dyDescent="0.2">
      <c r="A97" t="str">
        <f t="shared" si="95"/>
        <v>53 Skilled construction and building trades</v>
      </c>
      <c r="B97" s="18">
        <f t="shared" si="96"/>
        <v>2.3984331921068414</v>
      </c>
      <c r="C97" s="18">
        <f t="shared" si="96"/>
        <v>-19.045756474517304</v>
      </c>
      <c r="D97" s="18">
        <f t="shared" si="96"/>
        <v>-0.33068842632623108</v>
      </c>
      <c r="E97" s="18">
        <f t="shared" si="96"/>
        <v>-1.0622070063655342</v>
      </c>
      <c r="F97" s="18">
        <f t="shared" si="97"/>
        <v>-0.81896598386120845</v>
      </c>
      <c r="H97" s="18">
        <f t="shared" si="98"/>
        <v>-0.81896598386120845</v>
      </c>
      <c r="I97" s="18">
        <f t="shared" si="99"/>
        <v>2.2503761853130522</v>
      </c>
      <c r="J97" s="18">
        <f t="shared" si="100"/>
        <v>1.6606078971135974</v>
      </c>
      <c r="L97" t="str">
        <f t="shared" si="101"/>
        <v>53 Skilled construction and building trades</v>
      </c>
      <c r="M97" s="18">
        <f t="shared" si="102"/>
        <v>2.8611120105631604</v>
      </c>
      <c r="N97" s="18">
        <f t="shared" si="102"/>
        <v>-19.810374942309561</v>
      </c>
      <c r="O97" s="18">
        <f t="shared" si="102"/>
        <v>-0.38097205243068366</v>
      </c>
      <c r="P97" s="18">
        <f t="shared" si="102"/>
        <v>-1.1417035396629305</v>
      </c>
      <c r="Q97" s="18">
        <f t="shared" si="103"/>
        <v>-0.8887740506131947</v>
      </c>
      <c r="S97" s="18">
        <f t="shared" si="104"/>
        <v>-0.8887740506131947</v>
      </c>
      <c r="T97" s="18">
        <f t="shared" si="105"/>
        <v>2.220173147841864</v>
      </c>
      <c r="U97" s="18">
        <f t="shared" si="106"/>
        <v>1.5782978175038265</v>
      </c>
      <c r="W97" t="str">
        <f t="shared" si="107"/>
        <v>53 Skilled construction and building trades</v>
      </c>
      <c r="X97" s="18">
        <f t="shared" si="108"/>
        <v>-13.171315344249789</v>
      </c>
      <c r="Y97" s="18">
        <f t="shared" si="108"/>
        <v>20.92725648384841</v>
      </c>
      <c r="Z97" s="18">
        <f t="shared" si="108"/>
        <v>1.3528896595964124</v>
      </c>
      <c r="AA97" s="18">
        <f t="shared" si="108"/>
        <v>1.2075337768573391</v>
      </c>
      <c r="AB97" s="18">
        <f t="shared" si="109"/>
        <v>1.255962560432855</v>
      </c>
      <c r="AD97" s="18">
        <f t="shared" si="110"/>
        <v>1.255962560432855</v>
      </c>
      <c r="AE97" s="18">
        <f t="shared" si="111"/>
        <v>3.2271614707060081</v>
      </c>
      <c r="AF97" s="18">
        <f t="shared" si="112"/>
        <v>4.0585230278313844</v>
      </c>
    </row>
    <row r="98" spans="1:32" x14ac:dyDescent="0.2">
      <c r="A98" t="str">
        <f t="shared" si="95"/>
        <v>54 Textiles, printing and other skilled trades</v>
      </c>
      <c r="B98" s="18">
        <f t="shared" si="96"/>
        <v>-4.0402262165520568</v>
      </c>
      <c r="C98" s="18">
        <f t="shared" si="96"/>
        <v>-5.8324330615832531</v>
      </c>
      <c r="D98" s="18">
        <f t="shared" si="96"/>
        <v>-0.44259852566974622</v>
      </c>
      <c r="E98" s="18">
        <f t="shared" si="96"/>
        <v>-0.52417170741000385</v>
      </c>
      <c r="F98" s="18">
        <f t="shared" si="97"/>
        <v>-0.49698807594252825</v>
      </c>
      <c r="H98" s="18">
        <f t="shared" si="98"/>
        <v>-0.49698807594252825</v>
      </c>
      <c r="I98" s="18">
        <f t="shared" si="99"/>
        <v>2.4217718229027518</v>
      </c>
      <c r="J98" s="18">
        <f t="shared" si="100"/>
        <v>2.0700345618913873</v>
      </c>
      <c r="L98" t="str">
        <f t="shared" si="101"/>
        <v>54 Textiles, printing and other skilled trades</v>
      </c>
      <c r="M98" s="18">
        <f t="shared" si="102"/>
        <v>-3.7719820688538963</v>
      </c>
      <c r="N98" s="18">
        <f t="shared" si="102"/>
        <v>-16.160287904168726</v>
      </c>
      <c r="O98" s="18">
        <f t="shared" si="102"/>
        <v>-0.60174555141171426</v>
      </c>
      <c r="P98" s="18">
        <f t="shared" si="102"/>
        <v>-0.56977094201529077</v>
      </c>
      <c r="Q98" s="18">
        <f t="shared" si="103"/>
        <v>-0.58043028783405504</v>
      </c>
      <c r="S98" s="18">
        <f t="shared" si="104"/>
        <v>-0.58043028783405504</v>
      </c>
      <c r="T98" s="18">
        <f t="shared" si="105"/>
        <v>1.7530536615023795</v>
      </c>
      <c r="U98" s="18">
        <f t="shared" si="106"/>
        <v>1.3022955994116403</v>
      </c>
      <c r="W98" t="str">
        <f t="shared" si="107"/>
        <v>54 Textiles, printing and other skilled trades</v>
      </c>
      <c r="X98" s="18">
        <f t="shared" si="108"/>
        <v>-4.4353290342507119</v>
      </c>
      <c r="Y98" s="18">
        <f t="shared" si="108"/>
        <v>9.6451424312201652</v>
      </c>
      <c r="Z98" s="18">
        <f t="shared" si="108"/>
        <v>-0.26147160884150145</v>
      </c>
      <c r="AA98" s="18">
        <f t="shared" si="108"/>
        <v>-0.47302836841567331</v>
      </c>
      <c r="AB98" s="18">
        <f t="shared" si="109"/>
        <v>-0.40255935516845254</v>
      </c>
      <c r="AD98" s="18">
        <f t="shared" si="110"/>
        <v>-0.40255935516845254</v>
      </c>
      <c r="AE98" s="18">
        <f t="shared" si="111"/>
        <v>3.1197202905676846</v>
      </c>
      <c r="AF98" s="18">
        <f t="shared" si="112"/>
        <v>2.8606178618780564</v>
      </c>
    </row>
    <row r="99" spans="1:32" x14ac:dyDescent="0.2">
      <c r="A99" t="str">
        <f t="shared" si="95"/>
        <v>61 Caring personal service occupations</v>
      </c>
      <c r="B99" s="18">
        <f t="shared" si="96"/>
        <v>-1.7206837088918792</v>
      </c>
      <c r="C99" s="18">
        <f t="shared" si="96"/>
        <v>0.80570061625602207</v>
      </c>
      <c r="D99" s="18">
        <f t="shared" si="96"/>
        <v>1.2516887794959297</v>
      </c>
      <c r="E99" s="18">
        <f t="shared" si="96"/>
        <v>0.36264301694333145</v>
      </c>
      <c r="F99" s="18">
        <f t="shared" si="97"/>
        <v>0.65812083404137578</v>
      </c>
      <c r="H99" s="18">
        <f t="shared" si="98"/>
        <v>0.65812083404137578</v>
      </c>
      <c r="I99" s="18">
        <f t="shared" si="99"/>
        <v>3.2136239443255166</v>
      </c>
      <c r="J99" s="18">
        <f t="shared" si="100"/>
        <v>3.6435527107088861</v>
      </c>
      <c r="L99" t="str">
        <f t="shared" si="101"/>
        <v>61 Caring personal service occupations</v>
      </c>
      <c r="M99" s="18">
        <f t="shared" si="102"/>
        <v>-4.9499641431527408E-3</v>
      </c>
      <c r="N99" s="18">
        <f t="shared" si="102"/>
        <v>-3.7756869342973065</v>
      </c>
      <c r="O99" s="18">
        <f t="shared" si="102"/>
        <v>3.8082880553525378</v>
      </c>
      <c r="P99" s="18">
        <f t="shared" si="102"/>
        <v>1.1698267585150246</v>
      </c>
      <c r="Q99" s="18">
        <f t="shared" si="103"/>
        <v>2.0417772048893834</v>
      </c>
      <c r="S99" s="18">
        <f t="shared" si="104"/>
        <v>2.0417772048893834</v>
      </c>
      <c r="T99" s="18">
        <f t="shared" si="105"/>
        <v>2.9141867641342634</v>
      </c>
      <c r="U99" s="18">
        <f t="shared" si="106"/>
        <v>4.3453760186181301</v>
      </c>
      <c r="W99" t="str">
        <f t="shared" si="107"/>
        <v>61 Caring personal service occupations</v>
      </c>
      <c r="X99" s="18">
        <f t="shared" si="108"/>
        <v>-1.9754764222242871</v>
      </c>
      <c r="Y99" s="18">
        <f t="shared" si="108"/>
        <v>1.5206315277927152</v>
      </c>
      <c r="Z99" s="18">
        <f t="shared" si="108"/>
        <v>0.85079547828654789</v>
      </c>
      <c r="AA99" s="18">
        <f t="shared" si="108"/>
        <v>0.21866189678119152</v>
      </c>
      <c r="AB99" s="18">
        <f t="shared" si="109"/>
        <v>0.42893161320789464</v>
      </c>
      <c r="AD99" s="18">
        <f t="shared" si="110"/>
        <v>0.42893161320789464</v>
      </c>
      <c r="AE99" s="18">
        <f t="shared" si="111"/>
        <v>3.2568982372181754</v>
      </c>
      <c r="AF99" s="18">
        <f t="shared" si="112"/>
        <v>3.5338693536568044</v>
      </c>
    </row>
    <row r="100" spans="1:32" x14ac:dyDescent="0.2">
      <c r="A100" t="str">
        <f t="shared" si="95"/>
        <v>62 Leisure, travel and related personal service occupations</v>
      </c>
      <c r="B100" s="18">
        <f t="shared" si="96"/>
        <v>1.4991000564731349</v>
      </c>
      <c r="C100" s="18">
        <f t="shared" si="96"/>
        <v>-6.6976149749273457</v>
      </c>
      <c r="D100" s="18">
        <f t="shared" si="96"/>
        <v>-0.34256539469244007</v>
      </c>
      <c r="E100" s="18">
        <f t="shared" si="96"/>
        <v>0.1922576376641949</v>
      </c>
      <c r="F100" s="18">
        <f t="shared" si="97"/>
        <v>1.3665141931684666E-2</v>
      </c>
      <c r="H100" s="18">
        <f t="shared" si="98"/>
        <v>1.3665141931684666E-2</v>
      </c>
      <c r="I100" s="18">
        <f t="shared" si="99"/>
        <v>2.769126791131038</v>
      </c>
      <c r="J100" s="18">
        <f t="shared" si="100"/>
        <v>2.778452383052965</v>
      </c>
      <c r="L100" t="str">
        <f t="shared" si="101"/>
        <v>62 Leisure, travel and related personal service occupations</v>
      </c>
      <c r="M100" s="18">
        <f t="shared" si="102"/>
        <v>2.0173982217412512</v>
      </c>
      <c r="N100" s="18">
        <f t="shared" si="102"/>
        <v>-0.39840903835779429</v>
      </c>
      <c r="O100" s="18">
        <f t="shared" si="102"/>
        <v>-0.51333411044695021</v>
      </c>
      <c r="P100" s="18">
        <f t="shared" si="102"/>
        <v>0.6412878166964564</v>
      </c>
      <c r="Q100" s="18">
        <f t="shared" si="103"/>
        <v>0.25493254652566577</v>
      </c>
      <c r="S100" s="18">
        <f t="shared" si="104"/>
        <v>0.25493254652566577</v>
      </c>
      <c r="T100" s="18">
        <f t="shared" si="105"/>
        <v>2.3363997723074625</v>
      </c>
      <c r="U100" s="18">
        <f t="shared" si="106"/>
        <v>2.5218606113168285</v>
      </c>
      <c r="W100" t="str">
        <f t="shared" si="107"/>
        <v>62 Leisure, travel and related personal service occupations</v>
      </c>
      <c r="X100" s="18">
        <f t="shared" si="108"/>
        <v>1.2843966822433606</v>
      </c>
      <c r="Y100" s="18">
        <f t="shared" si="108"/>
        <v>-9.3544734744170128</v>
      </c>
      <c r="Z100" s="18">
        <f t="shared" si="108"/>
        <v>-0.26381801491921486</v>
      </c>
      <c r="AA100" s="18">
        <f t="shared" si="108"/>
        <v>-1.9451478420373647E-2</v>
      </c>
      <c r="AB100" s="18">
        <f t="shared" si="109"/>
        <v>-0.10097344375821216</v>
      </c>
      <c r="AD100" s="18">
        <f t="shared" si="110"/>
        <v>-0.10097344375821216</v>
      </c>
      <c r="AE100" s="18">
        <f t="shared" si="111"/>
        <v>2.9613325533492052</v>
      </c>
      <c r="AF100" s="18">
        <f t="shared" si="112"/>
        <v>2.8943938476068354</v>
      </c>
    </row>
    <row r="101" spans="1:32" x14ac:dyDescent="0.2">
      <c r="A101" t="str">
        <f t="shared" si="95"/>
        <v>63 Community and civil enforcement occupations</v>
      </c>
      <c r="B101" s="18">
        <f t="shared" si="96"/>
        <v>-2.5236347522452962</v>
      </c>
      <c r="C101" s="18">
        <f t="shared" si="96"/>
        <v>22.11911904710302</v>
      </c>
      <c r="D101" s="18">
        <f t="shared" si="96"/>
        <v>-3.6965082530247328</v>
      </c>
      <c r="E101" s="18">
        <f t="shared" si="96"/>
        <v>0.52075219362901493</v>
      </c>
      <c r="F101" s="18">
        <f t="shared" si="97"/>
        <v>-0.90513177589852667</v>
      </c>
      <c r="H101" s="18">
        <f t="shared" si="98"/>
        <v>-0.90513177589852667</v>
      </c>
      <c r="I101" s="18">
        <f t="shared" si="99"/>
        <v>2.3677282896400698</v>
      </c>
      <c r="J101" s="18">
        <f t="shared" si="100"/>
        <v>1.7279612319162085</v>
      </c>
      <c r="L101" t="str">
        <f t="shared" si="101"/>
        <v>63 Community and civil enforcement occupations</v>
      </c>
      <c r="M101" s="18">
        <f t="shared" si="102"/>
        <v>-5.8365046794001119</v>
      </c>
      <c r="N101" s="18">
        <f t="shared" si="102"/>
        <v>44.881032641614759</v>
      </c>
      <c r="O101" s="18">
        <f t="shared" si="102"/>
        <v>-7.9747250402075531</v>
      </c>
      <c r="P101" s="18">
        <f t="shared" si="102"/>
        <v>1.0934274785037834</v>
      </c>
      <c r="Q101" s="18">
        <f t="shared" si="103"/>
        <v>-2.0244623605908063</v>
      </c>
      <c r="S101" s="18">
        <f t="shared" si="104"/>
        <v>-2.0244623605908063</v>
      </c>
      <c r="T101" s="18">
        <f t="shared" si="105"/>
        <v>1.6741775582575391</v>
      </c>
      <c r="U101" s="18">
        <f t="shared" si="106"/>
        <v>0.12301314869844759</v>
      </c>
      <c r="W101" t="str">
        <f t="shared" si="107"/>
        <v>63 Community and civil enforcement occupations</v>
      </c>
      <c r="X101" s="18">
        <f t="shared" si="108"/>
        <v>5.1018058324283855</v>
      </c>
      <c r="Y101" s="18">
        <f t="shared" si="108"/>
        <v>-17.798484237939817</v>
      </c>
      <c r="Z101" s="18">
        <f t="shared" si="108"/>
        <v>6.1656705481210272</v>
      </c>
      <c r="AA101" s="18">
        <f t="shared" si="108"/>
        <v>-0.40545554996320732</v>
      </c>
      <c r="AB101" s="18">
        <f t="shared" si="109"/>
        <v>1.7384387271898616</v>
      </c>
      <c r="AD101" s="18">
        <f t="shared" si="110"/>
        <v>1.7384387271898616</v>
      </c>
      <c r="AE101" s="18">
        <f t="shared" si="111"/>
        <v>4.1721179800145114</v>
      </c>
      <c r="AF101" s="18">
        <f t="shared" si="112"/>
        <v>5.2067740367420789</v>
      </c>
    </row>
    <row r="102" spans="1:32" x14ac:dyDescent="0.2">
      <c r="A102" t="str">
        <f t="shared" si="95"/>
        <v>71 Sales occupations</v>
      </c>
      <c r="B102" s="18">
        <f t="shared" si="96"/>
        <v>-3.0220542633868197</v>
      </c>
      <c r="C102" s="18">
        <f t="shared" si="96"/>
        <v>0.72377110682004808</v>
      </c>
      <c r="D102" s="18">
        <f t="shared" si="96"/>
        <v>-1.2174973000866562</v>
      </c>
      <c r="E102" s="18">
        <f t="shared" si="96"/>
        <v>-0.35228490488190545</v>
      </c>
      <c r="F102" s="18">
        <f t="shared" si="97"/>
        <v>-0.64152779647695946</v>
      </c>
      <c r="H102" s="18">
        <f t="shared" si="98"/>
        <v>-0.64152779647695946</v>
      </c>
      <c r="I102" s="18">
        <f t="shared" si="99"/>
        <v>2.6118486447177292</v>
      </c>
      <c r="J102" s="18">
        <f t="shared" si="100"/>
        <v>2.1712333120654348</v>
      </c>
      <c r="L102" t="str">
        <f t="shared" si="101"/>
        <v>71 Sales occupations</v>
      </c>
      <c r="M102" s="18">
        <f t="shared" si="102"/>
        <v>-1.4088372366329316</v>
      </c>
      <c r="N102" s="18">
        <f t="shared" si="102"/>
        <v>-1.8116696859262427</v>
      </c>
      <c r="O102" s="18">
        <f t="shared" si="102"/>
        <v>-1.3159851123232369</v>
      </c>
      <c r="P102" s="18">
        <f t="shared" si="102"/>
        <v>3.2831488413909149E-2</v>
      </c>
      <c r="Q102" s="18">
        <f t="shared" si="103"/>
        <v>-0.41881010815701947</v>
      </c>
      <c r="S102" s="18">
        <f t="shared" si="104"/>
        <v>-0.41881010815701947</v>
      </c>
      <c r="T102" s="18">
        <f t="shared" si="105"/>
        <v>1.8645999279697678</v>
      </c>
      <c r="U102" s="18">
        <f t="shared" si="106"/>
        <v>1.543559540617534</v>
      </c>
      <c r="W102" t="str">
        <f t="shared" si="107"/>
        <v>71 Sales occupations</v>
      </c>
      <c r="X102" s="18">
        <f t="shared" si="108"/>
        <v>-3.7611196934622781</v>
      </c>
      <c r="Y102" s="18">
        <f t="shared" si="108"/>
        <v>1.9574556982276947</v>
      </c>
      <c r="Z102" s="18">
        <f t="shared" si="108"/>
        <v>-1.1714818754209211</v>
      </c>
      <c r="AA102" s="18">
        <f t="shared" si="108"/>
        <v>-0.53609676372788906</v>
      </c>
      <c r="AB102" s="18">
        <f t="shared" si="109"/>
        <v>-0.74834439745794512</v>
      </c>
      <c r="AD102" s="18">
        <f t="shared" si="110"/>
        <v>-0.74834439745794512</v>
      </c>
      <c r="AE102" s="18">
        <f t="shared" si="111"/>
        <v>2.9373733774172406</v>
      </c>
      <c r="AF102" s="18">
        <f t="shared" si="112"/>
        <v>2.4477363802141827</v>
      </c>
    </row>
    <row r="103" spans="1:32" x14ac:dyDescent="0.2">
      <c r="A103" t="str">
        <f t="shared" si="95"/>
        <v>72 Customer service occupations</v>
      </c>
      <c r="B103" s="18">
        <f t="shared" si="96"/>
        <v>0.65417360068151797</v>
      </c>
      <c r="C103" s="18">
        <f t="shared" si="96"/>
        <v>4.678007577262866</v>
      </c>
      <c r="D103" s="18">
        <f t="shared" si="96"/>
        <v>4.9734738767228892</v>
      </c>
      <c r="E103" s="18">
        <f t="shared" si="96"/>
        <v>1.5102721684321807</v>
      </c>
      <c r="F103" s="18">
        <f t="shared" si="97"/>
        <v>2.6517879076727313</v>
      </c>
      <c r="H103" s="18">
        <f t="shared" si="98"/>
        <v>2.6517879076727313</v>
      </c>
      <c r="I103" s="18">
        <f t="shared" si="99"/>
        <v>3.2277531823373673</v>
      </c>
      <c r="J103" s="18">
        <f t="shared" si="100"/>
        <v>5.0413887504846544</v>
      </c>
      <c r="L103" t="str">
        <f t="shared" si="101"/>
        <v>72 Customer service occupations</v>
      </c>
      <c r="M103" s="18">
        <f t="shared" si="102"/>
        <v>-2.0661734386489772</v>
      </c>
      <c r="N103" s="18">
        <f t="shared" si="102"/>
        <v>20.1801118493375</v>
      </c>
      <c r="O103" s="18">
        <f t="shared" si="102"/>
        <v>6.4086344879503487</v>
      </c>
      <c r="P103" s="18">
        <f t="shared" si="102"/>
        <v>1.8914807057799576</v>
      </c>
      <c r="Q103" s="18">
        <f t="shared" si="103"/>
        <v>3.3754799828926263</v>
      </c>
      <c r="S103" s="18">
        <f t="shared" si="104"/>
        <v>3.3754799828926263</v>
      </c>
      <c r="T103" s="18">
        <f t="shared" si="105"/>
        <v>2.671173858832776</v>
      </c>
      <c r="U103" s="18">
        <f t="shared" si="106"/>
        <v>5.1712522696320873</v>
      </c>
      <c r="W103" t="str">
        <f t="shared" si="107"/>
        <v>72 Customer service occupations</v>
      </c>
      <c r="X103" s="18">
        <f t="shared" si="108"/>
        <v>2.2816567910199703</v>
      </c>
      <c r="Y103" s="18">
        <f t="shared" si="108"/>
        <v>-3.6393690784924937</v>
      </c>
      <c r="Z103" s="18">
        <f t="shared" si="108"/>
        <v>3.9674035631411586</v>
      </c>
      <c r="AA103" s="18">
        <f t="shared" si="108"/>
        <v>1.2150719177386415</v>
      </c>
      <c r="AB103" s="18">
        <f t="shared" si="109"/>
        <v>2.1243232099924736</v>
      </c>
      <c r="AD103" s="18">
        <f t="shared" si="110"/>
        <v>2.1243232099924736</v>
      </c>
      <c r="AE103" s="18">
        <f t="shared" si="111"/>
        <v>3.5780161986396664</v>
      </c>
      <c r="AF103" s="18">
        <f t="shared" si="112"/>
        <v>4.9532172555206477</v>
      </c>
    </row>
    <row r="104" spans="1:32" x14ac:dyDescent="0.2">
      <c r="A104" t="str">
        <f t="shared" si="95"/>
        <v>81 Process, plant and machine operatives</v>
      </c>
      <c r="B104" s="18">
        <f t="shared" si="96"/>
        <v>-1.9997902107428467</v>
      </c>
      <c r="C104" s="18">
        <f t="shared" si="96"/>
        <v>-12.76186731408262</v>
      </c>
      <c r="D104" s="18">
        <f t="shared" si="96"/>
        <v>3.1267581538858114</v>
      </c>
      <c r="E104" s="18">
        <f t="shared" si="96"/>
        <v>-0.53746657819412347</v>
      </c>
      <c r="F104" s="18">
        <f t="shared" si="97"/>
        <v>0.66924231029923398</v>
      </c>
      <c r="H104" s="18">
        <f t="shared" si="98"/>
        <v>0.66924231029923398</v>
      </c>
      <c r="I104" s="18">
        <f t="shared" si="99"/>
        <v>2.3972725765595282</v>
      </c>
      <c r="J104" s="18">
        <f t="shared" si="100"/>
        <v>2.8842285739532958</v>
      </c>
      <c r="L104" t="str">
        <f t="shared" si="101"/>
        <v>81 Process, plant and machine operatives</v>
      </c>
      <c r="M104" s="18">
        <f t="shared" si="102"/>
        <v>-2.5077545275989044</v>
      </c>
      <c r="N104" s="18">
        <f t="shared" si="102"/>
        <v>-11.233614218111132</v>
      </c>
      <c r="O104" s="18">
        <f t="shared" si="102"/>
        <v>3.1498261312355558</v>
      </c>
      <c r="P104" s="18">
        <f t="shared" si="102"/>
        <v>-0.51799706737931661</v>
      </c>
      <c r="Q104" s="18">
        <f t="shared" si="103"/>
        <v>0.68988553745348291</v>
      </c>
      <c r="S104" s="18">
        <f t="shared" si="104"/>
        <v>0.68988553745348291</v>
      </c>
      <c r="T104" s="18">
        <f t="shared" si="105"/>
        <v>2.2704976301036739</v>
      </c>
      <c r="U104" s="18">
        <f t="shared" si="106"/>
        <v>2.7811463142749959</v>
      </c>
      <c r="W104" t="str">
        <f t="shared" si="107"/>
        <v>81 Process, plant and machine operatives</v>
      </c>
      <c r="X104" s="18">
        <f t="shared" si="108"/>
        <v>0.30477970803886034</v>
      </c>
      <c r="Y104" s="18">
        <f t="shared" si="108"/>
        <v>-19.221567865999557</v>
      </c>
      <c r="Z104" s="18">
        <f t="shared" si="108"/>
        <v>3.0193397332801242</v>
      </c>
      <c r="AA104" s="18">
        <f t="shared" si="108"/>
        <v>-0.62893117423254985</v>
      </c>
      <c r="AB104" s="18">
        <f t="shared" si="109"/>
        <v>0.57257308444402799</v>
      </c>
      <c r="AD104" s="18">
        <f t="shared" si="110"/>
        <v>0.57257308444402799</v>
      </c>
      <c r="AE104" s="18">
        <f t="shared" si="111"/>
        <v>2.9589568116199727</v>
      </c>
      <c r="AF104" s="18">
        <f t="shared" si="112"/>
        <v>3.3449585138380034</v>
      </c>
    </row>
    <row r="105" spans="1:32" x14ac:dyDescent="0.2">
      <c r="A105" t="str">
        <f t="shared" si="95"/>
        <v>82 Transport and mobile machine drivers and operatives</v>
      </c>
      <c r="B105" s="18">
        <f t="shared" si="96"/>
        <v>4.6621588713240625</v>
      </c>
      <c r="C105" s="18">
        <f t="shared" si="96"/>
        <v>-10.53405884111671</v>
      </c>
      <c r="D105" s="18">
        <f t="shared" si="96"/>
        <v>-3.0276686640062778E-2</v>
      </c>
      <c r="E105" s="18">
        <f t="shared" si="96"/>
        <v>-0.62325772334363982</v>
      </c>
      <c r="F105" s="18">
        <f t="shared" si="97"/>
        <v>-0.42598922609481393</v>
      </c>
      <c r="H105" s="18">
        <f t="shared" si="98"/>
        <v>-0.42598922609481393</v>
      </c>
      <c r="I105" s="18">
        <f t="shared" si="99"/>
        <v>2.7618259936026401</v>
      </c>
      <c r="J105" s="18">
        <f t="shared" si="100"/>
        <v>2.4738552621333731</v>
      </c>
      <c r="L105" t="str">
        <f t="shared" si="101"/>
        <v>82 Transport and mobile machine drivers and operatives</v>
      </c>
      <c r="M105" s="18">
        <f t="shared" si="102"/>
        <v>4.8232770438072281</v>
      </c>
      <c r="N105" s="18">
        <f t="shared" si="102"/>
        <v>-10.325162623923978</v>
      </c>
      <c r="O105" s="18">
        <f t="shared" si="102"/>
        <v>-0.23623723731452939</v>
      </c>
      <c r="P105" s="18">
        <f t="shared" si="102"/>
        <v>-0.68422188580797849</v>
      </c>
      <c r="Q105" s="18">
        <f t="shared" si="103"/>
        <v>-0.53511763409389568</v>
      </c>
      <c r="S105" s="18">
        <f t="shared" si="104"/>
        <v>-0.53511763409389568</v>
      </c>
      <c r="T105" s="18">
        <f t="shared" si="105"/>
        <v>2.7173948187853902</v>
      </c>
      <c r="U105" s="18">
        <f t="shared" si="106"/>
        <v>2.3543575395731153</v>
      </c>
      <c r="W105" t="str">
        <f t="shared" si="107"/>
        <v>82 Transport and mobile machine drivers and operatives</v>
      </c>
      <c r="X105" s="18">
        <f t="shared" si="108"/>
        <v>-0.18974905142529197</v>
      </c>
      <c r="Y105" s="18">
        <f t="shared" si="108"/>
        <v>-17.654645728479</v>
      </c>
      <c r="Z105" s="18">
        <f t="shared" si="108"/>
        <v>6.6339555099551806</v>
      </c>
      <c r="AA105" s="18">
        <f t="shared" si="108"/>
        <v>0.88681675024411266</v>
      </c>
      <c r="AB105" s="18">
        <f t="shared" si="109"/>
        <v>2.7672619887544103</v>
      </c>
      <c r="AD105" s="18">
        <f t="shared" si="110"/>
        <v>2.7672619887544103</v>
      </c>
      <c r="AE105" s="18">
        <f t="shared" si="111"/>
        <v>4.2462461244371807</v>
      </c>
      <c r="AF105" s="18">
        <f t="shared" si="112"/>
        <v>5.9271371319855826</v>
      </c>
    </row>
    <row r="106" spans="1:32" x14ac:dyDescent="0.2">
      <c r="A106" t="str">
        <f t="shared" si="95"/>
        <v>91 Elementary trades and related occupations</v>
      </c>
      <c r="B106" s="18">
        <f t="shared" si="96"/>
        <v>-3.2659267018210869</v>
      </c>
      <c r="C106" s="18">
        <f t="shared" si="96"/>
        <v>-12.199535166424925</v>
      </c>
      <c r="D106" s="18">
        <f t="shared" si="96"/>
        <v>-4.4105509908484279</v>
      </c>
      <c r="E106" s="18">
        <f t="shared" si="96"/>
        <v>-0.89983684911365547</v>
      </c>
      <c r="F106" s="18">
        <f t="shared" si="97"/>
        <v>-2.084172380804461</v>
      </c>
      <c r="H106" s="18">
        <f t="shared" si="98"/>
        <v>-2.084172380804461</v>
      </c>
      <c r="I106" s="18">
        <f t="shared" si="99"/>
        <v>1.7742906111830603</v>
      </c>
      <c r="J106" s="18">
        <f t="shared" si="100"/>
        <v>0.20368109128952039</v>
      </c>
      <c r="L106" t="str">
        <f t="shared" si="101"/>
        <v>91 Elementary trades and related occupations</v>
      </c>
      <c r="M106" s="18">
        <f t="shared" si="102"/>
        <v>-2.6979392333415841</v>
      </c>
      <c r="N106" s="18">
        <f t="shared" si="102"/>
        <v>-9.4617116194223421</v>
      </c>
      <c r="O106" s="18">
        <f t="shared" si="102"/>
        <v>-4.5300860632787376</v>
      </c>
      <c r="P106" s="18">
        <f t="shared" si="102"/>
        <v>-0.89112583660205802</v>
      </c>
      <c r="Q106" s="18">
        <f t="shared" si="103"/>
        <v>-2.1192686837664954</v>
      </c>
      <c r="S106" s="18">
        <f t="shared" si="104"/>
        <v>-2.1192686837664954</v>
      </c>
      <c r="T106" s="18">
        <f t="shared" si="105"/>
        <v>1.5380405133805564</v>
      </c>
      <c r="U106" s="18">
        <f t="shared" si="106"/>
        <v>-0.11776920841882754</v>
      </c>
      <c r="W106" t="str">
        <f t="shared" si="107"/>
        <v>91 Elementary trades and related occupations</v>
      </c>
      <c r="X106" s="18">
        <f t="shared" si="108"/>
        <v>-5.4201801133950456</v>
      </c>
      <c r="Y106" s="18">
        <f t="shared" si="108"/>
        <v>-23.350199509285652</v>
      </c>
      <c r="Z106" s="18">
        <f t="shared" si="108"/>
        <v>-3.8436921944275615</v>
      </c>
      <c r="AA106" s="18">
        <f t="shared" si="108"/>
        <v>-0.94035967593291137</v>
      </c>
      <c r="AB106" s="18">
        <f t="shared" si="109"/>
        <v>-1.9177490496468996</v>
      </c>
      <c r="AD106" s="18">
        <f t="shared" si="110"/>
        <v>-1.9177490496468996</v>
      </c>
      <c r="AE106" s="18">
        <f t="shared" si="111"/>
        <v>2.8147042404785161</v>
      </c>
      <c r="AF106" s="18">
        <f t="shared" si="112"/>
        <v>1.5761362540944734</v>
      </c>
    </row>
    <row r="107" spans="1:32" x14ac:dyDescent="0.2">
      <c r="A107" t="str">
        <f t="shared" si="95"/>
        <v>92 Elementary administration and service occupations</v>
      </c>
      <c r="B107" s="18">
        <f t="shared" si="96"/>
        <v>-1.4299572856518838</v>
      </c>
      <c r="C107" s="18">
        <f t="shared" si="96"/>
        <v>-5.4882574337761998</v>
      </c>
      <c r="D107" s="18">
        <f t="shared" si="96"/>
        <v>-5.4623648987794926E-2</v>
      </c>
      <c r="E107" s="18">
        <f t="shared" si="96"/>
        <v>-0.24952048151944961</v>
      </c>
      <c r="F107" s="18">
        <f t="shared" si="97"/>
        <v>-0.18459713568840241</v>
      </c>
      <c r="H107" s="18">
        <f t="shared" si="98"/>
        <v>-0.18459713568840241</v>
      </c>
      <c r="I107" s="18">
        <f t="shared" si="99"/>
        <v>2.6196726436898077</v>
      </c>
      <c r="J107" s="18">
        <f t="shared" si="100"/>
        <v>2.4916812598461568</v>
      </c>
      <c r="L107" t="str">
        <f t="shared" si="101"/>
        <v>92 Elementary administration and service occupations</v>
      </c>
      <c r="M107" s="18">
        <f t="shared" si="102"/>
        <v>0.63231088193147489</v>
      </c>
      <c r="N107" s="18">
        <f t="shared" si="102"/>
        <v>-5.5764093976612639</v>
      </c>
      <c r="O107" s="18">
        <f t="shared" si="102"/>
        <v>0.83650311008416356</v>
      </c>
      <c r="P107" s="18">
        <f t="shared" si="102"/>
        <v>-0.5057980390334671</v>
      </c>
      <c r="Q107" s="18">
        <f t="shared" si="103"/>
        <v>-6.036152236180703E-2</v>
      </c>
      <c r="S107" s="18">
        <f t="shared" si="104"/>
        <v>-6.036152236180703E-2</v>
      </c>
      <c r="T107" s="18">
        <f t="shared" si="105"/>
        <v>2.2662715800531252</v>
      </c>
      <c r="U107" s="18">
        <f t="shared" si="106"/>
        <v>2.222217993706721</v>
      </c>
      <c r="W107" t="str">
        <f t="shared" si="107"/>
        <v>92 Elementary administration and service occupations</v>
      </c>
      <c r="X107" s="18">
        <f t="shared" si="108"/>
        <v>-3.476867467420941</v>
      </c>
      <c r="Y107" s="18">
        <f t="shared" si="108"/>
        <v>-5.3911496845267415</v>
      </c>
      <c r="Z107" s="18">
        <f t="shared" si="108"/>
        <v>-1.0725126795884665</v>
      </c>
      <c r="AA107" s="18">
        <f t="shared" si="108"/>
        <v>5.2780397267326862E-2</v>
      </c>
      <c r="AB107" s="18">
        <f t="shared" si="109"/>
        <v>-0.32373238867221543</v>
      </c>
      <c r="AD107" s="18">
        <f t="shared" si="110"/>
        <v>-0.32373238867221543</v>
      </c>
      <c r="AE107" s="18">
        <f t="shared" si="111"/>
        <v>2.9895095967056085</v>
      </c>
      <c r="AF107" s="18">
        <f t="shared" si="112"/>
        <v>2.7769241198064787</v>
      </c>
    </row>
    <row r="108" spans="1:32" x14ac:dyDescent="0.2">
      <c r="C108" s="18"/>
      <c r="F108" s="18"/>
      <c r="H108" s="18"/>
      <c r="I108" s="18"/>
      <c r="J108" s="18"/>
      <c r="N108" s="18"/>
      <c r="Q108" s="18"/>
      <c r="S108" s="18"/>
      <c r="T108" s="18"/>
      <c r="U108" s="18"/>
      <c r="Y108" s="18"/>
      <c r="AB108" s="18"/>
      <c r="AD108" s="18"/>
      <c r="AE108" s="18"/>
      <c r="AF108" s="18"/>
    </row>
    <row r="109" spans="1:32" x14ac:dyDescent="0.2">
      <c r="A109" s="24" t="str">
        <f>A35</f>
        <v>All occupations</v>
      </c>
      <c r="B109" s="26">
        <f>IF(AND(C$6-B$6 &lt;&gt; 0,B35&lt;&gt;0,C35&lt;&gt;0),(EXP(LN(C35/B35)/(C$6-B$6))-1)*100,0)</f>
        <v>-0.31472867268407256</v>
      </c>
      <c r="C109" s="26">
        <f>IF(AND(D$6-C$6 &lt;&gt; 0,C35&lt;&gt;0,D35&lt;&gt;0),(EXP(LN(D35/C35)/(D$6-C$6))-1)*100,0)</f>
        <v>-0.96138137827631587</v>
      </c>
      <c r="D109" s="26">
        <f>IF(AND(E$6-D$6 &lt;&gt; 0,D35&lt;&gt;0,E35&lt;&gt;0),(EXP(LN(E35/D35)/(E$6-D$6))-1)*100,0)</f>
        <v>0.15922454414900589</v>
      </c>
      <c r="E109" s="26">
        <f>IF(AND(F$6-E$6 &lt;&gt; 0,E35&lt;&gt;0,F35&lt;&gt;0),(EXP(LN(F35/E35)/(F$6-E$6))-1)*100,0)</f>
        <v>0.20578921188203481</v>
      </c>
      <c r="F109" s="26">
        <f t="shared" ref="F109" si="113">IF(AND(F$6-D$6 &lt;&gt; 0,D35&lt;&gt;0,F35&lt;&gt;0),(EXP(LN(F35/D35)/(F$6-D$6))-1)*100,0)</f>
        <v>0.1902652511108327</v>
      </c>
      <c r="H109" s="26">
        <f t="shared" ref="H109" si="114">IF($F$6-$D$6 &lt;&gt; 0,(EXP(LN(1+(H72/100))/($F$6-$D$6))-1)*100,0)</f>
        <v>0.1902652511108327</v>
      </c>
      <c r="I109" s="26">
        <f>IF(D35&gt;0,((1+(I35/D35))^(1/($F$6-$D$6))-1)*100,0)</f>
        <v>2.7008936348872803</v>
      </c>
      <c r="J109" s="26">
        <f t="shared" ref="J109" si="115">IF($F$6-$D$6 &lt;&gt; 0,(EXP(LN(1+(J72/100))/($F$6-$D$6))-1)*100,0)</f>
        <v>2.8324810651020105</v>
      </c>
      <c r="L109" s="24" t="str">
        <f>L35</f>
        <v>All occupations</v>
      </c>
      <c r="M109" s="26">
        <f>IF(AND(N$6-M$6 &lt;&gt; 0,M35&lt;&gt;0,N35&lt;&gt;0),(EXP(LN(N35/M35)/(N$6-M$6))-1)*100,0)</f>
        <v>0.25153889159139631</v>
      </c>
      <c r="N109" s="26">
        <f>IF(AND(O$6-N$6 &lt;&gt; 0,N35&lt;&gt;0,O35&lt;&gt;0),(EXP(LN(O35/N35)/(O$6-N$6))-1)*100,0)</f>
        <v>-3.7058837799540556</v>
      </c>
      <c r="O109" s="26">
        <f>IF(AND(P$6-O$6 &lt;&gt; 0,O35&lt;&gt;0,P35&lt;&gt;0),(EXP(LN(P35/O35)/(P$6-O$6))-1)*100,0)</f>
        <v>2.6135894873813292E-2</v>
      </c>
      <c r="P109" s="26">
        <f>IF(AND(Q$6-P$6 &lt;&gt; 0,P35&lt;&gt;0,Q35&lt;&gt;0),(EXP(LN(Q35/P35)/(Q$6-P$6))-1)*100,0)</f>
        <v>8.9772455270153984E-2</v>
      </c>
      <c r="Q109" s="26">
        <f t="shared" ref="Q109" si="116">IF(AND(Q$6-O$6 &lt;&gt; 0,O35&lt;&gt;0,Q35&lt;&gt;0),(EXP(LN(Q35/O35)/(Q$6-O$6))-1)*100,0)</f>
        <v>6.8555771349854133E-2</v>
      </c>
      <c r="S109" s="26">
        <f t="shared" ref="S109" si="117">IF($F$6-$D$6 &lt;&gt; 0,(EXP(LN(1+(S72/100))/($F$6-$D$6))-1)*100,0)</f>
        <v>6.8555771349854133E-2</v>
      </c>
      <c r="T109" s="26">
        <f t="shared" ref="T109" si="118">IF(O35&gt;0,((1+(T35/O35))^(1/($F$6-$D$6))-1)*100,0)</f>
        <v>2.2583604105580024</v>
      </c>
      <c r="U109" s="26">
        <f t="shared" ref="U109" si="119">IF($F$6-$D$6 &lt;&gt; 0,(EXP(LN(1+(U72/100))/($F$6-$D$6))-1)*100,0)</f>
        <v>2.3085775846827916</v>
      </c>
      <c r="W109" s="24" t="str">
        <f>W35</f>
        <v>All occupations</v>
      </c>
      <c r="X109" s="26">
        <f>IF(AND(Y$6-X$6 &lt;&gt; 0,X35&lt;&gt;0,Y35&lt;&gt;0),(EXP(LN(Y35/X35)/(Y$6-X$6))-1)*100,0)</f>
        <v>-0.93054633179929791</v>
      </c>
      <c r="Y109" s="26">
        <f>IF(AND(Z$6-Y$6 &lt;&gt; 0,Y35&lt;&gt;0,Z35&lt;&gt;0),(EXP(LN(Z35/Y35)/(Z$6-Y$6))-1)*100,0)</f>
        <v>2.1131149668180305</v>
      </c>
      <c r="Z109" s="26">
        <f>IF(AND(AA$6-Z$6 &lt;&gt; 0,Z35&lt;&gt;0,AA35&lt;&gt;0),(EXP(LN(AA35/Z35)/(AA$6-Z$6))-1)*100,0)</f>
        <v>0.29905534062655281</v>
      </c>
      <c r="AA109" s="26">
        <f>IF(AND(AB$6-AA$6 &lt;&gt; 0,AA35&lt;&gt;0,AB35&lt;&gt;0),(EXP(LN(AB35/AA35)/(AB$6-AA$6))-1)*100,0)</f>
        <v>0.3254182652938642</v>
      </c>
      <c r="AB109" s="26">
        <f t="shared" ref="AB109" si="120">IF(AND(AB$6-Z$6 &lt;&gt; 0,Z35&lt;&gt;0,AB35&lt;&gt;0),(EXP(LN(AB35/Z35)/(AB$6-Z$6))-1)*100,0)</f>
        <v>0.31662985390408238</v>
      </c>
      <c r="AD109" s="26">
        <f t="shared" ref="AD109" si="121">IF($F$6-$D$6 &lt;&gt; 0,(EXP(LN(1+(AD72/100))/($F$6-$D$6))-1)*100,0)</f>
        <v>0.31662985390408238</v>
      </c>
      <c r="AE109" s="26">
        <f t="shared" ref="AE109" si="122">IF(Z35&gt;0,((1+(AE35/Z35))^(1/($F$6-$D$6))-1)*100,0)</f>
        <v>3.1410892299380322</v>
      </c>
      <c r="AF109" s="26">
        <f t="shared" ref="AF109" si="123">IF($F$6-$D$6 &lt;&gt; 0,(EXP(LN(1+(AF72/100))/($F$6-$D$6))-1)*100,0)</f>
        <v>3.3481254752748768</v>
      </c>
    </row>
    <row r="112" spans="1:32" ht="15.75" x14ac:dyDescent="0.25">
      <c r="A112" s="19" t="str">
        <f>CONCATENATE(A$1," (Continued)")</f>
        <v>Occupation Table 2  Employment Change by Occupation (SOC 2020) and Replacement Demand, 2015-2035, North East (Continued)</v>
      </c>
      <c r="L112" s="19" t="str">
        <f>CONCATENATE(L$1," (Continued)")</f>
        <v>Occupation Table 2.1  Males: Employment Change by Occupation (SOC 2020) and Replacement Demand, 2015-2035, North East (Continued)</v>
      </c>
      <c r="W112" s="19" t="str">
        <f>CONCATENATE(W$1," (Continued)")</f>
        <v>Occupation Table 2.2  Females: Employment Change by Occupation (SOC 2020) and Replacement Demand, 2015-2035, North East (Continued)</v>
      </c>
    </row>
    <row r="114" spans="1:28" x14ac:dyDescent="0.2">
      <c r="F114" s="16" t="s">
        <v>36</v>
      </c>
      <c r="Q114" s="16" t="s">
        <v>36</v>
      </c>
      <c r="AB114" s="16" t="s">
        <v>36</v>
      </c>
    </row>
    <row r="115" spans="1:28" x14ac:dyDescent="0.2">
      <c r="A115" s="36"/>
      <c r="B115" s="36"/>
      <c r="C115" s="36"/>
      <c r="D115" s="36"/>
      <c r="E115" s="36"/>
      <c r="F115" s="36"/>
      <c r="L115" s="36"/>
      <c r="M115" s="36"/>
      <c r="N115" s="36"/>
      <c r="O115" s="36"/>
      <c r="P115" s="36"/>
      <c r="Q115" s="36"/>
      <c r="W115" s="36"/>
      <c r="X115" s="36"/>
      <c r="Y115" s="36"/>
      <c r="Z115" s="36"/>
      <c r="AA115" s="36"/>
      <c r="AB115" s="36"/>
    </row>
    <row r="117" spans="1:28" x14ac:dyDescent="0.2">
      <c r="A117" s="41" t="s">
        <v>19</v>
      </c>
      <c r="B117" s="64" t="str">
        <f>CONCATENATE(B$6,"-",C$6)</f>
        <v>2015-2019</v>
      </c>
      <c r="C117" s="64" t="str">
        <f>CONCATENATE(C$6,"-",D$6)</f>
        <v>2019-2020</v>
      </c>
      <c r="D117" s="64" t="str">
        <f>CONCATENATE(D$6,"-",E$6)</f>
        <v>2020-2025</v>
      </c>
      <c r="E117" s="64" t="str">
        <f>CONCATENATE(E$6,"-",F$6)</f>
        <v>2025-2035</v>
      </c>
      <c r="F117" s="64" t="str">
        <f>CONCATENATE(D$6,"-",F$6)</f>
        <v>2020-2035</v>
      </c>
      <c r="L117" s="41" t="s">
        <v>19</v>
      </c>
      <c r="M117" s="64" t="str">
        <f>CONCATENATE(M$6,"-",N$6)</f>
        <v>2015-2019</v>
      </c>
      <c r="N117" s="64" t="str">
        <f>CONCATENATE(N$6,"-",O$6)</f>
        <v>2019-2020</v>
      </c>
      <c r="O117" s="64" t="str">
        <f>CONCATENATE(O$6,"-",P$6)</f>
        <v>2020-2025</v>
      </c>
      <c r="P117" s="64" t="str">
        <f>CONCATENATE(P$6,"-",Q$6)</f>
        <v>2025-2035</v>
      </c>
      <c r="Q117" s="64" t="str">
        <f>CONCATENATE(O$6,"-",Q$6)</f>
        <v>2020-2035</v>
      </c>
      <c r="W117" s="41" t="s">
        <v>19</v>
      </c>
      <c r="X117" s="64" t="str">
        <f>CONCATENATE(X$6,"-",Y$6)</f>
        <v>2015-2019</v>
      </c>
      <c r="Y117" s="64" t="str">
        <f>CONCATENATE(Y$6,"-",Z$6)</f>
        <v>2019-2020</v>
      </c>
      <c r="Z117" s="64" t="str">
        <f>CONCATENATE(Z$6,"-",AA$6)</f>
        <v>2020-2025</v>
      </c>
      <c r="AA117" s="64" t="str">
        <f>CONCATENATE(AA$6,"-",AB$6)</f>
        <v>2025-2035</v>
      </c>
      <c r="AB117" s="64" t="str">
        <f>CONCATENATE(Z$6,"-",AB$6)</f>
        <v>2020-2035</v>
      </c>
    </row>
    <row r="118" spans="1:28" x14ac:dyDescent="0.2">
      <c r="B118" s="20"/>
      <c r="C118" s="20"/>
      <c r="D118" s="20"/>
      <c r="E118" s="20"/>
      <c r="F118" s="20"/>
      <c r="M118" s="20"/>
      <c r="N118" s="20"/>
      <c r="O118" s="20"/>
      <c r="P118" s="20"/>
      <c r="Q118" s="20"/>
      <c r="X118" s="20"/>
      <c r="Y118" s="20"/>
      <c r="Z118" s="20"/>
      <c r="AA118" s="20"/>
      <c r="AB118" s="20"/>
    </row>
    <row r="119" spans="1:28" x14ac:dyDescent="0.2">
      <c r="A119" t="str">
        <f t="shared" ref="A119:A144" si="124">A8</f>
        <v>11 Corporate managers and directors</v>
      </c>
      <c r="B119" s="27">
        <f t="shared" ref="B119:E144" si="125">C8-B8</f>
        <v>2.9508527880197484</v>
      </c>
      <c r="C119" s="27">
        <f t="shared" si="125"/>
        <v>0.72895512695983555</v>
      </c>
      <c r="D119" s="27">
        <f t="shared" si="125"/>
        <v>-2.2268690159628939</v>
      </c>
      <c r="E119" s="27">
        <f t="shared" si="125"/>
        <v>2.0478844576868376</v>
      </c>
      <c r="F119" s="27">
        <f t="shared" ref="F119:F144" si="126">F8-D8</f>
        <v>-0.1789845582760563</v>
      </c>
      <c r="L119" t="str">
        <f t="shared" ref="L119:L144" si="127">L8</f>
        <v>11 Corporate managers and directors</v>
      </c>
      <c r="M119" s="27">
        <f t="shared" ref="M119:P144" si="128">N8-M8</f>
        <v>1.7385542352209704</v>
      </c>
      <c r="N119" s="27">
        <f t="shared" si="128"/>
        <v>0.11861146892430341</v>
      </c>
      <c r="O119" s="27">
        <f t="shared" si="128"/>
        <v>-1.9981628719600106</v>
      </c>
      <c r="P119" s="27">
        <f t="shared" si="128"/>
        <v>0.56135356755618027</v>
      </c>
      <c r="Q119" s="27">
        <f t="shared" ref="Q119:Q144" si="129">Q8-O8</f>
        <v>-1.4368093044038304</v>
      </c>
      <c r="W119" t="str">
        <f t="shared" ref="W119:W144" si="130">W8</f>
        <v>11 Corporate managers and directors</v>
      </c>
      <c r="X119" s="27">
        <f t="shared" ref="X119:AA144" si="131">Y8-X8</f>
        <v>1.2122985527987797</v>
      </c>
      <c r="Y119" s="27">
        <f t="shared" si="131"/>
        <v>0.61034365803559787</v>
      </c>
      <c r="Z119" s="27">
        <f t="shared" si="131"/>
        <v>-0.22870614400293299</v>
      </c>
      <c r="AA119" s="27">
        <f t="shared" si="131"/>
        <v>1.4865308901307372</v>
      </c>
      <c r="AB119" s="27">
        <f t="shared" ref="AB119:AB144" si="132">AB8-Z8</f>
        <v>1.2578247461278043</v>
      </c>
    </row>
    <row r="120" spans="1:28" x14ac:dyDescent="0.2">
      <c r="A120" t="str">
        <f t="shared" si="124"/>
        <v>12 Other managers and proprietors</v>
      </c>
      <c r="B120" s="27">
        <f t="shared" si="125"/>
        <v>1.0106099220086318</v>
      </c>
      <c r="C120" s="27">
        <f t="shared" si="125"/>
        <v>-0.45154507449431769</v>
      </c>
      <c r="D120" s="27">
        <f t="shared" si="125"/>
        <v>2.8443109747208482</v>
      </c>
      <c r="E120" s="27">
        <f t="shared" si="125"/>
        <v>2.7787326747099463</v>
      </c>
      <c r="F120" s="27">
        <f t="shared" si="126"/>
        <v>5.6230436494307945</v>
      </c>
      <c r="L120" t="str">
        <f t="shared" si="127"/>
        <v>12 Other managers and proprietors</v>
      </c>
      <c r="M120" s="27">
        <f t="shared" si="128"/>
        <v>0.55521988890568785</v>
      </c>
      <c r="N120" s="27">
        <f t="shared" si="128"/>
        <v>-0.90850926843920199</v>
      </c>
      <c r="O120" s="27">
        <f t="shared" si="128"/>
        <v>1.9369502375186354</v>
      </c>
      <c r="P120" s="27">
        <f t="shared" si="128"/>
        <v>1.8462190956556501</v>
      </c>
      <c r="Q120" s="27">
        <f t="shared" si="129"/>
        <v>3.7831693331742855</v>
      </c>
      <c r="W120" t="str">
        <f t="shared" si="130"/>
        <v>12 Other managers and proprietors</v>
      </c>
      <c r="X120" s="27">
        <f t="shared" si="131"/>
        <v>0.45539003310294568</v>
      </c>
      <c r="Y120" s="27">
        <f t="shared" si="131"/>
        <v>0.45696419394488785</v>
      </c>
      <c r="Z120" s="27">
        <f t="shared" si="131"/>
        <v>0.90736073720225097</v>
      </c>
      <c r="AA120" s="27">
        <f t="shared" si="131"/>
        <v>0.93251357905429177</v>
      </c>
      <c r="AB120" s="27">
        <f t="shared" si="132"/>
        <v>1.8398743162565427</v>
      </c>
    </row>
    <row r="121" spans="1:28" x14ac:dyDescent="0.2">
      <c r="A121" t="str">
        <f t="shared" si="124"/>
        <v>21 Science, research, engineering and technology professionals</v>
      </c>
      <c r="B121" s="27">
        <f t="shared" si="125"/>
        <v>0.94966395033037898</v>
      </c>
      <c r="C121" s="27">
        <f t="shared" si="125"/>
        <v>1.0939536792718592</v>
      </c>
      <c r="D121" s="27">
        <f t="shared" si="125"/>
        <v>0.84475469787053825</v>
      </c>
      <c r="E121" s="27">
        <f t="shared" si="125"/>
        <v>2.1604233595659075</v>
      </c>
      <c r="F121" s="27">
        <f t="shared" si="126"/>
        <v>3.0051780574364457</v>
      </c>
      <c r="L121" t="str">
        <f t="shared" si="127"/>
        <v>21 Science, research, engineering and technology professionals</v>
      </c>
      <c r="M121" s="27">
        <f t="shared" si="128"/>
        <v>0.95221423362572111</v>
      </c>
      <c r="N121" s="27">
        <f t="shared" si="128"/>
        <v>0.23328191442458746</v>
      </c>
      <c r="O121" s="27">
        <f t="shared" si="128"/>
        <v>0.10084095906476165</v>
      </c>
      <c r="P121" s="27">
        <f t="shared" si="128"/>
        <v>1.0587179719441977</v>
      </c>
      <c r="Q121" s="27">
        <f t="shared" si="129"/>
        <v>1.1595589310089593</v>
      </c>
      <c r="W121" t="str">
        <f t="shared" si="130"/>
        <v>21 Science, research, engineering and technology professionals</v>
      </c>
      <c r="X121" s="27">
        <f t="shared" si="131"/>
        <v>-2.5502832953216981E-3</v>
      </c>
      <c r="Y121" s="27">
        <f t="shared" si="131"/>
        <v>0.86067176484725705</v>
      </c>
      <c r="Z121" s="27">
        <f t="shared" si="131"/>
        <v>0.74391373880582812</v>
      </c>
      <c r="AA121" s="27">
        <f t="shared" si="131"/>
        <v>1.1017053876216387</v>
      </c>
      <c r="AB121" s="27">
        <f t="shared" si="132"/>
        <v>1.8456191264274668</v>
      </c>
    </row>
    <row r="122" spans="1:28" x14ac:dyDescent="0.2">
      <c r="A122" t="str">
        <f t="shared" si="124"/>
        <v>22 Health professionals</v>
      </c>
      <c r="B122" s="27">
        <f t="shared" si="125"/>
        <v>0.27265770761804831</v>
      </c>
      <c r="C122" s="27">
        <f t="shared" si="125"/>
        <v>1.1824269021494906</v>
      </c>
      <c r="D122" s="27">
        <f t="shared" si="125"/>
        <v>2.4562560424425186</v>
      </c>
      <c r="E122" s="27">
        <f t="shared" si="125"/>
        <v>2.8419145002006907</v>
      </c>
      <c r="F122" s="27">
        <f t="shared" si="126"/>
        <v>5.2981705426432093</v>
      </c>
      <c r="L122" t="str">
        <f t="shared" si="127"/>
        <v>22 Health professionals</v>
      </c>
      <c r="M122" s="27">
        <f t="shared" si="128"/>
        <v>5.1219310743793933E-2</v>
      </c>
      <c r="N122" s="27">
        <f t="shared" si="128"/>
        <v>0.88777804632313106</v>
      </c>
      <c r="O122" s="27">
        <f t="shared" si="128"/>
        <v>0.59123236331708728</v>
      </c>
      <c r="P122" s="27">
        <f t="shared" si="128"/>
        <v>0.84074190326002807</v>
      </c>
      <c r="Q122" s="27">
        <f t="shared" si="129"/>
        <v>1.4319742665771154</v>
      </c>
      <c r="W122" t="str">
        <f t="shared" si="130"/>
        <v>22 Health professionals</v>
      </c>
      <c r="X122" s="27">
        <f t="shared" si="131"/>
        <v>0.22143839687427302</v>
      </c>
      <c r="Y122" s="27">
        <f t="shared" si="131"/>
        <v>0.2946488558263276</v>
      </c>
      <c r="Z122" s="27">
        <f t="shared" si="131"/>
        <v>1.8650236791254109</v>
      </c>
      <c r="AA122" s="27">
        <f t="shared" si="131"/>
        <v>2.0011725969406342</v>
      </c>
      <c r="AB122" s="27">
        <f t="shared" si="132"/>
        <v>3.8661962760660451</v>
      </c>
    </row>
    <row r="123" spans="1:28" x14ac:dyDescent="0.2">
      <c r="A123" t="str">
        <f t="shared" si="124"/>
        <v>23 Teaching and other educational professionals</v>
      </c>
      <c r="B123" s="27">
        <f t="shared" si="125"/>
        <v>-8.5431810981013712E-3</v>
      </c>
      <c r="C123" s="27">
        <f t="shared" si="125"/>
        <v>1.0180820548508187</v>
      </c>
      <c r="D123" s="27">
        <f t="shared" si="125"/>
        <v>1.9920257439351303</v>
      </c>
      <c r="E123" s="27">
        <f t="shared" si="125"/>
        <v>1.7296076930981208</v>
      </c>
      <c r="F123" s="27">
        <f t="shared" si="126"/>
        <v>3.7216334370332511</v>
      </c>
      <c r="L123" t="str">
        <f t="shared" si="127"/>
        <v>23 Teaching and other educational professionals</v>
      </c>
      <c r="M123" s="27">
        <f t="shared" si="128"/>
        <v>-1.4981051645737518</v>
      </c>
      <c r="N123" s="27">
        <f t="shared" si="128"/>
        <v>-0.16098586078462684</v>
      </c>
      <c r="O123" s="27">
        <f t="shared" si="128"/>
        <v>0.81846257835218061</v>
      </c>
      <c r="P123" s="27">
        <f t="shared" si="128"/>
        <v>0.36588882395469824</v>
      </c>
      <c r="Q123" s="27">
        <f t="shared" si="129"/>
        <v>1.1843514023068789</v>
      </c>
      <c r="W123" t="str">
        <f t="shared" si="130"/>
        <v>23 Teaching and other educational professionals</v>
      </c>
      <c r="X123" s="27">
        <f t="shared" si="131"/>
        <v>1.4895619834756157</v>
      </c>
      <c r="Y123" s="27">
        <f t="shared" si="131"/>
        <v>1.179067915635434</v>
      </c>
      <c r="Z123" s="27">
        <f t="shared" si="131"/>
        <v>1.1735631655829994</v>
      </c>
      <c r="AA123" s="27">
        <f t="shared" si="131"/>
        <v>1.3637188691434208</v>
      </c>
      <c r="AB123" s="27">
        <f t="shared" si="132"/>
        <v>2.5372820347264202</v>
      </c>
    </row>
    <row r="124" spans="1:28" x14ac:dyDescent="0.2">
      <c r="A124" t="str">
        <f t="shared" si="124"/>
        <v>24 Business, media and public service professionals</v>
      </c>
      <c r="B124" s="27">
        <f t="shared" si="125"/>
        <v>1.5396504342889443</v>
      </c>
      <c r="C124" s="27">
        <f t="shared" si="125"/>
        <v>2.8943627757291495</v>
      </c>
      <c r="D124" s="27">
        <f t="shared" si="125"/>
        <v>2.1359342962689958</v>
      </c>
      <c r="E124" s="27">
        <f t="shared" si="125"/>
        <v>3.5754538408576551</v>
      </c>
      <c r="F124" s="27">
        <f t="shared" si="126"/>
        <v>5.7113881371266508</v>
      </c>
      <c r="L124" t="str">
        <f t="shared" si="127"/>
        <v>24 Business, media and public service professionals</v>
      </c>
      <c r="M124" s="27">
        <f t="shared" si="128"/>
        <v>0.15263222115797248</v>
      </c>
      <c r="N124" s="27">
        <f t="shared" si="128"/>
        <v>1.1196767798355189</v>
      </c>
      <c r="O124" s="27">
        <f t="shared" si="128"/>
        <v>1.1226970137671461</v>
      </c>
      <c r="P124" s="27">
        <f t="shared" si="128"/>
        <v>1.2324098481421757</v>
      </c>
      <c r="Q124" s="27">
        <f t="shared" si="129"/>
        <v>2.3551068619093218</v>
      </c>
      <c r="W124" t="str">
        <f t="shared" si="130"/>
        <v>24 Business, media and public service professionals</v>
      </c>
      <c r="X124" s="27">
        <f t="shared" si="131"/>
        <v>1.3870182131309949</v>
      </c>
      <c r="Y124" s="27">
        <f t="shared" si="131"/>
        <v>1.7746859958936234</v>
      </c>
      <c r="Z124" s="27">
        <f t="shared" si="131"/>
        <v>1.0132372825018425</v>
      </c>
      <c r="AA124" s="27">
        <f t="shared" si="131"/>
        <v>2.3430439927154509</v>
      </c>
      <c r="AB124" s="27">
        <f t="shared" si="132"/>
        <v>3.3562812752172935</v>
      </c>
    </row>
    <row r="125" spans="1:28" x14ac:dyDescent="0.2">
      <c r="A125" t="str">
        <f t="shared" si="124"/>
        <v>31 Science, engineering and technology associate professionals</v>
      </c>
      <c r="B125" s="27">
        <f t="shared" si="125"/>
        <v>0.81656982813531265</v>
      </c>
      <c r="C125" s="27">
        <f t="shared" si="125"/>
        <v>0.83781399203538776</v>
      </c>
      <c r="D125" s="27">
        <f t="shared" si="125"/>
        <v>-1.5766336144338524</v>
      </c>
      <c r="E125" s="27">
        <f t="shared" si="125"/>
        <v>0.23367400201622068</v>
      </c>
      <c r="F125" s="27">
        <f t="shared" si="126"/>
        <v>-1.3429596124176317</v>
      </c>
      <c r="L125" t="str">
        <f t="shared" si="127"/>
        <v>31 Science, engineering and technology associate professionals</v>
      </c>
      <c r="M125" s="27">
        <f t="shared" si="128"/>
        <v>0.84776751845567677</v>
      </c>
      <c r="N125" s="27">
        <f t="shared" si="128"/>
        <v>0.4433536939715701</v>
      </c>
      <c r="O125" s="27">
        <f t="shared" si="128"/>
        <v>-1.6405124500543922</v>
      </c>
      <c r="P125" s="27">
        <f t="shared" si="128"/>
        <v>-0.14567925817244998</v>
      </c>
      <c r="Q125" s="27">
        <f t="shared" si="129"/>
        <v>-1.7861917082268421</v>
      </c>
      <c r="W125" t="str">
        <f t="shared" si="130"/>
        <v>31 Science, engineering and technology associate professionals</v>
      </c>
      <c r="X125" s="27">
        <f t="shared" si="131"/>
        <v>-3.1197690320381222E-2</v>
      </c>
      <c r="Y125" s="27">
        <f t="shared" si="131"/>
        <v>0.39446029806384297</v>
      </c>
      <c r="Z125" s="27">
        <f t="shared" si="131"/>
        <v>6.3878835620528207E-2</v>
      </c>
      <c r="AA125" s="27">
        <f t="shared" si="131"/>
        <v>0.37935326018868709</v>
      </c>
      <c r="AB125" s="27">
        <f t="shared" si="132"/>
        <v>0.4432320958092153</v>
      </c>
    </row>
    <row r="126" spans="1:28" x14ac:dyDescent="0.2">
      <c r="A126" t="str">
        <f t="shared" si="124"/>
        <v>32 Health and social care associate professionals</v>
      </c>
      <c r="B126" s="27">
        <f t="shared" si="125"/>
        <v>7.9560530313255384E-2</v>
      </c>
      <c r="C126" s="27">
        <f t="shared" si="125"/>
        <v>0.661364302357212</v>
      </c>
      <c r="D126" s="27">
        <f t="shared" si="125"/>
        <v>1.1772200290911528E-2</v>
      </c>
      <c r="E126" s="27">
        <f t="shared" si="125"/>
        <v>0.75218203151108298</v>
      </c>
      <c r="F126" s="27">
        <f t="shared" si="126"/>
        <v>0.76395423180199451</v>
      </c>
      <c r="L126" t="str">
        <f t="shared" si="127"/>
        <v>32 Health and social care associate professionals</v>
      </c>
      <c r="M126" s="27">
        <f t="shared" si="128"/>
        <v>-9.1074854893197887E-2</v>
      </c>
      <c r="N126" s="27">
        <f t="shared" si="128"/>
        <v>0.24526595667184914</v>
      </c>
      <c r="O126" s="27">
        <f t="shared" si="128"/>
        <v>-0.23684415632594025</v>
      </c>
      <c r="P126" s="27">
        <f t="shared" si="128"/>
        <v>0.1183814779462522</v>
      </c>
      <c r="Q126" s="27">
        <f t="shared" si="129"/>
        <v>-0.11846267837968805</v>
      </c>
      <c r="W126" t="str">
        <f t="shared" si="130"/>
        <v>32 Health and social care associate professionals</v>
      </c>
      <c r="X126" s="27">
        <f t="shared" si="131"/>
        <v>0.17063538520646127</v>
      </c>
      <c r="Y126" s="27">
        <f t="shared" si="131"/>
        <v>0.41609834568537174</v>
      </c>
      <c r="Z126" s="27">
        <f t="shared" si="131"/>
        <v>0.24861635661685177</v>
      </c>
      <c r="AA126" s="27">
        <f t="shared" si="131"/>
        <v>0.6338005535648179</v>
      </c>
      <c r="AB126" s="27">
        <f t="shared" si="132"/>
        <v>0.88241691018166968</v>
      </c>
    </row>
    <row r="127" spans="1:28" x14ac:dyDescent="0.2">
      <c r="A127" t="str">
        <f t="shared" si="124"/>
        <v>33 Protective service occupations</v>
      </c>
      <c r="B127" s="27">
        <f t="shared" si="125"/>
        <v>0.35165860305642749</v>
      </c>
      <c r="C127" s="27">
        <f t="shared" si="125"/>
        <v>0.34055856754130165</v>
      </c>
      <c r="D127" s="27">
        <f t="shared" si="125"/>
        <v>0.94569728269435505</v>
      </c>
      <c r="E127" s="27">
        <f t="shared" si="125"/>
        <v>1.0385046762994188</v>
      </c>
      <c r="F127" s="27">
        <f t="shared" si="126"/>
        <v>1.9842019589937738</v>
      </c>
      <c r="L127" t="str">
        <f t="shared" si="127"/>
        <v>33 Protective service occupations</v>
      </c>
      <c r="M127" s="27">
        <f t="shared" si="128"/>
        <v>0.14406518198375462</v>
      </c>
      <c r="N127" s="27">
        <f t="shared" si="128"/>
        <v>0.15329363261554363</v>
      </c>
      <c r="O127" s="27">
        <f t="shared" si="128"/>
        <v>0.4020262733140445</v>
      </c>
      <c r="P127" s="27">
        <f t="shared" si="128"/>
        <v>0.28827232142135095</v>
      </c>
      <c r="Q127" s="27">
        <f t="shared" si="129"/>
        <v>0.69029859473539545</v>
      </c>
      <c r="W127" t="str">
        <f t="shared" si="130"/>
        <v>33 Protective service occupations</v>
      </c>
      <c r="X127" s="27">
        <f t="shared" si="131"/>
        <v>0.20759342107267309</v>
      </c>
      <c r="Y127" s="27">
        <f t="shared" si="131"/>
        <v>0.18726493492576379</v>
      </c>
      <c r="Z127" s="27">
        <f t="shared" si="131"/>
        <v>0.54367100938029922</v>
      </c>
      <c r="AA127" s="27">
        <f t="shared" si="131"/>
        <v>0.75023235487806694</v>
      </c>
      <c r="AB127" s="27">
        <f t="shared" si="132"/>
        <v>1.2939033642583662</v>
      </c>
    </row>
    <row r="128" spans="1:28" x14ac:dyDescent="0.2">
      <c r="A128" t="str">
        <f t="shared" si="124"/>
        <v>34 Culture, media and sports occupations</v>
      </c>
      <c r="B128" s="27">
        <f t="shared" si="125"/>
        <v>0.21649311580405328</v>
      </c>
      <c r="C128" s="27">
        <f t="shared" si="125"/>
        <v>-0.39224256691591197</v>
      </c>
      <c r="D128" s="27">
        <f t="shared" si="125"/>
        <v>-0.38636123698385383</v>
      </c>
      <c r="E128" s="27">
        <f t="shared" si="125"/>
        <v>0.64990159547074811</v>
      </c>
      <c r="F128" s="27">
        <f t="shared" si="126"/>
        <v>0.26354035848689428</v>
      </c>
      <c r="L128" t="str">
        <f t="shared" si="127"/>
        <v>34 Culture, media and sports occupations</v>
      </c>
      <c r="M128" s="27">
        <f t="shared" si="128"/>
        <v>0.34760510519039167</v>
      </c>
      <c r="N128" s="27">
        <f t="shared" si="128"/>
        <v>-0.45556320804718586</v>
      </c>
      <c r="O128" s="27">
        <f t="shared" si="128"/>
        <v>-0.14697252675652095</v>
      </c>
      <c r="P128" s="27">
        <f t="shared" si="128"/>
        <v>0.20793261084337944</v>
      </c>
      <c r="Q128" s="27">
        <f t="shared" si="129"/>
        <v>6.096008408685849E-2</v>
      </c>
      <c r="W128" t="str">
        <f t="shared" si="130"/>
        <v>34 Culture, media and sports occupations</v>
      </c>
      <c r="X128" s="27">
        <f t="shared" si="131"/>
        <v>-0.13111198938634105</v>
      </c>
      <c r="Y128" s="27">
        <f t="shared" si="131"/>
        <v>6.3320641131264566E-2</v>
      </c>
      <c r="Z128" s="27">
        <f t="shared" si="131"/>
        <v>-0.23938871022732799</v>
      </c>
      <c r="AA128" s="27">
        <f t="shared" si="131"/>
        <v>0.44196898462736778</v>
      </c>
      <c r="AB128" s="27">
        <f t="shared" si="132"/>
        <v>0.20258027440003978</v>
      </c>
    </row>
    <row r="129" spans="1:28" x14ac:dyDescent="0.2">
      <c r="A129" t="str">
        <f t="shared" si="124"/>
        <v>35 Business and public service associate professionals</v>
      </c>
      <c r="B129" s="27">
        <f t="shared" si="125"/>
        <v>0.51843403618244821</v>
      </c>
      <c r="C129" s="27">
        <f t="shared" si="125"/>
        <v>1.0999209000288914</v>
      </c>
      <c r="D129" s="27">
        <f t="shared" si="125"/>
        <v>-1.2794299603099333</v>
      </c>
      <c r="E129" s="27">
        <f t="shared" si="125"/>
        <v>0.95270958124994465</v>
      </c>
      <c r="F129" s="27">
        <f t="shared" si="126"/>
        <v>-0.32672037905998863</v>
      </c>
      <c r="L129" t="str">
        <f t="shared" si="127"/>
        <v>35 Business and public service associate professionals</v>
      </c>
      <c r="M129" s="27">
        <f t="shared" si="128"/>
        <v>0.16975294864617041</v>
      </c>
      <c r="N129" s="27">
        <f t="shared" si="128"/>
        <v>0.5220880280325968</v>
      </c>
      <c r="O129" s="27">
        <f t="shared" si="128"/>
        <v>-1.0122267015848099</v>
      </c>
      <c r="P129" s="27">
        <f t="shared" si="128"/>
        <v>-4.3233062037852932E-2</v>
      </c>
      <c r="Q129" s="27">
        <f t="shared" si="129"/>
        <v>-1.0554597636226628</v>
      </c>
      <c r="W129" t="str">
        <f t="shared" si="130"/>
        <v>35 Business and public service associate professionals</v>
      </c>
      <c r="X129" s="27">
        <f t="shared" si="131"/>
        <v>0.34868108753628313</v>
      </c>
      <c r="Y129" s="27">
        <f t="shared" si="131"/>
        <v>0.57783287199630529</v>
      </c>
      <c r="Z129" s="27">
        <f t="shared" si="131"/>
        <v>-0.26720325872511808</v>
      </c>
      <c r="AA129" s="27">
        <f t="shared" si="131"/>
        <v>0.99594264328782778</v>
      </c>
      <c r="AB129" s="27">
        <f t="shared" si="132"/>
        <v>0.7287393845627097</v>
      </c>
    </row>
    <row r="130" spans="1:28" x14ac:dyDescent="0.2">
      <c r="A130" t="str">
        <f t="shared" si="124"/>
        <v>41 Administrative occupations</v>
      </c>
      <c r="B130" s="27">
        <f t="shared" si="125"/>
        <v>-3.4537819421058202</v>
      </c>
      <c r="C130" s="27">
        <f t="shared" si="125"/>
        <v>2.0261091223407135</v>
      </c>
      <c r="D130" s="27">
        <f t="shared" si="125"/>
        <v>-4.0306884723062666</v>
      </c>
      <c r="E130" s="27">
        <f t="shared" si="125"/>
        <v>-2.1261776677724527</v>
      </c>
      <c r="F130" s="27">
        <f t="shared" si="126"/>
        <v>-6.1568661400787192</v>
      </c>
      <c r="L130" t="str">
        <f t="shared" si="127"/>
        <v>41 Administrative occupations</v>
      </c>
      <c r="M130" s="27">
        <f t="shared" si="128"/>
        <v>-1.3954689594034821</v>
      </c>
      <c r="N130" s="27">
        <f t="shared" si="128"/>
        <v>2.403578847958725</v>
      </c>
      <c r="O130" s="27">
        <f t="shared" si="128"/>
        <v>-0.83553317930485527</v>
      </c>
      <c r="P130" s="27">
        <f t="shared" si="128"/>
        <v>1.3015647633694076</v>
      </c>
      <c r="Q130" s="27">
        <f t="shared" si="129"/>
        <v>0.46603158406455236</v>
      </c>
      <c r="W130" t="str">
        <f t="shared" si="130"/>
        <v>41 Administrative occupations</v>
      </c>
      <c r="X130" s="27">
        <f t="shared" si="131"/>
        <v>-2.0583129827023541</v>
      </c>
      <c r="Y130" s="27">
        <f t="shared" si="131"/>
        <v>-0.37746972561800618</v>
      </c>
      <c r="Z130" s="27">
        <f t="shared" si="131"/>
        <v>-3.1951552930013598</v>
      </c>
      <c r="AA130" s="27">
        <f t="shared" si="131"/>
        <v>-3.4277424311418301</v>
      </c>
      <c r="AB130" s="27">
        <f t="shared" si="132"/>
        <v>-6.6228977241431899</v>
      </c>
    </row>
    <row r="131" spans="1:28" x14ac:dyDescent="0.2">
      <c r="A131" t="str">
        <f t="shared" si="124"/>
        <v>42 Secretarial and related occupations</v>
      </c>
      <c r="B131" s="27">
        <f t="shared" si="125"/>
        <v>-1.4004323206291236</v>
      </c>
      <c r="C131" s="27">
        <f t="shared" si="125"/>
        <v>4.5574760266624992E-2</v>
      </c>
      <c r="D131" s="27">
        <f t="shared" si="125"/>
        <v>0.72422743430116832</v>
      </c>
      <c r="E131" s="27">
        <f t="shared" si="125"/>
        <v>-1.2018610925153039</v>
      </c>
      <c r="F131" s="27">
        <f t="shared" si="126"/>
        <v>-0.47763365821413561</v>
      </c>
      <c r="L131" t="str">
        <f t="shared" si="127"/>
        <v>42 Secretarial and related occupations</v>
      </c>
      <c r="M131" s="27">
        <f t="shared" si="128"/>
        <v>-0.15581963320575554</v>
      </c>
      <c r="N131" s="27">
        <f t="shared" si="128"/>
        <v>-4.5316191234367698E-2</v>
      </c>
      <c r="O131" s="27">
        <f t="shared" si="128"/>
        <v>0.20073823690209158</v>
      </c>
      <c r="P131" s="27">
        <f t="shared" si="128"/>
        <v>0.12658768904493989</v>
      </c>
      <c r="Q131" s="27">
        <f t="shared" si="129"/>
        <v>0.32732592594703147</v>
      </c>
      <c r="W131" t="str">
        <f t="shared" si="130"/>
        <v>42 Secretarial and related occupations</v>
      </c>
      <c r="X131" s="27">
        <f t="shared" si="131"/>
        <v>-1.244612687423361</v>
      </c>
      <c r="Y131" s="27">
        <f t="shared" si="131"/>
        <v>9.0890951500994355E-2</v>
      </c>
      <c r="Z131" s="27">
        <f t="shared" si="131"/>
        <v>0.52348919739907895</v>
      </c>
      <c r="AA131" s="27">
        <f t="shared" si="131"/>
        <v>-1.328448781560243</v>
      </c>
      <c r="AB131" s="27">
        <f t="shared" si="132"/>
        <v>-0.80495958416116409</v>
      </c>
    </row>
    <row r="132" spans="1:28" x14ac:dyDescent="0.2">
      <c r="A132" t="str">
        <f t="shared" si="124"/>
        <v>51 Skilled agricultural and related trades</v>
      </c>
      <c r="B132" s="27">
        <f t="shared" si="125"/>
        <v>-0.72646270303384597</v>
      </c>
      <c r="C132" s="27">
        <f t="shared" si="125"/>
        <v>-3.8976367363607878E-3</v>
      </c>
      <c r="D132" s="27">
        <f t="shared" si="125"/>
        <v>4.0797538757541219E-2</v>
      </c>
      <c r="E132" s="27">
        <f t="shared" si="125"/>
        <v>0.43366250480162449</v>
      </c>
      <c r="F132" s="27">
        <f t="shared" si="126"/>
        <v>0.47446004355916571</v>
      </c>
      <c r="L132" t="str">
        <f t="shared" si="127"/>
        <v>51 Skilled agricultural and related trades</v>
      </c>
      <c r="M132" s="27">
        <f t="shared" si="128"/>
        <v>-0.81500123523921353</v>
      </c>
      <c r="N132" s="27">
        <f t="shared" si="128"/>
        <v>-0.35231436424533547</v>
      </c>
      <c r="O132" s="27">
        <f t="shared" si="128"/>
        <v>-4.2050939939625831E-2</v>
      </c>
      <c r="P132" s="27">
        <f t="shared" si="128"/>
        <v>0.27502922951405662</v>
      </c>
      <c r="Q132" s="27">
        <f t="shared" si="129"/>
        <v>0.23297828957443079</v>
      </c>
      <c r="W132" t="str">
        <f t="shared" si="130"/>
        <v>51 Skilled agricultural and related trades</v>
      </c>
      <c r="X132" s="27">
        <f t="shared" si="131"/>
        <v>8.853853220536767E-2</v>
      </c>
      <c r="Y132" s="27">
        <f t="shared" si="131"/>
        <v>0.34841672750897379</v>
      </c>
      <c r="Z132" s="27">
        <f t="shared" si="131"/>
        <v>8.2848478697165051E-2</v>
      </c>
      <c r="AA132" s="27">
        <f t="shared" si="131"/>
        <v>0.15863327528757365</v>
      </c>
      <c r="AB132" s="27">
        <f t="shared" si="132"/>
        <v>0.2414817539847387</v>
      </c>
    </row>
    <row r="133" spans="1:28" x14ac:dyDescent="0.2">
      <c r="A133" t="str">
        <f t="shared" si="124"/>
        <v>52 Skilled metal, electrical and electronic trades</v>
      </c>
      <c r="B133" s="27">
        <f t="shared" si="125"/>
        <v>-0.46261402803730078</v>
      </c>
      <c r="C133" s="27">
        <f t="shared" si="125"/>
        <v>-3.4687593208852832</v>
      </c>
      <c r="D133" s="27">
        <f t="shared" si="125"/>
        <v>-1.1046287704148199</v>
      </c>
      <c r="E133" s="27">
        <f t="shared" si="125"/>
        <v>-1.9651755201297121</v>
      </c>
      <c r="F133" s="27">
        <f t="shared" si="126"/>
        <v>-3.069804290544532</v>
      </c>
      <c r="L133" t="str">
        <f t="shared" si="127"/>
        <v>52 Skilled metal, electrical and electronic trades</v>
      </c>
      <c r="M133" s="27">
        <f t="shared" si="128"/>
        <v>-0.58886835046725139</v>
      </c>
      <c r="N133" s="27">
        <f t="shared" si="128"/>
        <v>-3.4039332587339501</v>
      </c>
      <c r="O133" s="27">
        <f t="shared" si="128"/>
        <v>-1.4597406921911222</v>
      </c>
      <c r="P133" s="27">
        <f t="shared" si="128"/>
        <v>-2.1673218483532199</v>
      </c>
      <c r="Q133" s="27">
        <f t="shared" si="129"/>
        <v>-3.6270625405443422</v>
      </c>
      <c r="W133" t="str">
        <f t="shared" si="130"/>
        <v>52 Skilled metal, electrical and electronic trades</v>
      </c>
      <c r="X133" s="27">
        <f t="shared" si="131"/>
        <v>0.1262543224299594</v>
      </c>
      <c r="Y133" s="27">
        <f t="shared" si="131"/>
        <v>-6.48260621513293E-2</v>
      </c>
      <c r="Z133" s="27">
        <f t="shared" si="131"/>
        <v>0.35511192177631329</v>
      </c>
      <c r="AA133" s="27">
        <f t="shared" si="131"/>
        <v>0.20214632822352196</v>
      </c>
      <c r="AB133" s="27">
        <f t="shared" si="132"/>
        <v>0.55725824999983531</v>
      </c>
    </row>
    <row r="134" spans="1:28" x14ac:dyDescent="0.2">
      <c r="A134" t="str">
        <f t="shared" si="124"/>
        <v>53 Skilled construction and building trades</v>
      </c>
      <c r="B134" s="27">
        <f t="shared" si="125"/>
        <v>1.7974669304145543</v>
      </c>
      <c r="C134" s="27">
        <f t="shared" si="125"/>
        <v>-3.7848818960096118</v>
      </c>
      <c r="D134" s="27">
        <f t="shared" si="125"/>
        <v>-0.26424720719677275</v>
      </c>
      <c r="E134" s="27">
        <f t="shared" si="125"/>
        <v>-1.6026712182728762</v>
      </c>
      <c r="F134" s="27">
        <f t="shared" si="126"/>
        <v>-1.8669184254696489</v>
      </c>
      <c r="L134" t="str">
        <f t="shared" si="127"/>
        <v>53 Skilled construction and building trades</v>
      </c>
      <c r="M134" s="27">
        <f t="shared" si="128"/>
        <v>2.0806929944716472</v>
      </c>
      <c r="N134" s="27">
        <f t="shared" si="128"/>
        <v>-3.8629395349993452</v>
      </c>
      <c r="O134" s="27">
        <f t="shared" si="128"/>
        <v>-0.29559524706595219</v>
      </c>
      <c r="P134" s="27">
        <f t="shared" si="128"/>
        <v>-1.664192182957617</v>
      </c>
      <c r="Q134" s="27">
        <f t="shared" si="129"/>
        <v>-1.9597874300235691</v>
      </c>
      <c r="W134" t="str">
        <f t="shared" si="130"/>
        <v>53 Skilled construction and building trades</v>
      </c>
      <c r="X134" s="27">
        <f t="shared" si="131"/>
        <v>-0.28322606405711009</v>
      </c>
      <c r="Y134" s="27">
        <f t="shared" si="131"/>
        <v>7.8057638989727174E-2</v>
      </c>
      <c r="Z134" s="27">
        <f t="shared" si="131"/>
        <v>3.1348039869184385E-2</v>
      </c>
      <c r="AA134" s="27">
        <f t="shared" si="131"/>
        <v>6.152096468473367E-2</v>
      </c>
      <c r="AB134" s="27">
        <f t="shared" si="132"/>
        <v>9.2869004553918055E-2</v>
      </c>
    </row>
    <row r="135" spans="1:28" x14ac:dyDescent="0.2">
      <c r="A135" t="str">
        <f t="shared" si="124"/>
        <v>54 Textiles, printing and other skilled trades</v>
      </c>
      <c r="B135" s="27">
        <f t="shared" si="125"/>
        <v>-1.6053626906671603</v>
      </c>
      <c r="C135" s="27">
        <f t="shared" si="125"/>
        <v>-0.52205798408542314</v>
      </c>
      <c r="D135" s="27">
        <f t="shared" si="125"/>
        <v>-0.1848868172194269</v>
      </c>
      <c r="E135" s="27">
        <f t="shared" si="125"/>
        <v>-0.42207554045302054</v>
      </c>
      <c r="F135" s="27">
        <f t="shared" si="126"/>
        <v>-0.60696235767244744</v>
      </c>
      <c r="L135" t="str">
        <f t="shared" si="127"/>
        <v>54 Textiles, printing and other skilled trades</v>
      </c>
      <c r="M135" s="27">
        <f t="shared" si="128"/>
        <v>-0.89256070008456145</v>
      </c>
      <c r="N135" s="27">
        <f t="shared" si="128"/>
        <v>-0.86758073099746902</v>
      </c>
      <c r="O135" s="27">
        <f t="shared" si="128"/>
        <v>-0.13380329586733808</v>
      </c>
      <c r="P135" s="27">
        <f t="shared" si="128"/>
        <v>-0.24254712810917578</v>
      </c>
      <c r="Q135" s="27">
        <f t="shared" si="129"/>
        <v>-0.37635042397651386</v>
      </c>
      <c r="W135" t="str">
        <f t="shared" si="130"/>
        <v>54 Textiles, printing and other skilled trades</v>
      </c>
      <c r="X135" s="27">
        <f t="shared" si="131"/>
        <v>-0.71280199058259663</v>
      </c>
      <c r="Y135" s="27">
        <f t="shared" si="131"/>
        <v>0.34552274691204721</v>
      </c>
      <c r="Z135" s="27">
        <f t="shared" si="131"/>
        <v>-5.1083521352096817E-2</v>
      </c>
      <c r="AA135" s="27">
        <f t="shared" si="131"/>
        <v>-0.17952841234384254</v>
      </c>
      <c r="AB135" s="27">
        <f t="shared" si="132"/>
        <v>-0.23061193369593935</v>
      </c>
    </row>
    <row r="136" spans="1:28" x14ac:dyDescent="0.2">
      <c r="A136" t="str">
        <f t="shared" si="124"/>
        <v>61 Caring personal service occupations</v>
      </c>
      <c r="B136" s="27">
        <f t="shared" si="125"/>
        <v>-2.2543916320743342</v>
      </c>
      <c r="C136" s="27">
        <f t="shared" si="125"/>
        <v>0.25264782930966945</v>
      </c>
      <c r="D136" s="27">
        <f t="shared" si="125"/>
        <v>2.0284536104099828</v>
      </c>
      <c r="E136" s="27">
        <f t="shared" si="125"/>
        <v>1.2399824626687987</v>
      </c>
      <c r="F136" s="27">
        <f t="shared" si="126"/>
        <v>3.2684360730787816</v>
      </c>
      <c r="L136" t="str">
        <f t="shared" si="127"/>
        <v>61 Caring personal service occupations</v>
      </c>
      <c r="M136" s="27">
        <f t="shared" si="128"/>
        <v>-8.3819998645484617E-4</v>
      </c>
      <c r="N136" s="27">
        <f t="shared" si="128"/>
        <v>-0.15981878941858785</v>
      </c>
      <c r="O136" s="27">
        <f t="shared" si="128"/>
        <v>0.83692594365016948</v>
      </c>
      <c r="P136" s="27">
        <f t="shared" si="128"/>
        <v>0.60557815342931942</v>
      </c>
      <c r="Q136" s="27">
        <f t="shared" si="129"/>
        <v>1.4425040970794889</v>
      </c>
      <c r="W136" t="str">
        <f t="shared" si="130"/>
        <v>61 Caring personal service occupations</v>
      </c>
      <c r="X136" s="27">
        <f t="shared" si="131"/>
        <v>-2.2535534320878874</v>
      </c>
      <c r="Y136" s="27">
        <f t="shared" si="131"/>
        <v>0.41246661872829549</v>
      </c>
      <c r="Z136" s="27">
        <f t="shared" si="131"/>
        <v>1.1915276667597396</v>
      </c>
      <c r="AA136" s="27">
        <f t="shared" si="131"/>
        <v>0.63440430923957436</v>
      </c>
      <c r="AB136" s="27">
        <f t="shared" si="132"/>
        <v>1.825931975999314</v>
      </c>
    </row>
    <row r="137" spans="1:28" x14ac:dyDescent="0.2">
      <c r="A137" t="str">
        <f t="shared" si="124"/>
        <v>62 Leisure, travel and related personal service occupations</v>
      </c>
      <c r="B137" s="27">
        <f t="shared" si="125"/>
        <v>0.65584807501048203</v>
      </c>
      <c r="C137" s="27">
        <f t="shared" si="125"/>
        <v>-0.76020058155572379</v>
      </c>
      <c r="D137" s="27">
        <f t="shared" si="125"/>
        <v>-0.18015187205862304</v>
      </c>
      <c r="E137" s="27">
        <f t="shared" si="125"/>
        <v>0.20187996684425791</v>
      </c>
      <c r="F137" s="27">
        <f t="shared" si="126"/>
        <v>2.1728094785634866E-2</v>
      </c>
      <c r="L137" t="str">
        <f t="shared" si="127"/>
        <v>62 Leisure, travel and related personal service occupations</v>
      </c>
      <c r="M137" s="27">
        <f t="shared" si="128"/>
        <v>0.25854344328610779</v>
      </c>
      <c r="N137" s="27">
        <f t="shared" si="128"/>
        <v>-1.3414930213073717E-2</v>
      </c>
      <c r="O137" s="27">
        <f t="shared" si="128"/>
        <v>-8.5199470382578024E-2</v>
      </c>
      <c r="P137" s="27">
        <f t="shared" si="128"/>
        <v>0.21575899922309194</v>
      </c>
      <c r="Q137" s="27">
        <f t="shared" si="129"/>
        <v>0.13055952884051392</v>
      </c>
      <c r="W137" t="str">
        <f t="shared" si="130"/>
        <v>62 Leisure, travel and related personal service occupations</v>
      </c>
      <c r="X137" s="27">
        <f t="shared" si="131"/>
        <v>0.39730463172437336</v>
      </c>
      <c r="Y137" s="27">
        <f t="shared" si="131"/>
        <v>-0.74678565134264741</v>
      </c>
      <c r="Z137" s="27">
        <f t="shared" si="131"/>
        <v>-9.495240167606056E-2</v>
      </c>
      <c r="AA137" s="27">
        <f t="shared" si="131"/>
        <v>-1.3879032378803835E-2</v>
      </c>
      <c r="AB137" s="27">
        <f t="shared" si="132"/>
        <v>-0.1088314340548644</v>
      </c>
    </row>
    <row r="138" spans="1:28" x14ac:dyDescent="0.2">
      <c r="A138" t="str">
        <f t="shared" si="124"/>
        <v>63 Community and civil enforcement occupations</v>
      </c>
      <c r="B138" s="27">
        <f t="shared" si="125"/>
        <v>-5.6578082033800992E-2</v>
      </c>
      <c r="C138" s="27">
        <f t="shared" si="125"/>
        <v>0.11625203242906923</v>
      </c>
      <c r="D138" s="27">
        <f t="shared" si="125"/>
        <v>-0.11017373859901058</v>
      </c>
      <c r="E138" s="27">
        <f t="shared" si="125"/>
        <v>2.8343715572827111E-2</v>
      </c>
      <c r="F138" s="27">
        <f t="shared" si="126"/>
        <v>-8.1830023026183474E-2</v>
      </c>
      <c r="L138" t="str">
        <f t="shared" si="127"/>
        <v>63 Community and civil enforcement occupations</v>
      </c>
      <c r="M138" s="27">
        <f t="shared" si="128"/>
        <v>-9.1024666150900435E-2</v>
      </c>
      <c r="N138" s="27">
        <f t="shared" si="128"/>
        <v>0.15022229288500694</v>
      </c>
      <c r="O138" s="27">
        <f t="shared" si="128"/>
        <v>-0.16488385756451102</v>
      </c>
      <c r="P138" s="27">
        <f t="shared" si="128"/>
        <v>3.6768310185809339E-2</v>
      </c>
      <c r="Q138" s="27">
        <f t="shared" si="129"/>
        <v>-0.12811554737870168</v>
      </c>
      <c r="W138" t="str">
        <f t="shared" si="130"/>
        <v>63 Community and civil enforcement occupations</v>
      </c>
      <c r="X138" s="27">
        <f t="shared" si="131"/>
        <v>3.4446584117099083E-2</v>
      </c>
      <c r="Y138" s="27">
        <f t="shared" si="131"/>
        <v>-3.397026045593704E-2</v>
      </c>
      <c r="Z138" s="27">
        <f t="shared" si="131"/>
        <v>5.4710118965499738E-2</v>
      </c>
      <c r="AA138" s="27">
        <f t="shared" si="131"/>
        <v>-8.4245946129812566E-3</v>
      </c>
      <c r="AB138" s="27">
        <f t="shared" si="132"/>
        <v>4.6285524352518481E-2</v>
      </c>
    </row>
    <row r="139" spans="1:28" x14ac:dyDescent="0.2">
      <c r="A139" t="str">
        <f t="shared" si="124"/>
        <v>71 Sales occupations</v>
      </c>
      <c r="B139" s="27">
        <f t="shared" si="125"/>
        <v>-5.5336049371258724</v>
      </c>
      <c r="C139" s="27">
        <f t="shared" si="125"/>
        <v>0.30667193036821061</v>
      </c>
      <c r="D139" s="27">
        <f t="shared" si="125"/>
        <v>-2.5355255400500383</v>
      </c>
      <c r="E139" s="27">
        <f t="shared" si="125"/>
        <v>-1.3919520821346012</v>
      </c>
      <c r="F139" s="27">
        <f t="shared" si="126"/>
        <v>-3.9274776221846395</v>
      </c>
      <c r="L139" t="str">
        <f t="shared" si="127"/>
        <v>71 Sales occupations</v>
      </c>
      <c r="M139" s="27">
        <f t="shared" si="128"/>
        <v>-0.80987282066683441</v>
      </c>
      <c r="N139" s="27">
        <f t="shared" si="128"/>
        <v>-0.251255373107929</v>
      </c>
      <c r="O139" s="27">
        <f t="shared" si="128"/>
        <v>-0.87274431185526424</v>
      </c>
      <c r="P139" s="27">
        <f t="shared" si="128"/>
        <v>4.1904683007231824E-2</v>
      </c>
      <c r="Q139" s="27">
        <f t="shared" si="129"/>
        <v>-0.83083962884803242</v>
      </c>
      <c r="W139" t="str">
        <f t="shared" si="130"/>
        <v>71 Sales occupations</v>
      </c>
      <c r="X139" s="27">
        <f t="shared" si="131"/>
        <v>-4.7237321164589474</v>
      </c>
      <c r="Y139" s="27">
        <f t="shared" si="131"/>
        <v>0.55792730347616271</v>
      </c>
      <c r="Z139" s="27">
        <f t="shared" si="131"/>
        <v>-1.6627812281947953</v>
      </c>
      <c r="AA139" s="27">
        <f t="shared" si="131"/>
        <v>-1.4338567651418899</v>
      </c>
      <c r="AB139" s="27">
        <f t="shared" si="132"/>
        <v>-3.0966379933366852</v>
      </c>
    </row>
    <row r="140" spans="1:28" x14ac:dyDescent="0.2">
      <c r="A140" t="str">
        <f t="shared" si="124"/>
        <v>72 Customer service occupations</v>
      </c>
      <c r="B140" s="27">
        <f t="shared" si="125"/>
        <v>0.21864561653397629</v>
      </c>
      <c r="C140" s="27">
        <f t="shared" si="125"/>
        <v>0.39729821969566537</v>
      </c>
      <c r="D140" s="27">
        <f t="shared" si="125"/>
        <v>2.4418712306737813</v>
      </c>
      <c r="E140" s="27">
        <f t="shared" si="125"/>
        <v>1.8325744763071796</v>
      </c>
      <c r="F140" s="27">
        <f t="shared" si="126"/>
        <v>4.2744457069809609</v>
      </c>
      <c r="L140" t="str">
        <f t="shared" si="127"/>
        <v>72 Customer service occupations</v>
      </c>
      <c r="M140" s="27">
        <f t="shared" si="128"/>
        <v>-0.25829918741298474</v>
      </c>
      <c r="N140" s="27">
        <f t="shared" si="128"/>
        <v>0.5984575399905232</v>
      </c>
      <c r="O140" s="27">
        <f t="shared" si="128"/>
        <v>1.2980933826031653</v>
      </c>
      <c r="P140" s="27">
        <f t="shared" si="128"/>
        <v>1.002023494542315</v>
      </c>
      <c r="Q140" s="27">
        <f t="shared" si="129"/>
        <v>2.3001168771454803</v>
      </c>
      <c r="W140" t="str">
        <f t="shared" si="130"/>
        <v>72 Customer service occupations</v>
      </c>
      <c r="X140" s="27">
        <f t="shared" si="131"/>
        <v>0.47694480394697258</v>
      </c>
      <c r="Y140" s="27">
        <f t="shared" si="131"/>
        <v>-0.20115932029484984</v>
      </c>
      <c r="Z140" s="27">
        <f t="shared" si="131"/>
        <v>1.1437778480706102</v>
      </c>
      <c r="AA140" s="27">
        <f t="shared" si="131"/>
        <v>0.83055098176487263</v>
      </c>
      <c r="AB140" s="27">
        <f t="shared" si="132"/>
        <v>1.9743288298354829</v>
      </c>
    </row>
    <row r="141" spans="1:28" x14ac:dyDescent="0.2">
      <c r="A141" t="str">
        <f t="shared" si="124"/>
        <v>81 Process, plant and machine operatives</v>
      </c>
      <c r="B141" s="27">
        <f t="shared" si="125"/>
        <v>-1.5910656940708172</v>
      </c>
      <c r="C141" s="27">
        <f t="shared" si="125"/>
        <v>-2.412763003662235</v>
      </c>
      <c r="D141" s="27">
        <f t="shared" si="125"/>
        <v>2.7448930674235221</v>
      </c>
      <c r="E141" s="27">
        <f t="shared" si="125"/>
        <v>-1.0093341036719856</v>
      </c>
      <c r="F141" s="27">
        <f t="shared" si="126"/>
        <v>1.7355589637515365</v>
      </c>
      <c r="L141" t="str">
        <f t="shared" si="127"/>
        <v>81 Process, plant and machine operatives</v>
      </c>
      <c r="M141" s="27">
        <f t="shared" si="128"/>
        <v>-1.6348284507261432</v>
      </c>
      <c r="N141" s="27">
        <f t="shared" si="128"/>
        <v>-1.7175001965921783</v>
      </c>
      <c r="O141" s="27">
        <f t="shared" si="128"/>
        <v>2.2763394088247662</v>
      </c>
      <c r="P141" s="27">
        <f t="shared" si="128"/>
        <v>-0.80203679058042709</v>
      </c>
      <c r="Q141" s="27">
        <f t="shared" si="129"/>
        <v>1.4743026182443391</v>
      </c>
      <c r="W141" t="str">
        <f t="shared" si="130"/>
        <v>81 Process, plant and machine operatives</v>
      </c>
      <c r="X141" s="27">
        <f t="shared" si="131"/>
        <v>4.3762756655294943E-2</v>
      </c>
      <c r="Y141" s="27">
        <f t="shared" si="131"/>
        <v>-0.69526280707003441</v>
      </c>
      <c r="Z141" s="27">
        <f t="shared" si="131"/>
        <v>0.46855365859877152</v>
      </c>
      <c r="AA141" s="27">
        <f t="shared" si="131"/>
        <v>-0.20729731309155586</v>
      </c>
      <c r="AB141" s="27">
        <f t="shared" si="132"/>
        <v>0.26125634550721566</v>
      </c>
    </row>
    <row r="142" spans="1:28" x14ac:dyDescent="0.2">
      <c r="A142" t="str">
        <f t="shared" si="124"/>
        <v>82 Transport and mobile machine drivers and operatives</v>
      </c>
      <c r="B142" s="27">
        <f t="shared" si="125"/>
        <v>3.554607295290328</v>
      </c>
      <c r="C142" s="27">
        <f t="shared" si="125"/>
        <v>-2.2472484611263894</v>
      </c>
      <c r="D142" s="27">
        <f t="shared" si="125"/>
        <v>-2.8875429789746221E-2</v>
      </c>
      <c r="E142" s="27">
        <f t="shared" si="125"/>
        <v>-1.1549804436473465</v>
      </c>
      <c r="F142" s="27">
        <f t="shared" si="126"/>
        <v>-1.1838558734370928</v>
      </c>
      <c r="L142" t="str">
        <f t="shared" si="127"/>
        <v>82 Transport and mobile machine drivers and operatives</v>
      </c>
      <c r="M142" s="27">
        <f t="shared" si="128"/>
        <v>3.5592440625207651</v>
      </c>
      <c r="N142" s="27">
        <f t="shared" si="128"/>
        <v>-2.1399059906193258</v>
      </c>
      <c r="O142" s="27">
        <f t="shared" si="128"/>
        <v>-0.21849163897200441</v>
      </c>
      <c r="P142" s="27">
        <f t="shared" si="128"/>
        <v>-1.218697791703665</v>
      </c>
      <c r="Q142" s="27">
        <f t="shared" si="129"/>
        <v>-1.4371894306756694</v>
      </c>
      <c r="W142" t="str">
        <f t="shared" si="130"/>
        <v>82 Transport and mobile machine drivers and operatives</v>
      </c>
      <c r="X142" s="27">
        <f t="shared" si="131"/>
        <v>-4.6367672304752361E-3</v>
      </c>
      <c r="Y142" s="27">
        <f t="shared" si="131"/>
        <v>-0.10734247050704881</v>
      </c>
      <c r="Z142" s="27">
        <f t="shared" si="131"/>
        <v>0.18961620918224631</v>
      </c>
      <c r="AA142" s="27">
        <f t="shared" si="131"/>
        <v>6.371734805636986E-2</v>
      </c>
      <c r="AB142" s="27">
        <f t="shared" si="132"/>
        <v>0.25333355723861617</v>
      </c>
    </row>
    <row r="143" spans="1:28" x14ac:dyDescent="0.2">
      <c r="A143" t="str">
        <f t="shared" si="124"/>
        <v>91 Elementary trades and related occupations</v>
      </c>
      <c r="B143" s="27">
        <f t="shared" si="125"/>
        <v>-1.0830496378894319</v>
      </c>
      <c r="C143" s="27">
        <f t="shared" si="125"/>
        <v>-0.93019647441200348</v>
      </c>
      <c r="D143" s="27">
        <f t="shared" si="125"/>
        <v>-1.3517434147676646</v>
      </c>
      <c r="E143" s="27">
        <f t="shared" si="125"/>
        <v>-0.46176691292369565</v>
      </c>
      <c r="F143" s="27">
        <f t="shared" si="126"/>
        <v>-1.8135103276913602</v>
      </c>
      <c r="L143" t="str">
        <f t="shared" si="127"/>
        <v>91 Elementary trades and related occupations</v>
      </c>
      <c r="M143" s="27">
        <f t="shared" si="128"/>
        <v>-0.70772943894051554</v>
      </c>
      <c r="N143" s="27">
        <f t="shared" si="128"/>
        <v>-0.57922445751738305</v>
      </c>
      <c r="O143" s="27">
        <f t="shared" si="128"/>
        <v>-1.1467055575053999</v>
      </c>
      <c r="P143" s="27">
        <f t="shared" si="128"/>
        <v>-0.37638397715653404</v>
      </c>
      <c r="Q143" s="27">
        <f t="shared" si="129"/>
        <v>-1.523089534661934</v>
      </c>
      <c r="W143" t="str">
        <f t="shared" si="130"/>
        <v>91 Elementary trades and related occupations</v>
      </c>
      <c r="X143" s="27">
        <f t="shared" si="131"/>
        <v>-0.37532019894893875</v>
      </c>
      <c r="Y143" s="27">
        <f t="shared" si="131"/>
        <v>-0.35097201689461088</v>
      </c>
      <c r="Z143" s="27">
        <f t="shared" si="131"/>
        <v>-0.20503785726227453</v>
      </c>
      <c r="AA143" s="27">
        <f t="shared" si="131"/>
        <v>-8.5382935767160273E-2</v>
      </c>
      <c r="AB143" s="27">
        <f t="shared" si="132"/>
        <v>-0.2904207930294348</v>
      </c>
    </row>
    <row r="144" spans="1:28" x14ac:dyDescent="0.2">
      <c r="A144" t="str">
        <f t="shared" si="124"/>
        <v>92 Elementary administration and service occupations</v>
      </c>
      <c r="B144" s="27">
        <f t="shared" si="125"/>
        <v>-2.8928319842412762</v>
      </c>
      <c r="C144" s="27">
        <f t="shared" si="125"/>
        <v>-2.6771991954503491</v>
      </c>
      <c r="D144" s="27">
        <f t="shared" si="125"/>
        <v>-0.12577902969674426</v>
      </c>
      <c r="E144" s="27">
        <f t="shared" si="125"/>
        <v>-1.1344369573401707</v>
      </c>
      <c r="F144" s="27">
        <f t="shared" si="126"/>
        <v>-1.260215987036915</v>
      </c>
      <c r="L144" t="str">
        <f t="shared" si="127"/>
        <v>92 Elementary administration and service occupations</v>
      </c>
      <c r="M144" s="27">
        <f t="shared" si="128"/>
        <v>0.63661509112951364</v>
      </c>
      <c r="N144" s="27">
        <f t="shared" si="128"/>
        <v>-1.4258497470249374</v>
      </c>
      <c r="O144" s="27">
        <f t="shared" si="128"/>
        <v>1.0268402347535819</v>
      </c>
      <c r="P144" s="27">
        <f t="shared" si="128"/>
        <v>-1.244519450208319</v>
      </c>
      <c r="Q144" s="27">
        <f t="shared" si="129"/>
        <v>-0.21767921545473712</v>
      </c>
      <c r="W144" t="str">
        <f t="shared" si="130"/>
        <v>92 Elementary administration and service occupations</v>
      </c>
      <c r="X144" s="27">
        <f t="shared" si="131"/>
        <v>-3.5294470753708147</v>
      </c>
      <c r="Y144" s="27">
        <f t="shared" si="131"/>
        <v>-1.2513494484254579</v>
      </c>
      <c r="Z144" s="27">
        <f t="shared" si="131"/>
        <v>-1.1526192644502764</v>
      </c>
      <c r="AA144" s="27">
        <f t="shared" si="131"/>
        <v>0.11008249286809857</v>
      </c>
      <c r="AB144" s="27">
        <f t="shared" si="132"/>
        <v>-1.0425367715821778</v>
      </c>
    </row>
    <row r="145" spans="1:31" x14ac:dyDescent="0.2">
      <c r="C145" s="27"/>
      <c r="F145" s="27"/>
      <c r="N145" s="27"/>
      <c r="Q145" s="27"/>
      <c r="Y145" s="27"/>
      <c r="AB145" s="27"/>
    </row>
    <row r="146" spans="1:31" x14ac:dyDescent="0.2">
      <c r="A146" s="24" t="str">
        <f>A35</f>
        <v>All occupations</v>
      </c>
      <c r="B146" s="29">
        <f>C35-B35</f>
        <v>-6.1360000000002515</v>
      </c>
      <c r="C146" s="29">
        <f t="shared" ref="C146" si="133">D35-C35</f>
        <v>-4.6489999999997167</v>
      </c>
      <c r="D146" s="29">
        <f>E35-D35</f>
        <v>3.8249999999997044</v>
      </c>
      <c r="E146" s="29">
        <f>F35-E35</f>
        <v>10.026999999999987</v>
      </c>
      <c r="F146" s="29">
        <f t="shared" ref="F146" si="134">F35-D35</f>
        <v>13.851999999999691</v>
      </c>
      <c r="L146" s="24" t="str">
        <f>L35</f>
        <v>All occupations</v>
      </c>
      <c r="M146" s="29">
        <f>N35-M35</f>
        <v>2.5546345735871512</v>
      </c>
      <c r="N146" s="29">
        <f t="shared" ref="N146" si="135">O35-N35</f>
        <v>-9.4685037003415289</v>
      </c>
      <c r="O146" s="29">
        <f>P35-O35</f>
        <v>0.32167973473735856</v>
      </c>
      <c r="P146" s="29">
        <f>Q35-P35</f>
        <v>2.2205214537608242</v>
      </c>
      <c r="Q146" s="29">
        <f t="shared" ref="Q146" si="136">Q35-O35</f>
        <v>2.5422011884981828</v>
      </c>
      <c r="W146" s="24" t="str">
        <f>W35</f>
        <v>All occupations</v>
      </c>
      <c r="X146" s="29">
        <f>Y35-X35</f>
        <v>-8.6906345735873742</v>
      </c>
      <c r="Y146" s="29">
        <f t="shared" ref="Y146" si="137">Z35-Y35</f>
        <v>4.819503700341869</v>
      </c>
      <c r="Z146" s="29">
        <f>AA35-Z35</f>
        <v>3.5033202652624311</v>
      </c>
      <c r="AA146" s="29">
        <f>AB35-AA35</f>
        <v>7.8064785462393615</v>
      </c>
      <c r="AB146" s="29">
        <f t="shared" ref="AB146" si="138">AB35-Z35</f>
        <v>11.309798811501793</v>
      </c>
    </row>
    <row r="150" spans="1:31" x14ac:dyDescent="0.2">
      <c r="D150" s="1" t="s">
        <v>13</v>
      </c>
      <c r="H150" s="41" t="s">
        <v>44</v>
      </c>
      <c r="O150" s="1" t="s">
        <v>13</v>
      </c>
      <c r="S150" s="41" t="s">
        <v>44</v>
      </c>
      <c r="Z150" s="1" t="s">
        <v>13</v>
      </c>
      <c r="AD150" s="41" t="s">
        <v>44</v>
      </c>
    </row>
    <row r="151" spans="1:31" x14ac:dyDescent="0.2">
      <c r="A151" s="22"/>
      <c r="B151" s="23">
        <f>B6</f>
        <v>2015</v>
      </c>
      <c r="C151" s="23">
        <f t="shared" ref="C151:F151" si="139">C6</f>
        <v>2019</v>
      </c>
      <c r="D151" s="23">
        <f t="shared" si="139"/>
        <v>2020</v>
      </c>
      <c r="E151" s="23">
        <f t="shared" si="139"/>
        <v>2025</v>
      </c>
      <c r="F151" s="23">
        <f t="shared" si="139"/>
        <v>2035</v>
      </c>
      <c r="H151" s="75" t="str">
        <f>CONCATENATE(B$6,"-",D$6)</f>
        <v>2015-2020</v>
      </c>
      <c r="I151" s="75" t="str">
        <f>CONCATENATE(D$6,"-",F$6)</f>
        <v>2020-2035</v>
      </c>
      <c r="L151" s="22"/>
      <c r="M151" s="23">
        <f>M6</f>
        <v>2015</v>
      </c>
      <c r="N151" s="23">
        <f t="shared" ref="N151:Q151" si="140">N6</f>
        <v>2019</v>
      </c>
      <c r="O151" s="23">
        <f t="shared" si="140"/>
        <v>2020</v>
      </c>
      <c r="P151" s="23">
        <f t="shared" si="140"/>
        <v>2025</v>
      </c>
      <c r="Q151" s="23">
        <f t="shared" si="140"/>
        <v>2035</v>
      </c>
      <c r="S151" s="75" t="str">
        <f>CONCATENATE(M$6,"-",O$6)</f>
        <v>2015-2020</v>
      </c>
      <c r="T151" s="75" t="str">
        <f>CONCATENATE(O$6,"-",Q$6)</f>
        <v>2020-2035</v>
      </c>
      <c r="W151" s="22"/>
      <c r="X151" s="23">
        <f>X6</f>
        <v>2015</v>
      </c>
      <c r="Y151" s="23">
        <f t="shared" ref="Y151:AB151" si="141">Y6</f>
        <v>2019</v>
      </c>
      <c r="Z151" s="23">
        <f t="shared" si="141"/>
        <v>2020</v>
      </c>
      <c r="AA151" s="23">
        <f t="shared" si="141"/>
        <v>2025</v>
      </c>
      <c r="AB151" s="23">
        <f t="shared" si="141"/>
        <v>2035</v>
      </c>
      <c r="AD151" s="75" t="str">
        <f>CONCATENATE(X$6,"-",Z$6)</f>
        <v>2015-2020</v>
      </c>
      <c r="AE151" s="75" t="str">
        <f>CONCATENATE(Z$6,"-",AB$6)</f>
        <v>2020-2035</v>
      </c>
    </row>
    <row r="152" spans="1:31" x14ac:dyDescent="0.2">
      <c r="A152" s="10"/>
      <c r="B152" s="11"/>
      <c r="C152" s="11"/>
      <c r="D152" s="11"/>
      <c r="E152" s="11"/>
      <c r="F152" s="11"/>
      <c r="H152" s="40"/>
      <c r="I152" s="40"/>
      <c r="L152" s="10"/>
      <c r="M152" s="11"/>
      <c r="N152" s="11"/>
      <c r="O152" s="11"/>
      <c r="P152" s="11"/>
      <c r="Q152" s="11"/>
      <c r="S152" s="40"/>
      <c r="T152" s="40"/>
      <c r="W152" s="10"/>
      <c r="X152" s="11"/>
      <c r="Y152" s="11"/>
      <c r="Z152" s="11"/>
      <c r="AA152" s="11"/>
      <c r="AB152" s="11"/>
      <c r="AD152" s="40"/>
      <c r="AE152" s="40"/>
    </row>
    <row r="153" spans="1:31" x14ac:dyDescent="0.2">
      <c r="A153" s="10" t="str">
        <f t="shared" ref="A153:B178" si="142">A8</f>
        <v>11 Corporate managers and directors</v>
      </c>
      <c r="B153" s="11">
        <f t="shared" si="142"/>
        <v>21.732746128315462</v>
      </c>
      <c r="C153" s="11">
        <f t="shared" ref="C153:F153" si="143">C8</f>
        <v>24.68359891633521</v>
      </c>
      <c r="D153" s="11">
        <f t="shared" si="143"/>
        <v>25.412554043295046</v>
      </c>
      <c r="E153" s="11">
        <f t="shared" si="143"/>
        <v>23.185685027332152</v>
      </c>
      <c r="F153" s="11">
        <f t="shared" si="143"/>
        <v>25.23356948501899</v>
      </c>
      <c r="H153" s="40">
        <f>IF(D$151-B$151 &lt;&gt; 0,(EXP(LN(D153/B153)/(D$151-B$151))-1)*100,0)</f>
        <v>3.1779136222073401</v>
      </c>
      <c r="I153" s="40">
        <f>IF(F$151-D$151 &lt;&gt; 0,(EXP(LN(F153/D153)/(F$151-D$151))-1)*100,0)</f>
        <v>-4.7109400992328965E-2</v>
      </c>
      <c r="L153" s="10" t="str">
        <f>L8</f>
        <v>11 Corporate managers and directors</v>
      </c>
      <c r="M153" s="11">
        <f>M8</f>
        <v>14.884311138596459</v>
      </c>
      <c r="N153" s="11">
        <f t="shared" ref="N153:Q153" si="144">N8</f>
        <v>16.622865373817429</v>
      </c>
      <c r="O153" s="11">
        <f t="shared" si="144"/>
        <v>16.741476842741733</v>
      </c>
      <c r="P153" s="11">
        <f t="shared" si="144"/>
        <v>14.743313970781722</v>
      </c>
      <c r="Q153" s="11">
        <f t="shared" si="144"/>
        <v>15.304667538337902</v>
      </c>
      <c r="S153" s="40">
        <f>IF(O$151-M$151 &lt;&gt; 0,(EXP(LN(O153/M153)/(O$151-M$151))-1)*100,0)</f>
        <v>2.3795002609098725</v>
      </c>
      <c r="T153" s="40">
        <f>IF(Q$151-O$151 &lt;&gt; 0,(EXP(LN(Q153/O153)/(Q$151-O$151))-1)*100,0)</f>
        <v>-0.59642384793161529</v>
      </c>
      <c r="W153" s="10" t="str">
        <f>W8</f>
        <v>11 Corporate managers and directors</v>
      </c>
      <c r="X153" s="11">
        <f>X8</f>
        <v>6.848434989718978</v>
      </c>
      <c r="Y153" s="11">
        <f t="shared" ref="Y153:AB153" si="145">Y8</f>
        <v>8.0607335425177578</v>
      </c>
      <c r="Z153" s="11">
        <f t="shared" si="145"/>
        <v>8.6710772005533556</v>
      </c>
      <c r="AA153" s="11">
        <f t="shared" si="145"/>
        <v>8.4423710565504226</v>
      </c>
      <c r="AB153" s="11">
        <f t="shared" si="145"/>
        <v>9.9289019466811599</v>
      </c>
      <c r="AD153" s="40">
        <f>IF(Z$151-X$151 &lt;&gt; 0,(EXP(LN(Z153/X153)/(Z$151-X$151))-1)*100,0)</f>
        <v>4.8325966243137675</v>
      </c>
      <c r="AE153" s="40">
        <f>IF(AB$151-Z$151 &lt;&gt; 0,(EXP(LN(AB153/Z153)/(AB$151-Z$151))-1)*100,0)</f>
        <v>0.90713552577643686</v>
      </c>
    </row>
    <row r="154" spans="1:31" x14ac:dyDescent="0.2">
      <c r="A154" s="10" t="str">
        <f t="shared" si="142"/>
        <v>12 Other managers and proprietors</v>
      </c>
      <c r="B154" s="11">
        <f t="shared" si="142"/>
        <v>14.273459833951772</v>
      </c>
      <c r="C154" s="11">
        <f t="shared" ref="C154:F178" si="146">C9</f>
        <v>15.284069755960404</v>
      </c>
      <c r="D154" s="11">
        <f t="shared" si="146"/>
        <v>14.832524681466086</v>
      </c>
      <c r="E154" s="11">
        <f t="shared" si="146"/>
        <v>17.676835656186935</v>
      </c>
      <c r="F154" s="11">
        <f t="shared" si="146"/>
        <v>20.455568330896881</v>
      </c>
      <c r="H154" s="40">
        <f t="shared" ref="H154:H177" si="147">IF(D$151-B$151 &lt;&gt; 0,(EXP(LN(D154/B154)/(D$151-B$151))-1)*100,0)</f>
        <v>0.77137036970995609</v>
      </c>
      <c r="I154" s="40">
        <f t="shared" ref="I154:I180" si="148">IF(F$151-D$151 &lt;&gt; 0,(EXP(LN(F154/D154)/(F$151-D$151))-1)*100,0)</f>
        <v>2.1660096790900418</v>
      </c>
      <c r="L154" s="10" t="str">
        <f t="shared" ref="L154:Q154" si="149">L9</f>
        <v>12 Other managers and proprietors</v>
      </c>
      <c r="M154" s="11">
        <f t="shared" si="149"/>
        <v>8.8927695756126237</v>
      </c>
      <c r="N154" s="11">
        <f t="shared" si="149"/>
        <v>9.4479894645183116</v>
      </c>
      <c r="O154" s="11">
        <f t="shared" si="149"/>
        <v>8.5394801960791096</v>
      </c>
      <c r="P154" s="11">
        <f t="shared" si="149"/>
        <v>10.476430433597745</v>
      </c>
      <c r="Q154" s="11">
        <f t="shared" si="149"/>
        <v>12.322649529253395</v>
      </c>
      <c r="S154" s="40">
        <f t="shared" ref="S154:S177" si="150">IF(O$151-M$151 &lt;&gt; 0,(EXP(LN(O154/M154)/(O$151-M$151))-1)*100,0)</f>
        <v>-0.80749014766062777</v>
      </c>
      <c r="T154" s="40">
        <f t="shared" ref="T154:T177" si="151">IF(Q$151-O$151 &lt;&gt; 0,(EXP(LN(Q154/O154)/(Q$151-O$151))-1)*100,0)</f>
        <v>2.4750590882163248</v>
      </c>
      <c r="W154" s="10" t="str">
        <f t="shared" ref="W154:AB154" si="152">W9</f>
        <v>12 Other managers and proprietors</v>
      </c>
      <c r="X154" s="11">
        <f t="shared" si="152"/>
        <v>5.3806902583391292</v>
      </c>
      <c r="Y154" s="11">
        <f t="shared" si="152"/>
        <v>5.8360802914420749</v>
      </c>
      <c r="Z154" s="11">
        <f t="shared" si="152"/>
        <v>6.2930444853869627</v>
      </c>
      <c r="AA154" s="11">
        <f t="shared" si="152"/>
        <v>7.2004052225892137</v>
      </c>
      <c r="AB154" s="11">
        <f t="shared" si="152"/>
        <v>8.1329188016435054</v>
      </c>
      <c r="AD154" s="40">
        <f t="shared" ref="AD154:AD177" si="153">IF(Z$151-X$151 &lt;&gt; 0,(EXP(LN(Z154/X154)/(Z$151-X$151))-1)*100,0)</f>
        <v>3.182147356100562</v>
      </c>
      <c r="AE154" s="40">
        <f t="shared" ref="AE154:AE177" si="154">IF(AB$151-Z$151 &lt;&gt; 0,(EXP(LN(AB154/Z154)/(AB$151-Z$151))-1)*100,0)</f>
        <v>1.7245339871738041</v>
      </c>
    </row>
    <row r="155" spans="1:31" x14ac:dyDescent="0.2">
      <c r="A155" s="10" t="str">
        <f t="shared" si="142"/>
        <v>21 Science, research, engineering and technology professionals</v>
      </c>
      <c r="B155" s="11">
        <f t="shared" si="142"/>
        <v>21.426021449350184</v>
      </c>
      <c r="C155" s="11">
        <f t="shared" si="146"/>
        <v>22.375685399680563</v>
      </c>
      <c r="D155" s="11">
        <f t="shared" si="146"/>
        <v>23.469639078952422</v>
      </c>
      <c r="E155" s="11">
        <f t="shared" si="146"/>
        <v>24.314393776822961</v>
      </c>
      <c r="F155" s="11">
        <f t="shared" si="146"/>
        <v>26.474817136388868</v>
      </c>
      <c r="H155" s="40">
        <f t="shared" si="147"/>
        <v>1.8387300943991436</v>
      </c>
      <c r="I155" s="40">
        <f t="shared" si="148"/>
        <v>0.80647699734308631</v>
      </c>
      <c r="L155" s="10" t="str">
        <f t="shared" ref="L155:Q155" si="155">L10</f>
        <v>21 Science, research, engineering and technology professionals</v>
      </c>
      <c r="M155" s="11">
        <f t="shared" si="155"/>
        <v>17.941545497871417</v>
      </c>
      <c r="N155" s="11">
        <f t="shared" si="155"/>
        <v>18.893759731497138</v>
      </c>
      <c r="O155" s="11">
        <f t="shared" si="155"/>
        <v>19.127041645921725</v>
      </c>
      <c r="P155" s="11">
        <f t="shared" si="155"/>
        <v>19.227882604986487</v>
      </c>
      <c r="Q155" s="11">
        <f t="shared" si="155"/>
        <v>20.286600576930685</v>
      </c>
      <c r="S155" s="40">
        <f t="shared" si="150"/>
        <v>1.2879054886181462</v>
      </c>
      <c r="T155" s="40">
        <f t="shared" si="151"/>
        <v>0.39315397226125093</v>
      </c>
      <c r="W155" s="10" t="str">
        <f t="shared" ref="W155:AB155" si="156">W10</f>
        <v>21 Science, research, engineering and technology professionals</v>
      </c>
      <c r="X155" s="11">
        <f t="shared" si="156"/>
        <v>3.484475951478744</v>
      </c>
      <c r="Y155" s="11">
        <f t="shared" si="156"/>
        <v>3.4819256681834223</v>
      </c>
      <c r="Z155" s="11">
        <f t="shared" si="156"/>
        <v>4.3425974330306794</v>
      </c>
      <c r="AA155" s="11">
        <f t="shared" si="156"/>
        <v>5.0865111718365075</v>
      </c>
      <c r="AB155" s="11">
        <f t="shared" si="156"/>
        <v>6.1882165594581462</v>
      </c>
      <c r="AD155" s="40">
        <f t="shared" si="153"/>
        <v>4.5014748936794025</v>
      </c>
      <c r="AE155" s="40">
        <f t="shared" si="154"/>
        <v>2.3892579402795544</v>
      </c>
    </row>
    <row r="156" spans="1:31" x14ac:dyDescent="0.2">
      <c r="A156" s="10" t="str">
        <f t="shared" si="142"/>
        <v>22 Health professionals</v>
      </c>
      <c r="B156" s="11">
        <f t="shared" si="142"/>
        <v>27.572687353088558</v>
      </c>
      <c r="C156" s="11">
        <f t="shared" si="146"/>
        <v>27.845345060706606</v>
      </c>
      <c r="D156" s="11">
        <f t="shared" si="146"/>
        <v>29.027771962856097</v>
      </c>
      <c r="E156" s="11">
        <f t="shared" si="146"/>
        <v>31.484028005298615</v>
      </c>
      <c r="F156" s="11">
        <f t="shared" si="146"/>
        <v>34.325942505499306</v>
      </c>
      <c r="H156" s="40">
        <f t="shared" si="147"/>
        <v>1.0338543531010158</v>
      </c>
      <c r="I156" s="40">
        <f t="shared" si="148"/>
        <v>1.1239250003088008</v>
      </c>
      <c r="L156" s="10" t="str">
        <f t="shared" ref="L156:Q156" si="157">L11</f>
        <v>22 Health professionals</v>
      </c>
      <c r="M156" s="11">
        <f t="shared" si="157"/>
        <v>6.7810987893322174</v>
      </c>
      <c r="N156" s="11">
        <f t="shared" si="157"/>
        <v>6.8323181000760114</v>
      </c>
      <c r="O156" s="11">
        <f t="shared" si="157"/>
        <v>7.7200961463991424</v>
      </c>
      <c r="P156" s="11">
        <f t="shared" si="157"/>
        <v>8.3113285097162297</v>
      </c>
      <c r="Q156" s="11">
        <f t="shared" si="157"/>
        <v>9.1520704129762578</v>
      </c>
      <c r="S156" s="40">
        <f t="shared" si="150"/>
        <v>2.6276838243364464</v>
      </c>
      <c r="T156" s="40">
        <f t="shared" si="151"/>
        <v>1.1408136086379805</v>
      </c>
      <c r="W156" s="10" t="str">
        <f t="shared" ref="W156:AB156" si="158">W11</f>
        <v>22 Health professionals</v>
      </c>
      <c r="X156" s="11">
        <f t="shared" si="158"/>
        <v>20.791588563756338</v>
      </c>
      <c r="Y156" s="11">
        <f t="shared" si="158"/>
        <v>21.013026960630611</v>
      </c>
      <c r="Z156" s="11">
        <f t="shared" si="158"/>
        <v>21.307675816456939</v>
      </c>
      <c r="AA156" s="11">
        <f t="shared" si="158"/>
        <v>23.17269949558235</v>
      </c>
      <c r="AB156" s="11">
        <f t="shared" si="158"/>
        <v>25.173872092522984</v>
      </c>
      <c r="AD156" s="40">
        <f t="shared" si="153"/>
        <v>0.4915816338180834</v>
      </c>
      <c r="AE156" s="40">
        <f t="shared" si="154"/>
        <v>1.1177962416670573</v>
      </c>
    </row>
    <row r="157" spans="1:31" x14ac:dyDescent="0.2">
      <c r="A157" s="10" t="str">
        <f t="shared" si="142"/>
        <v>23 Teaching and other educational professionals</v>
      </c>
      <c r="B157" s="11">
        <f t="shared" si="142"/>
        <v>21.073206393473654</v>
      </c>
      <c r="C157" s="11">
        <f t="shared" si="146"/>
        <v>21.064663212375553</v>
      </c>
      <c r="D157" s="11">
        <f t="shared" si="146"/>
        <v>22.082745267226372</v>
      </c>
      <c r="E157" s="11">
        <f t="shared" si="146"/>
        <v>24.074771011161502</v>
      </c>
      <c r="F157" s="11">
        <f t="shared" si="146"/>
        <v>25.804378704259623</v>
      </c>
      <c r="H157" s="40">
        <f t="shared" si="147"/>
        <v>0.94027612040923358</v>
      </c>
      <c r="I157" s="40">
        <f t="shared" si="148"/>
        <v>1.0437268786075427</v>
      </c>
      <c r="L157" s="10" t="str">
        <f t="shared" ref="L157:Q157" si="159">L12</f>
        <v>23 Teaching and other educational professionals</v>
      </c>
      <c r="M157" s="11">
        <f t="shared" si="159"/>
        <v>8.947303779179995</v>
      </c>
      <c r="N157" s="11">
        <f t="shared" si="159"/>
        <v>7.4491986146062432</v>
      </c>
      <c r="O157" s="11">
        <f t="shared" si="159"/>
        <v>7.2882127538216164</v>
      </c>
      <c r="P157" s="11">
        <f t="shared" si="159"/>
        <v>8.106675332173797</v>
      </c>
      <c r="Q157" s="11">
        <f t="shared" si="159"/>
        <v>8.4725641561284952</v>
      </c>
      <c r="S157" s="40">
        <f t="shared" si="150"/>
        <v>-4.0188891884256339</v>
      </c>
      <c r="T157" s="40">
        <f t="shared" si="151"/>
        <v>1.0088875969727074</v>
      </c>
      <c r="W157" s="10" t="str">
        <f t="shared" ref="W157:AB157" si="160">W12</f>
        <v>23 Teaching and other educational professionals</v>
      </c>
      <c r="X157" s="11">
        <f t="shared" si="160"/>
        <v>12.125902614293683</v>
      </c>
      <c r="Y157" s="11">
        <f t="shared" si="160"/>
        <v>13.615464597769298</v>
      </c>
      <c r="Z157" s="11">
        <f t="shared" si="160"/>
        <v>14.794532513404732</v>
      </c>
      <c r="AA157" s="11">
        <f t="shared" si="160"/>
        <v>15.968095678987732</v>
      </c>
      <c r="AB157" s="11">
        <f t="shared" si="160"/>
        <v>17.331814548131153</v>
      </c>
      <c r="AD157" s="40">
        <f t="shared" si="153"/>
        <v>4.0584695364596302</v>
      </c>
      <c r="AE157" s="40">
        <f t="shared" si="154"/>
        <v>1.0608280753559018</v>
      </c>
    </row>
    <row r="158" spans="1:31" x14ac:dyDescent="0.2">
      <c r="A158" s="10" t="str">
        <f t="shared" si="142"/>
        <v>24 Business, media and public service professionals</v>
      </c>
      <c r="B158" s="11">
        <f t="shared" si="142"/>
        <v>20.053361439408231</v>
      </c>
      <c r="C158" s="11">
        <f t="shared" si="146"/>
        <v>21.593011873697176</v>
      </c>
      <c r="D158" s="11">
        <f t="shared" si="146"/>
        <v>24.487374649426325</v>
      </c>
      <c r="E158" s="11">
        <f t="shared" si="146"/>
        <v>26.623308945695321</v>
      </c>
      <c r="F158" s="11">
        <f t="shared" si="146"/>
        <v>30.198762786552976</v>
      </c>
      <c r="H158" s="40">
        <f t="shared" si="147"/>
        <v>4.0760997932378196</v>
      </c>
      <c r="I158" s="40">
        <f t="shared" si="148"/>
        <v>1.4074343417149748</v>
      </c>
      <c r="L158" s="10" t="str">
        <f t="shared" ref="L158:Q158" si="161">L13</f>
        <v>24 Business, media and public service professionals</v>
      </c>
      <c r="M158" s="11">
        <f t="shared" si="161"/>
        <v>10.915253211012727</v>
      </c>
      <c r="N158" s="11">
        <f t="shared" si="161"/>
        <v>11.0678854321707</v>
      </c>
      <c r="O158" s="11">
        <f t="shared" si="161"/>
        <v>12.187562212006219</v>
      </c>
      <c r="P158" s="11">
        <f t="shared" si="161"/>
        <v>13.310259225773365</v>
      </c>
      <c r="Q158" s="11">
        <f t="shared" si="161"/>
        <v>14.54266907391554</v>
      </c>
      <c r="S158" s="40">
        <f t="shared" si="150"/>
        <v>2.2295869672043889</v>
      </c>
      <c r="T158" s="40">
        <f t="shared" si="151"/>
        <v>1.1847706746412001</v>
      </c>
      <c r="W158" s="10" t="str">
        <f t="shared" ref="W158:AB158" si="162">W13</f>
        <v>24 Business, media and public service professionals</v>
      </c>
      <c r="X158" s="11">
        <f t="shared" si="162"/>
        <v>9.1381082283954846</v>
      </c>
      <c r="Y158" s="11">
        <f t="shared" si="162"/>
        <v>10.52512644152648</v>
      </c>
      <c r="Z158" s="11">
        <f t="shared" si="162"/>
        <v>12.299812437420103</v>
      </c>
      <c r="AA158" s="11">
        <f t="shared" si="162"/>
        <v>13.313049719921946</v>
      </c>
      <c r="AB158" s="11">
        <f t="shared" si="162"/>
        <v>15.656093712637396</v>
      </c>
      <c r="AD158" s="40">
        <f t="shared" si="153"/>
        <v>6.1227360215540871</v>
      </c>
      <c r="AE158" s="40">
        <f t="shared" si="154"/>
        <v>1.6215141484313245</v>
      </c>
    </row>
    <row r="159" spans="1:31" x14ac:dyDescent="0.2">
      <c r="A159" s="10" t="str">
        <f t="shared" si="142"/>
        <v>31 Science, engineering and technology associate professionals</v>
      </c>
      <c r="B159" s="11">
        <f t="shared" si="142"/>
        <v>9.0554566906705691</v>
      </c>
      <c r="C159" s="11">
        <f t="shared" si="146"/>
        <v>9.8720265188058818</v>
      </c>
      <c r="D159" s="11">
        <f t="shared" si="146"/>
        <v>10.70984051084127</v>
      </c>
      <c r="E159" s="11">
        <f t="shared" si="146"/>
        <v>9.1332068964074171</v>
      </c>
      <c r="F159" s="11">
        <f t="shared" si="146"/>
        <v>9.3668808984236378</v>
      </c>
      <c r="H159" s="40">
        <f t="shared" si="147"/>
        <v>3.4128552192368877</v>
      </c>
      <c r="I159" s="40">
        <f t="shared" si="148"/>
        <v>-0.88924154174949699</v>
      </c>
      <c r="L159" s="10" t="str">
        <f t="shared" ref="L159:Q159" si="163">L14</f>
        <v>31 Science, engineering and technology associate professionals</v>
      </c>
      <c r="M159" s="11">
        <f t="shared" si="163"/>
        <v>7.3355241694617623</v>
      </c>
      <c r="N159" s="11">
        <f t="shared" si="163"/>
        <v>8.1832916879174391</v>
      </c>
      <c r="O159" s="11">
        <f t="shared" si="163"/>
        <v>8.6266453818890092</v>
      </c>
      <c r="P159" s="11">
        <f t="shared" si="163"/>
        <v>6.986132931834617</v>
      </c>
      <c r="Q159" s="11">
        <f t="shared" si="163"/>
        <v>6.8404536736621671</v>
      </c>
      <c r="S159" s="40">
        <f t="shared" si="150"/>
        <v>3.2956799293072603</v>
      </c>
      <c r="T159" s="40">
        <f t="shared" si="151"/>
        <v>-1.5347780864571559</v>
      </c>
      <c r="W159" s="10" t="str">
        <f t="shared" ref="W159:AB159" si="164">W14</f>
        <v>31 Science, engineering and technology associate professionals</v>
      </c>
      <c r="X159" s="11">
        <f t="shared" si="164"/>
        <v>1.7199325212088039</v>
      </c>
      <c r="Y159" s="11">
        <f t="shared" si="164"/>
        <v>1.6887348308884227</v>
      </c>
      <c r="Z159" s="11">
        <f t="shared" si="164"/>
        <v>2.0831951289522657</v>
      </c>
      <c r="AA159" s="11">
        <f t="shared" si="164"/>
        <v>2.1470739645727939</v>
      </c>
      <c r="AB159" s="11">
        <f t="shared" si="164"/>
        <v>2.526427224761481</v>
      </c>
      <c r="AD159" s="40">
        <f t="shared" si="153"/>
        <v>3.9067374267275357</v>
      </c>
      <c r="AE159" s="40">
        <f t="shared" si="154"/>
        <v>1.2943268644856731</v>
      </c>
    </row>
    <row r="160" spans="1:31" x14ac:dyDescent="0.2">
      <c r="A160" s="10" t="str">
        <f t="shared" si="142"/>
        <v>32 Health and social care associate professionals</v>
      </c>
      <c r="B160" s="11">
        <f t="shared" si="142"/>
        <v>9.6622274795413947</v>
      </c>
      <c r="C160" s="11">
        <f t="shared" si="146"/>
        <v>9.7417880098546501</v>
      </c>
      <c r="D160" s="11">
        <f t="shared" si="146"/>
        <v>10.403152312211862</v>
      </c>
      <c r="E160" s="11">
        <f t="shared" si="146"/>
        <v>10.414924512502774</v>
      </c>
      <c r="F160" s="11">
        <f t="shared" si="146"/>
        <v>11.167106544013857</v>
      </c>
      <c r="H160" s="40">
        <f t="shared" si="147"/>
        <v>1.4886650136358037</v>
      </c>
      <c r="I160" s="40">
        <f t="shared" si="148"/>
        <v>0.47354217872870308</v>
      </c>
      <c r="L160" s="10" t="str">
        <f t="shared" ref="L160:Q160" si="165">L15</f>
        <v>32 Health and social care associate professionals</v>
      </c>
      <c r="M160" s="11">
        <f t="shared" si="165"/>
        <v>2.2430780111794433</v>
      </c>
      <c r="N160" s="11">
        <f t="shared" si="165"/>
        <v>2.1520031562862454</v>
      </c>
      <c r="O160" s="11">
        <f t="shared" si="165"/>
        <v>2.3972691129580945</v>
      </c>
      <c r="P160" s="11">
        <f t="shared" si="165"/>
        <v>2.1604249566321543</v>
      </c>
      <c r="Q160" s="11">
        <f t="shared" si="165"/>
        <v>2.2788064345784065</v>
      </c>
      <c r="S160" s="40">
        <f t="shared" si="150"/>
        <v>1.3385025061774192</v>
      </c>
      <c r="T160" s="40">
        <f>IF(Q$151-O$151 &lt;&gt; 0,(EXP(LN(Q160/O160)/(Q$151-O$151))-1)*100,0)</f>
        <v>-0.3372859593100519</v>
      </c>
      <c r="W160" s="10" t="str">
        <f t="shared" ref="W160:AB160" si="166">W15</f>
        <v>32 Health and social care associate professionals</v>
      </c>
      <c r="X160" s="11">
        <f t="shared" si="166"/>
        <v>7.419149468361951</v>
      </c>
      <c r="Y160" s="11">
        <f t="shared" si="166"/>
        <v>7.5897848535684123</v>
      </c>
      <c r="Z160" s="11">
        <f t="shared" si="166"/>
        <v>8.005883199253784</v>
      </c>
      <c r="AA160" s="11">
        <f t="shared" si="166"/>
        <v>8.2544995558706358</v>
      </c>
      <c r="AB160" s="11">
        <f t="shared" si="166"/>
        <v>8.8883001094354537</v>
      </c>
      <c r="AD160" s="40">
        <f t="shared" si="153"/>
        <v>1.5338901149162254</v>
      </c>
      <c r="AE160" s="40">
        <f t="shared" si="154"/>
        <v>0.69949609910802124</v>
      </c>
    </row>
    <row r="161" spans="1:31" x14ac:dyDescent="0.2">
      <c r="A161" s="10" t="str">
        <f t="shared" si="142"/>
        <v>33 Protective service occupations</v>
      </c>
      <c r="B161" s="11">
        <f t="shared" si="142"/>
        <v>6.3572759436806443</v>
      </c>
      <c r="C161" s="11">
        <f t="shared" si="146"/>
        <v>6.7089345467370718</v>
      </c>
      <c r="D161" s="11">
        <f t="shared" si="146"/>
        <v>7.0494931142783734</v>
      </c>
      <c r="E161" s="11">
        <f t="shared" si="146"/>
        <v>7.9951903969727285</v>
      </c>
      <c r="F161" s="11">
        <f t="shared" si="146"/>
        <v>9.0336950732721473</v>
      </c>
      <c r="H161" s="40">
        <f t="shared" si="147"/>
        <v>2.0886276078930344</v>
      </c>
      <c r="I161" s="40">
        <f t="shared" si="148"/>
        <v>1.6671156181951918</v>
      </c>
      <c r="L161" s="10" t="str">
        <f t="shared" ref="L161:Q161" si="167">L16</f>
        <v>33 Protective service occupations</v>
      </c>
      <c r="M161" s="11">
        <f t="shared" si="167"/>
        <v>4.7816311174126795</v>
      </c>
      <c r="N161" s="11">
        <f t="shared" si="167"/>
        <v>4.9256962993964342</v>
      </c>
      <c r="O161" s="11">
        <f t="shared" si="167"/>
        <v>5.0789899320119778</v>
      </c>
      <c r="P161" s="11">
        <f t="shared" si="167"/>
        <v>5.4810162053260223</v>
      </c>
      <c r="Q161" s="11">
        <f t="shared" si="167"/>
        <v>5.7692885267473732</v>
      </c>
      <c r="S161" s="40">
        <f t="shared" si="150"/>
        <v>1.2139226158832228</v>
      </c>
      <c r="T161" s="40">
        <f t="shared" si="151"/>
        <v>0.85319485493577929</v>
      </c>
      <c r="W161" s="10" t="str">
        <f t="shared" ref="W161:AB161" si="168">W16</f>
        <v>33 Protective service occupations</v>
      </c>
      <c r="X161" s="11">
        <f t="shared" si="168"/>
        <v>1.5756448262679652</v>
      </c>
      <c r="Y161" s="11">
        <f t="shared" si="168"/>
        <v>1.7832382473406383</v>
      </c>
      <c r="Z161" s="11">
        <f t="shared" si="168"/>
        <v>1.9705031822664021</v>
      </c>
      <c r="AA161" s="11">
        <f t="shared" si="168"/>
        <v>2.5141741916467013</v>
      </c>
      <c r="AB161" s="11">
        <f t="shared" si="168"/>
        <v>3.2644065465247682</v>
      </c>
      <c r="AD161" s="40">
        <f t="shared" si="153"/>
        <v>4.5740101795185062</v>
      </c>
      <c r="AE161" s="40">
        <f t="shared" si="154"/>
        <v>3.4225258005220915</v>
      </c>
    </row>
    <row r="162" spans="1:31" x14ac:dyDescent="0.2">
      <c r="A162" s="10" t="str">
        <f t="shared" si="142"/>
        <v>34 Culture, media and sports occupations</v>
      </c>
      <c r="B162" s="11">
        <f t="shared" si="142"/>
        <v>5.8966157276684097</v>
      </c>
      <c r="C162" s="11">
        <f t="shared" si="146"/>
        <v>6.113108843472463</v>
      </c>
      <c r="D162" s="11">
        <f t="shared" si="146"/>
        <v>5.720866276556551</v>
      </c>
      <c r="E162" s="11">
        <f t="shared" si="146"/>
        <v>5.3345050395726972</v>
      </c>
      <c r="F162" s="11">
        <f t="shared" si="146"/>
        <v>5.9844066350434453</v>
      </c>
      <c r="H162" s="40">
        <f t="shared" si="147"/>
        <v>-0.6033393535862186</v>
      </c>
      <c r="I162" s="40">
        <f t="shared" si="148"/>
        <v>0.30069753214485573</v>
      </c>
      <c r="L162" s="10" t="str">
        <f t="shared" ref="L162:Q162" si="169">L17</f>
        <v>34 Culture, media and sports occupations</v>
      </c>
      <c r="M162" s="11">
        <f t="shared" si="169"/>
        <v>2.5649209536208399</v>
      </c>
      <c r="N162" s="11">
        <f t="shared" si="169"/>
        <v>2.9125260588112316</v>
      </c>
      <c r="O162" s="11">
        <f t="shared" si="169"/>
        <v>2.4569628507640457</v>
      </c>
      <c r="P162" s="11">
        <f t="shared" si="169"/>
        <v>2.3099903240075248</v>
      </c>
      <c r="Q162" s="11">
        <f t="shared" si="169"/>
        <v>2.5179229348509042</v>
      </c>
      <c r="S162" s="40">
        <f t="shared" si="150"/>
        <v>-0.85634603273428977</v>
      </c>
      <c r="T162" s="40">
        <f t="shared" si="151"/>
        <v>0.16352259118048718</v>
      </c>
      <c r="W162" s="10" t="str">
        <f t="shared" ref="W162:AB162" si="170">W17</f>
        <v>34 Culture, media and sports occupations</v>
      </c>
      <c r="X162" s="11">
        <f t="shared" si="170"/>
        <v>3.3316947740475733</v>
      </c>
      <c r="Y162" s="11">
        <f t="shared" si="170"/>
        <v>3.2005827846612322</v>
      </c>
      <c r="Z162" s="11">
        <f t="shared" si="170"/>
        <v>3.2639034257924968</v>
      </c>
      <c r="AA162" s="11">
        <f t="shared" si="170"/>
        <v>3.0245147155651688</v>
      </c>
      <c r="AB162" s="11">
        <f t="shared" si="170"/>
        <v>3.4664837001925366</v>
      </c>
      <c r="AD162" s="40">
        <f t="shared" si="153"/>
        <v>-0.41030128878136729</v>
      </c>
      <c r="AE162" s="40">
        <f t="shared" si="154"/>
        <v>0.40225279561914018</v>
      </c>
    </row>
    <row r="163" spans="1:31" x14ac:dyDescent="0.2">
      <c r="A163" s="10" t="str">
        <f t="shared" si="142"/>
        <v>35 Business and public service associate professionals</v>
      </c>
      <c r="B163" s="11">
        <f t="shared" si="142"/>
        <v>20.575349082820939</v>
      </c>
      <c r="C163" s="11">
        <f t="shared" si="146"/>
        <v>21.093783119003387</v>
      </c>
      <c r="D163" s="11">
        <f t="shared" si="146"/>
        <v>22.193704019032278</v>
      </c>
      <c r="E163" s="11">
        <f t="shared" si="146"/>
        <v>20.914274058722345</v>
      </c>
      <c r="F163" s="11">
        <f t="shared" si="146"/>
        <v>21.86698363997229</v>
      </c>
      <c r="H163" s="40">
        <f t="shared" si="147"/>
        <v>1.5258222585743164</v>
      </c>
      <c r="I163" s="40">
        <f t="shared" si="148"/>
        <v>-9.8822758130379107E-2</v>
      </c>
      <c r="L163" s="10" t="str">
        <f t="shared" ref="L163:Q163" si="171">L18</f>
        <v>35 Business and public service associate professionals</v>
      </c>
      <c r="M163" s="11">
        <f t="shared" si="171"/>
        <v>10.387791366594064</v>
      </c>
      <c r="N163" s="11">
        <f t="shared" si="171"/>
        <v>10.557544315240234</v>
      </c>
      <c r="O163" s="11">
        <f t="shared" si="171"/>
        <v>11.079632343272831</v>
      </c>
      <c r="P163" s="11">
        <f t="shared" si="171"/>
        <v>10.067405641688021</v>
      </c>
      <c r="Q163" s="11">
        <f t="shared" si="171"/>
        <v>10.024172579650168</v>
      </c>
      <c r="S163" s="40">
        <f t="shared" si="150"/>
        <v>1.2978962822050022</v>
      </c>
      <c r="T163" s="40">
        <f t="shared" si="151"/>
        <v>-0.66517163842686466</v>
      </c>
      <c r="W163" s="10" t="str">
        <f t="shared" ref="W163:AB163" si="172">W18</f>
        <v>35 Business and public service associate professionals</v>
      </c>
      <c r="X163" s="11">
        <f t="shared" si="172"/>
        <v>10.187557716226868</v>
      </c>
      <c r="Y163" s="11">
        <f t="shared" si="172"/>
        <v>10.536238803763151</v>
      </c>
      <c r="Z163" s="11">
        <f t="shared" si="172"/>
        <v>11.114071675759456</v>
      </c>
      <c r="AA163" s="11">
        <f t="shared" si="172"/>
        <v>10.846868417034338</v>
      </c>
      <c r="AB163" s="11">
        <f t="shared" si="172"/>
        <v>11.842811060322166</v>
      </c>
      <c r="AD163" s="40">
        <f t="shared" si="153"/>
        <v>1.7561395433064675</v>
      </c>
      <c r="AE163" s="40">
        <f t="shared" si="154"/>
        <v>0.42429089537916465</v>
      </c>
    </row>
    <row r="164" spans="1:31" x14ac:dyDescent="0.2">
      <c r="A164" s="10" t="str">
        <f t="shared" si="142"/>
        <v>41 Administrative occupations</v>
      </c>
      <c r="B164" s="11">
        <f t="shared" si="142"/>
        <v>45.581332961093828</v>
      </c>
      <c r="C164" s="11">
        <f t="shared" si="146"/>
        <v>42.127551018988008</v>
      </c>
      <c r="D164" s="11">
        <f t="shared" si="146"/>
        <v>44.153660141328722</v>
      </c>
      <c r="E164" s="11">
        <f t="shared" si="146"/>
        <v>40.122971669022455</v>
      </c>
      <c r="F164" s="11">
        <f t="shared" si="146"/>
        <v>37.996794001250002</v>
      </c>
      <c r="H164" s="40">
        <f t="shared" si="147"/>
        <v>-0.63442779025502105</v>
      </c>
      <c r="I164" s="40">
        <f t="shared" si="148"/>
        <v>-0.99616532864348351</v>
      </c>
      <c r="L164" s="10" t="str">
        <f t="shared" ref="L164:Q164" si="173">L19</f>
        <v>41 Administrative occupations</v>
      </c>
      <c r="M164" s="11">
        <f t="shared" si="173"/>
        <v>13.596877625623438</v>
      </c>
      <c r="N164" s="11">
        <f t="shared" si="173"/>
        <v>12.201408666219956</v>
      </c>
      <c r="O164" s="11">
        <f t="shared" si="173"/>
        <v>14.604987514178681</v>
      </c>
      <c r="P164" s="11">
        <f t="shared" si="173"/>
        <v>13.769454334873826</v>
      </c>
      <c r="Q164" s="11">
        <f t="shared" si="173"/>
        <v>15.071019098243234</v>
      </c>
      <c r="S164" s="40">
        <f t="shared" si="150"/>
        <v>1.4407380274356285</v>
      </c>
      <c r="T164" s="40">
        <f t="shared" si="151"/>
        <v>0.20962309408838475</v>
      </c>
      <c r="W164" s="10" t="str">
        <f t="shared" ref="W164:AB164" si="174">W19</f>
        <v>41 Administrative occupations</v>
      </c>
      <c r="X164" s="11">
        <f t="shared" si="174"/>
        <v>31.984455335470361</v>
      </c>
      <c r="Y164" s="11">
        <f t="shared" si="174"/>
        <v>29.926142352768007</v>
      </c>
      <c r="Z164" s="11">
        <f t="shared" si="174"/>
        <v>29.548672627150001</v>
      </c>
      <c r="AA164" s="11">
        <f t="shared" si="174"/>
        <v>26.353517334148641</v>
      </c>
      <c r="AB164" s="11">
        <f t="shared" si="174"/>
        <v>22.925774903006811</v>
      </c>
      <c r="AD164" s="40">
        <f t="shared" si="153"/>
        <v>-1.5717409944668748</v>
      </c>
      <c r="AE164" s="40">
        <f t="shared" si="154"/>
        <v>-1.6776153381497516</v>
      </c>
    </row>
    <row r="165" spans="1:31" x14ac:dyDescent="0.2">
      <c r="A165" s="10" t="str">
        <f t="shared" si="142"/>
        <v>42 Secretarial and related occupations</v>
      </c>
      <c r="B165" s="11">
        <f t="shared" si="142"/>
        <v>9.7042932340862489</v>
      </c>
      <c r="C165" s="11">
        <f t="shared" si="146"/>
        <v>8.3038609134571253</v>
      </c>
      <c r="D165" s="11">
        <f t="shared" si="146"/>
        <v>8.3494356737237503</v>
      </c>
      <c r="E165" s="11">
        <f t="shared" si="146"/>
        <v>9.0736631080249186</v>
      </c>
      <c r="F165" s="11">
        <f t="shared" si="146"/>
        <v>7.8718020155096147</v>
      </c>
      <c r="H165" s="40">
        <f t="shared" si="147"/>
        <v>-2.9627137766229161</v>
      </c>
      <c r="I165" s="40">
        <f t="shared" si="148"/>
        <v>-0.39194284862599238</v>
      </c>
      <c r="L165" s="10" t="str">
        <f t="shared" ref="L165:Q165" si="175">L20</f>
        <v>42 Secretarial and related occupations</v>
      </c>
      <c r="M165" s="11">
        <f t="shared" si="175"/>
        <v>0.650573892736936</v>
      </c>
      <c r="N165" s="11">
        <f t="shared" si="175"/>
        <v>0.49475425953118046</v>
      </c>
      <c r="O165" s="11">
        <f t="shared" si="175"/>
        <v>0.44943806829681276</v>
      </c>
      <c r="P165" s="11">
        <f t="shared" si="175"/>
        <v>0.65017630519890435</v>
      </c>
      <c r="Q165" s="11">
        <f t="shared" si="175"/>
        <v>0.77676399424384424</v>
      </c>
      <c r="S165" s="40">
        <f>IF(O$151-M$151 &lt;&gt; 0,(EXP(LN(O165/M165)/(O$151-M$151))-1)*100,0)</f>
        <v>-7.1301712322488058</v>
      </c>
      <c r="T165" s="40">
        <f t="shared" si="151"/>
        <v>3.7149308362435463</v>
      </c>
      <c r="W165" s="10" t="str">
        <f t="shared" ref="W165:AB165" si="176">W20</f>
        <v>42 Secretarial and related occupations</v>
      </c>
      <c r="X165" s="11">
        <f t="shared" si="176"/>
        <v>9.0537193413493053</v>
      </c>
      <c r="Y165" s="11">
        <f t="shared" si="176"/>
        <v>7.8091066539259444</v>
      </c>
      <c r="Z165" s="11">
        <f t="shared" si="176"/>
        <v>7.8999976054269387</v>
      </c>
      <c r="AA165" s="11">
        <f t="shared" si="176"/>
        <v>8.4234868028260177</v>
      </c>
      <c r="AB165" s="11">
        <f t="shared" si="176"/>
        <v>7.0950380212657747</v>
      </c>
      <c r="AD165" s="40">
        <f t="shared" si="153"/>
        <v>-2.6894367310191902</v>
      </c>
      <c r="AE165" s="40">
        <f t="shared" si="154"/>
        <v>-0.71388489508794617</v>
      </c>
    </row>
    <row r="166" spans="1:31" x14ac:dyDescent="0.2">
      <c r="A166" s="10" t="str">
        <f t="shared" si="142"/>
        <v>51 Skilled agricultural and related trades</v>
      </c>
      <c r="B166" s="11">
        <f t="shared" si="142"/>
        <v>4.6441267016966554</v>
      </c>
      <c r="C166" s="11">
        <f t="shared" si="146"/>
        <v>3.9176639986628095</v>
      </c>
      <c r="D166" s="11">
        <f t="shared" si="146"/>
        <v>3.9137663619264487</v>
      </c>
      <c r="E166" s="11">
        <f t="shared" si="146"/>
        <v>3.9545639006839899</v>
      </c>
      <c r="F166" s="11">
        <f t="shared" si="146"/>
        <v>4.3882264054856144</v>
      </c>
      <c r="H166" s="40">
        <f t="shared" si="147"/>
        <v>-3.3641730775179401</v>
      </c>
      <c r="I166" s="40">
        <f t="shared" si="148"/>
        <v>0.76575007290091701</v>
      </c>
      <c r="L166" s="10" t="str">
        <f t="shared" ref="L166:Q166" si="177">L21</f>
        <v>51 Skilled agricultural and related trades</v>
      </c>
      <c r="M166" s="11">
        <f t="shared" si="177"/>
        <v>4.2836949855344377</v>
      </c>
      <c r="N166" s="11">
        <f t="shared" si="177"/>
        <v>3.4686937502952242</v>
      </c>
      <c r="O166" s="11">
        <f t="shared" si="177"/>
        <v>3.1163793860498887</v>
      </c>
      <c r="P166" s="11">
        <f t="shared" si="177"/>
        <v>3.0743284461102629</v>
      </c>
      <c r="Q166" s="11">
        <f t="shared" si="177"/>
        <v>3.3493576756243195</v>
      </c>
      <c r="S166" s="40">
        <f t="shared" si="150"/>
        <v>-6.1646762784509761</v>
      </c>
      <c r="T166" s="40">
        <f t="shared" si="151"/>
        <v>0.48180171011216189</v>
      </c>
      <c r="W166" s="10" t="str">
        <f t="shared" ref="W166:AB166" si="178">W21</f>
        <v>51 Skilled agricultural and related trades</v>
      </c>
      <c r="X166" s="11">
        <f t="shared" si="178"/>
        <v>0.36043171616221981</v>
      </c>
      <c r="Y166" s="11">
        <f t="shared" si="178"/>
        <v>0.44897024836758748</v>
      </c>
      <c r="Z166" s="11">
        <f t="shared" si="178"/>
        <v>0.79738697587656127</v>
      </c>
      <c r="AA166" s="11">
        <f t="shared" si="178"/>
        <v>0.88023545457372632</v>
      </c>
      <c r="AB166" s="11">
        <f t="shared" si="178"/>
        <v>1.0388687298613</v>
      </c>
      <c r="AD166" s="40">
        <f t="shared" si="153"/>
        <v>17.211231140677441</v>
      </c>
      <c r="AE166" s="40">
        <f t="shared" si="154"/>
        <v>1.7792944036472136</v>
      </c>
    </row>
    <row r="167" spans="1:31" x14ac:dyDescent="0.2">
      <c r="A167" s="10" t="str">
        <f t="shared" si="142"/>
        <v>52 Skilled metal, electrical and electronic trades</v>
      </c>
      <c r="B167" s="11">
        <f t="shared" si="142"/>
        <v>23.746739359376484</v>
      </c>
      <c r="C167" s="11">
        <f t="shared" si="146"/>
        <v>23.284125331339183</v>
      </c>
      <c r="D167" s="11">
        <f t="shared" si="146"/>
        <v>19.8153660104539</v>
      </c>
      <c r="E167" s="11">
        <f t="shared" si="146"/>
        <v>18.71073724003908</v>
      </c>
      <c r="F167" s="11">
        <f t="shared" si="146"/>
        <v>16.745561719909368</v>
      </c>
      <c r="H167" s="40">
        <f t="shared" si="147"/>
        <v>-3.5550210541292593</v>
      </c>
      <c r="I167" s="40">
        <f t="shared" si="148"/>
        <v>-1.1158902143306393</v>
      </c>
      <c r="L167" s="10" t="str">
        <f t="shared" ref="L167:Q167" si="179">L22</f>
        <v>52 Skilled metal, electrical and electronic trades</v>
      </c>
      <c r="M167" s="11">
        <f t="shared" si="179"/>
        <v>23.535808416248269</v>
      </c>
      <c r="N167" s="11">
        <f t="shared" si="179"/>
        <v>22.946940065781018</v>
      </c>
      <c r="O167" s="11">
        <f t="shared" si="179"/>
        <v>19.543006807047067</v>
      </c>
      <c r="P167" s="11">
        <f t="shared" si="179"/>
        <v>18.083266114855945</v>
      </c>
      <c r="Q167" s="11">
        <f t="shared" si="179"/>
        <v>15.915944266502725</v>
      </c>
      <c r="S167" s="40">
        <f t="shared" si="150"/>
        <v>-3.649837241549736</v>
      </c>
      <c r="T167" s="40">
        <f t="shared" si="151"/>
        <v>-1.359317517659997</v>
      </c>
      <c r="W167" s="10" t="str">
        <f t="shared" ref="W167:AB167" si="180">W22</f>
        <v>52 Skilled metal, electrical and electronic trades</v>
      </c>
      <c r="X167" s="11">
        <f t="shared" si="180"/>
        <v>0.21093094312820745</v>
      </c>
      <c r="Y167" s="11">
        <f t="shared" si="180"/>
        <v>0.33718526555816686</v>
      </c>
      <c r="Z167" s="11">
        <f t="shared" si="180"/>
        <v>0.27235920340683756</v>
      </c>
      <c r="AA167" s="11">
        <f t="shared" si="180"/>
        <v>0.62747112518315085</v>
      </c>
      <c r="AB167" s="11">
        <f t="shared" si="180"/>
        <v>0.82961745340667281</v>
      </c>
      <c r="AD167" s="40">
        <f t="shared" si="153"/>
        <v>5.2447285132347865</v>
      </c>
      <c r="AE167" s="40">
        <f t="shared" si="154"/>
        <v>7.7082711505028101</v>
      </c>
    </row>
    <row r="168" spans="1:31" x14ac:dyDescent="0.2">
      <c r="A168" s="10" t="str">
        <f t="shared" si="142"/>
        <v>53 Skilled construction and building trades</v>
      </c>
      <c r="B168" s="11">
        <f t="shared" si="142"/>
        <v>18.075106264951447</v>
      </c>
      <c r="C168" s="11">
        <f t="shared" si="146"/>
        <v>19.872573195366002</v>
      </c>
      <c r="D168" s="11">
        <f t="shared" si="146"/>
        <v>16.08769129935639</v>
      </c>
      <c r="E168" s="11">
        <f t="shared" si="146"/>
        <v>15.823444092159617</v>
      </c>
      <c r="F168" s="11">
        <f t="shared" si="146"/>
        <v>14.220772873886741</v>
      </c>
      <c r="H168" s="40">
        <f t="shared" si="147"/>
        <v>-2.3026974287221447</v>
      </c>
      <c r="I168" s="40">
        <f t="shared" si="148"/>
        <v>-0.81896598386120845</v>
      </c>
      <c r="L168" s="10" t="str">
        <f t="shared" ref="L168:Q168" si="181">L23</f>
        <v>53 Skilled construction and building trades</v>
      </c>
      <c r="M168" s="11">
        <f t="shared" si="181"/>
        <v>17.418885111691093</v>
      </c>
      <c r="N168" s="11">
        <f t="shared" si="181"/>
        <v>19.49957810616274</v>
      </c>
      <c r="O168" s="11">
        <f t="shared" si="181"/>
        <v>15.636638571163395</v>
      </c>
      <c r="P168" s="11">
        <f t="shared" si="181"/>
        <v>15.341043324097443</v>
      </c>
      <c r="Q168" s="11">
        <f t="shared" si="181"/>
        <v>13.676851141139826</v>
      </c>
      <c r="S168" s="40">
        <f t="shared" si="150"/>
        <v>-2.1356291100404046</v>
      </c>
      <c r="T168" s="40">
        <f t="shared" si="151"/>
        <v>-0.8887740506131947</v>
      </c>
      <c r="W168" s="10" t="str">
        <f t="shared" ref="W168:AB168" si="182">W23</f>
        <v>53 Skilled construction and building trades</v>
      </c>
      <c r="X168" s="11">
        <f t="shared" si="182"/>
        <v>0.65622115326037855</v>
      </c>
      <c r="Y168" s="11">
        <f t="shared" si="182"/>
        <v>0.37299508920326846</v>
      </c>
      <c r="Z168" s="11">
        <f t="shared" si="182"/>
        <v>0.45105272819299563</v>
      </c>
      <c r="AA168" s="11">
        <f t="shared" si="182"/>
        <v>0.48240076806218002</v>
      </c>
      <c r="AB168" s="11">
        <f t="shared" si="182"/>
        <v>0.54392173274691369</v>
      </c>
      <c r="AD168" s="40">
        <f t="shared" si="153"/>
        <v>-7.2240483866140792</v>
      </c>
      <c r="AE168" s="40">
        <f t="shared" si="154"/>
        <v>1.255962560432855</v>
      </c>
    </row>
    <row r="169" spans="1:31" x14ac:dyDescent="0.2">
      <c r="A169" s="10" t="str">
        <f t="shared" si="142"/>
        <v>54 Textiles, printing and other skilled trades</v>
      </c>
      <c r="B169" s="11">
        <f t="shared" si="142"/>
        <v>10.556309552348026</v>
      </c>
      <c r="C169" s="11">
        <f t="shared" si="146"/>
        <v>8.9509468616808654</v>
      </c>
      <c r="D169" s="11">
        <f t="shared" si="146"/>
        <v>8.4288888775954423</v>
      </c>
      <c r="E169" s="11">
        <f t="shared" si="146"/>
        <v>8.2440020603760154</v>
      </c>
      <c r="F169" s="11">
        <f t="shared" si="146"/>
        <v>7.8219265199229948</v>
      </c>
      <c r="H169" s="40">
        <f t="shared" si="147"/>
        <v>-4.4013757840393293</v>
      </c>
      <c r="I169" s="40">
        <f t="shared" si="148"/>
        <v>-0.49698807594252825</v>
      </c>
      <c r="L169" s="10" t="str">
        <f t="shared" ref="L169:Q169" si="183">L24</f>
        <v>54 Textiles, printing and other skilled trades</v>
      </c>
      <c r="M169" s="11">
        <f t="shared" si="183"/>
        <v>6.2611576962659647</v>
      </c>
      <c r="N169" s="11">
        <f t="shared" si="183"/>
        <v>5.3685969961814033</v>
      </c>
      <c r="O169" s="11">
        <f t="shared" si="183"/>
        <v>4.5010162651839343</v>
      </c>
      <c r="P169" s="11">
        <f t="shared" si="183"/>
        <v>4.3672129693165962</v>
      </c>
      <c r="Q169" s="11">
        <f t="shared" si="183"/>
        <v>4.1246658412074204</v>
      </c>
      <c r="S169" s="40">
        <f t="shared" si="150"/>
        <v>-6.3880724100366937</v>
      </c>
      <c r="T169" s="40">
        <f t="shared" si="151"/>
        <v>-0.58043028783405504</v>
      </c>
      <c r="W169" s="10" t="str">
        <f t="shared" ref="W169:AB169" si="184">W24</f>
        <v>54 Textiles, printing and other skilled trades</v>
      </c>
      <c r="X169" s="11">
        <f t="shared" si="184"/>
        <v>4.2951518560820627</v>
      </c>
      <c r="Y169" s="11">
        <f t="shared" si="184"/>
        <v>3.5823498654994661</v>
      </c>
      <c r="Z169" s="11">
        <f t="shared" si="184"/>
        <v>3.9278726124115133</v>
      </c>
      <c r="AA169" s="11">
        <f t="shared" si="184"/>
        <v>3.8767890910594165</v>
      </c>
      <c r="AB169" s="11">
        <f t="shared" si="184"/>
        <v>3.697260678715574</v>
      </c>
      <c r="AD169" s="40">
        <f t="shared" si="153"/>
        <v>-1.7718930794967669</v>
      </c>
      <c r="AE169" s="40">
        <f t="shared" si="154"/>
        <v>-0.40255935516845254</v>
      </c>
    </row>
    <row r="170" spans="1:31" x14ac:dyDescent="0.2">
      <c r="A170" s="10" t="str">
        <f t="shared" si="142"/>
        <v>61 Caring personal service occupations</v>
      </c>
      <c r="B170" s="11">
        <f t="shared" si="142"/>
        <v>33.611923724291344</v>
      </c>
      <c r="C170" s="11">
        <f t="shared" si="146"/>
        <v>31.35753209221701</v>
      </c>
      <c r="D170" s="11">
        <f t="shared" si="146"/>
        <v>31.610179921526679</v>
      </c>
      <c r="E170" s="11">
        <f t="shared" si="146"/>
        <v>33.638633531936662</v>
      </c>
      <c r="F170" s="11">
        <f t="shared" si="146"/>
        <v>34.878615994605461</v>
      </c>
      <c r="H170" s="40">
        <f t="shared" si="147"/>
        <v>-1.2205236166964006</v>
      </c>
      <c r="I170" s="40">
        <f t="shared" si="148"/>
        <v>0.65812083404137578</v>
      </c>
      <c r="L170" s="10" t="str">
        <f t="shared" ref="L170:Q170" si="185">L25</f>
        <v>61 Caring personal service occupations</v>
      </c>
      <c r="M170" s="11">
        <f t="shared" si="185"/>
        <v>4.2336782685535237</v>
      </c>
      <c r="N170" s="11">
        <f t="shared" si="185"/>
        <v>4.2328400685670688</v>
      </c>
      <c r="O170" s="11">
        <f t="shared" si="185"/>
        <v>4.073021279148481</v>
      </c>
      <c r="P170" s="11">
        <f t="shared" si="185"/>
        <v>4.9099472227986505</v>
      </c>
      <c r="Q170" s="11">
        <f t="shared" si="185"/>
        <v>5.5155253762279699</v>
      </c>
      <c r="S170" s="40">
        <f t="shared" si="150"/>
        <v>-0.77073705456874864</v>
      </c>
      <c r="T170" s="40">
        <f t="shared" si="151"/>
        <v>2.0417772048893834</v>
      </c>
      <c r="W170" s="10" t="str">
        <f t="shared" ref="W170:AB170" si="186">W25</f>
        <v>61 Caring personal service occupations</v>
      </c>
      <c r="X170" s="11">
        <f t="shared" si="186"/>
        <v>29.378245455737815</v>
      </c>
      <c r="Y170" s="11">
        <f t="shared" si="186"/>
        <v>27.124692023649928</v>
      </c>
      <c r="Z170" s="11">
        <f t="shared" si="186"/>
        <v>27.537158642378223</v>
      </c>
      <c r="AA170" s="11">
        <f t="shared" si="186"/>
        <v>28.728686309137963</v>
      </c>
      <c r="AB170" s="11">
        <f t="shared" si="186"/>
        <v>29.363090618377537</v>
      </c>
      <c r="AD170" s="40">
        <f t="shared" si="153"/>
        <v>-1.2860218321864791</v>
      </c>
      <c r="AE170" s="40">
        <f t="shared" si="154"/>
        <v>0.42893161320789464</v>
      </c>
    </row>
    <row r="171" spans="1:31" x14ac:dyDescent="0.2">
      <c r="A171" s="10" t="str">
        <f t="shared" si="142"/>
        <v>62 Leisure, travel and related personal service occupations</v>
      </c>
      <c r="B171" s="11">
        <f t="shared" si="142"/>
        <v>10.694469678421898</v>
      </c>
      <c r="C171" s="11">
        <f t="shared" si="146"/>
        <v>11.35031775343238</v>
      </c>
      <c r="D171" s="11">
        <f t="shared" si="146"/>
        <v>10.590117171876656</v>
      </c>
      <c r="E171" s="11">
        <f t="shared" si="146"/>
        <v>10.409965299818033</v>
      </c>
      <c r="F171" s="11">
        <f t="shared" si="146"/>
        <v>10.611845266662291</v>
      </c>
      <c r="H171" s="40">
        <f t="shared" si="147"/>
        <v>-0.19591845732614965</v>
      </c>
      <c r="I171" s="40">
        <f t="shared" si="148"/>
        <v>1.3665141931684666E-2</v>
      </c>
      <c r="L171" s="10" t="str">
        <f t="shared" ref="L171:Q171" si="187">L26</f>
        <v>62 Leisure, travel and related personal service occupations</v>
      </c>
      <c r="M171" s="11">
        <f t="shared" si="187"/>
        <v>3.1085815266615908</v>
      </c>
      <c r="N171" s="11">
        <f t="shared" si="187"/>
        <v>3.3671249699476986</v>
      </c>
      <c r="O171" s="11">
        <f t="shared" si="187"/>
        <v>3.3537100397346249</v>
      </c>
      <c r="P171" s="11">
        <f t="shared" si="187"/>
        <v>3.2685105693520469</v>
      </c>
      <c r="Q171" s="11">
        <f t="shared" si="187"/>
        <v>3.4842695685751388</v>
      </c>
      <c r="S171" s="40">
        <f t="shared" si="150"/>
        <v>1.5295940751038906</v>
      </c>
      <c r="T171" s="40">
        <f t="shared" si="151"/>
        <v>0.25493254652566577</v>
      </c>
      <c r="W171" s="10" t="str">
        <f t="shared" ref="W171:AB171" si="188">W26</f>
        <v>62 Leisure, travel and related personal service occupations</v>
      </c>
      <c r="X171" s="11">
        <f t="shared" si="188"/>
        <v>7.585888151760309</v>
      </c>
      <c r="Y171" s="11">
        <f t="shared" si="188"/>
        <v>7.9831927834846823</v>
      </c>
      <c r="Z171" s="11">
        <f t="shared" si="188"/>
        <v>7.2364071321420349</v>
      </c>
      <c r="AA171" s="11">
        <f t="shared" si="188"/>
        <v>7.1414547304659743</v>
      </c>
      <c r="AB171" s="11">
        <f t="shared" si="188"/>
        <v>7.1275756980871705</v>
      </c>
      <c r="AD171" s="40">
        <f t="shared" si="153"/>
        <v>-0.93886227405701739</v>
      </c>
      <c r="AE171" s="40">
        <f t="shared" si="154"/>
        <v>-0.10097344375821216</v>
      </c>
    </row>
    <row r="172" spans="1:31" x14ac:dyDescent="0.2">
      <c r="A172" s="10" t="str">
        <f t="shared" si="142"/>
        <v>63 Community and civil enforcement occupations</v>
      </c>
      <c r="B172" s="11">
        <f t="shared" si="142"/>
        <v>0.58215069720671409</v>
      </c>
      <c r="C172" s="11">
        <f t="shared" si="146"/>
        <v>0.52557261517291309</v>
      </c>
      <c r="D172" s="11">
        <f t="shared" si="146"/>
        <v>0.64182464760198232</v>
      </c>
      <c r="E172" s="11">
        <f t="shared" si="146"/>
        <v>0.53165090900297174</v>
      </c>
      <c r="F172" s="11">
        <f t="shared" si="146"/>
        <v>0.55999462457579885</v>
      </c>
      <c r="H172" s="40">
        <f t="shared" si="147"/>
        <v>1.9708862402542771</v>
      </c>
      <c r="I172" s="40">
        <f t="shared" si="148"/>
        <v>-0.90513177589852667</v>
      </c>
      <c r="L172" s="10" t="str">
        <f t="shared" ref="L172:Q172" si="189">L27</f>
        <v>63 Community and civil enforcement occupations</v>
      </c>
      <c r="M172" s="11">
        <f t="shared" si="189"/>
        <v>0.42573686870774907</v>
      </c>
      <c r="N172" s="11">
        <f t="shared" si="189"/>
        <v>0.33471220255684864</v>
      </c>
      <c r="O172" s="11">
        <f t="shared" si="189"/>
        <v>0.48493449544185557</v>
      </c>
      <c r="P172" s="11">
        <f t="shared" si="189"/>
        <v>0.32005063787734456</v>
      </c>
      <c r="Q172" s="11">
        <f t="shared" si="189"/>
        <v>0.3568189480631539</v>
      </c>
      <c r="S172" s="40">
        <f t="shared" si="150"/>
        <v>2.6380431447171615</v>
      </c>
      <c r="T172" s="40">
        <f t="shared" si="151"/>
        <v>-2.0244623605908063</v>
      </c>
      <c r="W172" s="10" t="str">
        <f t="shared" ref="W172:AB172" si="190">W27</f>
        <v>63 Community and civil enforcement occupations</v>
      </c>
      <c r="X172" s="11">
        <f t="shared" si="190"/>
        <v>0.15641382849896493</v>
      </c>
      <c r="Y172" s="11">
        <f t="shared" si="190"/>
        <v>0.19086041261606401</v>
      </c>
      <c r="Z172" s="11">
        <f t="shared" si="190"/>
        <v>0.15689015216012697</v>
      </c>
      <c r="AA172" s="11">
        <f t="shared" si="190"/>
        <v>0.21160027112562671</v>
      </c>
      <c r="AB172" s="11">
        <f t="shared" si="190"/>
        <v>0.20317567651264545</v>
      </c>
      <c r="AD172" s="40">
        <f t="shared" si="153"/>
        <v>6.0831514495984784E-2</v>
      </c>
      <c r="AE172" s="40">
        <f t="shared" si="154"/>
        <v>1.7384387271898616</v>
      </c>
    </row>
    <row r="173" spans="1:31" x14ac:dyDescent="0.2">
      <c r="A173" s="10" t="str">
        <f t="shared" si="142"/>
        <v>71 Sales occupations</v>
      </c>
      <c r="B173" s="11">
        <f t="shared" si="142"/>
        <v>47.90500212035964</v>
      </c>
      <c r="C173" s="11">
        <f t="shared" si="146"/>
        <v>42.371397183233768</v>
      </c>
      <c r="D173" s="11">
        <f t="shared" si="146"/>
        <v>42.678069113601978</v>
      </c>
      <c r="E173" s="11">
        <f t="shared" si="146"/>
        <v>40.14254357355194</v>
      </c>
      <c r="F173" s="11">
        <f t="shared" si="146"/>
        <v>38.750591491417339</v>
      </c>
      <c r="H173" s="40">
        <f t="shared" si="147"/>
        <v>-2.2842027485898586</v>
      </c>
      <c r="I173" s="40">
        <f t="shared" si="148"/>
        <v>-0.64152779647695946</v>
      </c>
      <c r="L173" s="10" t="str">
        <f t="shared" ref="L173:Q173" si="191">L28</f>
        <v>71 Sales occupations</v>
      </c>
      <c r="M173" s="11">
        <f t="shared" si="191"/>
        <v>14.678591553434686</v>
      </c>
      <c r="N173" s="11">
        <f t="shared" si="191"/>
        <v>13.868718732767851</v>
      </c>
      <c r="O173" s="11">
        <f t="shared" si="191"/>
        <v>13.617463359659922</v>
      </c>
      <c r="P173" s="11">
        <f t="shared" si="191"/>
        <v>12.744719047804658</v>
      </c>
      <c r="Q173" s="11">
        <f t="shared" si="191"/>
        <v>12.78662373081189</v>
      </c>
      <c r="S173" s="40">
        <f t="shared" si="150"/>
        <v>-1.489535724483293</v>
      </c>
      <c r="T173" s="40">
        <f t="shared" si="151"/>
        <v>-0.41881010815701947</v>
      </c>
      <c r="W173" s="10" t="str">
        <f t="shared" ref="W173:AB173" si="192">W28</f>
        <v>71 Sales occupations</v>
      </c>
      <c r="X173" s="11">
        <f t="shared" si="192"/>
        <v>33.226410566924891</v>
      </c>
      <c r="Y173" s="11">
        <f t="shared" si="192"/>
        <v>28.502678450465943</v>
      </c>
      <c r="Z173" s="11">
        <f t="shared" si="192"/>
        <v>29.060605753942106</v>
      </c>
      <c r="AA173" s="11">
        <f t="shared" si="192"/>
        <v>27.397824525747311</v>
      </c>
      <c r="AB173" s="11">
        <f t="shared" si="192"/>
        <v>25.963967760605421</v>
      </c>
      <c r="AD173" s="40">
        <f t="shared" si="153"/>
        <v>-2.6436581218186039</v>
      </c>
      <c r="AE173" s="40">
        <f t="shared" si="154"/>
        <v>-0.74834439745794512</v>
      </c>
    </row>
    <row r="174" spans="1:31" x14ac:dyDescent="0.2">
      <c r="A174" s="10" t="str">
        <f t="shared" si="142"/>
        <v>72 Customer service occupations</v>
      </c>
      <c r="B174" s="11">
        <f t="shared" si="142"/>
        <v>8.2742482733071885</v>
      </c>
      <c r="C174" s="11">
        <f t="shared" si="146"/>
        <v>8.4928938898411648</v>
      </c>
      <c r="D174" s="11">
        <f t="shared" si="146"/>
        <v>8.8901921095368301</v>
      </c>
      <c r="E174" s="11">
        <f t="shared" si="146"/>
        <v>11.332063340210611</v>
      </c>
      <c r="F174" s="11">
        <f t="shared" si="146"/>
        <v>13.164637816517791</v>
      </c>
      <c r="H174" s="40">
        <f t="shared" si="147"/>
        <v>1.446371877353414</v>
      </c>
      <c r="I174" s="40">
        <f t="shared" si="148"/>
        <v>2.6517879076727313</v>
      </c>
      <c r="L174" s="10" t="str">
        <f t="shared" ref="L174:Q174" si="193">L29</f>
        <v>72 Customer service occupations</v>
      </c>
      <c r="M174" s="11">
        <f t="shared" si="193"/>
        <v>3.22388007446922</v>
      </c>
      <c r="N174" s="11">
        <f t="shared" si="193"/>
        <v>2.9655808870562352</v>
      </c>
      <c r="O174" s="11">
        <f t="shared" si="193"/>
        <v>3.5640384270467584</v>
      </c>
      <c r="P174" s="11">
        <f t="shared" si="193"/>
        <v>4.8621318096499238</v>
      </c>
      <c r="Q174" s="11">
        <f t="shared" si="193"/>
        <v>5.8641553041922387</v>
      </c>
      <c r="S174" s="40">
        <f t="shared" si="150"/>
        <v>2.0264322130052026</v>
      </c>
      <c r="T174" s="40">
        <f t="shared" si="151"/>
        <v>3.3754799828926263</v>
      </c>
      <c r="W174" s="10" t="str">
        <f t="shared" ref="W174:AB174" si="194">W29</f>
        <v>72 Customer service occupations</v>
      </c>
      <c r="X174" s="11">
        <f t="shared" si="194"/>
        <v>5.0503681988379601</v>
      </c>
      <c r="Y174" s="11">
        <f t="shared" si="194"/>
        <v>5.5273130027849326</v>
      </c>
      <c r="Z174" s="11">
        <f t="shared" si="194"/>
        <v>5.3261536824900828</v>
      </c>
      <c r="AA174" s="11">
        <f t="shared" si="194"/>
        <v>6.469931530560693</v>
      </c>
      <c r="AB174" s="11">
        <f t="shared" si="194"/>
        <v>7.3004825123255657</v>
      </c>
      <c r="AD174" s="40">
        <f t="shared" si="153"/>
        <v>1.0690376228206899</v>
      </c>
      <c r="AE174" s="40">
        <f>IF(AB$151-Z$151 &lt;&gt; 0,(EXP(LN(AB174/Z174)/(AB$151-Z$151))-1)*100,0)</f>
        <v>2.1243232099924736</v>
      </c>
    </row>
    <row r="175" spans="1:31" x14ac:dyDescent="0.2">
      <c r="A175" s="10" t="str">
        <f t="shared" si="142"/>
        <v>81 Process, plant and machine operatives</v>
      </c>
      <c r="B175" s="11">
        <f t="shared" si="142"/>
        <v>20.497099930923987</v>
      </c>
      <c r="C175" s="11">
        <f t="shared" si="146"/>
        <v>18.90603423685317</v>
      </c>
      <c r="D175" s="11">
        <f t="shared" si="146"/>
        <v>16.493271233190935</v>
      </c>
      <c r="E175" s="11">
        <f t="shared" si="146"/>
        <v>19.238164300614457</v>
      </c>
      <c r="F175" s="11">
        <f t="shared" si="146"/>
        <v>18.228830196942472</v>
      </c>
      <c r="H175" s="40">
        <f t="shared" si="147"/>
        <v>-4.253506799318707</v>
      </c>
      <c r="I175" s="40">
        <f t="shared" si="148"/>
        <v>0.66924231029923398</v>
      </c>
      <c r="L175" s="10" t="str">
        <f t="shared" ref="L175:Q175" si="195">L30</f>
        <v>81 Process, plant and machine operatives</v>
      </c>
      <c r="M175" s="11">
        <f t="shared" si="195"/>
        <v>16.923765414781563</v>
      </c>
      <c r="N175" s="11">
        <f t="shared" si="195"/>
        <v>15.28893696405542</v>
      </c>
      <c r="O175" s="11">
        <f t="shared" si="195"/>
        <v>13.571436767463242</v>
      </c>
      <c r="P175" s="11">
        <f t="shared" si="195"/>
        <v>15.847776176288008</v>
      </c>
      <c r="Q175" s="11">
        <f t="shared" si="195"/>
        <v>15.045739385707581</v>
      </c>
      <c r="S175" s="40">
        <f t="shared" si="150"/>
        <v>-4.3189866720904639</v>
      </c>
      <c r="T175" s="40">
        <f t="shared" si="151"/>
        <v>0.68988553745348291</v>
      </c>
      <c r="W175" s="10" t="str">
        <f t="shared" ref="W175:AB175" si="196">W30</f>
        <v>81 Process, plant and machine operatives</v>
      </c>
      <c r="X175" s="11">
        <f t="shared" si="196"/>
        <v>3.5733345161424328</v>
      </c>
      <c r="Y175" s="11">
        <f t="shared" si="196"/>
        <v>3.6170972727977277</v>
      </c>
      <c r="Z175" s="11">
        <f t="shared" si="196"/>
        <v>2.9218344657276933</v>
      </c>
      <c r="AA175" s="11">
        <f t="shared" si="196"/>
        <v>3.3903881243264649</v>
      </c>
      <c r="AB175" s="11">
        <f t="shared" si="196"/>
        <v>3.183090811234909</v>
      </c>
      <c r="AD175" s="40">
        <f t="shared" si="153"/>
        <v>-3.9457939439225709</v>
      </c>
      <c r="AE175" s="40">
        <f t="shared" si="154"/>
        <v>0.57257308444402799</v>
      </c>
    </row>
    <row r="176" spans="1:31" x14ac:dyDescent="0.2">
      <c r="A176" s="10" t="str">
        <f t="shared" si="142"/>
        <v>82 Transport and mobile machine drivers and operatives</v>
      </c>
      <c r="B176" s="11">
        <f t="shared" si="142"/>
        <v>17.778560622425232</v>
      </c>
      <c r="C176" s="11">
        <f t="shared" si="146"/>
        <v>21.33316791771556</v>
      </c>
      <c r="D176" s="11">
        <f t="shared" si="146"/>
        <v>19.085919456589171</v>
      </c>
      <c r="E176" s="11">
        <f t="shared" si="146"/>
        <v>19.057044026799424</v>
      </c>
      <c r="F176" s="11">
        <f t="shared" si="146"/>
        <v>17.902063583152078</v>
      </c>
      <c r="H176" s="40">
        <f t="shared" si="147"/>
        <v>1.429269565071567</v>
      </c>
      <c r="I176" s="40">
        <f t="shared" si="148"/>
        <v>-0.42598922609481393</v>
      </c>
      <c r="L176" s="10" t="str">
        <f t="shared" ref="L176:Q176" si="197">L31</f>
        <v>82 Transport and mobile machine drivers and operatives</v>
      </c>
      <c r="M176" s="11">
        <f t="shared" si="197"/>
        <v>17.165911255237084</v>
      </c>
      <c r="N176" s="11">
        <f t="shared" si="197"/>
        <v>20.725155317757849</v>
      </c>
      <c r="O176" s="11">
        <f t="shared" si="197"/>
        <v>18.585249327138524</v>
      </c>
      <c r="P176" s="11">
        <f t="shared" si="197"/>
        <v>18.366757688166519</v>
      </c>
      <c r="Q176" s="11">
        <f t="shared" si="197"/>
        <v>17.148059896462854</v>
      </c>
      <c r="S176" s="40">
        <f t="shared" si="150"/>
        <v>1.6015435168425851</v>
      </c>
      <c r="T176" s="40">
        <f t="shared" si="151"/>
        <v>-0.53511763409389568</v>
      </c>
      <c r="W176" s="10" t="str">
        <f t="shared" ref="W176:AB176" si="198">W31</f>
        <v>82 Transport and mobile machine drivers and operatives</v>
      </c>
      <c r="X176" s="11">
        <f t="shared" si="198"/>
        <v>0.61264936718818985</v>
      </c>
      <c r="Y176" s="11">
        <f t="shared" si="198"/>
        <v>0.60801259995771462</v>
      </c>
      <c r="Z176" s="11">
        <f t="shared" si="198"/>
        <v>0.5006701294506658</v>
      </c>
      <c r="AA176" s="11">
        <f t="shared" si="198"/>
        <v>0.69028633863291211</v>
      </c>
      <c r="AB176" s="11">
        <f t="shared" si="198"/>
        <v>0.75400368668928197</v>
      </c>
      <c r="AD176" s="40">
        <f t="shared" si="153"/>
        <v>-3.9565087736799898</v>
      </c>
      <c r="AE176" s="40">
        <f t="shared" si="154"/>
        <v>2.7672619887544103</v>
      </c>
    </row>
    <row r="177" spans="1:31" x14ac:dyDescent="0.2">
      <c r="A177" s="10" t="str">
        <f t="shared" si="142"/>
        <v>91 Elementary trades and related occupations</v>
      </c>
      <c r="B177" s="11">
        <f t="shared" si="142"/>
        <v>8.7079014188987056</v>
      </c>
      <c r="C177" s="11">
        <f t="shared" si="146"/>
        <v>7.6248517810092737</v>
      </c>
      <c r="D177" s="11">
        <f t="shared" si="146"/>
        <v>6.6946553065972703</v>
      </c>
      <c r="E177" s="11">
        <f t="shared" si="146"/>
        <v>5.3429118918296057</v>
      </c>
      <c r="F177" s="11">
        <f t="shared" si="146"/>
        <v>4.88114497890591</v>
      </c>
      <c r="H177" s="40">
        <f t="shared" si="147"/>
        <v>-5.1225631721883218</v>
      </c>
      <c r="I177" s="40">
        <f t="shared" si="148"/>
        <v>-2.084172380804461</v>
      </c>
      <c r="L177" s="10" t="str">
        <f t="shared" ref="L177:Q178" si="199">L32</f>
        <v>91 Elementary trades and related occupations</v>
      </c>
      <c r="M177" s="11">
        <f t="shared" si="199"/>
        <v>6.8295019132610335</v>
      </c>
      <c r="N177" s="11">
        <f t="shared" si="199"/>
        <v>6.121772474320518</v>
      </c>
      <c r="O177" s="11">
        <f t="shared" si="199"/>
        <v>5.5425480168031349</v>
      </c>
      <c r="P177" s="11">
        <f t="shared" si="199"/>
        <v>4.395842459297735</v>
      </c>
      <c r="Q177" s="11">
        <f t="shared" si="199"/>
        <v>4.0194584821412009</v>
      </c>
      <c r="S177" s="40">
        <f t="shared" si="150"/>
        <v>-4.0899567927629388</v>
      </c>
      <c r="T177" s="40">
        <f t="shared" si="151"/>
        <v>-2.1192686837664954</v>
      </c>
      <c r="W177" s="10" t="str">
        <f t="shared" ref="W177:AB178" si="200">W32</f>
        <v>91 Elementary trades and related occupations</v>
      </c>
      <c r="X177" s="11">
        <f t="shared" si="200"/>
        <v>1.8783995056376899</v>
      </c>
      <c r="Y177" s="11">
        <f t="shared" si="200"/>
        <v>1.5030793066887511</v>
      </c>
      <c r="Z177" s="11">
        <f t="shared" si="200"/>
        <v>1.1521072897941402</v>
      </c>
      <c r="AA177" s="11">
        <f t="shared" si="200"/>
        <v>0.94706943253186571</v>
      </c>
      <c r="AB177" s="11">
        <f t="shared" si="200"/>
        <v>0.86168649676470543</v>
      </c>
      <c r="AD177" s="40">
        <f t="shared" si="153"/>
        <v>-9.3138443290503918</v>
      </c>
      <c r="AE177" s="40">
        <f t="shared" si="154"/>
        <v>-1.9177490496468996</v>
      </c>
    </row>
    <row r="178" spans="1:31" x14ac:dyDescent="0.2">
      <c r="A178" s="10" t="str">
        <f t="shared" si="142"/>
        <v>92 Elementary administration and service occupations</v>
      </c>
      <c r="B178" s="11">
        <f t="shared" si="142"/>
        <v>51.673327938642913</v>
      </c>
      <c r="C178" s="11">
        <f t="shared" si="146"/>
        <v>48.780495954401637</v>
      </c>
      <c r="D178" s="11">
        <f t="shared" si="146"/>
        <v>46.103296758951288</v>
      </c>
      <c r="E178" s="11">
        <f t="shared" si="146"/>
        <v>45.977517729254544</v>
      </c>
      <c r="F178" s="11">
        <f t="shared" si="146"/>
        <v>44.843080771914373</v>
      </c>
      <c r="H178" s="40">
        <f>IF(D$151-B$151 &lt;&gt; 0,(EXP(LN(D178/B178)/(D$151-B$151))-1)*100,0)</f>
        <v>-2.255324327152386</v>
      </c>
      <c r="I178" s="40">
        <f t="shared" ref="I178" si="201">IF(F$151-D$151 &lt;&gt; 0,(EXP(LN(F178/D178)/(F$151-D$151))-1)*100,0)</f>
        <v>-0.18459713568840241</v>
      </c>
      <c r="L178" s="10" t="str">
        <f t="shared" si="199"/>
        <v>92 Elementary administration and service occupations</v>
      </c>
      <c r="M178" s="11">
        <f t="shared" si="199"/>
        <v>24.932701028718775</v>
      </c>
      <c r="N178" s="11">
        <f t="shared" si="199"/>
        <v>25.569316119848288</v>
      </c>
      <c r="O178" s="11">
        <f t="shared" si="199"/>
        <v>24.143466372823351</v>
      </c>
      <c r="P178" s="11">
        <f t="shared" si="199"/>
        <v>25.170306607576933</v>
      </c>
      <c r="Q178" s="11">
        <f t="shared" si="199"/>
        <v>23.925787157368614</v>
      </c>
      <c r="S178" s="40">
        <f t="shared" ref="S178" si="202">IF(O$151-M$151 &lt;&gt; 0,(EXP(LN(O178/M178)/(O$151-M$151))-1)*100,0)</f>
        <v>-0.64126379629045882</v>
      </c>
      <c r="T178" s="40">
        <f t="shared" ref="T178" si="203">IF(Q$151-O$151 &lt;&gt; 0,(EXP(LN(Q178/O178)/(Q$151-O$151))-1)*100,0)</f>
        <v>-6.036152236180703E-2</v>
      </c>
      <c r="W178" s="10" t="str">
        <f t="shared" si="200"/>
        <v>92 Elementary administration and service occupations</v>
      </c>
      <c r="X178" s="11">
        <f t="shared" si="200"/>
        <v>26.74062690992416</v>
      </c>
      <c r="Y178" s="11">
        <f t="shared" si="200"/>
        <v>23.211179834553345</v>
      </c>
      <c r="Z178" s="11">
        <f t="shared" si="200"/>
        <v>21.959830386127887</v>
      </c>
      <c r="AA178" s="11">
        <f t="shared" si="200"/>
        <v>20.807211121677611</v>
      </c>
      <c r="AB178" s="11">
        <f t="shared" si="200"/>
        <v>20.917293614545709</v>
      </c>
      <c r="AD178" s="40">
        <f t="shared" ref="AD178" si="204">IF(Z$151-X$151 &lt;&gt; 0,(EXP(LN(Z178/X178)/(Z$151-X$151))-1)*100,0)</f>
        <v>-3.8627977407781122</v>
      </c>
      <c r="AE178" s="40">
        <f t="shared" ref="AE178" si="205">IF(AB$151-Z$151 &lt;&gt; 0,(EXP(LN(AB178/Z178)/(AB$151-Z$151))-1)*100,0)</f>
        <v>-0.32373238867221543</v>
      </c>
    </row>
    <row r="179" spans="1:31" x14ac:dyDescent="0.2">
      <c r="A179" s="10"/>
      <c r="B179" s="11"/>
      <c r="C179" s="11"/>
      <c r="D179" s="11"/>
      <c r="E179" s="11"/>
      <c r="F179" s="11"/>
      <c r="H179" s="40"/>
      <c r="I179" s="40"/>
      <c r="L179" s="10"/>
      <c r="M179" s="11"/>
      <c r="N179" s="11"/>
      <c r="O179" s="11"/>
      <c r="P179" s="11"/>
      <c r="Q179" s="11"/>
      <c r="S179" s="40"/>
      <c r="T179" s="40"/>
      <c r="W179" s="10"/>
      <c r="X179" s="11"/>
      <c r="Y179" s="11"/>
      <c r="Z179" s="11"/>
      <c r="AA179" s="11"/>
      <c r="AB179" s="11"/>
      <c r="AD179" s="40"/>
      <c r="AE179" s="40"/>
    </row>
    <row r="180" spans="1:31" x14ac:dyDescent="0.2">
      <c r="A180" s="231" t="str">
        <f t="shared" ref="A180:F180" si="206">A35</f>
        <v>All occupations</v>
      </c>
      <c r="B180" s="34">
        <f t="shared" si="206"/>
        <v>489.71100000000007</v>
      </c>
      <c r="C180" s="34">
        <f t="shared" si="206"/>
        <v>483.57499999999982</v>
      </c>
      <c r="D180" s="34">
        <f t="shared" si="206"/>
        <v>478.9260000000001</v>
      </c>
      <c r="E180" s="34">
        <f t="shared" si="206"/>
        <v>482.75099999999981</v>
      </c>
      <c r="F180" s="34">
        <f t="shared" si="206"/>
        <v>492.77799999999979</v>
      </c>
      <c r="H180" s="43">
        <f>IF(D$151-B$151 &lt;&gt; 0,(EXP(LN(D180/B180)/(D$151-B$151))-1)*100,0)</f>
        <v>-0.44439610986766187</v>
      </c>
      <c r="I180" s="43">
        <f t="shared" si="148"/>
        <v>0.1902652511108327</v>
      </c>
      <c r="L180" s="231" t="str">
        <f t="shared" ref="L180:Q180" si="207">L35</f>
        <v>All occupations</v>
      </c>
      <c r="M180" s="34">
        <f t="shared" si="207"/>
        <v>252.94457324179956</v>
      </c>
      <c r="N180" s="34">
        <f t="shared" si="207"/>
        <v>255.49920781538671</v>
      </c>
      <c r="O180" s="34">
        <f t="shared" si="207"/>
        <v>246.03070411504518</v>
      </c>
      <c r="P180" s="34">
        <f t="shared" si="207"/>
        <v>246.35238384978254</v>
      </c>
      <c r="Q180" s="34">
        <f t="shared" si="207"/>
        <v>248.57290530354337</v>
      </c>
      <c r="S180" s="43">
        <f t="shared" ref="S180" si="208">IF(O$151-M$151 &lt;&gt; 0,(EXP(LN(O180/M180)/(O$151-M$151))-1)*100,0)</f>
        <v>-0.55274759788334071</v>
      </c>
      <c r="T180" s="43">
        <f t="shared" ref="T180" si="209">IF(Q$151-O$151 &lt;&gt; 0,(EXP(LN(Q180/O180)/(Q$151-O$151))-1)*100,0)</f>
        <v>6.8555771349854133E-2</v>
      </c>
      <c r="W180" s="231" t="str">
        <f t="shared" ref="W180:AB180" si="210">W35</f>
        <v>All occupations</v>
      </c>
      <c r="X180" s="34">
        <f t="shared" si="210"/>
        <v>236.76642675820045</v>
      </c>
      <c r="Y180" s="34">
        <f t="shared" si="210"/>
        <v>228.07579218461308</v>
      </c>
      <c r="Z180" s="34">
        <f t="shared" si="210"/>
        <v>232.89529588495495</v>
      </c>
      <c r="AA180" s="34">
        <f t="shared" si="210"/>
        <v>236.39861615021738</v>
      </c>
      <c r="AB180" s="34">
        <f t="shared" si="210"/>
        <v>244.20509469645674</v>
      </c>
      <c r="AD180" s="43">
        <f t="shared" ref="AD180" si="211">IF(Z$151-X$151 &lt;&gt; 0,(EXP(LN(Z180/X180)/(Z$151-X$151))-1)*100,0)</f>
        <v>-0.32915978512056965</v>
      </c>
      <c r="AE180" s="43">
        <f t="shared" ref="AE180" si="212">IF(AB$151-Z$151 &lt;&gt; 0,(EXP(LN(AB180/Z180)/(AB$151-Z$151))-1)*100,0)</f>
        <v>0.31662985390408238</v>
      </c>
    </row>
    <row r="181" spans="1:31" x14ac:dyDescent="0.2">
      <c r="A181" s="10"/>
    </row>
    <row r="182" spans="1:31" x14ac:dyDescent="0.2">
      <c r="A182" s="10"/>
    </row>
  </sheetData>
  <pageMargins left="0.59055118110236227" right="0.59055118110236227" top="0.78740157480314965" bottom="0.78740157480314965" header="0.51181102362204722" footer="0.51181102362204722"/>
  <pageSetup paperSize="9" scale="76" orientation="landscape" r:id="rId1"/>
  <headerFooter alignWithMargins="0"/>
  <rowBreaks count="4" manualBreakCount="4">
    <brk id="37" max="16383" man="1"/>
    <brk id="74" max="16383" man="1"/>
    <brk id="111" max="16383" man="1"/>
    <brk id="148" max="32" man="1"/>
  </rowBreaks>
  <colBreaks count="2" manualBreakCount="2">
    <brk id="11" max="179" man="1"/>
    <brk id="22" max="179" man="1"/>
  </colBreaks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2"/>
  <dimension ref="A1:L103"/>
  <sheetViews>
    <sheetView showGridLines="0" zoomScale="85" zoomScaleNormal="85" workbookViewId="0"/>
  </sheetViews>
  <sheetFormatPr defaultRowHeight="12.75" x14ac:dyDescent="0.2"/>
  <cols>
    <col min="1" max="1" width="54.7109375" customWidth="1"/>
    <col min="2" max="6" width="11.7109375" customWidth="1"/>
    <col min="7" max="7" width="5.7109375" customWidth="1"/>
    <col min="8" max="12" width="11.7109375" customWidth="1"/>
  </cols>
  <sheetData>
    <row r="1" spans="1:12" ht="15.75" x14ac:dyDescent="0.25">
      <c r="A1" s="19" t="str">
        <f>CONCATENATE("Occupation Table 3  Employment Change by Occupation in Occupation Group (SOC 2020), ",B$5,"-",F$5,", ",Info!B5)</f>
        <v>Occupation Table 3  Employment Change by Occupation in Occupation Group (SOC 2020), 2015-2035, North East</v>
      </c>
    </row>
    <row r="2" spans="1:12" ht="12.75" customHeight="1" x14ac:dyDescent="0.2">
      <c r="A2" s="182" t="s">
        <v>519</v>
      </c>
    </row>
    <row r="3" spans="1:12" ht="12.75" customHeight="1" x14ac:dyDescent="0.25">
      <c r="A3" s="19"/>
      <c r="L3" s="38" t="s">
        <v>20</v>
      </c>
    </row>
    <row r="4" spans="1:12" x14ac:dyDescent="0.2">
      <c r="A4" s="36"/>
      <c r="B4" s="28" t="s">
        <v>18</v>
      </c>
      <c r="C4" s="36"/>
      <c r="D4" s="36"/>
      <c r="E4" s="36"/>
      <c r="F4" s="36"/>
      <c r="G4" s="36"/>
      <c r="H4" s="28" t="s">
        <v>19</v>
      </c>
      <c r="I4" s="36"/>
      <c r="J4" s="36"/>
      <c r="K4" s="36"/>
      <c r="L4" s="36"/>
    </row>
    <row r="5" spans="1:12" x14ac:dyDescent="0.2">
      <c r="A5" s="24"/>
      <c r="B5" s="35">
        <f>'Occ T1'!B6</f>
        <v>2015</v>
      </c>
      <c r="C5" s="35">
        <f>'Occ T1'!C6</f>
        <v>2019</v>
      </c>
      <c r="D5" s="35">
        <f>'Occ T1'!D6</f>
        <v>2020</v>
      </c>
      <c r="E5" s="35">
        <f>'Occ T1'!E6</f>
        <v>2025</v>
      </c>
      <c r="F5" s="35">
        <f>'Occ T1'!F6</f>
        <v>2035</v>
      </c>
      <c r="H5" s="37" t="str">
        <f>CONCATENATE(B$5,"-",C$5)</f>
        <v>2015-2019</v>
      </c>
      <c r="I5" s="37" t="str">
        <f>CONCATENATE(C$5,"-",D$5)</f>
        <v>2019-2020</v>
      </c>
      <c r="J5" s="37" t="str">
        <f>CONCATENATE(D$5,"-",E$5)</f>
        <v>2020-2025</v>
      </c>
      <c r="K5" s="37" t="str">
        <f>CONCATENATE(E$5,"-",F$5)</f>
        <v>2025-2035</v>
      </c>
      <c r="L5" s="37" t="str">
        <f>CONCATENATE(D$5,"-",F$5)</f>
        <v>2020-2035</v>
      </c>
    </row>
    <row r="7" spans="1:12" s="30" customFormat="1" x14ac:dyDescent="0.2">
      <c r="A7" s="30" t="str">
        <f>'Occ T1'!A8</f>
        <v>Managers, directors and senior officials</v>
      </c>
      <c r="B7" s="31">
        <f>'Occ T1'!B8</f>
        <v>36.006205962267231</v>
      </c>
      <c r="C7" s="31">
        <f>'Occ T1'!C8</f>
        <v>39.967668672295616</v>
      </c>
      <c r="D7" s="31">
        <f>'Occ T1'!D8</f>
        <v>40.245078724761129</v>
      </c>
      <c r="E7" s="31">
        <f>'Occ T1'!E8</f>
        <v>40.862520683519087</v>
      </c>
      <c r="F7" s="31">
        <f>'Occ T1'!F8</f>
        <v>45.689137815915871</v>
      </c>
      <c r="H7" s="31">
        <f>C7-B7</f>
        <v>3.9614627100283855</v>
      </c>
      <c r="I7" s="31">
        <f>D7-C7</f>
        <v>0.27741005246551254</v>
      </c>
      <c r="J7" s="31">
        <f>E7-D7</f>
        <v>0.61744195875795782</v>
      </c>
      <c r="K7" s="31">
        <f>F7-E7</f>
        <v>4.8266171323967839</v>
      </c>
      <c r="L7" s="31">
        <f>F7-D7</f>
        <v>5.4440590911547417</v>
      </c>
    </row>
    <row r="8" spans="1:12" s="30" customFormat="1" x14ac:dyDescent="0.2">
      <c r="A8" s="10" t="str">
        <f>'Occ T2'!A8</f>
        <v>11 Corporate managers and directors</v>
      </c>
      <c r="B8" s="32">
        <f>'Occ T2'!B8</f>
        <v>21.732746128315462</v>
      </c>
      <c r="C8" s="32">
        <f>'Occ T2'!C8</f>
        <v>24.68359891633521</v>
      </c>
      <c r="D8" s="32">
        <f>'Occ T2'!D8</f>
        <v>25.412554043295046</v>
      </c>
      <c r="E8" s="32">
        <f>'Occ T2'!E8</f>
        <v>23.185685027332152</v>
      </c>
      <c r="F8" s="32">
        <f>'Occ T2'!F8</f>
        <v>25.23356948501899</v>
      </c>
      <c r="H8" s="31">
        <f t="shared" ref="H8:H9" si="0">C8-B8</f>
        <v>2.9508527880197484</v>
      </c>
      <c r="I8" s="31">
        <f t="shared" ref="I8:I9" si="1">D8-C8</f>
        <v>0.72895512695983555</v>
      </c>
      <c r="J8" s="31">
        <f t="shared" ref="J8:J9" si="2">E8-D8</f>
        <v>-2.2268690159628939</v>
      </c>
      <c r="K8" s="31">
        <f t="shared" ref="K8:K9" si="3">F8-E8</f>
        <v>2.0478844576868376</v>
      </c>
      <c r="L8" s="31">
        <f t="shared" ref="L8:L49" si="4">F8-D8</f>
        <v>-0.1789845582760563</v>
      </c>
    </row>
    <row r="9" spans="1:12" s="30" customFormat="1" x14ac:dyDescent="0.2">
      <c r="A9" s="10" t="str">
        <f>'Occ T2'!A9</f>
        <v>12 Other managers and proprietors</v>
      </c>
      <c r="B9" s="32">
        <f>'Occ T2'!B9</f>
        <v>14.273459833951772</v>
      </c>
      <c r="C9" s="32">
        <f>'Occ T2'!C9</f>
        <v>15.284069755960404</v>
      </c>
      <c r="D9" s="32">
        <f>'Occ T2'!D9</f>
        <v>14.832524681466086</v>
      </c>
      <c r="E9" s="32">
        <f>'Occ T2'!E9</f>
        <v>17.676835656186935</v>
      </c>
      <c r="F9" s="32">
        <f>'Occ T2'!F9</f>
        <v>20.455568330896881</v>
      </c>
      <c r="H9" s="31">
        <f t="shared" si="0"/>
        <v>1.0106099220086318</v>
      </c>
      <c r="I9" s="31">
        <f t="shared" si="1"/>
        <v>-0.45154507449431769</v>
      </c>
      <c r="J9" s="31">
        <f t="shared" si="2"/>
        <v>2.8443109747208482</v>
      </c>
      <c r="K9" s="31">
        <f t="shared" si="3"/>
        <v>2.7787326747099463</v>
      </c>
      <c r="L9" s="31">
        <f t="shared" si="4"/>
        <v>5.6230436494307945</v>
      </c>
    </row>
    <row r="10" spans="1:12" x14ac:dyDescent="0.2">
      <c r="B10" s="32"/>
      <c r="C10" s="32"/>
      <c r="D10" s="32"/>
      <c r="E10" s="32"/>
      <c r="F10" s="32"/>
      <c r="H10" s="11"/>
      <c r="I10" s="31"/>
      <c r="J10" s="11"/>
      <c r="K10" s="11"/>
      <c r="L10" s="31"/>
    </row>
    <row r="11" spans="1:12" s="30" customFormat="1" x14ac:dyDescent="0.2">
      <c r="A11" s="30" t="str">
        <f>'Occ T1'!A9</f>
        <v>Professional occupations</v>
      </c>
      <c r="B11" s="31">
        <f>'Occ T1'!B9</f>
        <v>90.125276635320631</v>
      </c>
      <c r="C11" s="31">
        <f>'Occ T1'!C9</f>
        <v>92.878705546459898</v>
      </c>
      <c r="D11" s="31">
        <f>'Occ T1'!D9</f>
        <v>99.067530958461219</v>
      </c>
      <c r="E11" s="31">
        <f>'Occ T1'!E9</f>
        <v>106.4965017389784</v>
      </c>
      <c r="F11" s="31">
        <f>'Occ T1'!F9</f>
        <v>116.80390113270077</v>
      </c>
      <c r="H11" s="31">
        <f>C11-B11</f>
        <v>2.7534289111392667</v>
      </c>
      <c r="I11" s="31">
        <f t="shared" ref="I11:I49" si="5">D11-C11</f>
        <v>6.1888254120013215</v>
      </c>
      <c r="J11" s="31">
        <f>E11-D11</f>
        <v>7.4289707805171759</v>
      </c>
      <c r="K11" s="31">
        <f>F11-E11</f>
        <v>10.307399393722378</v>
      </c>
      <c r="L11" s="31">
        <f t="shared" si="4"/>
        <v>17.736370174239553</v>
      </c>
    </row>
    <row r="12" spans="1:12" x14ac:dyDescent="0.2">
      <c r="A12" s="10" t="str">
        <f>'Occ T2'!A10</f>
        <v>21 Science, research, engineering and technology professionals</v>
      </c>
      <c r="B12" s="10">
        <f>'Occ T2'!B10</f>
        <v>21.426021449350184</v>
      </c>
      <c r="C12" s="10">
        <f>'Occ T2'!C10</f>
        <v>22.375685399680563</v>
      </c>
      <c r="D12" s="10">
        <f>'Occ T2'!D10</f>
        <v>23.469639078952422</v>
      </c>
      <c r="E12" s="10">
        <f>'Occ T2'!E10</f>
        <v>24.314393776822961</v>
      </c>
      <c r="F12" s="10">
        <f>'Occ T2'!F10</f>
        <v>26.474817136388868</v>
      </c>
      <c r="H12" s="11">
        <f t="shared" ref="H12:K14" si="6">C12-B12</f>
        <v>0.94966395033037898</v>
      </c>
      <c r="I12" s="31">
        <f t="shared" si="5"/>
        <v>1.0939536792718592</v>
      </c>
      <c r="J12" s="11">
        <f t="shared" si="6"/>
        <v>0.84475469787053825</v>
      </c>
      <c r="K12" s="11">
        <f t="shared" si="6"/>
        <v>2.1604233595659075</v>
      </c>
      <c r="L12" s="31">
        <f t="shared" si="4"/>
        <v>3.0051780574364457</v>
      </c>
    </row>
    <row r="13" spans="1:12" x14ac:dyDescent="0.2">
      <c r="A13" s="10" t="str">
        <f>'Occ T2'!A11</f>
        <v>22 Health professionals</v>
      </c>
      <c r="B13" s="10">
        <f>'Occ T2'!B11</f>
        <v>27.572687353088558</v>
      </c>
      <c r="C13" s="10">
        <f>'Occ T2'!C11</f>
        <v>27.845345060706606</v>
      </c>
      <c r="D13" s="10">
        <f>'Occ T2'!D11</f>
        <v>29.027771962856097</v>
      </c>
      <c r="E13" s="10">
        <f>'Occ T2'!E11</f>
        <v>31.484028005298615</v>
      </c>
      <c r="F13" s="10">
        <f>'Occ T2'!F11</f>
        <v>34.325942505499306</v>
      </c>
      <c r="H13" s="11">
        <f t="shared" si="6"/>
        <v>0.27265770761804831</v>
      </c>
      <c r="I13" s="31">
        <f t="shared" si="5"/>
        <v>1.1824269021494906</v>
      </c>
      <c r="J13" s="11">
        <f t="shared" si="6"/>
        <v>2.4562560424425186</v>
      </c>
      <c r="K13" s="11">
        <f t="shared" si="6"/>
        <v>2.8419145002006907</v>
      </c>
      <c r="L13" s="31">
        <f t="shared" si="4"/>
        <v>5.2981705426432093</v>
      </c>
    </row>
    <row r="14" spans="1:12" x14ac:dyDescent="0.2">
      <c r="A14" s="10" t="str">
        <f>'Occ T2'!A12</f>
        <v>23 Teaching and other educational professionals</v>
      </c>
      <c r="B14" s="10">
        <f>'Occ T2'!B12</f>
        <v>21.073206393473654</v>
      </c>
      <c r="C14" s="10">
        <f>'Occ T2'!C12</f>
        <v>21.064663212375553</v>
      </c>
      <c r="D14" s="10">
        <f>'Occ T2'!D12</f>
        <v>22.082745267226372</v>
      </c>
      <c r="E14" s="10">
        <f>'Occ T2'!E12</f>
        <v>24.074771011161502</v>
      </c>
      <c r="F14" s="10">
        <f>'Occ T2'!F12</f>
        <v>25.804378704259623</v>
      </c>
      <c r="H14" s="11">
        <f t="shared" si="6"/>
        <v>-8.5431810981013712E-3</v>
      </c>
      <c r="I14" s="31">
        <f t="shared" si="5"/>
        <v>1.0180820548508187</v>
      </c>
      <c r="J14" s="11">
        <f t="shared" si="6"/>
        <v>1.9920257439351303</v>
      </c>
      <c r="K14" s="11">
        <f t="shared" si="6"/>
        <v>1.7296076930981208</v>
      </c>
      <c r="L14" s="31">
        <f t="shared" si="4"/>
        <v>3.7216334370332511</v>
      </c>
    </row>
    <row r="15" spans="1:12" x14ac:dyDescent="0.2">
      <c r="A15" s="10" t="str">
        <f>'Occ T2'!A13</f>
        <v>24 Business, media and public service professionals</v>
      </c>
      <c r="B15" s="10">
        <f>'Occ T2'!B13</f>
        <v>20.053361439408231</v>
      </c>
      <c r="C15" s="10">
        <f>'Occ T2'!C13</f>
        <v>21.593011873697176</v>
      </c>
      <c r="D15" s="10">
        <f>'Occ T2'!D13</f>
        <v>24.487374649426325</v>
      </c>
      <c r="E15" s="10">
        <f>'Occ T2'!E13</f>
        <v>26.623308945695321</v>
      </c>
      <c r="F15" s="10">
        <f>'Occ T2'!F13</f>
        <v>30.198762786552976</v>
      </c>
      <c r="H15" s="11">
        <f t="shared" ref="H15" si="7">C15-B15</f>
        <v>1.5396504342889443</v>
      </c>
      <c r="I15" s="31">
        <f t="shared" si="5"/>
        <v>2.8943627757291495</v>
      </c>
      <c r="J15" s="11">
        <f t="shared" ref="J15" si="8">E15-D15</f>
        <v>2.1359342962689958</v>
      </c>
      <c r="K15" s="11">
        <f t="shared" ref="K15" si="9">F15-E15</f>
        <v>3.5754538408576551</v>
      </c>
      <c r="L15" s="31">
        <f t="shared" si="4"/>
        <v>5.7113881371266508</v>
      </c>
    </row>
    <row r="16" spans="1:12" x14ac:dyDescent="0.2">
      <c r="A16" s="10"/>
      <c r="B16" s="32"/>
      <c r="C16" s="32"/>
      <c r="D16" s="32"/>
      <c r="E16" s="32"/>
      <c r="F16" s="32"/>
      <c r="H16" s="11"/>
      <c r="I16" s="31"/>
      <c r="J16" s="11"/>
      <c r="K16" s="11"/>
      <c r="L16" s="31"/>
    </row>
    <row r="17" spans="1:12" s="30" customFormat="1" x14ac:dyDescent="0.2">
      <c r="A17" s="30" t="str">
        <f>'Occ T1'!A10</f>
        <v>Associate professional occupations</v>
      </c>
      <c r="B17" s="31">
        <f>'Occ T1'!B10</f>
        <v>51.546924924381955</v>
      </c>
      <c r="C17" s="31">
        <f>'Occ T1'!C10</f>
        <v>53.529641037873461</v>
      </c>
      <c r="D17" s="31">
        <f>'Occ T1'!D10</f>
        <v>56.077056232920341</v>
      </c>
      <c r="E17" s="31">
        <f>'Occ T1'!E10</f>
        <v>53.792100904177957</v>
      </c>
      <c r="F17" s="31">
        <f>'Occ T1'!F10</f>
        <v>57.41907279072538</v>
      </c>
      <c r="H17" s="31">
        <f t="shared" ref="H17:K21" si="10">C17-B17</f>
        <v>1.9827161134915059</v>
      </c>
      <c r="I17" s="31">
        <f t="shared" si="5"/>
        <v>2.5474151950468809</v>
      </c>
      <c r="J17" s="31">
        <f t="shared" si="10"/>
        <v>-2.2849553287423845</v>
      </c>
      <c r="K17" s="31">
        <f t="shared" si="10"/>
        <v>3.6269718865474232</v>
      </c>
      <c r="L17" s="31">
        <f t="shared" si="4"/>
        <v>1.3420165578050387</v>
      </c>
    </row>
    <row r="18" spans="1:12" x14ac:dyDescent="0.2">
      <c r="A18" s="10" t="str">
        <f>'Occ T2'!A14</f>
        <v>31 Science, engineering and technology associate professionals</v>
      </c>
      <c r="B18" s="10">
        <f>'Occ T2'!B14</f>
        <v>9.0554566906705691</v>
      </c>
      <c r="C18" s="10">
        <f>'Occ T2'!C14</f>
        <v>9.8720265188058818</v>
      </c>
      <c r="D18" s="10">
        <f>'Occ T2'!D14</f>
        <v>10.70984051084127</v>
      </c>
      <c r="E18" s="10">
        <f>'Occ T2'!E14</f>
        <v>9.1332068964074171</v>
      </c>
      <c r="F18" s="10">
        <f>'Occ T2'!F14</f>
        <v>9.3668808984236378</v>
      </c>
      <c r="H18" s="11">
        <f t="shared" si="10"/>
        <v>0.81656982813531265</v>
      </c>
      <c r="I18" s="31">
        <f t="shared" si="5"/>
        <v>0.83781399203538776</v>
      </c>
      <c r="J18" s="11">
        <f t="shared" si="10"/>
        <v>-1.5766336144338524</v>
      </c>
      <c r="K18" s="11">
        <f t="shared" si="10"/>
        <v>0.23367400201622068</v>
      </c>
      <c r="L18" s="31">
        <f t="shared" si="4"/>
        <v>-1.3429596124176317</v>
      </c>
    </row>
    <row r="19" spans="1:12" x14ac:dyDescent="0.2">
      <c r="A19" s="10" t="str">
        <f>'Occ T2'!A15</f>
        <v>32 Health and social care associate professionals</v>
      </c>
      <c r="B19" s="10">
        <f>'Occ T2'!B15</f>
        <v>9.6622274795413947</v>
      </c>
      <c r="C19" s="10">
        <f>'Occ T2'!C15</f>
        <v>9.7417880098546501</v>
      </c>
      <c r="D19" s="10">
        <f>'Occ T2'!D15</f>
        <v>10.403152312211862</v>
      </c>
      <c r="E19" s="10">
        <f>'Occ T2'!E15</f>
        <v>10.414924512502774</v>
      </c>
      <c r="F19" s="10">
        <f>'Occ T2'!F15</f>
        <v>11.167106544013857</v>
      </c>
      <c r="H19" s="11">
        <f t="shared" si="10"/>
        <v>7.9560530313255384E-2</v>
      </c>
      <c r="I19" s="31">
        <f t="shared" si="5"/>
        <v>0.661364302357212</v>
      </c>
      <c r="J19" s="11">
        <f t="shared" si="10"/>
        <v>1.1772200290911528E-2</v>
      </c>
      <c r="K19" s="11">
        <f t="shared" si="10"/>
        <v>0.75218203151108298</v>
      </c>
      <c r="L19" s="31">
        <f t="shared" si="4"/>
        <v>0.76395423180199451</v>
      </c>
    </row>
    <row r="20" spans="1:12" x14ac:dyDescent="0.2">
      <c r="A20" s="10" t="str">
        <f>'Occ T2'!A16</f>
        <v>33 Protective service occupations</v>
      </c>
      <c r="B20" s="10">
        <f>'Occ T2'!B16</f>
        <v>6.3572759436806443</v>
      </c>
      <c r="C20" s="10">
        <f>'Occ T2'!C16</f>
        <v>6.7089345467370718</v>
      </c>
      <c r="D20" s="10">
        <f>'Occ T2'!D16</f>
        <v>7.0494931142783734</v>
      </c>
      <c r="E20" s="10">
        <f>'Occ T2'!E16</f>
        <v>7.9951903969727285</v>
      </c>
      <c r="F20" s="10">
        <f>'Occ T2'!F16</f>
        <v>9.0336950732721473</v>
      </c>
      <c r="H20" s="11">
        <f t="shared" si="10"/>
        <v>0.35165860305642749</v>
      </c>
      <c r="I20" s="31">
        <f t="shared" si="5"/>
        <v>0.34055856754130165</v>
      </c>
      <c r="J20" s="11">
        <f t="shared" si="10"/>
        <v>0.94569728269435505</v>
      </c>
      <c r="K20" s="11">
        <f t="shared" si="10"/>
        <v>1.0385046762994188</v>
      </c>
      <c r="L20" s="31">
        <f t="shared" si="4"/>
        <v>1.9842019589937738</v>
      </c>
    </row>
    <row r="21" spans="1:12" x14ac:dyDescent="0.2">
      <c r="A21" s="10" t="str">
        <f>'Occ T2'!A17</f>
        <v>34 Culture, media and sports occupations</v>
      </c>
      <c r="B21" s="10">
        <f>'Occ T2'!B17</f>
        <v>5.8966157276684097</v>
      </c>
      <c r="C21" s="10">
        <f>'Occ T2'!C17</f>
        <v>6.113108843472463</v>
      </c>
      <c r="D21" s="10">
        <f>'Occ T2'!D17</f>
        <v>5.720866276556551</v>
      </c>
      <c r="E21" s="10">
        <f>'Occ T2'!E17</f>
        <v>5.3345050395726972</v>
      </c>
      <c r="F21" s="10">
        <f>'Occ T2'!F17</f>
        <v>5.9844066350434453</v>
      </c>
      <c r="H21" s="11">
        <f t="shared" si="10"/>
        <v>0.21649311580405328</v>
      </c>
      <c r="I21" s="31">
        <f t="shared" si="5"/>
        <v>-0.39224256691591197</v>
      </c>
      <c r="J21" s="11">
        <f t="shared" si="10"/>
        <v>-0.38636123698385383</v>
      </c>
      <c r="K21" s="11">
        <f t="shared" si="10"/>
        <v>0.64990159547074811</v>
      </c>
      <c r="L21" s="31">
        <f t="shared" si="4"/>
        <v>0.26354035848689428</v>
      </c>
    </row>
    <row r="22" spans="1:12" x14ac:dyDescent="0.2">
      <c r="A22" s="10" t="str">
        <f>'Occ T2'!A18</f>
        <v>35 Business and public service associate professionals</v>
      </c>
      <c r="B22" s="10">
        <f>'Occ T2'!B18</f>
        <v>20.575349082820939</v>
      </c>
      <c r="C22" s="10">
        <f>'Occ T2'!C18</f>
        <v>21.093783119003387</v>
      </c>
      <c r="D22" s="10">
        <f>'Occ T2'!D18</f>
        <v>22.193704019032278</v>
      </c>
      <c r="E22" s="10">
        <f>'Occ T2'!E18</f>
        <v>20.914274058722345</v>
      </c>
      <c r="F22" s="10">
        <f>'Occ T2'!F18</f>
        <v>21.86698363997229</v>
      </c>
      <c r="H22" s="11">
        <f t="shared" ref="H22" si="11">C22-B22</f>
        <v>0.51843403618244821</v>
      </c>
      <c r="I22" s="31">
        <f t="shared" si="5"/>
        <v>1.0999209000288914</v>
      </c>
      <c r="J22" s="11">
        <f t="shared" ref="J22" si="12">E22-D22</f>
        <v>-1.2794299603099333</v>
      </c>
      <c r="K22" s="11">
        <f t="shared" ref="K22" si="13">F22-E22</f>
        <v>0.95270958124994465</v>
      </c>
      <c r="L22" s="31">
        <f t="shared" si="4"/>
        <v>-0.32672037905998863</v>
      </c>
    </row>
    <row r="23" spans="1:12" x14ac:dyDescent="0.2">
      <c r="A23" s="10"/>
      <c r="B23" s="32"/>
      <c r="C23" s="32"/>
      <c r="D23" s="32"/>
      <c r="E23" s="32"/>
      <c r="F23" s="32"/>
      <c r="H23" s="11"/>
      <c r="I23" s="31"/>
      <c r="J23" s="11"/>
      <c r="K23" s="11"/>
      <c r="L23" s="31"/>
    </row>
    <row r="24" spans="1:12" s="30" customFormat="1" x14ac:dyDescent="0.2">
      <c r="A24" s="30" t="str">
        <f>'Occ T1'!A11</f>
        <v>Administrative and secretarial occupations</v>
      </c>
      <c r="B24" s="31">
        <f>'Occ T1'!B11</f>
        <v>55.285626195180079</v>
      </c>
      <c r="C24" s="31">
        <f>'Occ T1'!C11</f>
        <v>50.43141193244513</v>
      </c>
      <c r="D24" s="31">
        <f>'Occ T1'!D11</f>
        <v>52.503095815052475</v>
      </c>
      <c r="E24" s="31">
        <f>'Occ T1'!E11</f>
        <v>49.196634777047372</v>
      </c>
      <c r="F24" s="31">
        <f>'Occ T1'!F11</f>
        <v>45.868596016759618</v>
      </c>
      <c r="H24" s="31">
        <f t="shared" ref="H24:K26" si="14">C24-B24</f>
        <v>-4.8542142627349492</v>
      </c>
      <c r="I24" s="31">
        <f t="shared" si="5"/>
        <v>2.0716838826073456</v>
      </c>
      <c r="J24" s="31">
        <f t="shared" si="14"/>
        <v>-3.3064610380051036</v>
      </c>
      <c r="K24" s="31">
        <f t="shared" si="14"/>
        <v>-3.3280387602877539</v>
      </c>
      <c r="L24" s="31">
        <f t="shared" si="4"/>
        <v>-6.6344997982928575</v>
      </c>
    </row>
    <row r="25" spans="1:12" x14ac:dyDescent="0.2">
      <c r="A25" t="str">
        <f>'Occ T2'!A19</f>
        <v>41 Administrative occupations</v>
      </c>
      <c r="B25" s="32">
        <f>'Occ T2'!B19</f>
        <v>45.581332961093828</v>
      </c>
      <c r="C25" s="32">
        <f>'Occ T2'!C19</f>
        <v>42.127551018988008</v>
      </c>
      <c r="D25" s="32">
        <f>'Occ T2'!D19</f>
        <v>44.153660141328722</v>
      </c>
      <c r="E25" s="32">
        <f>'Occ T2'!E19</f>
        <v>40.122971669022455</v>
      </c>
      <c r="F25" s="32">
        <f>'Occ T2'!F19</f>
        <v>37.996794001250002</v>
      </c>
      <c r="H25" s="11">
        <f t="shared" si="14"/>
        <v>-3.4537819421058202</v>
      </c>
      <c r="I25" s="31">
        <f t="shared" si="5"/>
        <v>2.0261091223407135</v>
      </c>
      <c r="J25" s="11">
        <f t="shared" si="14"/>
        <v>-4.0306884723062666</v>
      </c>
      <c r="K25" s="11">
        <f t="shared" si="14"/>
        <v>-2.1261776677724527</v>
      </c>
      <c r="L25" s="31">
        <f t="shared" si="4"/>
        <v>-6.1568661400787192</v>
      </c>
    </row>
    <row r="26" spans="1:12" x14ac:dyDescent="0.2">
      <c r="A26" t="str">
        <f>'Occ T2'!A20</f>
        <v>42 Secretarial and related occupations</v>
      </c>
      <c r="B26" s="32">
        <f>'Occ T2'!B20</f>
        <v>9.7042932340862489</v>
      </c>
      <c r="C26" s="32">
        <f>'Occ T2'!C20</f>
        <v>8.3038609134571253</v>
      </c>
      <c r="D26" s="32">
        <f>'Occ T2'!D20</f>
        <v>8.3494356737237503</v>
      </c>
      <c r="E26" s="32">
        <f>'Occ T2'!E20</f>
        <v>9.0736631080249186</v>
      </c>
      <c r="F26" s="32">
        <f>'Occ T2'!F20</f>
        <v>7.8718020155096147</v>
      </c>
      <c r="H26" s="11">
        <f t="shared" si="14"/>
        <v>-1.4004323206291236</v>
      </c>
      <c r="I26" s="31">
        <f t="shared" si="5"/>
        <v>4.5574760266624992E-2</v>
      </c>
      <c r="J26" s="11">
        <f t="shared" si="14"/>
        <v>0.72422743430116832</v>
      </c>
      <c r="K26" s="11">
        <f t="shared" si="14"/>
        <v>-1.2018610925153039</v>
      </c>
      <c r="L26" s="31">
        <f t="shared" si="4"/>
        <v>-0.47763365821413561</v>
      </c>
    </row>
    <row r="27" spans="1:12" x14ac:dyDescent="0.2">
      <c r="B27" s="32"/>
      <c r="C27" s="32"/>
      <c r="D27" s="32"/>
      <c r="E27" s="32"/>
      <c r="F27" s="32"/>
      <c r="H27" s="11"/>
      <c r="I27" s="31"/>
      <c r="J27" s="11"/>
      <c r="K27" s="11"/>
      <c r="L27" s="31"/>
    </row>
    <row r="28" spans="1:12" s="30" customFormat="1" x14ac:dyDescent="0.2">
      <c r="A28" s="30" t="str">
        <f>'Occ T1'!A12</f>
        <v>Skilled trades occupations</v>
      </c>
      <c r="B28" s="31">
        <f>'Occ T1'!B12</f>
        <v>57.02228187837261</v>
      </c>
      <c r="C28" s="31">
        <f>'Occ T1'!C12</f>
        <v>56.025309387048864</v>
      </c>
      <c r="D28" s="31">
        <f>'Occ T1'!D12</f>
        <v>48.245712549332183</v>
      </c>
      <c r="E28" s="31">
        <f>'Occ T1'!E12</f>
        <v>46.732747293258697</v>
      </c>
      <c r="F28" s="31">
        <f>'Occ T1'!F12</f>
        <v>43.17648751920472</v>
      </c>
      <c r="H28" s="31">
        <f t="shared" ref="H28:K30" si="15">C28-B28</f>
        <v>-0.99697249132374566</v>
      </c>
      <c r="I28" s="31">
        <f t="shared" si="5"/>
        <v>-7.7795968377166815</v>
      </c>
      <c r="J28" s="31">
        <f t="shared" si="15"/>
        <v>-1.5129652560734854</v>
      </c>
      <c r="K28" s="31">
        <f t="shared" si="15"/>
        <v>-3.5562597740539772</v>
      </c>
      <c r="L28" s="31">
        <f t="shared" si="4"/>
        <v>-5.0692250301274626</v>
      </c>
    </row>
    <row r="29" spans="1:12" x14ac:dyDescent="0.2">
      <c r="A29" s="10" t="str">
        <f>'Occ T2'!A21</f>
        <v>51 Skilled agricultural and related trades</v>
      </c>
      <c r="B29" s="10">
        <f>'Occ T2'!B21</f>
        <v>4.6441267016966554</v>
      </c>
      <c r="C29" s="10">
        <f>'Occ T2'!C21</f>
        <v>3.9176639986628095</v>
      </c>
      <c r="D29" s="10">
        <f>'Occ T2'!D21</f>
        <v>3.9137663619264487</v>
      </c>
      <c r="E29" s="10">
        <f>'Occ T2'!E21</f>
        <v>3.9545639006839899</v>
      </c>
      <c r="F29" s="10">
        <f>'Occ T2'!F21</f>
        <v>4.3882264054856144</v>
      </c>
      <c r="H29" s="11">
        <f t="shared" si="15"/>
        <v>-0.72646270303384597</v>
      </c>
      <c r="I29" s="31">
        <f t="shared" si="5"/>
        <v>-3.8976367363607878E-3</v>
      </c>
      <c r="J29" s="11">
        <f t="shared" si="15"/>
        <v>4.0797538757541219E-2</v>
      </c>
      <c r="K29" s="11">
        <f t="shared" si="15"/>
        <v>0.43366250480162449</v>
      </c>
      <c r="L29" s="31">
        <f t="shared" si="4"/>
        <v>0.47446004355916571</v>
      </c>
    </row>
    <row r="30" spans="1:12" x14ac:dyDescent="0.2">
      <c r="A30" s="10" t="str">
        <f>'Occ T2'!A22</f>
        <v>52 Skilled metal, electrical and electronic trades</v>
      </c>
      <c r="B30" s="10">
        <f>'Occ T2'!B22</f>
        <v>23.746739359376484</v>
      </c>
      <c r="C30" s="10">
        <f>'Occ T2'!C22</f>
        <v>23.284125331339183</v>
      </c>
      <c r="D30" s="10">
        <f>'Occ T2'!D22</f>
        <v>19.8153660104539</v>
      </c>
      <c r="E30" s="10">
        <f>'Occ T2'!E22</f>
        <v>18.71073724003908</v>
      </c>
      <c r="F30" s="10">
        <f>'Occ T2'!F22</f>
        <v>16.745561719909368</v>
      </c>
      <c r="H30" s="11">
        <f t="shared" si="15"/>
        <v>-0.46261402803730078</v>
      </c>
      <c r="I30" s="31">
        <f t="shared" si="5"/>
        <v>-3.4687593208852832</v>
      </c>
      <c r="J30" s="11">
        <f t="shared" si="15"/>
        <v>-1.1046287704148199</v>
      </c>
      <c r="K30" s="11">
        <f t="shared" si="15"/>
        <v>-1.9651755201297121</v>
      </c>
      <c r="L30" s="31">
        <f t="shared" si="4"/>
        <v>-3.069804290544532</v>
      </c>
    </row>
    <row r="31" spans="1:12" x14ac:dyDescent="0.2">
      <c r="A31" s="10" t="str">
        <f>'Occ T2'!A23</f>
        <v>53 Skilled construction and building trades</v>
      </c>
      <c r="B31" s="10">
        <f>'Occ T2'!B23</f>
        <v>18.075106264951447</v>
      </c>
      <c r="C31" s="10">
        <f>'Occ T2'!C23</f>
        <v>19.872573195366002</v>
      </c>
      <c r="D31" s="10">
        <f>'Occ T2'!D23</f>
        <v>16.08769129935639</v>
      </c>
      <c r="E31" s="10">
        <f>'Occ T2'!E23</f>
        <v>15.823444092159617</v>
      </c>
      <c r="F31" s="10">
        <f>'Occ T2'!F23</f>
        <v>14.220772873886741</v>
      </c>
      <c r="H31" s="11">
        <f t="shared" ref="H31:H32" si="16">C31-B31</f>
        <v>1.7974669304145543</v>
      </c>
      <c r="I31" s="31">
        <f t="shared" si="5"/>
        <v>-3.7848818960096118</v>
      </c>
      <c r="J31" s="11">
        <f t="shared" ref="J31:J32" si="17">E31-D31</f>
        <v>-0.26424720719677275</v>
      </c>
      <c r="K31" s="11">
        <f t="shared" ref="K31:K32" si="18">F31-E31</f>
        <v>-1.6026712182728762</v>
      </c>
      <c r="L31" s="31">
        <f t="shared" si="4"/>
        <v>-1.8669184254696489</v>
      </c>
    </row>
    <row r="32" spans="1:12" x14ac:dyDescent="0.2">
      <c r="A32" s="10" t="str">
        <f>'Occ T2'!A24</f>
        <v>54 Textiles, printing and other skilled trades</v>
      </c>
      <c r="B32" s="10">
        <f>'Occ T2'!B24</f>
        <v>10.556309552348026</v>
      </c>
      <c r="C32" s="10">
        <f>'Occ T2'!C24</f>
        <v>8.9509468616808654</v>
      </c>
      <c r="D32" s="10">
        <f>'Occ T2'!D24</f>
        <v>8.4288888775954423</v>
      </c>
      <c r="E32" s="10">
        <f>'Occ T2'!E24</f>
        <v>8.2440020603760154</v>
      </c>
      <c r="F32" s="10">
        <f>'Occ T2'!F24</f>
        <v>7.8219265199229948</v>
      </c>
      <c r="H32" s="11">
        <f t="shared" si="16"/>
        <v>-1.6053626906671603</v>
      </c>
      <c r="I32" s="31">
        <f t="shared" si="5"/>
        <v>-0.52205798408542314</v>
      </c>
      <c r="J32" s="11">
        <f t="shared" si="17"/>
        <v>-0.1848868172194269</v>
      </c>
      <c r="K32" s="11">
        <f t="shared" si="18"/>
        <v>-0.42207554045302054</v>
      </c>
      <c r="L32" s="31">
        <f t="shared" si="4"/>
        <v>-0.60696235767244744</v>
      </c>
    </row>
    <row r="33" spans="1:12" x14ac:dyDescent="0.2">
      <c r="A33" s="10"/>
      <c r="B33" s="32"/>
      <c r="C33" s="32"/>
      <c r="D33" s="32"/>
      <c r="E33" s="32"/>
      <c r="F33" s="32"/>
      <c r="H33" s="11"/>
      <c r="I33" s="31"/>
      <c r="J33" s="11"/>
      <c r="K33" s="11"/>
      <c r="L33" s="31"/>
    </row>
    <row r="34" spans="1:12" s="30" customFormat="1" x14ac:dyDescent="0.2">
      <c r="A34" s="30" t="str">
        <f>'Occ T1'!A13</f>
        <v>Caring, leisure and other service occupations</v>
      </c>
      <c r="B34" s="31">
        <f>'Occ T1'!B13</f>
        <v>44.888544099919955</v>
      </c>
      <c r="C34" s="31">
        <f>'Occ T1'!C13</f>
        <v>43.233422460822304</v>
      </c>
      <c r="D34" s="31">
        <f>'Occ T1'!D13</f>
        <v>42.842121741005315</v>
      </c>
      <c r="E34" s="31">
        <f>'Occ T1'!E13</f>
        <v>44.580249740757665</v>
      </c>
      <c r="F34" s="31">
        <f>'Occ T1'!F13</f>
        <v>46.050455885843554</v>
      </c>
      <c r="H34" s="31">
        <f t="shared" ref="H34:K36" si="19">C34-B34</f>
        <v>-1.6551216390976506</v>
      </c>
      <c r="I34" s="31">
        <f t="shared" si="5"/>
        <v>-0.39130071981698933</v>
      </c>
      <c r="J34" s="31">
        <f t="shared" si="19"/>
        <v>1.7381279997523507</v>
      </c>
      <c r="K34" s="31">
        <f t="shared" si="19"/>
        <v>1.4702061450858892</v>
      </c>
      <c r="L34" s="31">
        <f t="shared" si="4"/>
        <v>3.2083341448382399</v>
      </c>
    </row>
    <row r="35" spans="1:12" x14ac:dyDescent="0.2">
      <c r="A35" s="10" t="str">
        <f>'Occ T2'!A25</f>
        <v>61 Caring personal service occupations</v>
      </c>
      <c r="B35" s="10">
        <f>'Occ T2'!B25</f>
        <v>33.611923724291344</v>
      </c>
      <c r="C35" s="10">
        <f>'Occ T2'!C25</f>
        <v>31.35753209221701</v>
      </c>
      <c r="D35" s="10">
        <f>'Occ T2'!D25</f>
        <v>31.610179921526679</v>
      </c>
      <c r="E35" s="10">
        <f>'Occ T2'!E25</f>
        <v>33.638633531936662</v>
      </c>
      <c r="F35" s="10">
        <f>'Occ T2'!F25</f>
        <v>34.878615994605461</v>
      </c>
      <c r="G35" s="10"/>
      <c r="H35" s="11">
        <f t="shared" si="19"/>
        <v>-2.2543916320743342</v>
      </c>
      <c r="I35" s="31">
        <f t="shared" si="5"/>
        <v>0.25264782930966945</v>
      </c>
      <c r="J35" s="11">
        <f t="shared" si="19"/>
        <v>2.0284536104099828</v>
      </c>
      <c r="K35" s="11">
        <f t="shared" si="19"/>
        <v>1.2399824626687987</v>
      </c>
      <c r="L35" s="31">
        <f t="shared" si="4"/>
        <v>3.2684360730787816</v>
      </c>
    </row>
    <row r="36" spans="1:12" x14ac:dyDescent="0.2">
      <c r="A36" s="10" t="str">
        <f>'Occ T2'!A26</f>
        <v>62 Leisure, travel and related personal service occupations</v>
      </c>
      <c r="B36" s="10">
        <f>'Occ T2'!B26</f>
        <v>10.694469678421898</v>
      </c>
      <c r="C36" s="10">
        <f>'Occ T2'!C26</f>
        <v>11.35031775343238</v>
      </c>
      <c r="D36" s="10">
        <f>'Occ T2'!D26</f>
        <v>10.590117171876656</v>
      </c>
      <c r="E36" s="10">
        <f>'Occ T2'!E26</f>
        <v>10.409965299818033</v>
      </c>
      <c r="F36" s="10">
        <f>'Occ T2'!F26</f>
        <v>10.611845266662291</v>
      </c>
      <c r="G36" s="10"/>
      <c r="H36" s="11">
        <f t="shared" si="19"/>
        <v>0.65584807501048203</v>
      </c>
      <c r="I36" s="31">
        <f t="shared" si="5"/>
        <v>-0.76020058155572379</v>
      </c>
      <c r="J36" s="11">
        <f t="shared" si="19"/>
        <v>-0.18015187205862304</v>
      </c>
      <c r="K36" s="11">
        <f t="shared" si="19"/>
        <v>0.20187996684425791</v>
      </c>
      <c r="L36" s="31">
        <f t="shared" si="4"/>
        <v>2.1728094785634866E-2</v>
      </c>
    </row>
    <row r="37" spans="1:12" x14ac:dyDescent="0.2">
      <c r="A37" s="10" t="str">
        <f>'Occ T2'!A27</f>
        <v>63 Community and civil enforcement occupations</v>
      </c>
      <c r="B37" s="10">
        <f>'Occ T2'!B27</f>
        <v>0.58215069720671409</v>
      </c>
      <c r="C37" s="10">
        <f>'Occ T2'!C27</f>
        <v>0.52557261517291309</v>
      </c>
      <c r="D37" s="10">
        <f>'Occ T2'!D27</f>
        <v>0.64182464760198232</v>
      </c>
      <c r="E37" s="10">
        <f>'Occ T2'!E27</f>
        <v>0.53165090900297174</v>
      </c>
      <c r="F37" s="10">
        <f>'Occ T2'!F27</f>
        <v>0.55999462457579885</v>
      </c>
      <c r="G37" s="10"/>
      <c r="H37" s="11">
        <f t="shared" ref="H37" si="20">C37-B37</f>
        <v>-5.6578082033800992E-2</v>
      </c>
      <c r="I37" s="31">
        <f t="shared" ref="I37" si="21">D37-C37</f>
        <v>0.11625203242906923</v>
      </c>
      <c r="J37" s="11">
        <f t="shared" ref="J37" si="22">E37-D37</f>
        <v>-0.11017373859901058</v>
      </c>
      <c r="K37" s="11">
        <f t="shared" ref="K37" si="23">F37-E37</f>
        <v>2.8343715572827111E-2</v>
      </c>
      <c r="L37" s="31">
        <f t="shared" ref="L37" si="24">F37-D37</f>
        <v>-8.1830023026183474E-2</v>
      </c>
    </row>
    <row r="38" spans="1:12" x14ac:dyDescent="0.2">
      <c r="I38" s="31"/>
      <c r="L38" s="31"/>
    </row>
    <row r="39" spans="1:12" s="30" customFormat="1" x14ac:dyDescent="0.2">
      <c r="A39" s="30" t="str">
        <f>'Occ T1'!A14</f>
        <v>Sales and customer service occupations</v>
      </c>
      <c r="B39" s="31">
        <f>'Occ T1'!B14</f>
        <v>56.179250393666827</v>
      </c>
      <c r="C39" s="31">
        <f>'Occ T1'!C14</f>
        <v>50.864291073074931</v>
      </c>
      <c r="D39" s="31">
        <f>'Occ T1'!D14</f>
        <v>51.568261223138805</v>
      </c>
      <c r="E39" s="31">
        <f>'Occ T1'!E14</f>
        <v>51.47460691376255</v>
      </c>
      <c r="F39" s="31">
        <f>'Occ T1'!F14</f>
        <v>51.915229307935128</v>
      </c>
      <c r="H39" s="31">
        <f>C39-B39</f>
        <v>-5.3149593205918961</v>
      </c>
      <c r="I39" s="31">
        <f t="shared" si="5"/>
        <v>0.7039701500638742</v>
      </c>
      <c r="J39" s="31">
        <f>E39-D39</f>
        <v>-9.3654309376255185E-2</v>
      </c>
      <c r="K39" s="31">
        <f>F39-E39</f>
        <v>0.44062239417257842</v>
      </c>
      <c r="L39" s="31">
        <f t="shared" si="4"/>
        <v>0.34696808479632324</v>
      </c>
    </row>
    <row r="40" spans="1:12" s="30" customFormat="1" x14ac:dyDescent="0.2">
      <c r="A40" s="126" t="str">
        <f>'Occ T2'!A28</f>
        <v>71 Sales occupations</v>
      </c>
      <c r="B40" s="126">
        <f>'Occ T2'!B28</f>
        <v>47.90500212035964</v>
      </c>
      <c r="C40" s="126">
        <f>'Occ T2'!C28</f>
        <v>42.371397183233768</v>
      </c>
      <c r="D40" s="126">
        <f>'Occ T2'!D28</f>
        <v>42.678069113601978</v>
      </c>
      <c r="E40" s="126">
        <f>'Occ T2'!E28</f>
        <v>40.14254357355194</v>
      </c>
      <c r="F40" s="126">
        <f>'Occ T2'!F28</f>
        <v>38.750591491417339</v>
      </c>
      <c r="G40"/>
      <c r="H40" s="11">
        <f>C40-B40</f>
        <v>-5.5336049371258724</v>
      </c>
      <c r="I40" s="31">
        <f t="shared" si="5"/>
        <v>0.30667193036821061</v>
      </c>
      <c r="J40" s="11">
        <f t="shared" ref="J40" si="25">E40-D40</f>
        <v>-2.5355255400500383</v>
      </c>
      <c r="K40" s="11">
        <f t="shared" ref="K40" si="26">F40-E40</f>
        <v>-1.3919520821346012</v>
      </c>
      <c r="L40" s="31">
        <f t="shared" si="4"/>
        <v>-3.9274776221846395</v>
      </c>
    </row>
    <row r="41" spans="1:12" s="30" customFormat="1" x14ac:dyDescent="0.2">
      <c r="A41" s="126" t="str">
        <f>'Occ T2'!A29</f>
        <v>72 Customer service occupations</v>
      </c>
      <c r="B41" s="126">
        <f>'Occ T2'!B29</f>
        <v>8.2742482733071885</v>
      </c>
      <c r="C41" s="126">
        <f>'Occ T2'!C29</f>
        <v>8.4928938898411648</v>
      </c>
      <c r="D41" s="126">
        <f>'Occ T2'!D29</f>
        <v>8.8901921095368301</v>
      </c>
      <c r="E41" s="126">
        <f>'Occ T2'!E29</f>
        <v>11.332063340210611</v>
      </c>
      <c r="F41" s="126">
        <f>'Occ T2'!F29</f>
        <v>13.164637816517791</v>
      </c>
      <c r="G41"/>
      <c r="H41" s="11">
        <f t="shared" ref="H41" si="27">C41-B41</f>
        <v>0.21864561653397629</v>
      </c>
      <c r="I41" s="31">
        <f t="shared" si="5"/>
        <v>0.39729821969566537</v>
      </c>
      <c r="J41" s="11">
        <f t="shared" ref="J41" si="28">E41-D41</f>
        <v>2.4418712306737813</v>
      </c>
      <c r="K41" s="11">
        <f t="shared" ref="K41" si="29">F41-E41</f>
        <v>1.8325744763071796</v>
      </c>
      <c r="L41" s="31">
        <f t="shared" si="4"/>
        <v>4.2744457069809609</v>
      </c>
    </row>
    <row r="42" spans="1:12" x14ac:dyDescent="0.2">
      <c r="B42" s="32"/>
      <c r="C42" s="32"/>
      <c r="D42" s="32"/>
      <c r="E42" s="32"/>
      <c r="F42" s="32"/>
      <c r="H42" s="11"/>
      <c r="I42" s="31"/>
      <c r="J42" s="11"/>
      <c r="K42" s="11"/>
      <c r="L42" s="31"/>
    </row>
    <row r="43" spans="1:12" s="30" customFormat="1" x14ac:dyDescent="0.2">
      <c r="A43" s="30" t="str">
        <f>'Occ T1'!A15</f>
        <v>Process, plant and machine operatives</v>
      </c>
      <c r="B43" s="31">
        <f>'Occ T1'!B15</f>
        <v>38.275660553349219</v>
      </c>
      <c r="C43" s="31">
        <f>'Occ T1'!C15</f>
        <v>40.23920215456873</v>
      </c>
      <c r="D43" s="31">
        <f>'Occ T1'!D15</f>
        <v>35.579190689780106</v>
      </c>
      <c r="E43" s="31">
        <f>'Occ T1'!E15</f>
        <v>38.295208327413881</v>
      </c>
      <c r="F43" s="31">
        <f>'Occ T1'!F15</f>
        <v>36.130893780094553</v>
      </c>
      <c r="H43" s="31">
        <f t="shared" ref="H43:K45" si="30">C43-B43</f>
        <v>1.9635416012195108</v>
      </c>
      <c r="I43" s="31">
        <f t="shared" si="5"/>
        <v>-4.6600114647886244</v>
      </c>
      <c r="J43" s="31">
        <f t="shared" si="30"/>
        <v>2.7160176376337759</v>
      </c>
      <c r="K43" s="31">
        <f t="shared" si="30"/>
        <v>-2.1643145473193286</v>
      </c>
      <c r="L43" s="31">
        <f t="shared" si="4"/>
        <v>0.55170309031444731</v>
      </c>
    </row>
    <row r="44" spans="1:12" x14ac:dyDescent="0.2">
      <c r="A44" s="10" t="str">
        <f>'Occ T2'!A30</f>
        <v>81 Process, plant and machine operatives</v>
      </c>
      <c r="B44" s="10">
        <f>'Occ T2'!B30</f>
        <v>20.497099930923987</v>
      </c>
      <c r="C44" s="10">
        <f>'Occ T2'!C30</f>
        <v>18.90603423685317</v>
      </c>
      <c r="D44" s="10">
        <f>'Occ T2'!D30</f>
        <v>16.493271233190935</v>
      </c>
      <c r="E44" s="10">
        <f>'Occ T2'!E30</f>
        <v>19.238164300614457</v>
      </c>
      <c r="F44" s="10">
        <f>'Occ T2'!F30</f>
        <v>18.228830196942472</v>
      </c>
      <c r="H44" s="11">
        <f t="shared" si="30"/>
        <v>-1.5910656940708172</v>
      </c>
      <c r="I44" s="31">
        <f t="shared" si="5"/>
        <v>-2.412763003662235</v>
      </c>
      <c r="J44" s="11">
        <f t="shared" si="30"/>
        <v>2.7448930674235221</v>
      </c>
      <c r="K44" s="11">
        <f t="shared" si="30"/>
        <v>-1.0093341036719856</v>
      </c>
      <c r="L44" s="31">
        <f t="shared" si="4"/>
        <v>1.7355589637515365</v>
      </c>
    </row>
    <row r="45" spans="1:12" x14ac:dyDescent="0.2">
      <c r="A45" s="10" t="str">
        <f>'Occ T2'!A31</f>
        <v>82 Transport and mobile machine drivers and operatives</v>
      </c>
      <c r="B45" s="10">
        <f>'Occ T2'!B31</f>
        <v>17.778560622425232</v>
      </c>
      <c r="C45" s="10">
        <f>'Occ T2'!C31</f>
        <v>21.33316791771556</v>
      </c>
      <c r="D45" s="10">
        <f>'Occ T2'!D31</f>
        <v>19.085919456589171</v>
      </c>
      <c r="E45" s="10">
        <f>'Occ T2'!E31</f>
        <v>19.057044026799424</v>
      </c>
      <c r="F45" s="10">
        <f>'Occ T2'!F31</f>
        <v>17.902063583152078</v>
      </c>
      <c r="H45" s="11">
        <f t="shared" si="30"/>
        <v>3.554607295290328</v>
      </c>
      <c r="I45" s="31">
        <f t="shared" si="5"/>
        <v>-2.2472484611263894</v>
      </c>
      <c r="J45" s="11">
        <f t="shared" si="30"/>
        <v>-2.8875429789746221E-2</v>
      </c>
      <c r="K45" s="11">
        <f t="shared" si="30"/>
        <v>-1.1549804436473465</v>
      </c>
      <c r="L45" s="31">
        <f t="shared" si="4"/>
        <v>-1.1838558734370928</v>
      </c>
    </row>
    <row r="46" spans="1:12" x14ac:dyDescent="0.2">
      <c r="B46" s="32"/>
      <c r="C46" s="32"/>
      <c r="D46" s="32"/>
      <c r="E46" s="32"/>
      <c r="F46" s="32"/>
      <c r="H46" s="11"/>
      <c r="I46" s="31"/>
      <c r="J46" s="11"/>
      <c r="K46" s="11"/>
      <c r="L46" s="31"/>
    </row>
    <row r="47" spans="1:12" s="30" customFormat="1" x14ac:dyDescent="0.2">
      <c r="A47" s="30" t="str">
        <f>'Occ T1'!A16</f>
        <v>Elementary occupations</v>
      </c>
      <c r="B47" s="31">
        <f>'Occ T1'!B16</f>
        <v>60.381229357541621</v>
      </c>
      <c r="C47" s="31">
        <f>'Occ T1'!C16</f>
        <v>56.405347735410913</v>
      </c>
      <c r="D47" s="31">
        <f>'Occ T1'!D16</f>
        <v>52.797952065548557</v>
      </c>
      <c r="E47" s="31">
        <f>'Occ T1'!E16</f>
        <v>51.320429621084152</v>
      </c>
      <c r="F47" s="31">
        <f>'Occ T1'!F16</f>
        <v>49.724225750820281</v>
      </c>
      <c r="H47" s="31">
        <f t="shared" ref="H47:K49" si="31">C47-B47</f>
        <v>-3.9758816221307072</v>
      </c>
      <c r="I47" s="31">
        <f t="shared" si="5"/>
        <v>-3.6073956698623562</v>
      </c>
      <c r="J47" s="31">
        <f t="shared" si="31"/>
        <v>-1.4775224444644053</v>
      </c>
      <c r="K47" s="31">
        <f t="shared" si="31"/>
        <v>-1.5962038702638708</v>
      </c>
      <c r="L47" s="31">
        <f t="shared" si="4"/>
        <v>-3.0737263147282761</v>
      </c>
    </row>
    <row r="48" spans="1:12" x14ac:dyDescent="0.2">
      <c r="A48" s="10" t="str">
        <f>'Occ T2'!A32</f>
        <v>91 Elementary trades and related occupations</v>
      </c>
      <c r="B48" s="10">
        <f>'Occ T2'!B32</f>
        <v>8.7079014188987056</v>
      </c>
      <c r="C48" s="10">
        <f>'Occ T2'!C32</f>
        <v>7.6248517810092737</v>
      </c>
      <c r="D48" s="10">
        <f>'Occ T2'!D32</f>
        <v>6.6946553065972703</v>
      </c>
      <c r="E48" s="10">
        <f>'Occ T2'!E32</f>
        <v>5.3429118918296057</v>
      </c>
      <c r="F48" s="10">
        <f>'Occ T2'!F32</f>
        <v>4.88114497890591</v>
      </c>
      <c r="H48" s="11">
        <f t="shared" si="31"/>
        <v>-1.0830496378894319</v>
      </c>
      <c r="I48" s="31">
        <f t="shared" si="5"/>
        <v>-0.93019647441200348</v>
      </c>
      <c r="J48" s="11">
        <f t="shared" si="31"/>
        <v>-1.3517434147676646</v>
      </c>
      <c r="K48" s="11">
        <f t="shared" si="31"/>
        <v>-0.46176691292369565</v>
      </c>
      <c r="L48" s="31">
        <f t="shared" si="4"/>
        <v>-1.8135103276913602</v>
      </c>
    </row>
    <row r="49" spans="1:12" x14ac:dyDescent="0.2">
      <c r="A49" s="10" t="str">
        <f>'Occ T2'!A33</f>
        <v>92 Elementary administration and service occupations</v>
      </c>
      <c r="B49" s="10">
        <f>'Occ T2'!B33</f>
        <v>51.673327938642913</v>
      </c>
      <c r="C49" s="10">
        <f>'Occ T2'!C33</f>
        <v>48.780495954401637</v>
      </c>
      <c r="D49" s="10">
        <f>'Occ T2'!D33</f>
        <v>46.103296758951288</v>
      </c>
      <c r="E49" s="10">
        <f>'Occ T2'!E33</f>
        <v>45.977517729254544</v>
      </c>
      <c r="F49" s="10">
        <f>'Occ T2'!F33</f>
        <v>44.843080771914373</v>
      </c>
      <c r="H49" s="11">
        <f t="shared" si="31"/>
        <v>-2.8928319842412762</v>
      </c>
      <c r="I49" s="31">
        <f t="shared" si="5"/>
        <v>-2.6771991954503491</v>
      </c>
      <c r="J49" s="11">
        <f t="shared" si="31"/>
        <v>-0.12577902969674426</v>
      </c>
      <c r="K49" s="11">
        <f t="shared" si="31"/>
        <v>-1.1344369573401707</v>
      </c>
      <c r="L49" s="31">
        <f t="shared" si="4"/>
        <v>-1.260215987036915</v>
      </c>
    </row>
    <row r="50" spans="1:12" x14ac:dyDescent="0.2">
      <c r="B50" s="32"/>
      <c r="C50" s="32"/>
      <c r="D50" s="32"/>
      <c r="E50" s="32"/>
      <c r="F50" s="32"/>
      <c r="H50" s="11"/>
      <c r="I50" s="31"/>
      <c r="J50" s="11"/>
      <c r="K50" s="11"/>
      <c r="L50" s="31"/>
    </row>
    <row r="51" spans="1:12" x14ac:dyDescent="0.2">
      <c r="A51" s="39" t="str">
        <f>'Occ T1'!A18</f>
        <v>All occupations</v>
      </c>
      <c r="B51" s="34">
        <f>'Occ T1'!B18</f>
        <v>489.71100000000007</v>
      </c>
      <c r="C51" s="34">
        <f>'Occ T1'!C18</f>
        <v>483.57499999999982</v>
      </c>
      <c r="D51" s="34">
        <f>'Occ T1'!D18</f>
        <v>478.9260000000001</v>
      </c>
      <c r="E51" s="34">
        <f>'Occ T1'!E18</f>
        <v>482.75099999999975</v>
      </c>
      <c r="F51" s="34">
        <f>'Occ T1'!F18</f>
        <v>492.77799999999985</v>
      </c>
      <c r="G51" s="24"/>
      <c r="H51" s="34">
        <f>C51-B51</f>
        <v>-6.1360000000002515</v>
      </c>
      <c r="I51" s="205">
        <f>D51-C51</f>
        <v>-4.6489999999997167</v>
      </c>
      <c r="J51" s="34">
        <f>E51-D51</f>
        <v>3.8249999999996476</v>
      </c>
      <c r="K51" s="34">
        <f>F51-E51</f>
        <v>10.0270000000001</v>
      </c>
      <c r="L51" s="205">
        <f>F51-D51</f>
        <v>13.851999999999748</v>
      </c>
    </row>
    <row r="53" spans="1:12" ht="15.75" x14ac:dyDescent="0.25">
      <c r="A53" s="19" t="str">
        <f>CONCATENATE(A1," (Continued)")</f>
        <v>Occupation Table 3  Employment Change by Occupation in Occupation Group (SOC 2020), 2015-2035, North East (Continued)</v>
      </c>
    </row>
    <row r="55" spans="1:12" x14ac:dyDescent="0.2">
      <c r="L55" s="16" t="s">
        <v>22</v>
      </c>
    </row>
    <row r="56" spans="1:12" x14ac:dyDescent="0.2">
      <c r="A56" s="36"/>
      <c r="B56" s="28" t="s">
        <v>15</v>
      </c>
      <c r="C56" s="28"/>
      <c r="D56" s="28"/>
      <c r="E56" s="28"/>
      <c r="F56" s="28"/>
      <c r="G56" s="28"/>
      <c r="H56" s="28" t="s">
        <v>14</v>
      </c>
      <c r="I56" s="28"/>
      <c r="J56" s="28"/>
      <c r="K56" s="28"/>
      <c r="L56" s="28"/>
    </row>
    <row r="57" spans="1:12" x14ac:dyDescent="0.2">
      <c r="A57" s="24"/>
      <c r="B57" s="37" t="str">
        <f>H5</f>
        <v>2015-2019</v>
      </c>
      <c r="C57" s="37" t="str">
        <f>I5</f>
        <v>2019-2020</v>
      </c>
      <c r="D57" s="37" t="str">
        <f>J5</f>
        <v>2020-2025</v>
      </c>
      <c r="E57" s="37" t="str">
        <f>K5</f>
        <v>2025-2035</v>
      </c>
      <c r="F57" s="37" t="str">
        <f>L5</f>
        <v>2020-2035</v>
      </c>
      <c r="G57" s="1"/>
      <c r="H57" s="42">
        <f>B5</f>
        <v>2015</v>
      </c>
      <c r="I57" s="42">
        <f>C5</f>
        <v>2019</v>
      </c>
      <c r="J57" s="42">
        <f>D5</f>
        <v>2020</v>
      </c>
      <c r="K57" s="42">
        <f>E5</f>
        <v>2025</v>
      </c>
      <c r="L57" s="42">
        <f>F5</f>
        <v>2035</v>
      </c>
    </row>
    <row r="59" spans="1:12" s="30" customFormat="1" x14ac:dyDescent="0.2">
      <c r="A59" s="30" t="str">
        <f>A7</f>
        <v>Managers, directors and senior officials</v>
      </c>
      <c r="B59" s="44">
        <f>IF(AND(C$5-B$5 &lt;&gt; 0,C7 &lt;&gt; 0,B7 &lt;&gt; 0),(EXP(LN(C7/B7)/(C$5-B$5))-1)*100,0)</f>
        <v>2.6438335567162019</v>
      </c>
      <c r="C59" s="44">
        <f>IF(AND(D$5-C$5 &lt;&gt; 0,D7 &lt;&gt; 0,C7 &lt;&gt; 0),(EXP(LN(D7/C7)/(D$5-C$5))-1)*100,0)</f>
        <v>0.69408614933250679</v>
      </c>
      <c r="D59" s="44">
        <f>IF(AND(E$5-D$5 &lt;&gt; 0,E7 &lt;&gt; 0,D7 &lt;&gt; 0),(EXP(LN(E7/D7)/(E$5-D$5))-1)*100,0)</f>
        <v>0.30497509652924748</v>
      </c>
      <c r="E59" s="44">
        <f>IF(AND(F$5-E$5 &lt;&gt; 0,F7 &lt;&gt; 0,E7 &lt;&gt; 0),(EXP(LN(F7/E7)/(F$5-E$5))-1)*100,0)</f>
        <v>1.1227288891217935</v>
      </c>
      <c r="F59" s="44">
        <f>IF(AND(F$5-D$5 &lt;&gt; 0,F7 &lt;&gt; 0,D7 &lt;&gt; 0),(EXP(LN(F7/D7)/(F$5-D$5))-1)*100,0)</f>
        <v>0.84940619850819576</v>
      </c>
      <c r="H59" s="44">
        <f>(B7/B$51)*100</f>
        <v>7.3525417975637106</v>
      </c>
      <c r="I59" s="44">
        <f>(C7/C$51)*100</f>
        <v>8.2650403085965216</v>
      </c>
      <c r="J59" s="44">
        <f>(D7/D$51)*100</f>
        <v>8.4031935465523109</v>
      </c>
      <c r="K59" s="44">
        <f>(E7/E$51)*100</f>
        <v>8.4645129028254953</v>
      </c>
      <c r="L59" s="44">
        <f>(F7/F$51)*100</f>
        <v>9.2717487014265831</v>
      </c>
    </row>
    <row r="60" spans="1:12" s="30" customFormat="1" x14ac:dyDescent="0.2">
      <c r="A60" s="30" t="str">
        <f>A8</f>
        <v>11 Corporate managers and directors</v>
      </c>
      <c r="B60" s="44">
        <f t="shared" ref="B60:E60" si="32">IF(AND(C$5-B$5 &lt;&gt; 0,C8 &lt;&gt; 0,B8 &lt;&gt; 0),(EXP(LN(C8/B8)/(C$5-B$5))-1)*100,0)</f>
        <v>3.2341695535799575</v>
      </c>
      <c r="C60" s="44">
        <f t="shared" si="32"/>
        <v>2.9531962880721796</v>
      </c>
      <c r="D60" s="44">
        <f t="shared" si="32"/>
        <v>-1.8174464081448405</v>
      </c>
      <c r="E60" s="44">
        <f t="shared" si="32"/>
        <v>0.84999377532994913</v>
      </c>
      <c r="F60" s="44">
        <f>IF(AND(F$5-D$5 &lt;&gt; 0,F8 &lt;&gt; 0,D8 &lt;&gt; 0),(EXP(LN(F8/D8)/(F$5-D$5))-1)*100,0)</f>
        <v>-4.7109400992328965E-2</v>
      </c>
      <c r="H60" s="44">
        <f t="shared" ref="H60:L60" si="33">(B8/B$51)*100</f>
        <v>4.4378717505458232</v>
      </c>
      <c r="I60" s="44">
        <f t="shared" si="33"/>
        <v>5.1043993002812842</v>
      </c>
      <c r="J60" s="44">
        <f t="shared" si="33"/>
        <v>5.306154613300393</v>
      </c>
      <c r="K60" s="44">
        <f t="shared" si="33"/>
        <v>4.8028248573969119</v>
      </c>
      <c r="L60" s="44">
        <f t="shared" si="33"/>
        <v>5.1206769549409668</v>
      </c>
    </row>
    <row r="61" spans="1:12" s="30" customFormat="1" x14ac:dyDescent="0.2">
      <c r="A61" s="30" t="str">
        <f>A9</f>
        <v>12 Other managers and proprietors</v>
      </c>
      <c r="B61" s="44">
        <f t="shared" ref="B61:E61" si="34">IF(AND(C$5-B$5 &lt;&gt; 0,C9 &lt;&gt; 0,B9 &lt;&gt; 0),(EXP(LN(C9/B9)/(C$5-B$5))-1)*100,0)</f>
        <v>1.7249390866562075</v>
      </c>
      <c r="C61" s="44">
        <f>IF(AND(D$5-C$5 &lt;&gt; 0,D9 &lt;&gt; 0,C9 &lt;&gt; 0),(EXP(LN(D9/C9)/(D$5-C$5))-1)*100,0)</f>
        <v>-2.9543510446111809</v>
      </c>
      <c r="D61" s="44">
        <f t="shared" si="34"/>
        <v>3.5709330920834725</v>
      </c>
      <c r="E61" s="44">
        <f t="shared" si="34"/>
        <v>1.4707107992975255</v>
      </c>
      <c r="F61" s="44">
        <f>IF(AND(F$5-D$5 &lt;&gt; 0,F9 &lt;&gt; 0,D9 &lt;&gt; 0),(EXP(LN(F9/D9)/(F$5-D$5))-1)*100,0)</f>
        <v>2.1660096790900418</v>
      </c>
      <c r="H61" s="44">
        <f t="shared" ref="H61:L61" si="35">(B9/B$51)*100</f>
        <v>2.9146700470178883</v>
      </c>
      <c r="I61" s="44">
        <f t="shared" si="35"/>
        <v>3.1606410083152374</v>
      </c>
      <c r="J61" s="44">
        <f t="shared" si="35"/>
        <v>3.0970389332519188</v>
      </c>
      <c r="K61" s="44">
        <f t="shared" si="35"/>
        <v>3.6616880454285843</v>
      </c>
      <c r="L61" s="44">
        <f t="shared" si="35"/>
        <v>4.1510717464856155</v>
      </c>
    </row>
    <row r="62" spans="1:12" x14ac:dyDescent="0.2">
      <c r="B62" s="40"/>
      <c r="C62" s="44"/>
      <c r="D62" s="40"/>
      <c r="E62" s="40"/>
      <c r="F62" s="44"/>
      <c r="H62" s="40"/>
      <c r="I62" s="40"/>
      <c r="J62" s="40"/>
      <c r="K62" s="40"/>
      <c r="L62" s="40"/>
    </row>
    <row r="63" spans="1:12" s="30" customFormat="1" x14ac:dyDescent="0.2">
      <c r="A63" s="30" t="str">
        <f>A11</f>
        <v>Professional occupations</v>
      </c>
      <c r="B63" s="44">
        <f t="shared" ref="B63:E67" si="36">IF(AND(C$5-B$5 &lt;&gt; 0,C11 &lt;&gt; 0,B11 &lt;&gt; 0),(EXP(LN(C11/B11)/(C$5-B$5))-1)*100,0)</f>
        <v>0.75518059835584239</v>
      </c>
      <c r="C63" s="44">
        <f t="shared" si="36"/>
        <v>6.6633415868458057</v>
      </c>
      <c r="D63" s="44">
        <f t="shared" si="36"/>
        <v>1.4567159523191542</v>
      </c>
      <c r="E63" s="44">
        <f t="shared" si="36"/>
        <v>0.92812393291423767</v>
      </c>
      <c r="F63" s="44">
        <f>IF(AND(F$5-D$5 &lt;&gt; 0,F11 &lt;&gt; 0,D11 &lt;&gt; 0),(EXP(LN(F11/D11)/(F$5-D$5))-1)*100,0)</f>
        <v>1.1040145644863442</v>
      </c>
      <c r="H63" s="44">
        <f>(B11/B$51)*100</f>
        <v>18.403768066333125</v>
      </c>
      <c r="I63" s="44">
        <f>(C11/C$51)*100</f>
        <v>19.206680565881186</v>
      </c>
      <c r="J63" s="44">
        <f>(D11/D$51)*100</f>
        <v>20.685352425731992</v>
      </c>
      <c r="K63" s="44">
        <f>(E11/E$51)*100</f>
        <v>22.060337884122134</v>
      </c>
      <c r="L63" s="44">
        <f>(F11/F$51)*100</f>
        <v>23.703148503525078</v>
      </c>
    </row>
    <row r="64" spans="1:12" x14ac:dyDescent="0.2">
      <c r="A64" t="str">
        <f>A12</f>
        <v>21 Science, research, engineering and technology professionals</v>
      </c>
      <c r="B64" s="49">
        <f t="shared" si="36"/>
        <v>1.0901178820918345</v>
      </c>
      <c r="C64" s="44">
        <f t="shared" si="36"/>
        <v>4.8890286922226522</v>
      </c>
      <c r="D64" s="49">
        <f t="shared" si="36"/>
        <v>0.70972428356224082</v>
      </c>
      <c r="E64" s="49">
        <f t="shared" si="36"/>
        <v>0.85488820534651566</v>
      </c>
      <c r="F64" s="44">
        <f>IF(AND(F$5-D$5 &lt;&gt; 0,F12 &lt;&gt; 0,D12 &lt;&gt; 0),(EXP(LN(F12/D12)/(F$5-D$5))-1)*100,0)</f>
        <v>0.80647699734308631</v>
      </c>
      <c r="H64" s="40">
        <f t="shared" ref="H64:L67" si="37">(B12/B$11)*100</f>
        <v>23.77359853889558</v>
      </c>
      <c r="I64" s="40">
        <f t="shared" si="37"/>
        <v>24.091297642480352</v>
      </c>
      <c r="J64" s="40">
        <f t="shared" si="37"/>
        <v>23.690546086985034</v>
      </c>
      <c r="K64" s="40">
        <f t="shared" si="37"/>
        <v>22.831166639085705</v>
      </c>
      <c r="L64" s="40">
        <f t="shared" si="37"/>
        <v>22.666038445334852</v>
      </c>
    </row>
    <row r="65" spans="1:12" x14ac:dyDescent="0.2">
      <c r="A65" t="str">
        <f>A13</f>
        <v>22 Health professionals</v>
      </c>
      <c r="B65" s="49">
        <f t="shared" si="36"/>
        <v>0.24630571186332606</v>
      </c>
      <c r="C65" s="44">
        <f t="shared" si="36"/>
        <v>4.2464077912183873</v>
      </c>
      <c r="D65" s="49">
        <f t="shared" si="36"/>
        <v>1.6378143945306789</v>
      </c>
      <c r="E65" s="49">
        <f t="shared" si="36"/>
        <v>0.86795547643123694</v>
      </c>
      <c r="F65" s="44">
        <f>IF(AND(F$5-D$5 &lt;&gt; 0,F13 &lt;&gt; 0,D13 &lt;&gt; 0),(EXP(LN(F13/D13)/(F$5-D$5))-1)*100,0)</f>
        <v>1.1239250003088008</v>
      </c>
      <c r="H65" s="40">
        <f t="shared" si="37"/>
        <v>30.593733947311581</v>
      </c>
      <c r="I65" s="40">
        <f t="shared" si="37"/>
        <v>29.98033284042463</v>
      </c>
      <c r="J65" s="40">
        <f t="shared" si="37"/>
        <v>29.300994666988693</v>
      </c>
      <c r="K65" s="40">
        <f t="shared" si="37"/>
        <v>29.563438696292181</v>
      </c>
      <c r="L65" s="40">
        <f t="shared" si="37"/>
        <v>29.387667854091315</v>
      </c>
    </row>
    <row r="66" spans="1:12" x14ac:dyDescent="0.2">
      <c r="A66" t="str">
        <f>A14</f>
        <v>23 Teaching and other educational professionals</v>
      </c>
      <c r="B66" s="49">
        <f t="shared" si="36"/>
        <v>-1.0136663636506338E-2</v>
      </c>
      <c r="C66" s="44">
        <f t="shared" si="36"/>
        <v>4.8331276156017067</v>
      </c>
      <c r="D66" s="49">
        <f t="shared" si="36"/>
        <v>1.7423630954812808</v>
      </c>
      <c r="E66" s="49">
        <f t="shared" si="36"/>
        <v>0.69620983633098543</v>
      </c>
      <c r="F66" s="44">
        <f>IF(AND(F$5-D$5 &lt;&gt; 0,F14 &lt;&gt; 0,D14 &lt;&gt; 0),(EXP(LN(F14/D14)/(F$5-D$5))-1)*100,0)</f>
        <v>1.0437268786075427</v>
      </c>
      <c r="H66" s="40">
        <f t="shared" si="37"/>
        <v>23.382126724274528</v>
      </c>
      <c r="I66" s="40">
        <f t="shared" si="37"/>
        <v>22.679755373893062</v>
      </c>
      <c r="J66" s="40">
        <f t="shared" si="37"/>
        <v>22.290598194564488</v>
      </c>
      <c r="K66" s="40">
        <f t="shared" si="37"/>
        <v>22.606161346190007</v>
      </c>
      <c r="L66" s="40">
        <f t="shared" si="37"/>
        <v>22.092052109580912</v>
      </c>
    </row>
    <row r="67" spans="1:12" x14ac:dyDescent="0.2">
      <c r="A67" t="str">
        <f>A15</f>
        <v>24 Business, media and public service professionals</v>
      </c>
      <c r="B67" s="49">
        <f t="shared" si="36"/>
        <v>1.8665295260993586</v>
      </c>
      <c r="C67" s="44">
        <f t="shared" si="36"/>
        <v>13.40416423914823</v>
      </c>
      <c r="D67" s="49">
        <f t="shared" si="36"/>
        <v>1.6866549597249536</v>
      </c>
      <c r="E67" s="49">
        <f t="shared" si="36"/>
        <v>1.2681116805970394</v>
      </c>
      <c r="F67" s="44">
        <f>IF(AND(F$5-D$5 &lt;&gt; 0,F15 &lt;&gt; 0,D15 &lt;&gt; 0),(EXP(LN(F15/D15)/(F$5-D$5))-1)*100,0)</f>
        <v>1.4074343417149748</v>
      </c>
      <c r="H67" s="40">
        <f t="shared" si="37"/>
        <v>22.250540789518308</v>
      </c>
      <c r="I67" s="40">
        <f t="shared" si="37"/>
        <v>23.248614143201955</v>
      </c>
      <c r="J67" s="40">
        <f t="shared" si="37"/>
        <v>24.717861051461778</v>
      </c>
      <c r="K67" s="40">
        <f t="shared" si="37"/>
        <v>24.999233318432111</v>
      </c>
      <c r="L67" s="40">
        <f t="shared" si="37"/>
        <v>25.85424159099292</v>
      </c>
    </row>
    <row r="68" spans="1:12" x14ac:dyDescent="0.2">
      <c r="B68" s="40"/>
      <c r="C68" s="44"/>
      <c r="D68" s="40"/>
      <c r="E68" s="40"/>
      <c r="F68" s="44"/>
      <c r="H68" s="40"/>
      <c r="I68" s="40"/>
      <c r="J68" s="40"/>
      <c r="K68" s="40"/>
      <c r="L68" s="40"/>
    </row>
    <row r="69" spans="1:12" s="30" customFormat="1" x14ac:dyDescent="0.2">
      <c r="A69" s="30" t="str">
        <f t="shared" ref="A69:A74" si="38">A17</f>
        <v>Associate professional occupations</v>
      </c>
      <c r="B69" s="44">
        <f t="shared" ref="B69:E74" si="39">IF(AND(C$5-B$5 &lt;&gt; 0,C17 &lt;&gt; 0,B17 &lt;&gt; 0),(EXP(LN(C17/B17)/(C$5-B$5))-1)*100,0)</f>
        <v>0.94804025383830037</v>
      </c>
      <c r="C69" s="44">
        <f t="shared" si="39"/>
        <v>4.7588871243215092</v>
      </c>
      <c r="D69" s="44">
        <f t="shared" si="39"/>
        <v>-0.82855076013176321</v>
      </c>
      <c r="E69" s="44">
        <f t="shared" si="39"/>
        <v>0.65463234866696141</v>
      </c>
      <c r="F69" s="44">
        <f t="shared" ref="F69:F74" si="40">IF(AND(F$5-D$5 &lt;&gt; 0,F17 &lt;&gt; 0,D17 &lt;&gt; 0),(EXP(LN(F17/D17)/(F$5-D$5))-1)*100,0)</f>
        <v>0.15778954122582789</v>
      </c>
      <c r="H69" s="44">
        <f>(B17/B$51)*100</f>
        <v>10.525988782033066</v>
      </c>
      <c r="I69" s="44">
        <f>(C17/C$51)*100</f>
        <v>11.069563364084885</v>
      </c>
      <c r="J69" s="44">
        <f>(D17/D$51)*100</f>
        <v>11.708918754237676</v>
      </c>
      <c r="K69" s="44">
        <f>(E17/E$51)*100</f>
        <v>11.14282537046593</v>
      </c>
      <c r="L69" s="44">
        <f>(F17/F$51)*100</f>
        <v>11.652117746881029</v>
      </c>
    </row>
    <row r="70" spans="1:12" x14ac:dyDescent="0.2">
      <c r="A70" t="str">
        <f t="shared" si="38"/>
        <v>31 Science, engineering and technology associate professionals</v>
      </c>
      <c r="B70" s="49">
        <f t="shared" si="39"/>
        <v>2.1819035419688548</v>
      </c>
      <c r="C70" s="44">
        <f t="shared" si="39"/>
        <v>8.4867477861752185</v>
      </c>
      <c r="D70" s="49">
        <f t="shared" si="39"/>
        <v>-3.1347377729232906</v>
      </c>
      <c r="E70" s="49">
        <f t="shared" si="39"/>
        <v>0.25295216507554841</v>
      </c>
      <c r="F70" s="44">
        <f t="shared" si="40"/>
        <v>-0.88924154174949699</v>
      </c>
      <c r="H70" s="40">
        <f t="shared" ref="H70:L74" si="41">(B18/B$17)*100</f>
        <v>17.567404270874928</v>
      </c>
      <c r="I70" s="40">
        <f t="shared" si="41"/>
        <v>18.442168352709846</v>
      </c>
      <c r="J70" s="40">
        <f t="shared" si="41"/>
        <v>19.098435671011561</v>
      </c>
      <c r="K70" s="40">
        <f t="shared" si="41"/>
        <v>16.978713868559936</v>
      </c>
      <c r="L70" s="40">
        <f t="shared" si="41"/>
        <v>16.313187314192618</v>
      </c>
    </row>
    <row r="71" spans="1:12" x14ac:dyDescent="0.2">
      <c r="A71" t="str">
        <f t="shared" si="38"/>
        <v>32 Health and social care associate professionals</v>
      </c>
      <c r="B71" s="49">
        <f t="shared" si="39"/>
        <v>0.2052219206845951</v>
      </c>
      <c r="C71" s="44">
        <f t="shared" si="39"/>
        <v>6.7889416366706534</v>
      </c>
      <c r="D71" s="49">
        <f t="shared" si="39"/>
        <v>2.2621749614271103E-2</v>
      </c>
      <c r="E71" s="49">
        <f t="shared" si="39"/>
        <v>0.69976413365493428</v>
      </c>
      <c r="F71" s="44">
        <f t="shared" si="40"/>
        <v>0.47354217872870308</v>
      </c>
      <c r="H71" s="40">
        <f t="shared" si="41"/>
        <v>18.744527425672121</v>
      </c>
      <c r="I71" s="40">
        <f t="shared" si="41"/>
        <v>18.198866685771549</v>
      </c>
      <c r="J71" s="40">
        <f t="shared" si="41"/>
        <v>18.55153071695057</v>
      </c>
      <c r="K71" s="40">
        <f t="shared" si="41"/>
        <v>19.361438459255012</v>
      </c>
      <c r="L71" s="40">
        <f t="shared" si="41"/>
        <v>19.448427153664564</v>
      </c>
    </row>
    <row r="72" spans="1:12" x14ac:dyDescent="0.2">
      <c r="A72" t="str">
        <f t="shared" si="38"/>
        <v>33 Protective service occupations</v>
      </c>
      <c r="B72" s="49">
        <f t="shared" si="39"/>
        <v>1.3551038610351451</v>
      </c>
      <c r="C72" s="44">
        <f t="shared" si="39"/>
        <v>5.0761945159672806</v>
      </c>
      <c r="D72" s="49">
        <f t="shared" si="39"/>
        <v>2.5496503522915992</v>
      </c>
      <c r="E72" s="49">
        <f t="shared" si="39"/>
        <v>1.2287004853618777</v>
      </c>
      <c r="F72" s="44">
        <f t="shared" si="40"/>
        <v>1.6671156181951918</v>
      </c>
      <c r="H72" s="40">
        <f t="shared" si="41"/>
        <v>12.332987764074401</v>
      </c>
      <c r="I72" s="40">
        <f t="shared" si="41"/>
        <v>12.533120747046192</v>
      </c>
      <c r="J72" s="40">
        <f t="shared" si="41"/>
        <v>12.571082699130576</v>
      </c>
      <c r="K72" s="40">
        <f t="shared" si="41"/>
        <v>14.863130947822404</v>
      </c>
      <c r="L72" s="40">
        <f t="shared" si="41"/>
        <v>15.732917015565803</v>
      </c>
    </row>
    <row r="73" spans="1:12" x14ac:dyDescent="0.2">
      <c r="A73" t="str">
        <f t="shared" si="38"/>
        <v>34 Culture, media and sports occupations</v>
      </c>
      <c r="B73" s="49">
        <f t="shared" si="39"/>
        <v>0.90549692422110528</v>
      </c>
      <c r="C73" s="44">
        <f t="shared" si="39"/>
        <v>-6.4164171939249171</v>
      </c>
      <c r="D73" s="49">
        <f t="shared" si="39"/>
        <v>-1.3887493863998901</v>
      </c>
      <c r="E73" s="49">
        <f t="shared" si="39"/>
        <v>1.1562442981678744</v>
      </c>
      <c r="F73" s="44">
        <f t="shared" si="40"/>
        <v>0.30069753214485573</v>
      </c>
      <c r="H73" s="40">
        <f t="shared" si="41"/>
        <v>11.439316188732105</v>
      </c>
      <c r="I73" s="40">
        <f t="shared" si="41"/>
        <v>11.420044530370186</v>
      </c>
      <c r="J73" s="40">
        <f t="shared" si="41"/>
        <v>10.201794924459829</v>
      </c>
      <c r="K73" s="40">
        <f t="shared" si="41"/>
        <v>9.916892907892306</v>
      </c>
      <c r="L73" s="40">
        <f t="shared" si="41"/>
        <v>10.422332413577525</v>
      </c>
    </row>
    <row r="74" spans="1:12" x14ac:dyDescent="0.2">
      <c r="A74" t="str">
        <f t="shared" si="38"/>
        <v>35 Business and public service associate professionals</v>
      </c>
      <c r="B74" s="49">
        <f t="shared" si="39"/>
        <v>0.62405529612261645</v>
      </c>
      <c r="C74" s="44">
        <f t="shared" si="39"/>
        <v>5.2144316352526365</v>
      </c>
      <c r="D74" s="49">
        <f t="shared" si="39"/>
        <v>-1.1805116468627253</v>
      </c>
      <c r="E74" s="49">
        <f t="shared" si="39"/>
        <v>0.44645372566123331</v>
      </c>
      <c r="F74" s="44">
        <f t="shared" si="40"/>
        <v>-9.8822758130379107E-2</v>
      </c>
      <c r="H74" s="40">
        <f t="shared" si="41"/>
        <v>39.915764350646441</v>
      </c>
      <c r="I74" s="40">
        <f t="shared" si="41"/>
        <v>39.405799684102213</v>
      </c>
      <c r="J74" s="40">
        <f t="shared" si="41"/>
        <v>39.577155988447451</v>
      </c>
      <c r="K74" s="40">
        <f t="shared" si="41"/>
        <v>38.879823816470356</v>
      </c>
      <c r="L74" s="40">
        <f t="shared" si="41"/>
        <v>38.083136102999482</v>
      </c>
    </row>
    <row r="75" spans="1:12" x14ac:dyDescent="0.2">
      <c r="A75" s="30"/>
      <c r="B75" s="40"/>
      <c r="C75" s="44"/>
      <c r="D75" s="40"/>
      <c r="E75" s="40"/>
      <c r="F75" s="44"/>
      <c r="H75" s="40"/>
      <c r="I75" s="40"/>
      <c r="J75" s="40"/>
      <c r="K75" s="40"/>
      <c r="L75" s="40"/>
    </row>
    <row r="76" spans="1:12" s="30" customFormat="1" x14ac:dyDescent="0.2">
      <c r="A76" s="30" t="str">
        <f>A24</f>
        <v>Administrative and secretarial occupations</v>
      </c>
      <c r="B76" s="44">
        <f t="shared" ref="B76:E78" si="42">IF(AND(C$5-B$5 &lt;&gt; 0,C24 &lt;&gt; 0,B24 &lt;&gt; 0),(EXP(LN(C24/B24)/(C$5-B$5))-1)*100,0)</f>
        <v>-2.2712770904278035</v>
      </c>
      <c r="C76" s="44">
        <f t="shared" si="42"/>
        <v>4.107923619870979</v>
      </c>
      <c r="D76" s="44">
        <f t="shared" si="42"/>
        <v>-1.2925126439985224</v>
      </c>
      <c r="E76" s="44">
        <f t="shared" si="42"/>
        <v>-0.69799782056220172</v>
      </c>
      <c r="F76" s="44">
        <f>IF(AND(F$5-D$5 &lt;&gt; 0,F24 &lt;&gt; 0,D24 &lt;&gt; 0),(EXP(LN(F24/D24)/(F$5-D$5))-1)*100,0)</f>
        <v>-0.896566229350515</v>
      </c>
      <c r="H76" s="44">
        <f>(B24/B$51)*100</f>
        <v>11.28943932139161</v>
      </c>
      <c r="I76" s="44">
        <f>(C24/C$51)*100</f>
        <v>10.428870792006441</v>
      </c>
      <c r="J76" s="44">
        <f>(D24/D$51)*100</f>
        <v>10.962673944419903</v>
      </c>
      <c r="K76" s="44">
        <f>(E24/E$51)*100</f>
        <v>10.190892360046359</v>
      </c>
      <c r="L76" s="44">
        <f>(F24/F$51)*100</f>
        <v>9.3081663582302028</v>
      </c>
    </row>
    <row r="77" spans="1:12" x14ac:dyDescent="0.2">
      <c r="A77" t="str">
        <f>A25</f>
        <v>41 Administrative occupations</v>
      </c>
      <c r="B77" s="49">
        <f t="shared" si="42"/>
        <v>-1.9506321577671293</v>
      </c>
      <c r="C77" s="44">
        <f t="shared" si="42"/>
        <v>4.8094633401013276</v>
      </c>
      <c r="D77" s="49">
        <f t="shared" si="42"/>
        <v>-1.8963250869322157</v>
      </c>
      <c r="E77" s="49">
        <f t="shared" si="42"/>
        <v>-0.54299285629331173</v>
      </c>
      <c r="F77" s="44">
        <f>IF(AND(F$5-D$5 &lt;&gt; 0,F25 &lt;&gt; 0,D25 &lt;&gt; 0),(EXP(LN(F25/D25)/(F$5-D$5))-1)*100,0)</f>
        <v>-0.99616532864348351</v>
      </c>
      <c r="H77" s="40">
        <f t="shared" ref="H77:L78" si="43">(B25/B$24)*100</f>
        <v>82.446986853642088</v>
      </c>
      <c r="I77" s="40">
        <f t="shared" si="43"/>
        <v>83.53434775020682</v>
      </c>
      <c r="J77" s="40">
        <f t="shared" si="43"/>
        <v>84.097250754249814</v>
      </c>
      <c r="K77" s="40">
        <f t="shared" si="43"/>
        <v>81.556333783508663</v>
      </c>
      <c r="L77" s="40">
        <f t="shared" si="43"/>
        <v>82.838362847135343</v>
      </c>
    </row>
    <row r="78" spans="1:12" x14ac:dyDescent="0.2">
      <c r="A78" t="str">
        <f>A26</f>
        <v>42 Secretarial and related occupations</v>
      </c>
      <c r="B78" s="49">
        <f t="shared" si="42"/>
        <v>-3.8212698452808502</v>
      </c>
      <c r="C78" s="44">
        <f t="shared" si="42"/>
        <v>0.54883819396309708</v>
      </c>
      <c r="D78" s="49">
        <f t="shared" si="42"/>
        <v>1.6775576008879689</v>
      </c>
      <c r="E78" s="49">
        <f t="shared" si="42"/>
        <v>-1.4108434378099277</v>
      </c>
      <c r="F78" s="44">
        <f>IF(AND(F$5-D$5 &lt;&gt; 0,F26 &lt;&gt; 0,D26 &lt;&gt; 0),(EXP(LN(F26/D26)/(F$5-D$5))-1)*100,0)</f>
        <v>-0.39194284862599238</v>
      </c>
      <c r="H78" s="40">
        <f t="shared" si="43"/>
        <v>17.553013146357905</v>
      </c>
      <c r="I78" s="40">
        <f t="shared" si="43"/>
        <v>16.465652249793195</v>
      </c>
      <c r="J78" s="40">
        <f t="shared" si="43"/>
        <v>15.902749245750178</v>
      </c>
      <c r="K78" s="40">
        <f t="shared" si="43"/>
        <v>18.443666216491344</v>
      </c>
      <c r="L78" s="40">
        <f t="shared" si="43"/>
        <v>17.161637152864653</v>
      </c>
    </row>
    <row r="79" spans="1:12" x14ac:dyDescent="0.2">
      <c r="B79" s="40"/>
      <c r="C79" s="44"/>
      <c r="D79" s="40"/>
      <c r="E79" s="40"/>
      <c r="F79" s="44"/>
      <c r="H79" s="40"/>
      <c r="I79" s="40"/>
      <c r="J79" s="40"/>
      <c r="K79" s="40"/>
      <c r="L79" s="40"/>
    </row>
    <row r="80" spans="1:12" s="30" customFormat="1" x14ac:dyDescent="0.2">
      <c r="A80" s="30" t="str">
        <f>A28</f>
        <v>Skilled trades occupations</v>
      </c>
      <c r="B80" s="44">
        <f t="shared" ref="B80:E84" si="44">IF(AND(C$5-B$5 &lt;&gt; 0,C28 &lt;&gt; 0,B28 &lt;&gt; 0),(EXP(LN(C28/B28)/(C$5-B$5))-1)*100,0)</f>
        <v>-0.43999317182684683</v>
      </c>
      <c r="C80" s="44">
        <f t="shared" si="44"/>
        <v>-13.885861448745629</v>
      </c>
      <c r="D80" s="44">
        <f t="shared" si="44"/>
        <v>-0.63521033461202414</v>
      </c>
      <c r="E80" s="44">
        <f t="shared" si="44"/>
        <v>-0.78836665076936763</v>
      </c>
      <c r="F80" s="44">
        <f>IF(AND(F$5-D$5 &lt;&gt; 0,F28 &lt;&gt; 0,D28 &lt;&gt; 0),(EXP(LN(F28/D28)/(F$5-D$5))-1)*100,0)</f>
        <v>-0.73734079315734835</v>
      </c>
      <c r="H80" s="44">
        <f>(B28/B$51)*100</f>
        <v>11.644068007125142</v>
      </c>
      <c r="I80" s="44">
        <f>(C28/C$51)*100</f>
        <v>11.585650496210285</v>
      </c>
      <c r="J80" s="44">
        <f>(D28/D$51)*100</f>
        <v>10.073730085510531</v>
      </c>
      <c r="K80" s="44">
        <f>(E28/E$51)*100</f>
        <v>9.6805076101880108</v>
      </c>
      <c r="L80" s="44">
        <f>(F28/F$51)*100</f>
        <v>8.7618537189575694</v>
      </c>
    </row>
    <row r="81" spans="1:12" x14ac:dyDescent="0.2">
      <c r="A81" t="str">
        <f>A29</f>
        <v>51 Skilled agricultural and related trades</v>
      </c>
      <c r="B81" s="49">
        <f t="shared" si="44"/>
        <v>-4.1635360089834599</v>
      </c>
      <c r="C81" s="44">
        <f t="shared" si="44"/>
        <v>-9.9488795815338982E-2</v>
      </c>
      <c r="D81" s="49">
        <f t="shared" si="44"/>
        <v>0.20761834002498425</v>
      </c>
      <c r="E81" s="49">
        <f t="shared" si="44"/>
        <v>1.0459806055043597</v>
      </c>
      <c r="F81" s="44">
        <f>IF(AND(F$5-D$5 &lt;&gt; 0,F29 &lt;&gt; 0,D29 &lt;&gt; 0),(EXP(LN(F29/D29)/(F$5-D$5))-1)*100,0)</f>
        <v>0.76575007290091701</v>
      </c>
      <c r="H81" s="40">
        <f t="shared" ref="H81:L84" si="45">(B29/B$28)*100</f>
        <v>8.1444069734046867</v>
      </c>
      <c r="I81" s="40">
        <f t="shared" si="45"/>
        <v>6.9926682092869257</v>
      </c>
      <c r="J81" s="40">
        <f t="shared" si="45"/>
        <v>8.112153712984437</v>
      </c>
      <c r="K81" s="40">
        <f t="shared" si="45"/>
        <v>8.4620830782067991</v>
      </c>
      <c r="L81" s="40">
        <f t="shared" si="45"/>
        <v>10.163463166228494</v>
      </c>
    </row>
    <row r="82" spans="1:12" x14ac:dyDescent="0.2">
      <c r="A82" t="str">
        <f>A30</f>
        <v>52 Skilled metal, electrical and electronic trades</v>
      </c>
      <c r="B82" s="49">
        <f t="shared" si="44"/>
        <v>-0.49062793998131404</v>
      </c>
      <c r="C82" s="44">
        <f t="shared" si="44"/>
        <v>-14.897528988200904</v>
      </c>
      <c r="D82" s="49">
        <f t="shared" si="44"/>
        <v>-1.1406478130058906</v>
      </c>
      <c r="E82" s="49">
        <f t="shared" si="44"/>
        <v>-1.1035090900494371</v>
      </c>
      <c r="F82" s="44">
        <f>IF(AND(F$5-D$5 &lt;&gt; 0,F30 &lt;&gt; 0,D30 &lt;&gt; 0),(EXP(LN(F30/D30)/(F$5-D$5))-1)*100,0)</f>
        <v>-1.1158902143306393</v>
      </c>
      <c r="H82" s="40">
        <f t="shared" si="45"/>
        <v>41.6446669216567</v>
      </c>
      <c r="I82" s="40">
        <f t="shared" si="45"/>
        <v>41.560012048272021</v>
      </c>
      <c r="J82" s="40">
        <f t="shared" si="45"/>
        <v>41.071765683204084</v>
      </c>
      <c r="K82" s="40">
        <f t="shared" si="45"/>
        <v>40.037742961321996</v>
      </c>
      <c r="L82" s="40">
        <f t="shared" si="45"/>
        <v>38.783983325324954</v>
      </c>
    </row>
    <row r="83" spans="1:12" x14ac:dyDescent="0.2">
      <c r="A83" t="str">
        <f>A31</f>
        <v>53 Skilled construction and building trades</v>
      </c>
      <c r="B83" s="49">
        <f t="shared" si="44"/>
        <v>2.3984331921068414</v>
      </c>
      <c r="C83" s="44">
        <f t="shared" si="44"/>
        <v>-19.045756474517304</v>
      </c>
      <c r="D83" s="49">
        <f t="shared" si="44"/>
        <v>-0.33068842632623108</v>
      </c>
      <c r="E83" s="49">
        <f t="shared" si="44"/>
        <v>-1.0622070063655342</v>
      </c>
      <c r="F83" s="44">
        <f>IF(AND(F$5-D$5 &lt;&gt; 0,F31 &lt;&gt; 0,D31 &lt;&gt; 0),(EXP(LN(F31/D31)/(F$5-D$5))-1)*100,0)</f>
        <v>-0.81896598386120845</v>
      </c>
      <c r="H83" s="40">
        <f t="shared" si="45"/>
        <v>31.698321549995644</v>
      </c>
      <c r="I83" s="40">
        <f t="shared" si="45"/>
        <v>35.470706744476921</v>
      </c>
      <c r="J83" s="40">
        <f t="shared" si="45"/>
        <v>33.345328422513006</v>
      </c>
      <c r="K83" s="40">
        <f t="shared" si="45"/>
        <v>33.85943478320219</v>
      </c>
      <c r="L83" s="40">
        <f t="shared" si="45"/>
        <v>32.936382024038899</v>
      </c>
    </row>
    <row r="84" spans="1:12" x14ac:dyDescent="0.2">
      <c r="A84" t="str">
        <f>A32</f>
        <v>54 Textiles, printing and other skilled trades</v>
      </c>
      <c r="B84" s="49">
        <f t="shared" si="44"/>
        <v>-4.0402262165520568</v>
      </c>
      <c r="C84" s="44">
        <f t="shared" si="44"/>
        <v>-5.8324330615832531</v>
      </c>
      <c r="D84" s="49">
        <f t="shared" si="44"/>
        <v>-0.44259852566974622</v>
      </c>
      <c r="E84" s="49">
        <f t="shared" si="44"/>
        <v>-0.52417170741000385</v>
      </c>
      <c r="F84" s="44">
        <f>IF(AND(F$5-D$5 &lt;&gt; 0,F32 &lt;&gt; 0,D32 &lt;&gt; 0),(EXP(LN(F32/D32)/(F$5-D$5))-1)*100,0)</f>
        <v>-0.49698807594252825</v>
      </c>
      <c r="H84" s="40">
        <f t="shared" si="45"/>
        <v>18.512604554942964</v>
      </c>
      <c r="I84" s="40">
        <f t="shared" si="45"/>
        <v>15.976612997964127</v>
      </c>
      <c r="J84" s="40">
        <f t="shared" si="45"/>
        <v>17.470752181298472</v>
      </c>
      <c r="K84" s="40">
        <f t="shared" si="45"/>
        <v>17.640739177269023</v>
      </c>
      <c r="L84" s="40">
        <f t="shared" si="45"/>
        <v>18.116171484407655</v>
      </c>
    </row>
    <row r="85" spans="1:12" x14ac:dyDescent="0.2">
      <c r="A85" s="30"/>
      <c r="B85" s="40"/>
      <c r="C85" s="44"/>
      <c r="D85" s="40"/>
      <c r="E85" s="40"/>
      <c r="F85" s="44"/>
      <c r="H85" s="40"/>
      <c r="I85" s="40"/>
      <c r="J85" s="40"/>
      <c r="K85" s="40"/>
      <c r="L85" s="40"/>
    </row>
    <row r="86" spans="1:12" s="30" customFormat="1" x14ac:dyDescent="0.2">
      <c r="A86" s="30" t="str">
        <f>A34</f>
        <v>Caring, leisure and other service occupations</v>
      </c>
      <c r="B86" s="44">
        <f t="shared" ref="B86:E89" si="46">IF(AND(C$5-B$5 &lt;&gt; 0,C34 &lt;&gt; 0,B34 &lt;&gt; 0),(EXP(LN(C34/B34)/(C$5-B$5))-1)*100,0)</f>
        <v>-0.93482200202243959</v>
      </c>
      <c r="C86" s="44">
        <f t="shared" si="46"/>
        <v>-0.90508846522984188</v>
      </c>
      <c r="D86" s="44">
        <f t="shared" si="46"/>
        <v>0.79855474646788327</v>
      </c>
      <c r="E86" s="44">
        <f t="shared" si="46"/>
        <v>0.32499428931909158</v>
      </c>
      <c r="F86" s="44">
        <f>IF(AND(F$5-D$5 &lt;&gt; 0,F34 &lt;&gt; 0,D34 &lt;&gt; 0),(EXP(LN(F34/D34)/(F$5-D$5))-1)*100,0)</f>
        <v>0.48260005426963293</v>
      </c>
      <c r="H86" s="44">
        <f>(B34/B$51)*100</f>
        <v>9.1663336334940304</v>
      </c>
      <c r="I86" s="44">
        <f>(C34/C$51)*100</f>
        <v>8.9403758384578023</v>
      </c>
      <c r="J86" s="44">
        <f>(D34/D$51)*100</f>
        <v>8.9454574905111244</v>
      </c>
      <c r="K86" s="44">
        <f>(E34/E$51)*100</f>
        <v>9.2346260786114769</v>
      </c>
      <c r="L86" s="44">
        <f>(F34/F$51)*100</f>
        <v>9.3450713883013368</v>
      </c>
    </row>
    <row r="87" spans="1:12" x14ac:dyDescent="0.2">
      <c r="A87" t="str">
        <f>A35</f>
        <v>61 Caring personal service occupations</v>
      </c>
      <c r="B87" s="49">
        <f t="shared" si="46"/>
        <v>-1.7206837088918792</v>
      </c>
      <c r="C87" s="44">
        <f t="shared" si="46"/>
        <v>0.80570061625602207</v>
      </c>
      <c r="D87" s="49">
        <f t="shared" si="46"/>
        <v>1.2516887794959297</v>
      </c>
      <c r="E87" s="49">
        <f t="shared" si="46"/>
        <v>0.36264301694333145</v>
      </c>
      <c r="F87" s="44">
        <f>IF(AND(F$5-D$5 &lt;&gt; 0,F35 &lt;&gt; 0,D35 &lt;&gt; 0),(EXP(LN(F35/D35)/(F$5-D$5))-1)*100,0)</f>
        <v>0.65812083404137578</v>
      </c>
      <c r="H87" s="40">
        <f t="shared" ref="H87:L89" si="47">(B35/B$34)*100</f>
        <v>74.87862303903789</v>
      </c>
      <c r="I87" s="40">
        <f t="shared" si="47"/>
        <v>72.530765105707033</v>
      </c>
      <c r="J87" s="40">
        <f t="shared" si="47"/>
        <v>73.782946868552841</v>
      </c>
      <c r="K87" s="40">
        <f t="shared" si="47"/>
        <v>75.456359548345944</v>
      </c>
      <c r="L87" s="40">
        <f t="shared" si="47"/>
        <v>75.740001534550615</v>
      </c>
    </row>
    <row r="88" spans="1:12" x14ac:dyDescent="0.2">
      <c r="A88" t="str">
        <f>A36</f>
        <v>62 Leisure, travel and related personal service occupations</v>
      </c>
      <c r="B88" s="49">
        <f t="shared" si="46"/>
        <v>1.4991000564731349</v>
      </c>
      <c r="C88" s="44">
        <f t="shared" si="46"/>
        <v>-6.6976149749273457</v>
      </c>
      <c r="D88" s="49">
        <f t="shared" si="46"/>
        <v>-0.34256539469244007</v>
      </c>
      <c r="E88" s="49">
        <f t="shared" si="46"/>
        <v>0.1922576376641949</v>
      </c>
      <c r="F88" s="44">
        <f>IF(AND(F$5-D$5 &lt;&gt; 0,F36 &lt;&gt; 0,D36 &lt;&gt; 0),(EXP(LN(F36/D36)/(F$5-D$5))-1)*100,0)</f>
        <v>1.3665141931684666E-2</v>
      </c>
      <c r="H88" s="40">
        <f t="shared" si="47"/>
        <v>23.824496634634603</v>
      </c>
      <c r="I88" s="40">
        <f t="shared" si="47"/>
        <v>26.253572137893837</v>
      </c>
      <c r="J88" s="40">
        <f t="shared" si="47"/>
        <v>24.718937208332932</v>
      </c>
      <c r="K88" s="40">
        <f t="shared" si="47"/>
        <v>23.351069947687357</v>
      </c>
      <c r="L88" s="40">
        <f t="shared" si="47"/>
        <v>23.043952687392384</v>
      </c>
    </row>
    <row r="89" spans="1:12" x14ac:dyDescent="0.2">
      <c r="A89" t="str">
        <f>A37</f>
        <v>63 Community and civil enforcement occupations</v>
      </c>
      <c r="B89" s="49">
        <f t="shared" si="46"/>
        <v>-2.5236347522452962</v>
      </c>
      <c r="C89" s="44">
        <f t="shared" si="46"/>
        <v>22.11911904710302</v>
      </c>
      <c r="D89" s="49">
        <f t="shared" si="46"/>
        <v>-3.6965082530247328</v>
      </c>
      <c r="E89" s="49">
        <f t="shared" si="46"/>
        <v>0.52075219362901493</v>
      </c>
      <c r="F89" s="44">
        <f>IF(AND(F$5-D$5 &lt;&gt; 0,F37 &lt;&gt; 0,D37 &lt;&gt; 0),(EXP(LN(F37/D37)/(F$5-D$5))-1)*100,0)</f>
        <v>-0.90513177589852667</v>
      </c>
      <c r="H89" s="40">
        <f t="shared" si="47"/>
        <v>1.2968803263275188</v>
      </c>
      <c r="I89" s="40">
        <f t="shared" si="47"/>
        <v>1.2156627563991302</v>
      </c>
      <c r="J89" s="40">
        <f t="shared" si="47"/>
        <v>1.498115923114226</v>
      </c>
      <c r="K89" s="40">
        <f t="shared" si="47"/>
        <v>1.1925705039667103</v>
      </c>
      <c r="L89" s="40">
        <f t="shared" si="47"/>
        <v>1.2160457780569935</v>
      </c>
    </row>
    <row r="90" spans="1:12" x14ac:dyDescent="0.2">
      <c r="B90" s="40"/>
      <c r="C90" s="44"/>
      <c r="D90" s="40"/>
      <c r="E90" s="40"/>
      <c r="F90" s="44"/>
      <c r="H90" s="40"/>
      <c r="I90" s="40"/>
      <c r="J90" s="40"/>
      <c r="K90" s="40"/>
      <c r="L90" s="40"/>
    </row>
    <row r="91" spans="1:12" s="30" customFormat="1" x14ac:dyDescent="0.2">
      <c r="A91" s="30" t="str">
        <f>A39</f>
        <v>Sales and customer service occupations</v>
      </c>
      <c r="B91" s="44">
        <f t="shared" ref="B91:E93" si="48">IF(AND(C$5-B$5 &lt;&gt; 0,C39 &lt;&gt; 0,B39 &lt;&gt; 0),(EXP(LN(C39/B39)/(C$5-B$5))-1)*100,0)</f>
        <v>-2.4540452230331411</v>
      </c>
      <c r="C91" s="44">
        <f t="shared" si="48"/>
        <v>1.3840164390623411</v>
      </c>
      <c r="D91" s="44">
        <f t="shared" si="48"/>
        <v>-3.6348876803216079E-2</v>
      </c>
      <c r="E91" s="44">
        <f t="shared" si="48"/>
        <v>8.5271998899361101E-2</v>
      </c>
      <c r="F91" s="44">
        <f t="shared" ref="F91:F93" si="49">IF(AND(F$5-D$5 &lt;&gt; 0,F39 &lt;&gt; 0,D39 &lt;&gt; 0),(EXP(LN(F39/D39)/(F$5-D$5))-1)*100,0)</f>
        <v>4.4715274753626133E-2</v>
      </c>
      <c r="H91" s="44">
        <f>(B39/B$51)*100</f>
        <v>11.471919232703945</v>
      </c>
      <c r="I91" s="44">
        <f>(C39/C$51)*100</f>
        <v>10.518387235294412</v>
      </c>
      <c r="J91" s="44">
        <f>(D39/D$51)*100</f>
        <v>10.767479991301117</v>
      </c>
      <c r="K91" s="44">
        <f>(E39/E$51)*100</f>
        <v>10.662765465791386</v>
      </c>
      <c r="L91" s="44">
        <f>(F39/F$51)*100</f>
        <v>10.535216529133837</v>
      </c>
    </row>
    <row r="92" spans="1:12" s="30" customFormat="1" x14ac:dyDescent="0.2">
      <c r="A92" t="str">
        <f>A40</f>
        <v>71 Sales occupations</v>
      </c>
      <c r="B92" s="49">
        <f t="shared" si="48"/>
        <v>-3.0220542633868197</v>
      </c>
      <c r="C92" s="44">
        <f t="shared" si="48"/>
        <v>0.72377110682004808</v>
      </c>
      <c r="D92" s="49">
        <f t="shared" si="48"/>
        <v>-1.2174973000866562</v>
      </c>
      <c r="E92" s="49">
        <f t="shared" si="48"/>
        <v>-0.35228490488190545</v>
      </c>
      <c r="F92" s="44">
        <f t="shared" si="49"/>
        <v>-0.64152779647695946</v>
      </c>
      <c r="G92"/>
      <c r="H92" s="40">
        <f>(B40/B$34)*100</f>
        <v>106.71988383879231</v>
      </c>
      <c r="I92" s="40">
        <f t="shared" ref="H92:L93" si="50">(C40/C$34)*100</f>
        <v>98.006113722850202</v>
      </c>
      <c r="J92" s="40">
        <f t="shared" si="50"/>
        <v>99.617076324102044</v>
      </c>
      <c r="K92" s="40">
        <f t="shared" si="50"/>
        <v>90.045578046305707</v>
      </c>
      <c r="L92" s="40">
        <f t="shared" si="50"/>
        <v>84.148116986024718</v>
      </c>
    </row>
    <row r="93" spans="1:12" s="30" customFormat="1" x14ac:dyDescent="0.2">
      <c r="A93" t="str">
        <f>A41</f>
        <v>72 Customer service occupations</v>
      </c>
      <c r="B93" s="49">
        <f t="shared" si="48"/>
        <v>0.65417360068151797</v>
      </c>
      <c r="C93" s="44">
        <f t="shared" si="48"/>
        <v>4.678007577262866</v>
      </c>
      <c r="D93" s="49">
        <f t="shared" si="48"/>
        <v>4.9734738767228892</v>
      </c>
      <c r="E93" s="49">
        <f t="shared" si="48"/>
        <v>1.5102721684321807</v>
      </c>
      <c r="F93" s="44">
        <f t="shared" si="49"/>
        <v>2.6517879076727313</v>
      </c>
      <c r="G93"/>
      <c r="H93" s="40">
        <f t="shared" si="50"/>
        <v>18.432872883756421</v>
      </c>
      <c r="I93" s="40">
        <f t="shared" si="50"/>
        <v>19.644278445772688</v>
      </c>
      <c r="J93" s="40">
        <f t="shared" si="50"/>
        <v>20.751054682307657</v>
      </c>
      <c r="K93" s="40">
        <f t="shared" si="50"/>
        <v>25.419470294824816</v>
      </c>
      <c r="L93" s="40">
        <f t="shared" si="50"/>
        <v>28.587421260610697</v>
      </c>
    </row>
    <row r="94" spans="1:12" x14ac:dyDescent="0.2">
      <c r="C94" s="44"/>
      <c r="F94" s="44"/>
    </row>
    <row r="95" spans="1:12" s="30" customFormat="1" x14ac:dyDescent="0.2">
      <c r="A95" s="30" t="str">
        <f>A43</f>
        <v>Process, plant and machine operatives</v>
      </c>
      <c r="B95" s="44">
        <f t="shared" ref="B95:E97" si="51">IF(AND(C$5-B$5 &lt;&gt; 0,C43 &lt;&gt; 0,B43 &lt;&gt; 0),(EXP(LN(C43/B43)/(C$5-B$5))-1)*100,0)</f>
        <v>1.2585412772713855</v>
      </c>
      <c r="C95" s="44">
        <f t="shared" si="51"/>
        <v>-11.580775003660282</v>
      </c>
      <c r="D95" s="44">
        <f t="shared" si="51"/>
        <v>1.4821534270877512</v>
      </c>
      <c r="E95" s="44">
        <f t="shared" si="51"/>
        <v>-0.58007599117302355</v>
      </c>
      <c r="F95" s="44">
        <f>IF(AND(F$5-D$5 &lt;&gt; 0,F43 &lt;&gt; 0,D43 &lt;&gt; 0),(EXP(LN(F43/D43)/(F$5-D$5))-1)*100,0)</f>
        <v>0.10263494685138763</v>
      </c>
      <c r="H95" s="44">
        <f>(B43/B$51)*100</f>
        <v>7.8159691232888813</v>
      </c>
      <c r="I95" s="44">
        <f>(C43/C$51)*100</f>
        <v>8.3211915741237128</v>
      </c>
      <c r="J95" s="44">
        <f>(D43/D$51)*100</f>
        <v>7.4289536775577227</v>
      </c>
      <c r="K95" s="44">
        <f>(E43/E$51)*100</f>
        <v>7.9327040912217486</v>
      </c>
      <c r="L95" s="44">
        <f>(F43/F$51)*100</f>
        <v>7.3320833681890356</v>
      </c>
    </row>
    <row r="96" spans="1:12" x14ac:dyDescent="0.2">
      <c r="A96" t="str">
        <f>A44</f>
        <v>81 Process, plant and machine operatives</v>
      </c>
      <c r="B96" s="49">
        <f t="shared" si="51"/>
        <v>-1.9997902107428467</v>
      </c>
      <c r="C96" s="44">
        <f t="shared" si="51"/>
        <v>-12.76186731408262</v>
      </c>
      <c r="D96" s="49">
        <f t="shared" si="51"/>
        <v>3.1267581538858114</v>
      </c>
      <c r="E96" s="49">
        <f t="shared" si="51"/>
        <v>-0.53746657819412347</v>
      </c>
      <c r="F96" s="44">
        <f>IF(AND(F$5-D$5 &lt;&gt; 0,F44 &lt;&gt; 0,D44 &lt;&gt; 0),(EXP(LN(F44/D44)/(F$5-D$5))-1)*100,0)</f>
        <v>0.66924231029923398</v>
      </c>
      <c r="H96" s="40">
        <f>(B44/B$43)*100</f>
        <v>53.551263739406416</v>
      </c>
      <c r="I96" s="40">
        <f t="shared" ref="H96:L97" si="52">(C44/C$43)*100</f>
        <v>46.984118035517739</v>
      </c>
      <c r="J96" s="40">
        <f t="shared" si="52"/>
        <v>46.356510402381133</v>
      </c>
      <c r="K96" s="40">
        <f t="shared" si="52"/>
        <v>50.236479029264579</v>
      </c>
      <c r="L96" s="40">
        <f t="shared" si="52"/>
        <v>50.452198353823199</v>
      </c>
    </row>
    <row r="97" spans="1:12" x14ac:dyDescent="0.2">
      <c r="A97" t="str">
        <f>A45</f>
        <v>82 Transport and mobile machine drivers and operatives</v>
      </c>
      <c r="B97" s="49">
        <f t="shared" si="51"/>
        <v>4.6621588713240625</v>
      </c>
      <c r="C97" s="44">
        <f t="shared" si="51"/>
        <v>-10.53405884111671</v>
      </c>
      <c r="D97" s="49">
        <f t="shared" si="51"/>
        <v>-3.0276686640062778E-2</v>
      </c>
      <c r="E97" s="49">
        <f t="shared" si="51"/>
        <v>-0.62325772334363982</v>
      </c>
      <c r="F97" s="44">
        <f>IF(AND(F$5-D$5 &lt;&gt; 0,F45 &lt;&gt; 0,D45 &lt;&gt; 0),(EXP(LN(F45/D45)/(F$5-D$5))-1)*100,0)</f>
        <v>-0.42598922609481393</v>
      </c>
      <c r="H97" s="40">
        <f t="shared" si="52"/>
        <v>46.448736260593584</v>
      </c>
      <c r="I97" s="40">
        <f t="shared" si="52"/>
        <v>53.015881964482261</v>
      </c>
      <c r="J97" s="40">
        <f t="shared" si="52"/>
        <v>53.643489597618867</v>
      </c>
      <c r="K97" s="40">
        <f t="shared" si="52"/>
        <v>49.763520970735421</v>
      </c>
      <c r="L97" s="40">
        <f t="shared" si="52"/>
        <v>49.547801646176794</v>
      </c>
    </row>
    <row r="98" spans="1:12" x14ac:dyDescent="0.2">
      <c r="C98" s="44"/>
      <c r="F98" s="44"/>
    </row>
    <row r="99" spans="1:12" s="30" customFormat="1" x14ac:dyDescent="0.2">
      <c r="A99" s="30" t="str">
        <f>A47</f>
        <v>Elementary occupations</v>
      </c>
      <c r="B99" s="44">
        <f t="shared" ref="B99:E101" si="53">IF(AND(C$5-B$5 &lt;&gt; 0,C47 &lt;&gt; 0,B47 &lt;&gt; 0),(EXP(LN(C47/B47)/(C$5-B$5))-1)*100,0)</f>
        <v>-1.6884411342681482</v>
      </c>
      <c r="C99" s="44">
        <f t="shared" si="53"/>
        <v>-6.3954852060909451</v>
      </c>
      <c r="D99" s="44">
        <f t="shared" si="53"/>
        <v>-0.56606164315031737</v>
      </c>
      <c r="E99" s="44">
        <f t="shared" si="53"/>
        <v>-0.31546792227431508</v>
      </c>
      <c r="F99" s="44">
        <f>IF(AND(F$5-D$5 &lt;&gt; 0,F47 &lt;&gt; 0,D47 &lt;&gt; 0),(EXP(LN(F47/D47)/(F$5-D$5))-1)*100,0)</f>
        <v>-0.39906925598005571</v>
      </c>
      <c r="H99" s="44">
        <f>(B47/B$51)*100</f>
        <v>12.329972036066499</v>
      </c>
      <c r="I99" s="44">
        <f>(C47/C$51)*100</f>
        <v>11.664239825344762</v>
      </c>
      <c r="J99" s="44">
        <f>(D47/D$51)*100</f>
        <v>11.024240084177627</v>
      </c>
      <c r="K99" s="44">
        <f>(E47/E$51)*100</f>
        <v>10.630828236727458</v>
      </c>
      <c r="L99" s="44">
        <f>(F47/F$51)*100</f>
        <v>10.090593685355332</v>
      </c>
    </row>
    <row r="100" spans="1:12" x14ac:dyDescent="0.2">
      <c r="A100" t="str">
        <f>A48</f>
        <v>91 Elementary trades and related occupations</v>
      </c>
      <c r="B100" s="49">
        <f t="shared" si="53"/>
        <v>-3.2659267018210869</v>
      </c>
      <c r="C100" s="44">
        <f t="shared" si="53"/>
        <v>-12.199535166424925</v>
      </c>
      <c r="D100" s="49">
        <f t="shared" si="53"/>
        <v>-4.4105509908484279</v>
      </c>
      <c r="E100" s="49">
        <f t="shared" si="53"/>
        <v>-0.89983684911365547</v>
      </c>
      <c r="F100" s="44">
        <f>IF(AND(F$5-D$5 &lt;&gt; 0,F48 &lt;&gt; 0,D48 &lt;&gt; 0),(EXP(LN(F48/D48)/(F$5-D$5))-1)*100,0)</f>
        <v>-2.084172380804461</v>
      </c>
      <c r="H100" s="40">
        <f t="shared" ref="H100:L101" si="54">(B48/B$47)*100</f>
        <v>14.421537142504516</v>
      </c>
      <c r="I100" s="40">
        <f t="shared" si="54"/>
        <v>13.517959000583273</v>
      </c>
      <c r="J100" s="40">
        <f t="shared" si="54"/>
        <v>12.679763219387501</v>
      </c>
      <c r="K100" s="40">
        <f t="shared" si="54"/>
        <v>10.410886914388882</v>
      </c>
      <c r="L100" s="40">
        <f t="shared" si="54"/>
        <v>9.8164323429920621</v>
      </c>
    </row>
    <row r="101" spans="1:12" x14ac:dyDescent="0.2">
      <c r="A101" t="str">
        <f>A49</f>
        <v>92 Elementary administration and service occupations</v>
      </c>
      <c r="B101" s="49">
        <f t="shared" si="53"/>
        <v>-1.4299572856518838</v>
      </c>
      <c r="C101" s="44">
        <f t="shared" si="53"/>
        <v>-5.4882574337761998</v>
      </c>
      <c r="D101" s="49">
        <f t="shared" si="53"/>
        <v>-5.4623648987794926E-2</v>
      </c>
      <c r="E101" s="49">
        <f t="shared" si="53"/>
        <v>-0.24952048151944961</v>
      </c>
      <c r="F101" s="44">
        <f>IF(AND(F$5-D$5 &lt;&gt; 0,F49 &lt;&gt; 0,D49 &lt;&gt; 0),(EXP(LN(F49/D49)/(F$5-D$5))-1)*100,0)</f>
        <v>-0.18459713568840241</v>
      </c>
      <c r="H101" s="40">
        <f t="shared" si="54"/>
        <v>85.578462857495481</v>
      </c>
      <c r="I101" s="40">
        <f t="shared" si="54"/>
        <v>86.482040999416725</v>
      </c>
      <c r="J101" s="40">
        <f t="shared" si="54"/>
        <v>87.320236780612504</v>
      </c>
      <c r="K101" s="40">
        <f t="shared" si="54"/>
        <v>89.589113085611118</v>
      </c>
      <c r="L101" s="40">
        <f t="shared" si="54"/>
        <v>90.183567657007941</v>
      </c>
    </row>
    <row r="102" spans="1:12" x14ac:dyDescent="0.2">
      <c r="A102" s="13"/>
      <c r="C102" s="44"/>
      <c r="F102" s="44"/>
    </row>
    <row r="103" spans="1:12" x14ac:dyDescent="0.2">
      <c r="A103" s="39" t="str">
        <f t="shared" ref="A103" si="55">A51</f>
        <v>All occupations</v>
      </c>
      <c r="B103" s="50">
        <f>IF(AND(C$5-B$5 &lt;&gt; 0,C51 &lt;&gt; 0,B51 &lt;&gt; 0),(EXP(LN(C51/B51)/(C$5-B$5))-1)*100,0)</f>
        <v>-0.31472867268407256</v>
      </c>
      <c r="C103" s="206">
        <f t="shared" ref="C103" si="56">IF(AND(D$5-C$5 &lt;&gt; 0,D51 &lt;&gt; 0,C51 &lt;&gt; 0),(EXP(LN(D51/C51)/(D$5-C$5))-1)*100,0)</f>
        <v>-0.96138137827631587</v>
      </c>
      <c r="D103" s="50">
        <f>IF(AND(E$5-D$5 &lt;&gt; 0,E51 &lt;&gt; 0,D51 &lt;&gt; 0),(EXP(LN(E51/D51)/(E$5-D$5))-1)*100,0)</f>
        <v>0.15922454414900589</v>
      </c>
      <c r="E103" s="50">
        <f>IF(AND(F$5-E$5 &lt;&gt; 0,F51 &lt;&gt; 0,E51 &lt;&gt; 0),(EXP(LN(F51/E51)/(F$5-E$5))-1)*100,0)</f>
        <v>0.20578921188203481</v>
      </c>
      <c r="F103" s="206">
        <f>IF(AND(F$5-D$5 &lt;&gt; 0,F51 &lt;&gt; 0,D51 &lt;&gt; 0),(EXP(LN(F51/D51)/(F$5-D$5))-1)*100,0)</f>
        <v>0.1902652511108327</v>
      </c>
      <c r="G103" s="24"/>
      <c r="H103" s="43">
        <f>(B51/B$51)*100</f>
        <v>100</v>
      </c>
      <c r="I103" s="43">
        <f>(C51/C$51)*100</f>
        <v>100</v>
      </c>
      <c r="J103" s="43">
        <f>(D51/D$51)*100</f>
        <v>100</v>
      </c>
      <c r="K103" s="43">
        <f>(E51/E$51)*100</f>
        <v>100</v>
      </c>
      <c r="L103" s="43">
        <f>(F51/F$51)*100</f>
        <v>100</v>
      </c>
    </row>
  </sheetData>
  <phoneticPr fontId="4" type="noConversion"/>
  <pageMargins left="0.55118110236220474" right="0.55118110236220474" top="0.59055118110236227" bottom="0.59055118110236227" header="0.51181102362204722" footer="0.51181102362204722"/>
  <pageSetup paperSize="9" scale="77" orientation="landscape" r:id="rId1"/>
  <headerFooter alignWithMargins="0"/>
  <rowBreaks count="1" manualBreakCount="1">
    <brk id="52" max="11" man="1"/>
  </rowBreaks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40"/>
  <dimension ref="A1:U1312"/>
  <sheetViews>
    <sheetView showGridLines="0" zoomScale="85" zoomScaleNormal="85" workbookViewId="0"/>
  </sheetViews>
  <sheetFormatPr defaultRowHeight="12.75" x14ac:dyDescent="0.2"/>
  <cols>
    <col min="1" max="1" width="35.5703125" style="91" customWidth="1"/>
    <col min="2" max="13" width="5.7109375" style="91" customWidth="1"/>
    <col min="14" max="15" width="7.7109375" style="91" customWidth="1"/>
    <col min="16" max="16" width="5.7109375" style="91" customWidth="1"/>
    <col min="17" max="18" width="7.7109375" style="91" customWidth="1"/>
    <col min="19" max="19" width="5.7109375" style="91" customWidth="1"/>
    <col min="20" max="21" width="7.7109375" style="91" customWidth="1"/>
    <col min="22" max="254" width="9.140625" style="91"/>
    <col min="255" max="255" width="33.140625" style="91" bestFit="1" customWidth="1"/>
    <col min="256" max="258" width="7.140625" style="91" customWidth="1"/>
    <col min="259" max="259" width="5" style="91" customWidth="1"/>
    <col min="260" max="262" width="7.140625" style="91" customWidth="1"/>
    <col min="263" max="263" width="5" style="91" customWidth="1"/>
    <col min="264" max="266" width="7.140625" style="91" customWidth="1"/>
    <col min="267" max="510" width="9.140625" style="91"/>
    <col min="511" max="511" width="33.140625" style="91" bestFit="1" customWidth="1"/>
    <col min="512" max="514" width="7.140625" style="91" customWidth="1"/>
    <col min="515" max="515" width="5" style="91" customWidth="1"/>
    <col min="516" max="518" width="7.140625" style="91" customWidth="1"/>
    <col min="519" max="519" width="5" style="91" customWidth="1"/>
    <col min="520" max="522" width="7.140625" style="91" customWidth="1"/>
    <col min="523" max="766" width="9.140625" style="91"/>
    <col min="767" max="767" width="33.140625" style="91" bestFit="1" customWidth="1"/>
    <col min="768" max="770" width="7.140625" style="91" customWidth="1"/>
    <col min="771" max="771" width="5" style="91" customWidth="1"/>
    <col min="772" max="774" width="7.140625" style="91" customWidth="1"/>
    <col min="775" max="775" width="5" style="91" customWidth="1"/>
    <col min="776" max="778" width="7.140625" style="91" customWidth="1"/>
    <col min="779" max="1022" width="9.140625" style="91"/>
    <col min="1023" max="1023" width="33.140625" style="91" bestFit="1" customWidth="1"/>
    <col min="1024" max="1026" width="7.140625" style="91" customWidth="1"/>
    <col min="1027" max="1027" width="5" style="91" customWidth="1"/>
    <col min="1028" max="1030" width="7.140625" style="91" customWidth="1"/>
    <col min="1031" max="1031" width="5" style="91" customWidth="1"/>
    <col min="1032" max="1034" width="7.140625" style="91" customWidth="1"/>
    <col min="1035" max="1278" width="9.140625" style="91"/>
    <col min="1279" max="1279" width="33.140625" style="91" bestFit="1" customWidth="1"/>
    <col min="1280" max="1282" width="7.140625" style="91" customWidth="1"/>
    <col min="1283" max="1283" width="5" style="91" customWidth="1"/>
    <col min="1284" max="1286" width="7.140625" style="91" customWidth="1"/>
    <col min="1287" max="1287" width="5" style="91" customWidth="1"/>
    <col min="1288" max="1290" width="7.140625" style="91" customWidth="1"/>
    <col min="1291" max="1534" width="9.140625" style="91"/>
    <col min="1535" max="1535" width="33.140625" style="91" bestFit="1" customWidth="1"/>
    <col min="1536" max="1538" width="7.140625" style="91" customWidth="1"/>
    <col min="1539" max="1539" width="5" style="91" customWidth="1"/>
    <col min="1540" max="1542" width="7.140625" style="91" customWidth="1"/>
    <col min="1543" max="1543" width="5" style="91" customWidth="1"/>
    <col min="1544" max="1546" width="7.140625" style="91" customWidth="1"/>
    <col min="1547" max="1790" width="9.140625" style="91"/>
    <col min="1791" max="1791" width="33.140625" style="91" bestFit="1" customWidth="1"/>
    <col min="1792" max="1794" width="7.140625" style="91" customWidth="1"/>
    <col min="1795" max="1795" width="5" style="91" customWidth="1"/>
    <col min="1796" max="1798" width="7.140625" style="91" customWidth="1"/>
    <col min="1799" max="1799" width="5" style="91" customWidth="1"/>
    <col min="1800" max="1802" width="7.140625" style="91" customWidth="1"/>
    <col min="1803" max="2046" width="9.140625" style="91"/>
    <col min="2047" max="2047" width="33.140625" style="91" bestFit="1" customWidth="1"/>
    <col min="2048" max="2050" width="7.140625" style="91" customWidth="1"/>
    <col min="2051" max="2051" width="5" style="91" customWidth="1"/>
    <col min="2052" max="2054" width="7.140625" style="91" customWidth="1"/>
    <col min="2055" max="2055" width="5" style="91" customWidth="1"/>
    <col min="2056" max="2058" width="7.140625" style="91" customWidth="1"/>
    <col min="2059" max="2302" width="9.140625" style="91"/>
    <col min="2303" max="2303" width="33.140625" style="91" bestFit="1" customWidth="1"/>
    <col min="2304" max="2306" width="7.140625" style="91" customWidth="1"/>
    <col min="2307" max="2307" width="5" style="91" customWidth="1"/>
    <col min="2308" max="2310" width="7.140625" style="91" customWidth="1"/>
    <col min="2311" max="2311" width="5" style="91" customWidth="1"/>
    <col min="2312" max="2314" width="7.140625" style="91" customWidth="1"/>
    <col min="2315" max="2558" width="9.140625" style="91"/>
    <col min="2559" max="2559" width="33.140625" style="91" bestFit="1" customWidth="1"/>
    <col min="2560" max="2562" width="7.140625" style="91" customWidth="1"/>
    <col min="2563" max="2563" width="5" style="91" customWidth="1"/>
    <col min="2564" max="2566" width="7.140625" style="91" customWidth="1"/>
    <col min="2567" max="2567" width="5" style="91" customWidth="1"/>
    <col min="2568" max="2570" width="7.140625" style="91" customWidth="1"/>
    <col min="2571" max="2814" width="9.140625" style="91"/>
    <col min="2815" max="2815" width="33.140625" style="91" bestFit="1" customWidth="1"/>
    <col min="2816" max="2818" width="7.140625" style="91" customWidth="1"/>
    <col min="2819" max="2819" width="5" style="91" customWidth="1"/>
    <col min="2820" max="2822" width="7.140625" style="91" customWidth="1"/>
    <col min="2823" max="2823" width="5" style="91" customWidth="1"/>
    <col min="2824" max="2826" width="7.140625" style="91" customWidth="1"/>
    <col min="2827" max="3070" width="9.140625" style="91"/>
    <col min="3071" max="3071" width="33.140625" style="91" bestFit="1" customWidth="1"/>
    <col min="3072" max="3074" width="7.140625" style="91" customWidth="1"/>
    <col min="3075" max="3075" width="5" style="91" customWidth="1"/>
    <col min="3076" max="3078" width="7.140625" style="91" customWidth="1"/>
    <col min="3079" max="3079" width="5" style="91" customWidth="1"/>
    <col min="3080" max="3082" width="7.140625" style="91" customWidth="1"/>
    <col min="3083" max="3326" width="9.140625" style="91"/>
    <col min="3327" max="3327" width="33.140625" style="91" bestFit="1" customWidth="1"/>
    <col min="3328" max="3330" width="7.140625" style="91" customWidth="1"/>
    <col min="3331" max="3331" width="5" style="91" customWidth="1"/>
    <col min="3332" max="3334" width="7.140625" style="91" customWidth="1"/>
    <col min="3335" max="3335" width="5" style="91" customWidth="1"/>
    <col min="3336" max="3338" width="7.140625" style="91" customWidth="1"/>
    <col min="3339" max="3582" width="9.140625" style="91"/>
    <col min="3583" max="3583" width="33.140625" style="91" bestFit="1" customWidth="1"/>
    <col min="3584" max="3586" width="7.140625" style="91" customWidth="1"/>
    <col min="3587" max="3587" width="5" style="91" customWidth="1"/>
    <col min="3588" max="3590" width="7.140625" style="91" customWidth="1"/>
    <col min="3591" max="3591" width="5" style="91" customWidth="1"/>
    <col min="3592" max="3594" width="7.140625" style="91" customWidth="1"/>
    <col min="3595" max="3838" width="9.140625" style="91"/>
    <col min="3839" max="3839" width="33.140625" style="91" bestFit="1" customWidth="1"/>
    <col min="3840" max="3842" width="7.140625" style="91" customWidth="1"/>
    <col min="3843" max="3843" width="5" style="91" customWidth="1"/>
    <col min="3844" max="3846" width="7.140625" style="91" customWidth="1"/>
    <col min="3847" max="3847" width="5" style="91" customWidth="1"/>
    <col min="3848" max="3850" width="7.140625" style="91" customWidth="1"/>
    <col min="3851" max="4094" width="9.140625" style="91"/>
    <col min="4095" max="4095" width="33.140625" style="91" bestFit="1" customWidth="1"/>
    <col min="4096" max="4098" width="7.140625" style="91" customWidth="1"/>
    <col min="4099" max="4099" width="5" style="91" customWidth="1"/>
    <col min="4100" max="4102" width="7.140625" style="91" customWidth="1"/>
    <col min="4103" max="4103" width="5" style="91" customWidth="1"/>
    <col min="4104" max="4106" width="7.140625" style="91" customWidth="1"/>
    <col min="4107" max="4350" width="9.140625" style="91"/>
    <col min="4351" max="4351" width="33.140625" style="91" bestFit="1" customWidth="1"/>
    <col min="4352" max="4354" width="7.140625" style="91" customWidth="1"/>
    <col min="4355" max="4355" width="5" style="91" customWidth="1"/>
    <col min="4356" max="4358" width="7.140625" style="91" customWidth="1"/>
    <col min="4359" max="4359" width="5" style="91" customWidth="1"/>
    <col min="4360" max="4362" width="7.140625" style="91" customWidth="1"/>
    <col min="4363" max="4606" width="9.140625" style="91"/>
    <col min="4607" max="4607" width="33.140625" style="91" bestFit="1" customWidth="1"/>
    <col min="4608" max="4610" width="7.140625" style="91" customWidth="1"/>
    <col min="4611" max="4611" width="5" style="91" customWidth="1"/>
    <col min="4612" max="4614" width="7.140625" style="91" customWidth="1"/>
    <col min="4615" max="4615" width="5" style="91" customWidth="1"/>
    <col min="4616" max="4618" width="7.140625" style="91" customWidth="1"/>
    <col min="4619" max="4862" width="9.140625" style="91"/>
    <col min="4863" max="4863" width="33.140625" style="91" bestFit="1" customWidth="1"/>
    <col min="4864" max="4866" width="7.140625" style="91" customWidth="1"/>
    <col min="4867" max="4867" width="5" style="91" customWidth="1"/>
    <col min="4868" max="4870" width="7.140625" style="91" customWidth="1"/>
    <col min="4871" max="4871" width="5" style="91" customWidth="1"/>
    <col min="4872" max="4874" width="7.140625" style="91" customWidth="1"/>
    <col min="4875" max="5118" width="9.140625" style="91"/>
    <col min="5119" max="5119" width="33.140625" style="91" bestFit="1" customWidth="1"/>
    <col min="5120" max="5122" width="7.140625" style="91" customWidth="1"/>
    <col min="5123" max="5123" width="5" style="91" customWidth="1"/>
    <col min="5124" max="5126" width="7.140625" style="91" customWidth="1"/>
    <col min="5127" max="5127" width="5" style="91" customWidth="1"/>
    <col min="5128" max="5130" width="7.140625" style="91" customWidth="1"/>
    <col min="5131" max="5374" width="9.140625" style="91"/>
    <col min="5375" max="5375" width="33.140625" style="91" bestFit="1" customWidth="1"/>
    <col min="5376" max="5378" width="7.140625" style="91" customWidth="1"/>
    <col min="5379" max="5379" width="5" style="91" customWidth="1"/>
    <col min="5380" max="5382" width="7.140625" style="91" customWidth="1"/>
    <col min="5383" max="5383" width="5" style="91" customWidth="1"/>
    <col min="5384" max="5386" width="7.140625" style="91" customWidth="1"/>
    <col min="5387" max="5630" width="9.140625" style="91"/>
    <col min="5631" max="5631" width="33.140625" style="91" bestFit="1" customWidth="1"/>
    <col min="5632" max="5634" width="7.140625" style="91" customWidth="1"/>
    <col min="5635" max="5635" width="5" style="91" customWidth="1"/>
    <col min="5636" max="5638" width="7.140625" style="91" customWidth="1"/>
    <col min="5639" max="5639" width="5" style="91" customWidth="1"/>
    <col min="5640" max="5642" width="7.140625" style="91" customWidth="1"/>
    <col min="5643" max="5886" width="9.140625" style="91"/>
    <col min="5887" max="5887" width="33.140625" style="91" bestFit="1" customWidth="1"/>
    <col min="5888" max="5890" width="7.140625" style="91" customWidth="1"/>
    <col min="5891" max="5891" width="5" style="91" customWidth="1"/>
    <col min="5892" max="5894" width="7.140625" style="91" customWidth="1"/>
    <col min="5895" max="5895" width="5" style="91" customWidth="1"/>
    <col min="5896" max="5898" width="7.140625" style="91" customWidth="1"/>
    <col min="5899" max="6142" width="9.140625" style="91"/>
    <col min="6143" max="6143" width="33.140625" style="91" bestFit="1" customWidth="1"/>
    <col min="6144" max="6146" width="7.140625" style="91" customWidth="1"/>
    <col min="6147" max="6147" width="5" style="91" customWidth="1"/>
    <col min="6148" max="6150" width="7.140625" style="91" customWidth="1"/>
    <col min="6151" max="6151" width="5" style="91" customWidth="1"/>
    <col min="6152" max="6154" width="7.140625" style="91" customWidth="1"/>
    <col min="6155" max="6398" width="9.140625" style="91"/>
    <col min="6399" max="6399" width="33.140625" style="91" bestFit="1" customWidth="1"/>
    <col min="6400" max="6402" width="7.140625" style="91" customWidth="1"/>
    <col min="6403" max="6403" width="5" style="91" customWidth="1"/>
    <col min="6404" max="6406" width="7.140625" style="91" customWidth="1"/>
    <col min="6407" max="6407" width="5" style="91" customWidth="1"/>
    <col min="6408" max="6410" width="7.140625" style="91" customWidth="1"/>
    <col min="6411" max="6654" width="9.140625" style="91"/>
    <col min="6655" max="6655" width="33.140625" style="91" bestFit="1" customWidth="1"/>
    <col min="6656" max="6658" width="7.140625" style="91" customWidth="1"/>
    <col min="6659" max="6659" width="5" style="91" customWidth="1"/>
    <col min="6660" max="6662" width="7.140625" style="91" customWidth="1"/>
    <col min="6663" max="6663" width="5" style="91" customWidth="1"/>
    <col min="6664" max="6666" width="7.140625" style="91" customWidth="1"/>
    <col min="6667" max="6910" width="9.140625" style="91"/>
    <col min="6911" max="6911" width="33.140625" style="91" bestFit="1" customWidth="1"/>
    <col min="6912" max="6914" width="7.140625" style="91" customWidth="1"/>
    <col min="6915" max="6915" width="5" style="91" customWidth="1"/>
    <col min="6916" max="6918" width="7.140625" style="91" customWidth="1"/>
    <col min="6919" max="6919" width="5" style="91" customWidth="1"/>
    <col min="6920" max="6922" width="7.140625" style="91" customWidth="1"/>
    <col min="6923" max="7166" width="9.140625" style="91"/>
    <col min="7167" max="7167" width="33.140625" style="91" bestFit="1" customWidth="1"/>
    <col min="7168" max="7170" width="7.140625" style="91" customWidth="1"/>
    <col min="7171" max="7171" width="5" style="91" customWidth="1"/>
    <col min="7172" max="7174" width="7.140625" style="91" customWidth="1"/>
    <col min="7175" max="7175" width="5" style="91" customWidth="1"/>
    <col min="7176" max="7178" width="7.140625" style="91" customWidth="1"/>
    <col min="7179" max="7422" width="9.140625" style="91"/>
    <col min="7423" max="7423" width="33.140625" style="91" bestFit="1" customWidth="1"/>
    <col min="7424" max="7426" width="7.140625" style="91" customWidth="1"/>
    <col min="7427" max="7427" width="5" style="91" customWidth="1"/>
    <col min="7428" max="7430" width="7.140625" style="91" customWidth="1"/>
    <col min="7431" max="7431" width="5" style="91" customWidth="1"/>
    <col min="7432" max="7434" width="7.140625" style="91" customWidth="1"/>
    <col min="7435" max="7678" width="9.140625" style="91"/>
    <col min="7679" max="7679" width="33.140625" style="91" bestFit="1" customWidth="1"/>
    <col min="7680" max="7682" width="7.140625" style="91" customWidth="1"/>
    <col min="7683" max="7683" width="5" style="91" customWidth="1"/>
    <col min="7684" max="7686" width="7.140625" style="91" customWidth="1"/>
    <col min="7687" max="7687" width="5" style="91" customWidth="1"/>
    <col min="7688" max="7690" width="7.140625" style="91" customWidth="1"/>
    <col min="7691" max="7934" width="9.140625" style="91"/>
    <col min="7935" max="7935" width="33.140625" style="91" bestFit="1" customWidth="1"/>
    <col min="7936" max="7938" width="7.140625" style="91" customWidth="1"/>
    <col min="7939" max="7939" width="5" style="91" customWidth="1"/>
    <col min="7940" max="7942" width="7.140625" style="91" customWidth="1"/>
    <col min="7943" max="7943" width="5" style="91" customWidth="1"/>
    <col min="7944" max="7946" width="7.140625" style="91" customWidth="1"/>
    <col min="7947" max="8190" width="9.140625" style="91"/>
    <col min="8191" max="8191" width="33.140625" style="91" bestFit="1" customWidth="1"/>
    <col min="8192" max="8194" width="7.140625" style="91" customWidth="1"/>
    <col min="8195" max="8195" width="5" style="91" customWidth="1"/>
    <col min="8196" max="8198" width="7.140625" style="91" customWidth="1"/>
    <col min="8199" max="8199" width="5" style="91" customWidth="1"/>
    <col min="8200" max="8202" width="7.140625" style="91" customWidth="1"/>
    <col min="8203" max="8446" width="9.140625" style="91"/>
    <col min="8447" max="8447" width="33.140625" style="91" bestFit="1" customWidth="1"/>
    <col min="8448" max="8450" width="7.140625" style="91" customWidth="1"/>
    <col min="8451" max="8451" width="5" style="91" customWidth="1"/>
    <col min="8452" max="8454" width="7.140625" style="91" customWidth="1"/>
    <col min="8455" max="8455" width="5" style="91" customWidth="1"/>
    <col min="8456" max="8458" width="7.140625" style="91" customWidth="1"/>
    <col min="8459" max="8702" width="9.140625" style="91"/>
    <col min="8703" max="8703" width="33.140625" style="91" bestFit="1" customWidth="1"/>
    <col min="8704" max="8706" width="7.140625" style="91" customWidth="1"/>
    <col min="8707" max="8707" width="5" style="91" customWidth="1"/>
    <col min="8708" max="8710" width="7.140625" style="91" customWidth="1"/>
    <col min="8711" max="8711" width="5" style="91" customWidth="1"/>
    <col min="8712" max="8714" width="7.140625" style="91" customWidth="1"/>
    <col min="8715" max="8958" width="9.140625" style="91"/>
    <col min="8959" max="8959" width="33.140625" style="91" bestFit="1" customWidth="1"/>
    <col min="8960" max="8962" width="7.140625" style="91" customWidth="1"/>
    <col min="8963" max="8963" width="5" style="91" customWidth="1"/>
    <col min="8964" max="8966" width="7.140625" style="91" customWidth="1"/>
    <col min="8967" max="8967" width="5" style="91" customWidth="1"/>
    <col min="8968" max="8970" width="7.140625" style="91" customWidth="1"/>
    <col min="8971" max="9214" width="9.140625" style="91"/>
    <col min="9215" max="9215" width="33.140625" style="91" bestFit="1" customWidth="1"/>
    <col min="9216" max="9218" width="7.140625" style="91" customWidth="1"/>
    <col min="9219" max="9219" width="5" style="91" customWidth="1"/>
    <col min="9220" max="9222" width="7.140625" style="91" customWidth="1"/>
    <col min="9223" max="9223" width="5" style="91" customWidth="1"/>
    <col min="9224" max="9226" width="7.140625" style="91" customWidth="1"/>
    <col min="9227" max="9470" width="9.140625" style="91"/>
    <col min="9471" max="9471" width="33.140625" style="91" bestFit="1" customWidth="1"/>
    <col min="9472" max="9474" width="7.140625" style="91" customWidth="1"/>
    <col min="9475" max="9475" width="5" style="91" customWidth="1"/>
    <col min="9476" max="9478" width="7.140625" style="91" customWidth="1"/>
    <col min="9479" max="9479" width="5" style="91" customWidth="1"/>
    <col min="9480" max="9482" width="7.140625" style="91" customWidth="1"/>
    <col min="9483" max="9726" width="9.140625" style="91"/>
    <col min="9727" max="9727" width="33.140625" style="91" bestFit="1" customWidth="1"/>
    <col min="9728" max="9730" width="7.140625" style="91" customWidth="1"/>
    <col min="9731" max="9731" width="5" style="91" customWidth="1"/>
    <col min="9732" max="9734" width="7.140625" style="91" customWidth="1"/>
    <col min="9735" max="9735" width="5" style="91" customWidth="1"/>
    <col min="9736" max="9738" width="7.140625" style="91" customWidth="1"/>
    <col min="9739" max="9982" width="9.140625" style="91"/>
    <col min="9983" max="9983" width="33.140625" style="91" bestFit="1" customWidth="1"/>
    <col min="9984" max="9986" width="7.140625" style="91" customWidth="1"/>
    <col min="9987" max="9987" width="5" style="91" customWidth="1"/>
    <col min="9988" max="9990" width="7.140625" style="91" customWidth="1"/>
    <col min="9991" max="9991" width="5" style="91" customWidth="1"/>
    <col min="9992" max="9994" width="7.140625" style="91" customWidth="1"/>
    <col min="9995" max="10238" width="9.140625" style="91"/>
    <col min="10239" max="10239" width="33.140625" style="91" bestFit="1" customWidth="1"/>
    <col min="10240" max="10242" width="7.140625" style="91" customWidth="1"/>
    <col min="10243" max="10243" width="5" style="91" customWidth="1"/>
    <col min="10244" max="10246" width="7.140625" style="91" customWidth="1"/>
    <col min="10247" max="10247" width="5" style="91" customWidth="1"/>
    <col min="10248" max="10250" width="7.140625" style="91" customWidth="1"/>
    <col min="10251" max="10494" width="9.140625" style="91"/>
    <col min="10495" max="10495" width="33.140625" style="91" bestFit="1" customWidth="1"/>
    <col min="10496" max="10498" width="7.140625" style="91" customWidth="1"/>
    <col min="10499" max="10499" width="5" style="91" customWidth="1"/>
    <col min="10500" max="10502" width="7.140625" style="91" customWidth="1"/>
    <col min="10503" max="10503" width="5" style="91" customWidth="1"/>
    <col min="10504" max="10506" width="7.140625" style="91" customWidth="1"/>
    <col min="10507" max="10750" width="9.140625" style="91"/>
    <col min="10751" max="10751" width="33.140625" style="91" bestFit="1" customWidth="1"/>
    <col min="10752" max="10754" width="7.140625" style="91" customWidth="1"/>
    <col min="10755" max="10755" width="5" style="91" customWidth="1"/>
    <col min="10756" max="10758" width="7.140625" style="91" customWidth="1"/>
    <col min="10759" max="10759" width="5" style="91" customWidth="1"/>
    <col min="10760" max="10762" width="7.140625" style="91" customWidth="1"/>
    <col min="10763" max="11006" width="9.140625" style="91"/>
    <col min="11007" max="11007" width="33.140625" style="91" bestFit="1" customWidth="1"/>
    <col min="11008" max="11010" width="7.140625" style="91" customWidth="1"/>
    <col min="11011" max="11011" width="5" style="91" customWidth="1"/>
    <col min="11012" max="11014" width="7.140625" style="91" customWidth="1"/>
    <col min="11015" max="11015" width="5" style="91" customWidth="1"/>
    <col min="11016" max="11018" width="7.140625" style="91" customWidth="1"/>
    <col min="11019" max="11262" width="9.140625" style="91"/>
    <col min="11263" max="11263" width="33.140625" style="91" bestFit="1" customWidth="1"/>
    <col min="11264" max="11266" width="7.140625" style="91" customWidth="1"/>
    <col min="11267" max="11267" width="5" style="91" customWidth="1"/>
    <col min="11268" max="11270" width="7.140625" style="91" customWidth="1"/>
    <col min="11271" max="11271" width="5" style="91" customWidth="1"/>
    <col min="11272" max="11274" width="7.140625" style="91" customWidth="1"/>
    <col min="11275" max="11518" width="9.140625" style="91"/>
    <col min="11519" max="11519" width="33.140625" style="91" bestFit="1" customWidth="1"/>
    <col min="11520" max="11522" width="7.140625" style="91" customWidth="1"/>
    <col min="11523" max="11523" width="5" style="91" customWidth="1"/>
    <col min="11524" max="11526" width="7.140625" style="91" customWidth="1"/>
    <col min="11527" max="11527" width="5" style="91" customWidth="1"/>
    <col min="11528" max="11530" width="7.140625" style="91" customWidth="1"/>
    <col min="11531" max="11774" width="9.140625" style="91"/>
    <col min="11775" max="11775" width="33.140625" style="91" bestFit="1" customWidth="1"/>
    <col min="11776" max="11778" width="7.140625" style="91" customWidth="1"/>
    <col min="11779" max="11779" width="5" style="91" customWidth="1"/>
    <col min="11780" max="11782" width="7.140625" style="91" customWidth="1"/>
    <col min="11783" max="11783" width="5" style="91" customWidth="1"/>
    <col min="11784" max="11786" width="7.140625" style="91" customWidth="1"/>
    <col min="11787" max="12030" width="9.140625" style="91"/>
    <col min="12031" max="12031" width="33.140625" style="91" bestFit="1" customWidth="1"/>
    <col min="12032" max="12034" width="7.140625" style="91" customWidth="1"/>
    <col min="12035" max="12035" width="5" style="91" customWidth="1"/>
    <col min="12036" max="12038" width="7.140625" style="91" customWidth="1"/>
    <col min="12039" max="12039" width="5" style="91" customWidth="1"/>
    <col min="12040" max="12042" width="7.140625" style="91" customWidth="1"/>
    <col min="12043" max="12286" width="9.140625" style="91"/>
    <col min="12287" max="12287" width="33.140625" style="91" bestFit="1" customWidth="1"/>
    <col min="12288" max="12290" width="7.140625" style="91" customWidth="1"/>
    <col min="12291" max="12291" width="5" style="91" customWidth="1"/>
    <col min="12292" max="12294" width="7.140625" style="91" customWidth="1"/>
    <col min="12295" max="12295" width="5" style="91" customWidth="1"/>
    <col min="12296" max="12298" width="7.140625" style="91" customWidth="1"/>
    <col min="12299" max="12542" width="9.140625" style="91"/>
    <col min="12543" max="12543" width="33.140625" style="91" bestFit="1" customWidth="1"/>
    <col min="12544" max="12546" width="7.140625" style="91" customWidth="1"/>
    <col min="12547" max="12547" width="5" style="91" customWidth="1"/>
    <col min="12548" max="12550" width="7.140625" style="91" customWidth="1"/>
    <col min="12551" max="12551" width="5" style="91" customWidth="1"/>
    <col min="12552" max="12554" width="7.140625" style="91" customWidth="1"/>
    <col min="12555" max="12798" width="9.140625" style="91"/>
    <col min="12799" max="12799" width="33.140625" style="91" bestFit="1" customWidth="1"/>
    <col min="12800" max="12802" width="7.140625" style="91" customWidth="1"/>
    <col min="12803" max="12803" width="5" style="91" customWidth="1"/>
    <col min="12804" max="12806" width="7.140625" style="91" customWidth="1"/>
    <col min="12807" max="12807" width="5" style="91" customWidth="1"/>
    <col min="12808" max="12810" width="7.140625" style="91" customWidth="1"/>
    <col min="12811" max="13054" width="9.140625" style="91"/>
    <col min="13055" max="13055" width="33.140625" style="91" bestFit="1" customWidth="1"/>
    <col min="13056" max="13058" width="7.140625" style="91" customWidth="1"/>
    <col min="13059" max="13059" width="5" style="91" customWidth="1"/>
    <col min="13060" max="13062" width="7.140625" style="91" customWidth="1"/>
    <col min="13063" max="13063" width="5" style="91" customWidth="1"/>
    <col min="13064" max="13066" width="7.140625" style="91" customWidth="1"/>
    <col min="13067" max="13310" width="9.140625" style="91"/>
    <col min="13311" max="13311" width="33.140625" style="91" bestFit="1" customWidth="1"/>
    <col min="13312" max="13314" width="7.140625" style="91" customWidth="1"/>
    <col min="13315" max="13315" width="5" style="91" customWidth="1"/>
    <col min="13316" max="13318" width="7.140625" style="91" customWidth="1"/>
    <col min="13319" max="13319" width="5" style="91" customWidth="1"/>
    <col min="13320" max="13322" width="7.140625" style="91" customWidth="1"/>
    <col min="13323" max="13566" width="9.140625" style="91"/>
    <col min="13567" max="13567" width="33.140625" style="91" bestFit="1" customWidth="1"/>
    <col min="13568" max="13570" width="7.140625" style="91" customWidth="1"/>
    <col min="13571" max="13571" width="5" style="91" customWidth="1"/>
    <col min="13572" max="13574" width="7.140625" style="91" customWidth="1"/>
    <col min="13575" max="13575" width="5" style="91" customWidth="1"/>
    <col min="13576" max="13578" width="7.140625" style="91" customWidth="1"/>
    <col min="13579" max="13822" width="9.140625" style="91"/>
    <col min="13823" max="13823" width="33.140625" style="91" bestFit="1" customWidth="1"/>
    <col min="13824" max="13826" width="7.140625" style="91" customWidth="1"/>
    <col min="13827" max="13827" width="5" style="91" customWidth="1"/>
    <col min="13828" max="13830" width="7.140625" style="91" customWidth="1"/>
    <col min="13831" max="13831" width="5" style="91" customWidth="1"/>
    <col min="13832" max="13834" width="7.140625" style="91" customWidth="1"/>
    <col min="13835" max="14078" width="9.140625" style="91"/>
    <col min="14079" max="14079" width="33.140625" style="91" bestFit="1" customWidth="1"/>
    <col min="14080" max="14082" width="7.140625" style="91" customWidth="1"/>
    <col min="14083" max="14083" width="5" style="91" customWidth="1"/>
    <col min="14084" max="14086" width="7.140625" style="91" customWidth="1"/>
    <col min="14087" max="14087" width="5" style="91" customWidth="1"/>
    <col min="14088" max="14090" width="7.140625" style="91" customWidth="1"/>
    <col min="14091" max="14334" width="9.140625" style="91"/>
    <col min="14335" max="14335" width="33.140625" style="91" bestFit="1" customWidth="1"/>
    <col min="14336" max="14338" width="7.140625" style="91" customWidth="1"/>
    <col min="14339" max="14339" width="5" style="91" customWidth="1"/>
    <col min="14340" max="14342" width="7.140625" style="91" customWidth="1"/>
    <col min="14343" max="14343" width="5" style="91" customWidth="1"/>
    <col min="14344" max="14346" width="7.140625" style="91" customWidth="1"/>
    <col min="14347" max="14590" width="9.140625" style="91"/>
    <col min="14591" max="14591" width="33.140625" style="91" bestFit="1" customWidth="1"/>
    <col min="14592" max="14594" width="7.140625" style="91" customWidth="1"/>
    <col min="14595" max="14595" width="5" style="91" customWidth="1"/>
    <col min="14596" max="14598" width="7.140625" style="91" customWidth="1"/>
    <col min="14599" max="14599" width="5" style="91" customWidth="1"/>
    <col min="14600" max="14602" width="7.140625" style="91" customWidth="1"/>
    <col min="14603" max="14846" width="9.140625" style="91"/>
    <col min="14847" max="14847" width="33.140625" style="91" bestFit="1" customWidth="1"/>
    <col min="14848" max="14850" width="7.140625" style="91" customWidth="1"/>
    <col min="14851" max="14851" width="5" style="91" customWidth="1"/>
    <col min="14852" max="14854" width="7.140625" style="91" customWidth="1"/>
    <col min="14855" max="14855" width="5" style="91" customWidth="1"/>
    <col min="14856" max="14858" width="7.140625" style="91" customWidth="1"/>
    <col min="14859" max="15102" width="9.140625" style="91"/>
    <col min="15103" max="15103" width="33.140625" style="91" bestFit="1" customWidth="1"/>
    <col min="15104" max="15106" width="7.140625" style="91" customWidth="1"/>
    <col min="15107" max="15107" width="5" style="91" customWidth="1"/>
    <col min="15108" max="15110" width="7.140625" style="91" customWidth="1"/>
    <col min="15111" max="15111" width="5" style="91" customWidth="1"/>
    <col min="15112" max="15114" width="7.140625" style="91" customWidth="1"/>
    <col min="15115" max="15358" width="9.140625" style="91"/>
    <col min="15359" max="15359" width="33.140625" style="91" bestFit="1" customWidth="1"/>
    <col min="15360" max="15362" width="7.140625" style="91" customWidth="1"/>
    <col min="15363" max="15363" width="5" style="91" customWidth="1"/>
    <col min="15364" max="15366" width="7.140625" style="91" customWidth="1"/>
    <col min="15367" max="15367" width="5" style="91" customWidth="1"/>
    <col min="15368" max="15370" width="7.140625" style="91" customWidth="1"/>
    <col min="15371" max="15614" width="9.140625" style="91"/>
    <col min="15615" max="15615" width="33.140625" style="91" bestFit="1" customWidth="1"/>
    <col min="15616" max="15618" width="7.140625" style="91" customWidth="1"/>
    <col min="15619" max="15619" width="5" style="91" customWidth="1"/>
    <col min="15620" max="15622" width="7.140625" style="91" customWidth="1"/>
    <col min="15623" max="15623" width="5" style="91" customWidth="1"/>
    <col min="15624" max="15626" width="7.140625" style="91" customWidth="1"/>
    <col min="15627" max="15870" width="9.140625" style="91"/>
    <col min="15871" max="15871" width="33.140625" style="91" bestFit="1" customWidth="1"/>
    <col min="15872" max="15874" width="7.140625" style="91" customWidth="1"/>
    <col min="15875" max="15875" width="5" style="91" customWidth="1"/>
    <col min="15876" max="15878" width="7.140625" style="91" customWidth="1"/>
    <col min="15879" max="15879" width="5" style="91" customWidth="1"/>
    <col min="15880" max="15882" width="7.140625" style="91" customWidth="1"/>
    <col min="15883" max="16126" width="9.140625" style="91"/>
    <col min="16127" max="16127" width="33.140625" style="91" bestFit="1" customWidth="1"/>
    <col min="16128" max="16130" width="7.140625" style="91" customWidth="1"/>
    <col min="16131" max="16131" width="5" style="91" customWidth="1"/>
    <col min="16132" max="16134" width="7.140625" style="91" customWidth="1"/>
    <col min="16135" max="16135" width="5" style="91" customWidth="1"/>
    <col min="16136" max="16138" width="7.140625" style="91" customWidth="1"/>
    <col min="16139" max="16384" width="9.140625" style="91"/>
  </cols>
  <sheetData>
    <row r="1" spans="1:21" ht="15.75" x14ac:dyDescent="0.25">
      <c r="A1" s="19" t="str">
        <f>CONCATENATE("Occupation Table 4  Occuptation composition (SOC2020) by gender, ",B$6,"-",J$6,", ",Info!B5)</f>
        <v>Occupation Table 4  Occuptation composition (SOC2020) by gender, 2015-2035, North East</v>
      </c>
      <c r="B1" s="236"/>
      <c r="C1" s="236"/>
      <c r="D1" s="236"/>
      <c r="E1" s="236"/>
      <c r="F1" s="236"/>
      <c r="G1" s="236"/>
      <c r="H1" s="236"/>
      <c r="I1" s="236"/>
      <c r="J1" s="236"/>
      <c r="K1" s="236"/>
      <c r="L1" s="248"/>
      <c r="M1" s="236"/>
    </row>
    <row r="2" spans="1:21" x14ac:dyDescent="0.2">
      <c r="A2" s="182" t="s">
        <v>518</v>
      </c>
      <c r="B2" s="236"/>
      <c r="C2" s="236"/>
      <c r="D2" s="236"/>
      <c r="E2" s="236"/>
      <c r="F2" s="236"/>
      <c r="G2" s="236"/>
      <c r="H2" s="236"/>
      <c r="I2" s="236"/>
      <c r="J2" s="236"/>
      <c r="K2" s="236"/>
      <c r="L2" s="248"/>
      <c r="M2" s="236"/>
    </row>
    <row r="3" spans="1:21" x14ac:dyDescent="0.2">
      <c r="B3" s="122"/>
      <c r="D3" s="122"/>
      <c r="F3" s="122"/>
      <c r="H3" s="122"/>
      <c r="J3" s="122"/>
      <c r="K3" s="236"/>
      <c r="L3" s="248"/>
      <c r="M3" s="236"/>
    </row>
    <row r="4" spans="1:21" x14ac:dyDescent="0.2">
      <c r="A4" s="236"/>
      <c r="B4" s="236"/>
      <c r="C4" s="236"/>
      <c r="D4" s="236"/>
      <c r="E4" s="236"/>
      <c r="F4" s="236"/>
      <c r="G4" s="236"/>
      <c r="H4" s="236"/>
      <c r="I4" s="236"/>
      <c r="J4" s="236"/>
      <c r="K4" s="236"/>
      <c r="L4" s="251" t="s">
        <v>36</v>
      </c>
      <c r="M4" s="236"/>
      <c r="N4" s="92"/>
      <c r="O4" s="92"/>
      <c r="P4" s="92"/>
      <c r="Q4" s="92"/>
      <c r="R4" s="92"/>
      <c r="S4" s="92"/>
      <c r="T4" s="92" t="s">
        <v>373</v>
      </c>
      <c r="U4" s="92"/>
    </row>
    <row r="5" spans="1:21" x14ac:dyDescent="0.2">
      <c r="A5" s="242"/>
      <c r="B5" s="242"/>
      <c r="C5" s="243"/>
      <c r="D5" s="243"/>
      <c r="E5" s="243"/>
      <c r="F5" s="243"/>
      <c r="G5" s="243"/>
      <c r="H5" s="243"/>
      <c r="I5" s="243"/>
      <c r="J5" s="243"/>
      <c r="K5" s="243"/>
      <c r="L5" s="236"/>
      <c r="M5" s="236"/>
    </row>
    <row r="6" spans="1:21" ht="14.25" customHeight="1" x14ac:dyDescent="0.2">
      <c r="A6" s="241" t="s">
        <v>0</v>
      </c>
      <c r="B6" s="375">
        <v>2015</v>
      </c>
      <c r="C6" s="376"/>
      <c r="D6" s="376"/>
      <c r="E6" s="325"/>
      <c r="F6" s="375">
        <v>2020</v>
      </c>
      <c r="G6" s="376"/>
      <c r="H6" s="376"/>
      <c r="I6" s="325"/>
      <c r="J6" s="375">
        <v>2035</v>
      </c>
      <c r="K6" s="376"/>
      <c r="L6" s="376"/>
      <c r="M6" s="324"/>
      <c r="N6" s="376" t="s">
        <v>105</v>
      </c>
      <c r="O6" s="376"/>
      <c r="P6" s="326"/>
      <c r="Q6" s="376" t="s">
        <v>104</v>
      </c>
      <c r="R6" s="376"/>
      <c r="S6" s="326"/>
      <c r="T6" s="376" t="s">
        <v>33</v>
      </c>
      <c r="U6" s="376"/>
    </row>
    <row r="7" spans="1:21" ht="15" customHeight="1" x14ac:dyDescent="0.2">
      <c r="A7" s="252"/>
      <c r="B7" s="245" t="s">
        <v>361</v>
      </c>
      <c r="C7" s="245" t="s">
        <v>362</v>
      </c>
      <c r="D7" s="245" t="s">
        <v>33</v>
      </c>
      <c r="E7" s="245"/>
      <c r="F7" s="245" t="s">
        <v>361</v>
      </c>
      <c r="G7" s="245" t="s">
        <v>362</v>
      </c>
      <c r="H7" s="245" t="s">
        <v>33</v>
      </c>
      <c r="I7" s="245"/>
      <c r="J7" s="245" t="s">
        <v>361</v>
      </c>
      <c r="K7" s="245" t="s">
        <v>362</v>
      </c>
      <c r="L7" s="245" t="s">
        <v>33</v>
      </c>
      <c r="M7" s="236"/>
      <c r="N7" s="321" t="str">
        <f>CONCATENATE(B6,"-",RIGHT(F6,2))</f>
        <v>2015-20</v>
      </c>
      <c r="O7" s="321" t="str">
        <f>CONCATENATE(F6,"-",RIGHT(J6,2))</f>
        <v>2020-35</v>
      </c>
      <c r="P7" s="296"/>
      <c r="Q7" s="321" t="str">
        <f>CONCATENATE(B6,"-",RIGHT(F6,2))</f>
        <v>2015-20</v>
      </c>
      <c r="R7" s="321" t="str">
        <f>CONCATENATE(F6,"-",RIGHT(J6,2))</f>
        <v>2020-35</v>
      </c>
      <c r="S7" s="180"/>
      <c r="T7" s="321" t="str">
        <f>CONCATENATE(B6,"-",RIGHT(F6,2))</f>
        <v>2015-20</v>
      </c>
      <c r="U7" s="321" t="str">
        <f>CONCATENATE(F6,"-",RIGHT(J6,2))</f>
        <v>2020-35</v>
      </c>
    </row>
    <row r="8" spans="1:21" x14ac:dyDescent="0.2">
      <c r="A8" s="236"/>
      <c r="B8" s="257"/>
      <c r="C8" s="257"/>
      <c r="D8" s="257"/>
      <c r="E8" s="257"/>
      <c r="F8" s="257"/>
      <c r="G8" s="257"/>
      <c r="H8" s="257"/>
      <c r="I8" s="257"/>
      <c r="J8" s="257"/>
      <c r="K8" s="257"/>
      <c r="L8" s="257"/>
      <c r="M8" s="236"/>
      <c r="N8" s="327"/>
      <c r="O8" s="327"/>
      <c r="P8" s="327"/>
      <c r="Q8" s="327"/>
      <c r="R8" s="327"/>
      <c r="S8" s="327"/>
      <c r="T8" s="327"/>
      <c r="U8" s="327"/>
    </row>
    <row r="9" spans="1:21" x14ac:dyDescent="0.2">
      <c r="A9" s="329" t="str">
        <f>name!D4</f>
        <v>11 Corporate managers and directors</v>
      </c>
      <c r="B9" s="330">
        <v>6.848434989718978</v>
      </c>
      <c r="C9" s="330">
        <v>14.884311138596459</v>
      </c>
      <c r="D9" s="330">
        <f>SUM(B9:C9)</f>
        <v>21.732746128315437</v>
      </c>
      <c r="E9" s="331"/>
      <c r="F9" s="330">
        <v>8.6710772005533556</v>
      </c>
      <c r="G9" s="330">
        <v>16.741476842741733</v>
      </c>
      <c r="H9" s="330">
        <f>SUM(F9:G9)</f>
        <v>25.412554043295088</v>
      </c>
      <c r="I9" s="331"/>
      <c r="J9" s="330">
        <v>9.9289019466811599</v>
      </c>
      <c r="K9" s="330">
        <v>15.304667538337902</v>
      </c>
      <c r="L9" s="330">
        <f>SUM(J9:K9)</f>
        <v>25.233569485019061</v>
      </c>
      <c r="M9" s="236"/>
      <c r="N9" s="328">
        <f>IF(B9&gt;0,(EXP(LN(F9/B9)/($F$6-$B$6))-1)*100,0)</f>
        <v>4.8325966243137675</v>
      </c>
      <c r="O9" s="328">
        <f>IF(F9&gt;0,(EXP(LN(J9/F9)/($J$6-$F$6))-1)*100,0)</f>
        <v>0.90713552577643686</v>
      </c>
      <c r="P9" s="328"/>
      <c r="Q9" s="328">
        <f>IF(C9&gt;0,(EXP(LN(G9/C9)/($F$6-$B$6))-1)*100,0)</f>
        <v>2.3795002609098725</v>
      </c>
      <c r="R9" s="328">
        <f>IF(G9&gt;0,(EXP(LN(K9/G9)/($J$6-$F$6))-1)*100,0)</f>
        <v>-0.59642384793161529</v>
      </c>
      <c r="S9" s="327"/>
      <c r="T9" s="328">
        <f>IF(D9&gt;0,(EXP(LN(H9/D9)/($F$6-$B$6))-1)*100,0)</f>
        <v>3.1779136222074067</v>
      </c>
      <c r="U9" s="328">
        <f>IF(H9&gt;0,(EXP(LN(L9/H9)/($J$6-$F$6))-1)*100,0)</f>
        <v>-4.7109400992328965E-2</v>
      </c>
    </row>
    <row r="10" spans="1:21" x14ac:dyDescent="0.2">
      <c r="A10" s="329" t="str">
        <f>name!D5</f>
        <v>12 Other managers and proprietors</v>
      </c>
      <c r="B10" s="330">
        <v>5.3806902583391292</v>
      </c>
      <c r="C10" s="330">
        <v>8.8927695756126237</v>
      </c>
      <c r="D10" s="330">
        <f t="shared" ref="D10:D33" si="0">SUM(B10:C10)</f>
        <v>14.273459833951753</v>
      </c>
      <c r="E10" s="331"/>
      <c r="F10" s="330">
        <v>6.2930444853869627</v>
      </c>
      <c r="G10" s="330">
        <v>8.5394801960791096</v>
      </c>
      <c r="H10" s="330">
        <f t="shared" ref="H10:H33" si="1">SUM(F10:G10)</f>
        <v>14.832524681466072</v>
      </c>
      <c r="I10" s="331"/>
      <c r="J10" s="330">
        <v>8.1329188016435054</v>
      </c>
      <c r="K10" s="330">
        <v>12.322649529253395</v>
      </c>
      <c r="L10" s="330">
        <f t="shared" ref="L10:L33" si="2">SUM(J10:K10)</f>
        <v>20.455568330896902</v>
      </c>
      <c r="M10" s="236"/>
      <c r="N10" s="328">
        <f t="shared" ref="N10:N36" si="3">IF(B10&gt;0,(EXP(LN(F10/B10)/($F$6-$B$6))-1)*100,0)</f>
        <v>3.182147356100562</v>
      </c>
      <c r="O10" s="328">
        <f t="shared" ref="O10:O34" si="4">IF(F10&gt;0,(EXP(LN(J10/F10)/($J$6-$F$6))-1)*100,0)</f>
        <v>1.7245339871738041</v>
      </c>
      <c r="P10" s="328"/>
      <c r="Q10" s="328">
        <f t="shared" ref="Q10:Q34" si="5">IF(C10&gt;0,(EXP(LN(G10/C10)/($F$6-$B$6))-1)*100,0)</f>
        <v>-0.80749014766062777</v>
      </c>
      <c r="R10" s="328">
        <f t="shared" ref="R10:R34" si="6">IF(G10&gt;0,(EXP(LN(K10/G10)/($J$6-$F$6))-1)*100,0)</f>
        <v>2.4750590882163248</v>
      </c>
      <c r="S10" s="327"/>
      <c r="T10" s="328">
        <f t="shared" ref="T10:T34" si="7">IF(D10&gt;0,(EXP(LN(H10/D10)/($F$6-$B$6))-1)*100,0)</f>
        <v>0.7713703697099783</v>
      </c>
      <c r="U10" s="328">
        <f t="shared" ref="U10:U34" si="8">IF(H10&gt;0,(EXP(LN(L10/H10)/($J$6-$F$6))-1)*100,0)</f>
        <v>2.166009679090064</v>
      </c>
    </row>
    <row r="11" spans="1:21" x14ac:dyDescent="0.2">
      <c r="A11" s="329" t="str">
        <f>name!D6</f>
        <v>21 Science, research, engineering and technology professionals</v>
      </c>
      <c r="B11" s="330">
        <v>3.484475951478744</v>
      </c>
      <c r="C11" s="330">
        <v>17.941545497871417</v>
      </c>
      <c r="D11" s="330">
        <f t="shared" si="0"/>
        <v>21.426021449350159</v>
      </c>
      <c r="E11" s="331"/>
      <c r="F11" s="330">
        <v>4.3425974330306794</v>
      </c>
      <c r="G11" s="330">
        <v>19.127041645921725</v>
      </c>
      <c r="H11" s="330">
        <f t="shared" si="1"/>
        <v>23.469639078952405</v>
      </c>
      <c r="I11" s="331"/>
      <c r="J11" s="330">
        <v>6.1882165594581462</v>
      </c>
      <c r="K11" s="330">
        <v>20.286600576930685</v>
      </c>
      <c r="L11" s="330">
        <f t="shared" si="2"/>
        <v>26.474817136388829</v>
      </c>
      <c r="M11" s="236"/>
      <c r="N11" s="328">
        <f t="shared" si="3"/>
        <v>4.5014748936794025</v>
      </c>
      <c r="O11" s="328">
        <f t="shared" si="4"/>
        <v>2.3892579402795544</v>
      </c>
      <c r="P11" s="328"/>
      <c r="Q11" s="328">
        <f t="shared" si="5"/>
        <v>1.2879054886181462</v>
      </c>
      <c r="R11" s="328">
        <f t="shared" si="6"/>
        <v>0.39315397226125093</v>
      </c>
      <c r="S11" s="327"/>
      <c r="T11" s="328">
        <f t="shared" si="7"/>
        <v>1.8387300943991436</v>
      </c>
      <c r="U11" s="328">
        <f t="shared" si="8"/>
        <v>0.80647699734308631</v>
      </c>
    </row>
    <row r="12" spans="1:21" x14ac:dyDescent="0.2">
      <c r="A12" s="329" t="str">
        <f>name!D7</f>
        <v>22 Health professionals</v>
      </c>
      <c r="B12" s="330">
        <v>20.791588563756338</v>
      </c>
      <c r="C12" s="330">
        <v>6.7810987893322174</v>
      </c>
      <c r="D12" s="330">
        <f t="shared" si="0"/>
        <v>27.572687353088554</v>
      </c>
      <c r="E12" s="331"/>
      <c r="F12" s="330">
        <v>21.307675816456939</v>
      </c>
      <c r="G12" s="330">
        <v>7.7200961463991424</v>
      </c>
      <c r="H12" s="330">
        <f t="shared" si="1"/>
        <v>29.027771962856082</v>
      </c>
      <c r="I12" s="331"/>
      <c r="J12" s="330">
        <v>25.173872092522984</v>
      </c>
      <c r="K12" s="330">
        <v>9.1520704129762578</v>
      </c>
      <c r="L12" s="330">
        <f t="shared" si="2"/>
        <v>34.325942505499242</v>
      </c>
      <c r="M12" s="236"/>
      <c r="N12" s="328">
        <f t="shared" si="3"/>
        <v>0.4915816338180834</v>
      </c>
      <c r="O12" s="328">
        <f t="shared" si="4"/>
        <v>1.1177962416670573</v>
      </c>
      <c r="P12" s="328"/>
      <c r="Q12" s="328">
        <f t="shared" si="5"/>
        <v>2.6276838243364464</v>
      </c>
      <c r="R12" s="328">
        <f t="shared" si="6"/>
        <v>1.1408136086379805</v>
      </c>
      <c r="S12" s="327"/>
      <c r="T12" s="328">
        <f t="shared" si="7"/>
        <v>1.0338543531010158</v>
      </c>
      <c r="U12" s="328">
        <f t="shared" si="8"/>
        <v>1.1239250003088008</v>
      </c>
    </row>
    <row r="13" spans="1:21" x14ac:dyDescent="0.2">
      <c r="A13" s="329" t="str">
        <f>name!D8</f>
        <v>23 Teaching and other educational professionals</v>
      </c>
      <c r="B13" s="330">
        <v>12.125902614293683</v>
      </c>
      <c r="C13" s="330">
        <v>8.947303779179995</v>
      </c>
      <c r="D13" s="330">
        <f t="shared" si="0"/>
        <v>21.073206393473676</v>
      </c>
      <c r="E13" s="331"/>
      <c r="F13" s="330">
        <v>14.794532513404732</v>
      </c>
      <c r="G13" s="330">
        <v>7.2882127538216164</v>
      </c>
      <c r="H13" s="330">
        <f t="shared" si="1"/>
        <v>22.08274526722635</v>
      </c>
      <c r="I13" s="331"/>
      <c r="J13" s="330">
        <v>17.331814548131153</v>
      </c>
      <c r="K13" s="330">
        <v>8.4725641561284952</v>
      </c>
      <c r="L13" s="330">
        <f t="shared" si="2"/>
        <v>25.804378704259648</v>
      </c>
      <c r="M13" s="236"/>
      <c r="N13" s="328">
        <f t="shared" si="3"/>
        <v>4.0584695364596302</v>
      </c>
      <c r="O13" s="328">
        <f t="shared" si="4"/>
        <v>1.0608280753559018</v>
      </c>
      <c r="P13" s="328"/>
      <c r="Q13" s="328">
        <f t="shared" si="5"/>
        <v>-4.0188891884256339</v>
      </c>
      <c r="R13" s="328">
        <f t="shared" si="6"/>
        <v>1.0088875969727074</v>
      </c>
      <c r="S13" s="327"/>
      <c r="T13" s="328">
        <f t="shared" si="7"/>
        <v>0.94027612040918918</v>
      </c>
      <c r="U13" s="328">
        <f t="shared" si="8"/>
        <v>1.0437268786075649</v>
      </c>
    </row>
    <row r="14" spans="1:21" x14ac:dyDescent="0.2">
      <c r="A14" s="329" t="str">
        <f>name!D9</f>
        <v>24 Business, media and public service professionals</v>
      </c>
      <c r="B14" s="330">
        <v>9.1381082283954846</v>
      </c>
      <c r="C14" s="330">
        <v>10.915253211012727</v>
      </c>
      <c r="D14" s="330">
        <f t="shared" si="0"/>
        <v>20.053361439408214</v>
      </c>
      <c r="E14" s="331"/>
      <c r="F14" s="330">
        <v>12.299812437420103</v>
      </c>
      <c r="G14" s="330">
        <v>12.187562212006219</v>
      </c>
      <c r="H14" s="330">
        <f t="shared" si="1"/>
        <v>24.487374649426322</v>
      </c>
      <c r="I14" s="331"/>
      <c r="J14" s="330">
        <v>15.656093712637396</v>
      </c>
      <c r="K14" s="330">
        <v>14.54266907391554</v>
      </c>
      <c r="L14" s="330">
        <f t="shared" si="2"/>
        <v>30.198762786552937</v>
      </c>
      <c r="M14" s="236"/>
      <c r="N14" s="328">
        <f t="shared" si="3"/>
        <v>6.1227360215540871</v>
      </c>
      <c r="O14" s="328">
        <f t="shared" si="4"/>
        <v>1.6215141484313245</v>
      </c>
      <c r="P14" s="328"/>
      <c r="Q14" s="328">
        <f t="shared" si="5"/>
        <v>2.2295869672043889</v>
      </c>
      <c r="R14" s="328">
        <f t="shared" si="6"/>
        <v>1.1847706746412001</v>
      </c>
      <c r="S14" s="327"/>
      <c r="T14" s="328">
        <f t="shared" si="7"/>
        <v>4.0760997932378418</v>
      </c>
      <c r="U14" s="328">
        <f t="shared" si="8"/>
        <v>1.4074343417149748</v>
      </c>
    </row>
    <row r="15" spans="1:21" x14ac:dyDescent="0.2">
      <c r="A15" s="329" t="str">
        <f>name!D10</f>
        <v>31 Science, engineering and technology associate professionals</v>
      </c>
      <c r="B15" s="330">
        <v>1.7199325212088039</v>
      </c>
      <c r="C15" s="330">
        <v>7.3355241694617623</v>
      </c>
      <c r="D15" s="330">
        <f t="shared" si="0"/>
        <v>9.0554566906705656</v>
      </c>
      <c r="E15" s="331"/>
      <c r="F15" s="330">
        <v>2.0831951289522657</v>
      </c>
      <c r="G15" s="330">
        <v>8.6266453818890092</v>
      </c>
      <c r="H15" s="330">
        <f t="shared" si="1"/>
        <v>10.709840510841275</v>
      </c>
      <c r="I15" s="331"/>
      <c r="J15" s="330">
        <v>2.526427224761481</v>
      </c>
      <c r="K15" s="330">
        <v>6.8404536736621671</v>
      </c>
      <c r="L15" s="330">
        <f t="shared" si="2"/>
        <v>9.3668808984236485</v>
      </c>
      <c r="M15" s="236"/>
      <c r="N15" s="328">
        <f t="shared" si="3"/>
        <v>3.9067374267275357</v>
      </c>
      <c r="O15" s="328">
        <f t="shared" si="4"/>
        <v>1.2943268644856731</v>
      </c>
      <c r="P15" s="328"/>
      <c r="Q15" s="328">
        <f t="shared" si="5"/>
        <v>3.2956799293072603</v>
      </c>
      <c r="R15" s="328">
        <f t="shared" si="6"/>
        <v>-1.5347780864571559</v>
      </c>
      <c r="S15" s="327"/>
      <c r="T15" s="328">
        <f t="shared" si="7"/>
        <v>3.4128552192369099</v>
      </c>
      <c r="U15" s="328">
        <f t="shared" si="8"/>
        <v>-0.88924154174948589</v>
      </c>
    </row>
    <row r="16" spans="1:21" x14ac:dyDescent="0.2">
      <c r="A16" s="329" t="str">
        <f>name!D11</f>
        <v>32 Health and social care associate professionals</v>
      </c>
      <c r="B16" s="330">
        <v>7.419149468361951</v>
      </c>
      <c r="C16" s="330">
        <v>2.2430780111794433</v>
      </c>
      <c r="D16" s="330">
        <f t="shared" si="0"/>
        <v>9.6622274795413947</v>
      </c>
      <c r="E16" s="331"/>
      <c r="F16" s="330">
        <v>8.005883199253784</v>
      </c>
      <c r="G16" s="330">
        <v>2.3972691129580945</v>
      </c>
      <c r="H16" s="330">
        <f t="shared" si="1"/>
        <v>10.403152312211878</v>
      </c>
      <c r="I16" s="331"/>
      <c r="J16" s="330">
        <v>8.8883001094354537</v>
      </c>
      <c r="K16" s="330">
        <v>2.2788064345784065</v>
      </c>
      <c r="L16" s="330">
        <f t="shared" si="2"/>
        <v>11.16710654401386</v>
      </c>
      <c r="M16" s="236"/>
      <c r="N16" s="328">
        <f t="shared" si="3"/>
        <v>1.5338901149162254</v>
      </c>
      <c r="O16" s="328">
        <f t="shared" si="4"/>
        <v>0.69949609910802124</v>
      </c>
      <c r="P16" s="328"/>
      <c r="Q16" s="328">
        <f t="shared" si="5"/>
        <v>1.3385025061774192</v>
      </c>
      <c r="R16" s="328">
        <f t="shared" si="6"/>
        <v>-0.3372859593100519</v>
      </c>
      <c r="S16" s="327"/>
      <c r="T16" s="328">
        <f t="shared" si="7"/>
        <v>1.4886650136358259</v>
      </c>
      <c r="U16" s="328">
        <f t="shared" si="8"/>
        <v>0.47354217872870308</v>
      </c>
    </row>
    <row r="17" spans="1:21" x14ac:dyDescent="0.2">
      <c r="A17" s="329" t="str">
        <f>name!D12</f>
        <v>33 Protective service occupations</v>
      </c>
      <c r="B17" s="330">
        <v>1.5756448262679652</v>
      </c>
      <c r="C17" s="330">
        <v>4.7816311174126795</v>
      </c>
      <c r="D17" s="330">
        <f t="shared" si="0"/>
        <v>6.3572759436806443</v>
      </c>
      <c r="E17" s="331"/>
      <c r="F17" s="330">
        <v>1.9705031822664021</v>
      </c>
      <c r="G17" s="330">
        <v>5.0789899320119778</v>
      </c>
      <c r="H17" s="330">
        <f t="shared" si="1"/>
        <v>7.0494931142783797</v>
      </c>
      <c r="I17" s="331"/>
      <c r="J17" s="330">
        <v>3.2644065465247682</v>
      </c>
      <c r="K17" s="330">
        <v>5.7692885267473732</v>
      </c>
      <c r="L17" s="330">
        <f t="shared" si="2"/>
        <v>9.0336950732721419</v>
      </c>
      <c r="M17" s="236"/>
      <c r="N17" s="328">
        <f t="shared" si="3"/>
        <v>4.5740101795185062</v>
      </c>
      <c r="O17" s="328">
        <f t="shared" si="4"/>
        <v>3.4225258005220915</v>
      </c>
      <c r="P17" s="328"/>
      <c r="Q17" s="328">
        <f t="shared" si="5"/>
        <v>1.2139226158832228</v>
      </c>
      <c r="R17" s="328">
        <f t="shared" si="6"/>
        <v>0.85319485493577929</v>
      </c>
      <c r="S17" s="327"/>
      <c r="T17" s="328">
        <f t="shared" si="7"/>
        <v>2.0886276078930566</v>
      </c>
      <c r="U17" s="328">
        <f t="shared" si="8"/>
        <v>1.6671156181951918</v>
      </c>
    </row>
    <row r="18" spans="1:21" x14ac:dyDescent="0.2">
      <c r="A18" s="329" t="str">
        <f>name!D13</f>
        <v>34 Culture, media and sports occupations</v>
      </c>
      <c r="B18" s="330">
        <v>3.3316947740475733</v>
      </c>
      <c r="C18" s="330">
        <v>2.5649209536208399</v>
      </c>
      <c r="D18" s="330">
        <f t="shared" si="0"/>
        <v>5.8966157276684132</v>
      </c>
      <c r="E18" s="331"/>
      <c r="F18" s="330">
        <v>3.2639034257924968</v>
      </c>
      <c r="G18" s="330">
        <v>2.4569628507640457</v>
      </c>
      <c r="H18" s="330">
        <f t="shared" si="1"/>
        <v>5.7208662765565421</v>
      </c>
      <c r="I18" s="331"/>
      <c r="J18" s="330">
        <v>3.4664837001925366</v>
      </c>
      <c r="K18" s="330">
        <v>2.5179229348509042</v>
      </c>
      <c r="L18" s="330">
        <f t="shared" si="2"/>
        <v>5.9844066350434408</v>
      </c>
      <c r="M18" s="236"/>
      <c r="N18" s="328">
        <f t="shared" si="3"/>
        <v>-0.41030128878136729</v>
      </c>
      <c r="O18" s="328">
        <f t="shared" si="4"/>
        <v>0.40225279561914018</v>
      </c>
      <c r="P18" s="327"/>
      <c r="Q18" s="328">
        <f t="shared" si="5"/>
        <v>-0.85634603273428977</v>
      </c>
      <c r="R18" s="328">
        <f t="shared" si="6"/>
        <v>0.16352259118048718</v>
      </c>
      <c r="S18" s="327"/>
      <c r="T18" s="328">
        <f t="shared" si="7"/>
        <v>-0.60333935358626301</v>
      </c>
      <c r="U18" s="328">
        <f t="shared" si="8"/>
        <v>0.30069753214485573</v>
      </c>
    </row>
    <row r="19" spans="1:21" x14ac:dyDescent="0.2">
      <c r="A19" s="329" t="str">
        <f>name!D14</f>
        <v>35 Business and public service associate professionals</v>
      </c>
      <c r="B19" s="330">
        <v>10.187557716226868</v>
      </c>
      <c r="C19" s="330">
        <v>10.387791366594064</v>
      </c>
      <c r="D19" s="330">
        <f t="shared" si="0"/>
        <v>20.575349082820932</v>
      </c>
      <c r="E19" s="331"/>
      <c r="F19" s="330">
        <v>11.114071675759456</v>
      </c>
      <c r="G19" s="330">
        <v>11.079632343272831</v>
      </c>
      <c r="H19" s="330">
        <f t="shared" si="1"/>
        <v>22.193704019032289</v>
      </c>
      <c r="I19" s="331"/>
      <c r="J19" s="330">
        <v>11.842811060322166</v>
      </c>
      <c r="K19" s="330">
        <v>10.024172579650168</v>
      </c>
      <c r="L19" s="330">
        <f t="shared" si="2"/>
        <v>21.866983639972332</v>
      </c>
      <c r="M19" s="236"/>
      <c r="N19" s="328">
        <f t="shared" si="3"/>
        <v>1.7561395433064675</v>
      </c>
      <c r="O19" s="328">
        <f t="shared" si="4"/>
        <v>0.42429089537916465</v>
      </c>
      <c r="P19" s="327"/>
      <c r="Q19" s="328">
        <f t="shared" si="5"/>
        <v>1.2978962822050022</v>
      </c>
      <c r="R19" s="328">
        <f t="shared" si="6"/>
        <v>-0.66517163842686466</v>
      </c>
      <c r="S19" s="327"/>
      <c r="T19" s="328">
        <f t="shared" si="7"/>
        <v>1.5258222585743386</v>
      </c>
      <c r="U19" s="328">
        <f t="shared" si="8"/>
        <v>-9.8822758130368005E-2</v>
      </c>
    </row>
    <row r="20" spans="1:21" x14ac:dyDescent="0.2">
      <c r="A20" s="329" t="str">
        <f>name!D15</f>
        <v>41 Administrative occupations</v>
      </c>
      <c r="B20" s="330">
        <v>31.984455335470361</v>
      </c>
      <c r="C20" s="330">
        <v>13.596877625623438</v>
      </c>
      <c r="D20" s="330">
        <f t="shared" si="0"/>
        <v>45.5813329610938</v>
      </c>
      <c r="E20" s="331"/>
      <c r="F20" s="330">
        <v>29.548672627150001</v>
      </c>
      <c r="G20" s="330">
        <v>14.604987514178681</v>
      </c>
      <c r="H20" s="330">
        <f t="shared" si="1"/>
        <v>44.153660141328686</v>
      </c>
      <c r="I20" s="331"/>
      <c r="J20" s="330">
        <v>22.925774903006811</v>
      </c>
      <c r="K20" s="330">
        <v>15.071019098243234</v>
      </c>
      <c r="L20" s="330">
        <f t="shared" si="2"/>
        <v>37.996794001250045</v>
      </c>
      <c r="M20" s="236"/>
      <c r="N20" s="328">
        <f t="shared" si="3"/>
        <v>-1.5717409944668748</v>
      </c>
      <c r="O20" s="328">
        <f t="shared" si="4"/>
        <v>-1.6776153381497516</v>
      </c>
      <c r="P20" s="327"/>
      <c r="Q20" s="328">
        <f t="shared" si="5"/>
        <v>1.4407380274356285</v>
      </c>
      <c r="R20" s="328">
        <f t="shared" si="6"/>
        <v>0.20962309408838475</v>
      </c>
      <c r="S20" s="327"/>
      <c r="T20" s="328">
        <f t="shared" si="7"/>
        <v>-0.63442779025503215</v>
      </c>
      <c r="U20" s="328">
        <f t="shared" si="8"/>
        <v>-0.9961653286434724</v>
      </c>
    </row>
    <row r="21" spans="1:21" x14ac:dyDescent="0.2">
      <c r="A21" s="329" t="str">
        <f>name!D16</f>
        <v>42 Secretarial and related occupations</v>
      </c>
      <c r="B21" s="330">
        <v>9.0537193413493053</v>
      </c>
      <c r="C21" s="330">
        <v>0.650573892736936</v>
      </c>
      <c r="D21" s="330">
        <f t="shared" si="0"/>
        <v>9.7042932340862418</v>
      </c>
      <c r="E21" s="331"/>
      <c r="F21" s="330">
        <v>7.8999976054269387</v>
      </c>
      <c r="G21" s="330">
        <v>0.44943806829681276</v>
      </c>
      <c r="H21" s="330">
        <f t="shared" si="1"/>
        <v>8.3494356737237521</v>
      </c>
      <c r="I21" s="331"/>
      <c r="J21" s="330">
        <v>7.0950380212657747</v>
      </c>
      <c r="K21" s="330">
        <v>0.77676399424384424</v>
      </c>
      <c r="L21" s="330">
        <f t="shared" si="2"/>
        <v>7.8718020155096191</v>
      </c>
      <c r="M21" s="236"/>
      <c r="N21" s="328">
        <f t="shared" si="3"/>
        <v>-2.6894367310191902</v>
      </c>
      <c r="O21" s="328">
        <f t="shared" si="4"/>
        <v>-0.71388489508794617</v>
      </c>
      <c r="P21" s="327"/>
      <c r="Q21" s="328">
        <f t="shared" si="5"/>
        <v>-7.1301712322488058</v>
      </c>
      <c r="R21" s="328">
        <f t="shared" si="6"/>
        <v>3.7149308362435463</v>
      </c>
      <c r="S21" s="327"/>
      <c r="T21" s="328">
        <f t="shared" si="7"/>
        <v>-2.9627137766228939</v>
      </c>
      <c r="U21" s="328">
        <f t="shared" si="8"/>
        <v>-0.39194284862599238</v>
      </c>
    </row>
    <row r="22" spans="1:21" x14ac:dyDescent="0.2">
      <c r="A22" s="329" t="str">
        <f>name!D17</f>
        <v>51 Skilled agricultural and related trades</v>
      </c>
      <c r="B22" s="330">
        <v>0.36043171616221981</v>
      </c>
      <c r="C22" s="330">
        <v>4.2836949855344377</v>
      </c>
      <c r="D22" s="330">
        <f t="shared" si="0"/>
        <v>4.6441267016966572</v>
      </c>
      <c r="E22" s="331"/>
      <c r="F22" s="330">
        <v>0.79738697587656127</v>
      </c>
      <c r="G22" s="330">
        <v>3.1163793860498887</v>
      </c>
      <c r="H22" s="330">
        <f t="shared" si="1"/>
        <v>3.91376636192645</v>
      </c>
      <c r="I22" s="331"/>
      <c r="J22" s="330">
        <v>1.0388687298613</v>
      </c>
      <c r="K22" s="330">
        <v>3.3493576756243195</v>
      </c>
      <c r="L22" s="330">
        <f t="shared" si="2"/>
        <v>4.3882264054856197</v>
      </c>
      <c r="M22" s="236"/>
      <c r="N22" s="328">
        <f t="shared" si="3"/>
        <v>17.211231140677441</v>
      </c>
      <c r="O22" s="328">
        <f t="shared" si="4"/>
        <v>1.7792944036472136</v>
      </c>
      <c r="P22" s="327"/>
      <c r="Q22" s="328">
        <f t="shared" si="5"/>
        <v>-6.1646762784509761</v>
      </c>
      <c r="R22" s="328">
        <f t="shared" si="6"/>
        <v>0.48180171011216189</v>
      </c>
      <c r="S22" s="327"/>
      <c r="T22" s="328">
        <f t="shared" si="7"/>
        <v>-3.3641730775179401</v>
      </c>
      <c r="U22" s="328">
        <f t="shared" si="8"/>
        <v>0.76575007290091701</v>
      </c>
    </row>
    <row r="23" spans="1:21" x14ac:dyDescent="0.2">
      <c r="A23" s="329" t="str">
        <f>name!D18</f>
        <v>52 Skilled metal, electrical and electronic trades</v>
      </c>
      <c r="B23" s="330">
        <v>0.21093094312820745</v>
      </c>
      <c r="C23" s="330">
        <v>23.535808416248269</v>
      </c>
      <c r="D23" s="330">
        <f t="shared" si="0"/>
        <v>23.746739359376477</v>
      </c>
      <c r="E23" s="331"/>
      <c r="F23" s="330">
        <v>0.27235920340683756</v>
      </c>
      <c r="G23" s="330">
        <v>19.543006807047067</v>
      </c>
      <c r="H23" s="330">
        <f t="shared" si="1"/>
        <v>19.815366010453904</v>
      </c>
      <c r="I23" s="331"/>
      <c r="J23" s="330">
        <v>0.82961745340667281</v>
      </c>
      <c r="K23" s="330">
        <v>15.915944266502725</v>
      </c>
      <c r="L23" s="330">
        <f t="shared" si="2"/>
        <v>16.745561719909396</v>
      </c>
      <c r="M23" s="236"/>
      <c r="N23" s="328">
        <f t="shared" si="3"/>
        <v>5.2447285132347865</v>
      </c>
      <c r="O23" s="328">
        <f t="shared" si="4"/>
        <v>7.7082711505028101</v>
      </c>
      <c r="P23" s="327"/>
      <c r="Q23" s="328">
        <f t="shared" si="5"/>
        <v>-3.649837241549736</v>
      </c>
      <c r="R23" s="328">
        <f t="shared" si="6"/>
        <v>-1.359317517659997</v>
      </c>
      <c r="S23" s="327"/>
      <c r="T23" s="328">
        <f t="shared" si="7"/>
        <v>-3.5550210541292482</v>
      </c>
      <c r="U23" s="328">
        <f t="shared" si="8"/>
        <v>-1.1158902143306393</v>
      </c>
    </row>
    <row r="24" spans="1:21" x14ac:dyDescent="0.2">
      <c r="A24" s="329" t="str">
        <f>name!D19</f>
        <v>53 Skilled construction and building trades</v>
      </c>
      <c r="B24" s="330">
        <v>0.65622115326037855</v>
      </c>
      <c r="C24" s="330">
        <v>17.418885111691093</v>
      </c>
      <c r="D24" s="330">
        <f t="shared" si="0"/>
        <v>18.075106264951472</v>
      </c>
      <c r="E24" s="331"/>
      <c r="F24" s="330">
        <v>0.45105272819299563</v>
      </c>
      <c r="G24" s="330">
        <v>15.636638571163395</v>
      </c>
      <c r="H24" s="330">
        <f t="shared" si="1"/>
        <v>16.08769129935639</v>
      </c>
      <c r="I24" s="331"/>
      <c r="J24" s="330">
        <v>0.54392173274691369</v>
      </c>
      <c r="K24" s="330">
        <v>13.676851141139826</v>
      </c>
      <c r="L24" s="330">
        <f t="shared" si="2"/>
        <v>14.220772873886739</v>
      </c>
      <c r="M24" s="236"/>
      <c r="N24" s="328">
        <f t="shared" si="3"/>
        <v>-7.2240483866140792</v>
      </c>
      <c r="O24" s="328">
        <f t="shared" si="4"/>
        <v>1.255962560432855</v>
      </c>
      <c r="P24" s="327"/>
      <c r="Q24" s="328">
        <f t="shared" si="5"/>
        <v>-2.1356291100404046</v>
      </c>
      <c r="R24" s="328">
        <f t="shared" si="6"/>
        <v>-0.8887740506131947</v>
      </c>
      <c r="S24" s="327"/>
      <c r="T24" s="328">
        <f t="shared" si="7"/>
        <v>-2.302697428722178</v>
      </c>
      <c r="U24" s="328">
        <f t="shared" si="8"/>
        <v>-0.81896598386120845</v>
      </c>
    </row>
    <row r="25" spans="1:21" x14ac:dyDescent="0.2">
      <c r="A25" s="329" t="str">
        <f>name!D20</f>
        <v>54 Textiles, printing and other skilled trades</v>
      </c>
      <c r="B25" s="330">
        <v>4.2951518560820627</v>
      </c>
      <c r="C25" s="330">
        <v>6.2611576962659647</v>
      </c>
      <c r="D25" s="330">
        <f t="shared" si="0"/>
        <v>10.556309552348027</v>
      </c>
      <c r="E25" s="331"/>
      <c r="F25" s="330">
        <v>3.9278726124115133</v>
      </c>
      <c r="G25" s="330">
        <v>4.5010162651839343</v>
      </c>
      <c r="H25" s="330">
        <f t="shared" si="1"/>
        <v>8.4288888775954476</v>
      </c>
      <c r="I25" s="331"/>
      <c r="J25" s="330">
        <v>3.697260678715574</v>
      </c>
      <c r="K25" s="330">
        <v>4.1246658412074204</v>
      </c>
      <c r="L25" s="330">
        <f t="shared" si="2"/>
        <v>7.8219265199229948</v>
      </c>
      <c r="M25" s="236"/>
      <c r="N25" s="328">
        <f t="shared" si="3"/>
        <v>-1.7718930794967669</v>
      </c>
      <c r="O25" s="328">
        <f t="shared" si="4"/>
        <v>-0.40255935516845254</v>
      </c>
      <c r="P25" s="327"/>
      <c r="Q25" s="328">
        <f t="shared" si="5"/>
        <v>-6.3880724100366937</v>
      </c>
      <c r="R25" s="328">
        <f t="shared" si="6"/>
        <v>-0.58043028783405504</v>
      </c>
      <c r="S25" s="327"/>
      <c r="T25" s="328">
        <f t="shared" si="7"/>
        <v>-4.4013757840393186</v>
      </c>
      <c r="U25" s="328">
        <f t="shared" si="8"/>
        <v>-0.49698807594252825</v>
      </c>
    </row>
    <row r="26" spans="1:21" x14ac:dyDescent="0.2">
      <c r="A26" s="329" t="str">
        <f>name!D21</f>
        <v>61 Caring personal service occupations</v>
      </c>
      <c r="B26" s="330">
        <v>29.378245455737815</v>
      </c>
      <c r="C26" s="330">
        <v>4.2336782685535237</v>
      </c>
      <c r="D26" s="330">
        <f t="shared" si="0"/>
        <v>33.611923724291337</v>
      </c>
      <c r="E26" s="331"/>
      <c r="F26" s="330">
        <v>27.537158642378223</v>
      </c>
      <c r="G26" s="330">
        <v>4.073021279148481</v>
      </c>
      <c r="H26" s="330">
        <f t="shared" si="1"/>
        <v>31.610179921526704</v>
      </c>
      <c r="I26" s="331"/>
      <c r="J26" s="330">
        <v>29.363090618377537</v>
      </c>
      <c r="K26" s="330">
        <v>5.5155253762279699</v>
      </c>
      <c r="L26" s="330">
        <f t="shared" si="2"/>
        <v>34.878615994605511</v>
      </c>
      <c r="M26" s="236"/>
      <c r="N26" s="328">
        <f t="shared" si="3"/>
        <v>-1.2860218321864791</v>
      </c>
      <c r="O26" s="328">
        <f t="shared" si="4"/>
        <v>0.42893161320789464</v>
      </c>
      <c r="P26" s="327"/>
      <c r="Q26" s="328">
        <f t="shared" si="5"/>
        <v>-0.77073705456874864</v>
      </c>
      <c r="R26" s="328">
        <f t="shared" si="6"/>
        <v>2.0417772048893834</v>
      </c>
      <c r="S26" s="327"/>
      <c r="T26" s="328">
        <f t="shared" si="7"/>
        <v>-1.2205236166963784</v>
      </c>
      <c r="U26" s="328">
        <f t="shared" si="8"/>
        <v>0.65812083404137578</v>
      </c>
    </row>
    <row r="27" spans="1:21" x14ac:dyDescent="0.2">
      <c r="A27" s="329" t="str">
        <f>name!D22</f>
        <v>62 Leisure, travel and related personal service occupations</v>
      </c>
      <c r="B27" s="330">
        <v>7.585888151760309</v>
      </c>
      <c r="C27" s="330">
        <v>3.1085815266615908</v>
      </c>
      <c r="D27" s="330">
        <f t="shared" si="0"/>
        <v>10.6944696784219</v>
      </c>
      <c r="E27" s="331"/>
      <c r="F27" s="330">
        <v>7.2364071321420349</v>
      </c>
      <c r="G27" s="330">
        <v>3.3537100397346249</v>
      </c>
      <c r="H27" s="330">
        <f t="shared" si="1"/>
        <v>10.59011717187666</v>
      </c>
      <c r="I27" s="331"/>
      <c r="J27" s="330">
        <v>7.1275756980871705</v>
      </c>
      <c r="K27" s="330">
        <v>3.4842695685751388</v>
      </c>
      <c r="L27" s="330">
        <f t="shared" si="2"/>
        <v>10.611845266662309</v>
      </c>
      <c r="M27" s="236"/>
      <c r="N27" s="328">
        <f t="shared" si="3"/>
        <v>-0.93886227405701739</v>
      </c>
      <c r="O27" s="328">
        <f t="shared" si="4"/>
        <v>-0.10097344375821216</v>
      </c>
      <c r="P27" s="327"/>
      <c r="Q27" s="328">
        <f t="shared" si="5"/>
        <v>1.5295940751038906</v>
      </c>
      <c r="R27" s="328">
        <f t="shared" si="6"/>
        <v>0.25493254652566577</v>
      </c>
      <c r="S27" s="327"/>
      <c r="T27" s="328">
        <f t="shared" si="7"/>
        <v>-0.19591845732614965</v>
      </c>
      <c r="U27" s="328">
        <f t="shared" si="8"/>
        <v>1.3665141931684666E-2</v>
      </c>
    </row>
    <row r="28" spans="1:21" x14ac:dyDescent="0.2">
      <c r="A28" s="329" t="str">
        <f>name!D23</f>
        <v>63 Community and civil enforcement occupations</v>
      </c>
      <c r="B28" s="330">
        <v>0.15641382849896493</v>
      </c>
      <c r="C28" s="330">
        <v>0.42573686870774907</v>
      </c>
      <c r="D28" s="330">
        <f t="shared" si="0"/>
        <v>0.58215069720671397</v>
      </c>
      <c r="E28" s="331"/>
      <c r="F28" s="330">
        <v>0.15689015216012697</v>
      </c>
      <c r="G28" s="330">
        <v>0.48493449544185557</v>
      </c>
      <c r="H28" s="330">
        <f t="shared" si="1"/>
        <v>0.64182464760198255</v>
      </c>
      <c r="I28" s="331"/>
      <c r="J28" s="330">
        <v>0.20317567651264545</v>
      </c>
      <c r="K28" s="330">
        <v>0.3568189480631539</v>
      </c>
      <c r="L28" s="330">
        <f>SUM(J28:K28)</f>
        <v>0.5599946245757994</v>
      </c>
      <c r="M28" s="236"/>
      <c r="N28" s="328">
        <f t="shared" si="3"/>
        <v>6.0831514495984784E-2</v>
      </c>
      <c r="O28" s="328">
        <f t="shared" si="4"/>
        <v>1.7384387271898616</v>
      </c>
      <c r="P28" s="327"/>
      <c r="Q28" s="328">
        <f t="shared" si="5"/>
        <v>2.6380431447171615</v>
      </c>
      <c r="R28" s="328">
        <f t="shared" si="6"/>
        <v>-2.0244623605908063</v>
      </c>
      <c r="S28" s="327"/>
      <c r="T28" s="328">
        <f t="shared" si="7"/>
        <v>1.9708862402542993</v>
      </c>
      <c r="U28" s="328">
        <f t="shared" si="8"/>
        <v>-0.90513177589852667</v>
      </c>
    </row>
    <row r="29" spans="1:21" x14ac:dyDescent="0.2">
      <c r="A29" s="329" t="str">
        <f>name!D24</f>
        <v>71 Sales occupations</v>
      </c>
      <c r="B29" s="330">
        <v>33.226410566924891</v>
      </c>
      <c r="C29" s="330">
        <v>14.678591553434686</v>
      </c>
      <c r="D29" s="330">
        <f t="shared" si="0"/>
        <v>47.905002120359576</v>
      </c>
      <c r="E29" s="331"/>
      <c r="F29" s="330">
        <v>29.060605753942106</v>
      </c>
      <c r="G29" s="330">
        <v>13.617463359659922</v>
      </c>
      <c r="H29" s="330">
        <f t="shared" si="1"/>
        <v>42.678069113602028</v>
      </c>
      <c r="I29" s="331"/>
      <c r="J29" s="330">
        <v>25.963967760605421</v>
      </c>
      <c r="K29" s="330">
        <v>12.78662373081189</v>
      </c>
      <c r="L29" s="330">
        <f t="shared" si="2"/>
        <v>38.75059149141731</v>
      </c>
      <c r="M29" s="236"/>
      <c r="N29" s="328">
        <f t="shared" si="3"/>
        <v>-2.6436581218186039</v>
      </c>
      <c r="O29" s="328">
        <f t="shared" si="4"/>
        <v>-0.74834439745794512</v>
      </c>
      <c r="P29" s="327"/>
      <c r="Q29" s="328">
        <f t="shared" si="5"/>
        <v>-1.489535724483293</v>
      </c>
      <c r="R29" s="328">
        <f t="shared" si="6"/>
        <v>-0.41881010815701947</v>
      </c>
      <c r="S29" s="327"/>
      <c r="T29" s="328">
        <f t="shared" si="7"/>
        <v>-2.2842027485898031</v>
      </c>
      <c r="U29" s="328">
        <f t="shared" si="8"/>
        <v>-0.64152779647697056</v>
      </c>
    </row>
    <row r="30" spans="1:21" x14ac:dyDescent="0.2">
      <c r="A30" s="329" t="str">
        <f>name!D25</f>
        <v>72 Customer service occupations</v>
      </c>
      <c r="B30" s="330">
        <v>5.0503681988379601</v>
      </c>
      <c r="C30" s="330">
        <v>3.22388007446922</v>
      </c>
      <c r="D30" s="330">
        <f t="shared" si="0"/>
        <v>8.2742482733071796</v>
      </c>
      <c r="E30" s="331"/>
      <c r="F30" s="330">
        <v>5.3261536824900828</v>
      </c>
      <c r="G30" s="330">
        <v>3.5640384270467584</v>
      </c>
      <c r="H30" s="330">
        <f t="shared" si="1"/>
        <v>8.8901921095368408</v>
      </c>
      <c r="I30" s="331"/>
      <c r="J30" s="330">
        <v>7.3004825123255657</v>
      </c>
      <c r="K30" s="330">
        <v>5.8641553041922387</v>
      </c>
      <c r="L30" s="330">
        <f t="shared" si="2"/>
        <v>13.164637816517804</v>
      </c>
      <c r="M30" s="236"/>
      <c r="N30" s="328">
        <f t="shared" si="3"/>
        <v>1.0690376228206899</v>
      </c>
      <c r="O30" s="328">
        <f t="shared" si="4"/>
        <v>2.1243232099924736</v>
      </c>
      <c r="P30" s="327"/>
      <c r="Q30" s="328">
        <f t="shared" si="5"/>
        <v>2.0264322130052026</v>
      </c>
      <c r="R30" s="328">
        <f t="shared" si="6"/>
        <v>3.3754799828926263</v>
      </c>
      <c r="S30" s="327"/>
      <c r="T30" s="328">
        <f t="shared" si="7"/>
        <v>1.4463718773534584</v>
      </c>
      <c r="U30" s="328">
        <f t="shared" si="8"/>
        <v>2.6517879076727313</v>
      </c>
    </row>
    <row r="31" spans="1:21" x14ac:dyDescent="0.2">
      <c r="A31" s="329" t="str">
        <f>name!D26</f>
        <v>81 Process, plant and machine operatives</v>
      </c>
      <c r="B31" s="330">
        <v>3.5733345161424328</v>
      </c>
      <c r="C31" s="330">
        <v>16.923765414781563</v>
      </c>
      <c r="D31" s="330">
        <f t="shared" si="0"/>
        <v>20.497099930923994</v>
      </c>
      <c r="E31" s="331"/>
      <c r="F31" s="330">
        <v>2.9218344657276933</v>
      </c>
      <c r="G31" s="330">
        <v>13.571436767463242</v>
      </c>
      <c r="H31" s="330">
        <f t="shared" si="1"/>
        <v>16.493271233190935</v>
      </c>
      <c r="I31" s="331"/>
      <c r="J31" s="330">
        <v>3.183090811234909</v>
      </c>
      <c r="K31" s="330">
        <v>15.045739385707581</v>
      </c>
      <c r="L31" s="330">
        <f t="shared" si="2"/>
        <v>18.228830196942489</v>
      </c>
      <c r="M31" s="236"/>
      <c r="N31" s="328">
        <f t="shared" si="3"/>
        <v>-3.9457939439225709</v>
      </c>
      <c r="O31" s="328">
        <f t="shared" si="4"/>
        <v>0.57257308444402799</v>
      </c>
      <c r="P31" s="327"/>
      <c r="Q31" s="328">
        <f t="shared" si="5"/>
        <v>-4.3189866720904639</v>
      </c>
      <c r="R31" s="328">
        <f t="shared" si="6"/>
        <v>0.68988553745348291</v>
      </c>
      <c r="S31" s="327"/>
      <c r="T31" s="328">
        <f t="shared" si="7"/>
        <v>-4.253506799318707</v>
      </c>
      <c r="U31" s="328">
        <f t="shared" si="8"/>
        <v>0.66924231029923398</v>
      </c>
    </row>
    <row r="32" spans="1:21" x14ac:dyDescent="0.2">
      <c r="A32" s="329" t="str">
        <f>name!D27</f>
        <v>82 Transport and mobile machine drivers and operatives</v>
      </c>
      <c r="B32" s="330">
        <v>0.61264936718818985</v>
      </c>
      <c r="C32" s="330">
        <v>17.165911255237084</v>
      </c>
      <c r="D32" s="330">
        <f t="shared" si="0"/>
        <v>17.778560622425275</v>
      </c>
      <c r="E32" s="331"/>
      <c r="F32" s="330">
        <v>0.5006701294506658</v>
      </c>
      <c r="G32" s="330">
        <v>18.585249327138524</v>
      </c>
      <c r="H32" s="330">
        <f t="shared" si="1"/>
        <v>19.085919456589188</v>
      </c>
      <c r="I32" s="331"/>
      <c r="J32" s="330">
        <v>0.75400368668928197</v>
      </c>
      <c r="K32" s="330">
        <v>17.148059896462854</v>
      </c>
      <c r="L32" s="330">
        <f t="shared" si="2"/>
        <v>17.902063583152135</v>
      </c>
      <c r="M32" s="236"/>
      <c r="N32" s="328">
        <f t="shared" si="3"/>
        <v>-3.9565087736799898</v>
      </c>
      <c r="O32" s="328">
        <f t="shared" si="4"/>
        <v>2.7672619887544103</v>
      </c>
      <c r="P32" s="327"/>
      <c r="Q32" s="328">
        <f t="shared" si="5"/>
        <v>1.6015435168425851</v>
      </c>
      <c r="R32" s="328">
        <f t="shared" si="6"/>
        <v>-0.53511763409389568</v>
      </c>
      <c r="S32" s="327"/>
      <c r="T32" s="328">
        <f t="shared" si="7"/>
        <v>1.4292695650715448</v>
      </c>
      <c r="U32" s="328">
        <f t="shared" si="8"/>
        <v>-0.42598922609479173</v>
      </c>
    </row>
    <row r="33" spans="1:21" x14ac:dyDescent="0.2">
      <c r="A33" s="329" t="str">
        <f>name!D28</f>
        <v>91 Elementary trades and related occupations</v>
      </c>
      <c r="B33" s="330">
        <v>1.8783995056376899</v>
      </c>
      <c r="C33" s="330">
        <v>6.8295019132610335</v>
      </c>
      <c r="D33" s="330">
        <f t="shared" si="0"/>
        <v>8.7079014188987234</v>
      </c>
      <c r="E33" s="331"/>
      <c r="F33" s="330">
        <v>1.1521072897941402</v>
      </c>
      <c r="G33" s="330">
        <v>5.5425480168031349</v>
      </c>
      <c r="H33" s="330">
        <f t="shared" si="1"/>
        <v>6.6946553065972747</v>
      </c>
      <c r="I33" s="331"/>
      <c r="J33" s="330">
        <v>0.86168649676470543</v>
      </c>
      <c r="K33" s="330">
        <v>4.0194584821412009</v>
      </c>
      <c r="L33" s="330">
        <f t="shared" si="2"/>
        <v>4.8811449789059065</v>
      </c>
      <c r="M33" s="236"/>
      <c r="N33" s="328">
        <f t="shared" si="3"/>
        <v>-9.3138443290503918</v>
      </c>
      <c r="O33" s="328">
        <f t="shared" si="4"/>
        <v>-1.9177490496468996</v>
      </c>
      <c r="P33" s="327"/>
      <c r="Q33" s="328">
        <f t="shared" si="5"/>
        <v>-4.0899567927629388</v>
      </c>
      <c r="R33" s="328">
        <f t="shared" si="6"/>
        <v>-2.1192686837664954</v>
      </c>
      <c r="S33" s="327"/>
      <c r="T33" s="328">
        <f t="shared" si="7"/>
        <v>-5.1225631721883431</v>
      </c>
      <c r="U33" s="328">
        <f t="shared" si="8"/>
        <v>-2.084172380804461</v>
      </c>
    </row>
    <row r="34" spans="1:21" x14ac:dyDescent="0.2">
      <c r="A34" s="329" t="str">
        <f>name!D29</f>
        <v>92 Elementary administration and service occupations</v>
      </c>
      <c r="B34" s="330">
        <v>26.74062690992416</v>
      </c>
      <c r="C34" s="330">
        <v>24.932701028718775</v>
      </c>
      <c r="D34" s="330">
        <f t="shared" ref="D34" si="9">SUM(B34:C34)</f>
        <v>51.673327938642934</v>
      </c>
      <c r="E34" s="331"/>
      <c r="F34" s="330">
        <v>21.959830386127887</v>
      </c>
      <c r="G34" s="330">
        <v>24.143466372823351</v>
      </c>
      <c r="H34" s="330">
        <f t="shared" ref="H34" si="10">SUM(F34:G34)</f>
        <v>46.103296758951238</v>
      </c>
      <c r="I34" s="331"/>
      <c r="J34" s="330">
        <v>20.917293614545709</v>
      </c>
      <c r="K34" s="330">
        <v>23.925787157368614</v>
      </c>
      <c r="L34" s="330">
        <f t="shared" ref="L34" si="11">SUM(J34:K34)</f>
        <v>44.843080771914323</v>
      </c>
      <c r="M34" s="236"/>
      <c r="N34" s="328">
        <f t="shared" si="3"/>
        <v>-3.8627977407781122</v>
      </c>
      <c r="O34" s="328">
        <f t="shared" si="4"/>
        <v>-0.32373238867221543</v>
      </c>
      <c r="P34" s="327"/>
      <c r="Q34" s="328">
        <f t="shared" si="5"/>
        <v>-0.64126379629045882</v>
      </c>
      <c r="R34" s="328">
        <f t="shared" si="6"/>
        <v>-6.036152236180703E-2</v>
      </c>
      <c r="S34" s="327"/>
      <c r="T34" s="328">
        <f t="shared" si="7"/>
        <v>-2.2553243271524193</v>
      </c>
      <c r="U34" s="328">
        <f t="shared" si="8"/>
        <v>-0.18459713568840241</v>
      </c>
    </row>
    <row r="35" spans="1:21" x14ac:dyDescent="0.2">
      <c r="A35" s="329"/>
      <c r="B35" s="330"/>
      <c r="C35" s="330"/>
      <c r="D35" s="330"/>
      <c r="E35" s="331"/>
      <c r="F35" s="330"/>
      <c r="G35" s="330"/>
      <c r="H35" s="330"/>
      <c r="I35" s="331"/>
      <c r="J35" s="330"/>
      <c r="K35" s="330"/>
      <c r="L35" s="330"/>
      <c r="M35" s="236"/>
      <c r="N35" s="328"/>
      <c r="O35" s="328"/>
      <c r="P35" s="327"/>
      <c r="Q35" s="327"/>
      <c r="R35" s="327"/>
      <c r="S35" s="327"/>
      <c r="T35" s="327"/>
      <c r="U35" s="327"/>
    </row>
    <row r="36" spans="1:21" x14ac:dyDescent="0.2">
      <c r="A36" s="332" t="str">
        <f>name!D3</f>
        <v>All occupations</v>
      </c>
      <c r="B36" s="333">
        <f>SUM(B9:B34)</f>
        <v>236.76642675820045</v>
      </c>
      <c r="C36" s="333">
        <f t="shared" ref="C36:D36" si="12">SUM(C9:C34)</f>
        <v>252.94457324179956</v>
      </c>
      <c r="D36" s="333">
        <f t="shared" si="12"/>
        <v>489.71100000000001</v>
      </c>
      <c r="E36" s="333"/>
      <c r="F36" s="333">
        <f>SUM(F9:F34)</f>
        <v>232.89529588495495</v>
      </c>
      <c r="G36" s="333">
        <f t="shared" ref="G36:H36" si="13">SUM(G9:G34)</f>
        <v>246.03070411504518</v>
      </c>
      <c r="H36" s="333">
        <f t="shared" si="13"/>
        <v>478.9260000000001</v>
      </c>
      <c r="I36" s="333"/>
      <c r="J36" s="333">
        <f>SUM(J9:J34)</f>
        <v>244.20509469645674</v>
      </c>
      <c r="K36" s="333">
        <f t="shared" ref="K36:L36" si="14">SUM(K9:K34)</f>
        <v>248.57290530354337</v>
      </c>
      <c r="L36" s="333">
        <f t="shared" si="14"/>
        <v>492.77800000000019</v>
      </c>
      <c r="M36" s="258"/>
      <c r="N36" s="334">
        <f t="shared" si="3"/>
        <v>-0.32915978512056965</v>
      </c>
      <c r="O36" s="334">
        <f>IF(F36&gt;0,(EXP(LN(J36/F36)/($J$6-$F$6))-1)*100,0)</f>
        <v>0.31662985390408238</v>
      </c>
      <c r="P36" s="335"/>
      <c r="Q36" s="334">
        <f t="shared" ref="Q36" si="15">IF(C36&gt;0,(EXP(LN(G36/C36)/($F$6-$B$6))-1)*100,0)</f>
        <v>-0.55274759788334071</v>
      </c>
      <c r="R36" s="334">
        <f t="shared" ref="R36" si="16">IF(G36&gt;0,(EXP(LN(K36/G36)/($J$6-$F$6))-1)*100,0)</f>
        <v>6.8555771349854133E-2</v>
      </c>
      <c r="S36" s="335"/>
      <c r="T36" s="334">
        <f t="shared" ref="T36" si="17">IF(D36&gt;0,(EXP(LN(H36/D36)/($F$6-$B$6))-1)*100,0)</f>
        <v>-0.44439610986766187</v>
      </c>
      <c r="U36" s="334">
        <f t="shared" ref="U36" si="18">IF(H36&gt;0,(EXP(LN(L36/H36)/($J$6-$F$6))-1)*100,0)</f>
        <v>0.1902652511108327</v>
      </c>
    </row>
    <row r="37" spans="1:21" x14ac:dyDescent="0.2">
      <c r="A37" s="237"/>
      <c r="B37" s="238"/>
      <c r="C37" s="238"/>
      <c r="D37" s="238"/>
      <c r="E37" s="238"/>
      <c r="F37" s="238"/>
      <c r="G37" s="238"/>
      <c r="H37" s="238"/>
      <c r="I37" s="238"/>
      <c r="J37" s="238"/>
      <c r="K37" s="238"/>
      <c r="L37" s="239"/>
      <c r="M37" s="236"/>
    </row>
    <row r="38" spans="1:21" x14ac:dyDescent="0.2">
      <c r="A38" s="237"/>
      <c r="B38" s="237"/>
      <c r="C38" s="237"/>
      <c r="D38" s="237"/>
      <c r="E38" s="237"/>
      <c r="F38" s="237"/>
      <c r="G38" s="237"/>
      <c r="H38" s="237"/>
      <c r="I38" s="237"/>
      <c r="J38" s="237"/>
      <c r="K38" s="237"/>
      <c r="L38" s="284"/>
      <c r="M38" s="236"/>
    </row>
    <row r="39" spans="1:21" x14ac:dyDescent="0.2">
      <c r="A39" s="258"/>
      <c r="B39" s="241"/>
      <c r="C39" s="241"/>
      <c r="D39" s="241"/>
      <c r="E39" s="241"/>
      <c r="F39" s="241"/>
      <c r="G39" s="241"/>
      <c r="H39" s="241"/>
      <c r="I39" s="241"/>
      <c r="J39" s="241"/>
      <c r="K39" s="241"/>
      <c r="L39" s="236"/>
      <c r="M39" s="236"/>
    </row>
    <row r="40" spans="1:21" x14ac:dyDescent="0.2">
      <c r="A40" s="241"/>
      <c r="B40" s="375"/>
      <c r="C40" s="375"/>
      <c r="D40" s="375"/>
      <c r="E40" s="253"/>
      <c r="F40" s="375"/>
      <c r="G40" s="375"/>
      <c r="H40" s="375"/>
      <c r="I40" s="253"/>
      <c r="J40" s="375"/>
      <c r="K40" s="375"/>
      <c r="L40" s="375"/>
      <c r="M40" s="236"/>
    </row>
    <row r="41" spans="1:21" x14ac:dyDescent="0.2">
      <c r="A41" s="258"/>
      <c r="B41" s="259"/>
      <c r="C41" s="259"/>
      <c r="D41" s="259"/>
      <c r="E41" s="259"/>
      <c r="F41" s="259"/>
      <c r="G41" s="259"/>
      <c r="H41" s="259"/>
      <c r="I41" s="259"/>
      <c r="J41" s="259"/>
      <c r="K41" s="259"/>
      <c r="L41" s="259"/>
      <c r="M41" s="236"/>
    </row>
    <row r="42" spans="1:21" x14ac:dyDescent="0.2">
      <c r="A42" s="258"/>
      <c r="B42" s="259"/>
      <c r="C42" s="259"/>
      <c r="D42" s="259"/>
      <c r="E42" s="259"/>
      <c r="F42" s="259"/>
      <c r="G42" s="259"/>
      <c r="H42" s="259"/>
      <c r="I42" s="259"/>
      <c r="J42" s="259"/>
      <c r="K42" s="259"/>
      <c r="L42" s="259"/>
      <c r="M42" s="236"/>
    </row>
    <row r="43" spans="1:21" x14ac:dyDescent="0.2">
      <c r="A43" s="237"/>
      <c r="B43" s="322"/>
      <c r="C43" s="322"/>
      <c r="D43" s="322"/>
      <c r="E43" s="323"/>
      <c r="F43" s="322"/>
      <c r="G43" s="322"/>
      <c r="H43" s="322"/>
      <c r="I43" s="323"/>
      <c r="J43" s="322"/>
      <c r="K43" s="322"/>
      <c r="L43" s="322"/>
      <c r="M43" s="236"/>
    </row>
    <row r="44" spans="1:21" x14ac:dyDescent="0.2">
      <c r="A44" s="237"/>
      <c r="B44" s="322"/>
      <c r="C44" s="322"/>
      <c r="D44" s="322"/>
      <c r="E44" s="323"/>
      <c r="F44" s="322"/>
      <c r="G44" s="322"/>
      <c r="H44" s="322"/>
      <c r="I44" s="323"/>
      <c r="J44" s="322"/>
      <c r="K44" s="322"/>
      <c r="L44" s="322"/>
      <c r="M44" s="236"/>
    </row>
    <row r="45" spans="1:21" x14ac:dyDescent="0.2">
      <c r="A45" s="237"/>
      <c r="B45" s="322"/>
      <c r="C45" s="322"/>
      <c r="D45" s="322"/>
      <c r="E45" s="323"/>
      <c r="F45" s="322"/>
      <c r="G45" s="322"/>
      <c r="H45" s="322"/>
      <c r="I45" s="323"/>
      <c r="J45" s="322"/>
      <c r="K45" s="322"/>
      <c r="L45" s="322"/>
      <c r="M45" s="236"/>
    </row>
    <row r="46" spans="1:21" x14ac:dyDescent="0.2">
      <c r="A46" s="237"/>
      <c r="B46" s="322"/>
      <c r="C46" s="322"/>
      <c r="D46" s="322"/>
      <c r="E46" s="323"/>
      <c r="F46" s="322"/>
      <c r="G46" s="322"/>
      <c r="H46" s="322"/>
      <c r="I46" s="323"/>
      <c r="J46" s="322"/>
      <c r="K46" s="322"/>
      <c r="L46" s="322"/>
      <c r="M46" s="236"/>
    </row>
    <row r="47" spans="1:21" x14ac:dyDescent="0.2">
      <c r="A47" s="237"/>
      <c r="B47" s="322"/>
      <c r="C47" s="322"/>
      <c r="D47" s="322"/>
      <c r="E47" s="323"/>
      <c r="F47" s="322"/>
      <c r="G47" s="322"/>
      <c r="H47" s="322"/>
      <c r="I47" s="323"/>
      <c r="J47" s="322"/>
      <c r="K47" s="322"/>
      <c r="L47" s="322"/>
      <c r="M47" s="236"/>
    </row>
    <row r="48" spans="1:21" x14ac:dyDescent="0.2">
      <c r="A48" s="237"/>
      <c r="B48" s="322"/>
      <c r="C48" s="322"/>
      <c r="D48" s="322"/>
      <c r="E48" s="323"/>
      <c r="F48" s="322"/>
      <c r="G48" s="322"/>
      <c r="H48" s="322"/>
      <c r="I48" s="323"/>
      <c r="J48" s="322"/>
      <c r="K48" s="322"/>
      <c r="L48" s="322"/>
      <c r="M48" s="236"/>
    </row>
    <row r="49" spans="1:13" x14ac:dyDescent="0.2">
      <c r="A49" s="237"/>
      <c r="B49" s="322"/>
      <c r="C49" s="322"/>
      <c r="D49" s="322"/>
      <c r="E49" s="323"/>
      <c r="F49" s="322"/>
      <c r="G49" s="322"/>
      <c r="H49" s="322"/>
      <c r="I49" s="323"/>
      <c r="J49" s="322"/>
      <c r="K49" s="322"/>
      <c r="L49" s="322"/>
      <c r="M49" s="236"/>
    </row>
    <row r="50" spans="1:13" x14ac:dyDescent="0.2">
      <c r="A50" s="237"/>
      <c r="B50" s="322"/>
      <c r="C50" s="322"/>
      <c r="D50" s="322"/>
      <c r="E50" s="323"/>
      <c r="F50" s="322"/>
      <c r="G50" s="322"/>
      <c r="H50" s="322"/>
      <c r="I50" s="323"/>
      <c r="J50" s="322"/>
      <c r="K50" s="322"/>
      <c r="L50" s="322"/>
      <c r="M50" s="236"/>
    </row>
    <row r="51" spans="1:13" x14ac:dyDescent="0.2">
      <c r="A51" s="237"/>
      <c r="B51" s="322"/>
      <c r="C51" s="322"/>
      <c r="D51" s="322"/>
      <c r="E51" s="323"/>
      <c r="F51" s="322"/>
      <c r="G51" s="322"/>
      <c r="H51" s="322"/>
      <c r="I51" s="323"/>
      <c r="J51" s="322"/>
      <c r="K51" s="322"/>
      <c r="L51" s="322"/>
      <c r="M51" s="236"/>
    </row>
    <row r="52" spans="1:13" x14ac:dyDescent="0.2">
      <c r="A52" s="237"/>
      <c r="B52" s="322"/>
      <c r="C52" s="322"/>
      <c r="D52" s="322"/>
      <c r="E52" s="323"/>
      <c r="F52" s="322"/>
      <c r="G52" s="322"/>
      <c r="H52" s="322"/>
      <c r="I52" s="323"/>
      <c r="J52" s="322"/>
      <c r="K52" s="322"/>
      <c r="L52" s="322"/>
      <c r="M52" s="236"/>
    </row>
    <row r="53" spans="1:13" x14ac:dyDescent="0.2">
      <c r="A53" s="237"/>
      <c r="B53" s="323"/>
      <c r="C53" s="323"/>
      <c r="D53" s="323"/>
      <c r="E53" s="323"/>
      <c r="F53" s="323"/>
      <c r="G53" s="323"/>
      <c r="H53" s="323"/>
      <c r="I53" s="323"/>
      <c r="J53" s="323"/>
      <c r="K53" s="323"/>
      <c r="L53" s="323"/>
      <c r="M53" s="236"/>
    </row>
    <row r="54" spans="1:13" x14ac:dyDescent="0.2">
      <c r="A54" s="237"/>
      <c r="B54" s="237"/>
      <c r="C54" s="237"/>
      <c r="D54" s="237"/>
      <c r="E54" s="237"/>
      <c r="F54" s="237"/>
      <c r="G54" s="237"/>
      <c r="H54" s="237"/>
      <c r="I54" s="237"/>
      <c r="J54" s="237"/>
      <c r="K54" s="237"/>
      <c r="L54" s="240"/>
      <c r="M54" s="236"/>
    </row>
    <row r="55" spans="1:13" x14ac:dyDescent="0.2">
      <c r="A55" s="237"/>
      <c r="B55" s="237"/>
      <c r="C55" s="237"/>
      <c r="D55" s="237"/>
      <c r="E55" s="237"/>
      <c r="F55" s="237"/>
      <c r="G55" s="237"/>
      <c r="H55" s="237"/>
      <c r="I55" s="237"/>
      <c r="J55" s="237"/>
      <c r="K55" s="237"/>
      <c r="L55" s="284"/>
      <c r="M55" s="236"/>
    </row>
    <row r="56" spans="1:13" x14ac:dyDescent="0.2">
      <c r="A56" s="258"/>
      <c r="B56" s="241"/>
      <c r="C56" s="241"/>
      <c r="D56" s="241"/>
      <c r="E56" s="241"/>
      <c r="F56" s="241"/>
      <c r="G56" s="241"/>
      <c r="H56" s="241"/>
      <c r="I56" s="241"/>
      <c r="J56" s="241"/>
      <c r="K56" s="241"/>
      <c r="L56" s="236"/>
      <c r="M56" s="236"/>
    </row>
    <row r="57" spans="1:13" x14ac:dyDescent="0.2">
      <c r="A57" s="241"/>
      <c r="B57" s="375"/>
      <c r="C57" s="375"/>
      <c r="D57" s="375"/>
      <c r="E57" s="253"/>
      <c r="F57" s="375"/>
      <c r="G57" s="375"/>
      <c r="H57" s="375"/>
      <c r="I57" s="253"/>
      <c r="J57" s="375"/>
      <c r="K57" s="375"/>
      <c r="L57" s="375"/>
      <c r="M57" s="236"/>
    </row>
    <row r="58" spans="1:13" x14ac:dyDescent="0.2">
      <c r="A58" s="258"/>
      <c r="B58" s="259"/>
      <c r="C58" s="259"/>
      <c r="D58" s="259"/>
      <c r="E58" s="259"/>
      <c r="F58" s="259"/>
      <c r="G58" s="259"/>
      <c r="H58" s="259"/>
      <c r="I58" s="259"/>
      <c r="J58" s="259"/>
      <c r="K58" s="259"/>
      <c r="L58" s="259"/>
      <c r="M58" s="236"/>
    </row>
    <row r="59" spans="1:13" x14ac:dyDescent="0.2">
      <c r="A59" s="258"/>
      <c r="B59" s="259"/>
      <c r="C59" s="259"/>
      <c r="D59" s="259"/>
      <c r="E59" s="259"/>
      <c r="F59" s="259"/>
      <c r="G59" s="259"/>
      <c r="H59" s="259"/>
      <c r="I59" s="259"/>
      <c r="J59" s="259"/>
      <c r="K59" s="259"/>
      <c r="L59" s="259"/>
      <c r="M59" s="236"/>
    </row>
    <row r="60" spans="1:13" x14ac:dyDescent="0.2">
      <c r="A60" s="237"/>
      <c r="B60" s="302"/>
      <c r="C60" s="302"/>
      <c r="D60" s="302"/>
      <c r="E60" s="303"/>
      <c r="F60" s="302"/>
      <c r="G60" s="302"/>
      <c r="H60" s="302"/>
      <c r="I60" s="303"/>
      <c r="J60" s="302"/>
      <c r="K60" s="302"/>
      <c r="L60" s="302"/>
      <c r="M60" s="236"/>
    </row>
    <row r="61" spans="1:13" x14ac:dyDescent="0.2">
      <c r="A61" s="237"/>
      <c r="B61" s="302"/>
      <c r="C61" s="302"/>
      <c r="D61" s="302"/>
      <c r="E61" s="303"/>
      <c r="F61" s="302"/>
      <c r="G61" s="302"/>
      <c r="H61" s="302"/>
      <c r="I61" s="303"/>
      <c r="J61" s="302"/>
      <c r="K61" s="302"/>
      <c r="L61" s="302"/>
      <c r="M61" s="236"/>
    </row>
    <row r="62" spans="1:13" x14ac:dyDescent="0.2">
      <c r="A62" s="237"/>
      <c r="B62" s="302"/>
      <c r="C62" s="302"/>
      <c r="D62" s="302"/>
      <c r="E62" s="303"/>
      <c r="F62" s="302"/>
      <c r="G62" s="302"/>
      <c r="H62" s="302"/>
      <c r="I62" s="303"/>
      <c r="J62" s="302"/>
      <c r="K62" s="302"/>
      <c r="L62" s="302"/>
      <c r="M62" s="236"/>
    </row>
    <row r="63" spans="1:13" x14ac:dyDescent="0.2">
      <c r="A63" s="237"/>
      <c r="B63" s="302"/>
      <c r="C63" s="302"/>
      <c r="D63" s="302"/>
      <c r="E63" s="303"/>
      <c r="F63" s="302"/>
      <c r="G63" s="302"/>
      <c r="H63" s="302"/>
      <c r="I63" s="303"/>
      <c r="J63" s="302"/>
      <c r="K63" s="302"/>
      <c r="L63" s="302"/>
      <c r="M63" s="236"/>
    </row>
    <row r="64" spans="1:13" x14ac:dyDescent="0.2">
      <c r="A64" s="237"/>
      <c r="B64" s="302"/>
      <c r="C64" s="302"/>
      <c r="D64" s="302"/>
      <c r="E64" s="303"/>
      <c r="F64" s="302"/>
      <c r="G64" s="302"/>
      <c r="H64" s="302"/>
      <c r="I64" s="303"/>
      <c r="J64" s="302"/>
      <c r="K64" s="302"/>
      <c r="L64" s="302"/>
      <c r="M64" s="236"/>
    </row>
    <row r="65" spans="1:13" x14ac:dyDescent="0.2">
      <c r="A65" s="237"/>
      <c r="B65" s="302"/>
      <c r="C65" s="302"/>
      <c r="D65" s="302"/>
      <c r="E65" s="303"/>
      <c r="F65" s="302"/>
      <c r="G65" s="302"/>
      <c r="H65" s="302"/>
      <c r="I65" s="303"/>
      <c r="J65" s="302"/>
      <c r="K65" s="302"/>
      <c r="L65" s="302"/>
      <c r="M65" s="236"/>
    </row>
    <row r="66" spans="1:13" x14ac:dyDescent="0.2">
      <c r="A66" s="237"/>
      <c r="B66" s="302"/>
      <c r="C66" s="302"/>
      <c r="D66" s="302"/>
      <c r="E66" s="303"/>
      <c r="F66" s="302"/>
      <c r="G66" s="302"/>
      <c r="H66" s="302"/>
      <c r="I66" s="303"/>
      <c r="J66" s="302"/>
      <c r="K66" s="302"/>
      <c r="L66" s="302"/>
      <c r="M66" s="236"/>
    </row>
    <row r="67" spans="1:13" x14ac:dyDescent="0.2">
      <c r="A67" s="237"/>
      <c r="B67" s="302"/>
      <c r="C67" s="302"/>
      <c r="D67" s="302"/>
      <c r="E67" s="303"/>
      <c r="F67" s="302"/>
      <c r="G67" s="302"/>
      <c r="H67" s="302"/>
      <c r="I67" s="303"/>
      <c r="J67" s="302"/>
      <c r="K67" s="302"/>
      <c r="L67" s="302"/>
      <c r="M67" s="236"/>
    </row>
    <row r="68" spans="1:13" x14ac:dyDescent="0.2">
      <c r="A68" s="237"/>
      <c r="B68" s="302"/>
      <c r="C68" s="302"/>
      <c r="D68" s="302"/>
      <c r="E68" s="303"/>
      <c r="F68" s="302"/>
      <c r="G68" s="302"/>
      <c r="H68" s="302"/>
      <c r="I68" s="303"/>
      <c r="J68" s="302"/>
      <c r="K68" s="302"/>
      <c r="L68" s="302"/>
      <c r="M68" s="236"/>
    </row>
    <row r="69" spans="1:13" x14ac:dyDescent="0.2">
      <c r="A69" s="237"/>
      <c r="B69" s="302"/>
      <c r="C69" s="302"/>
      <c r="D69" s="302"/>
      <c r="E69" s="303"/>
      <c r="F69" s="302"/>
      <c r="G69" s="302"/>
      <c r="H69" s="302"/>
      <c r="I69" s="303"/>
      <c r="J69" s="302"/>
      <c r="K69" s="302"/>
      <c r="L69" s="302"/>
      <c r="M69" s="236"/>
    </row>
    <row r="70" spans="1:13" x14ac:dyDescent="0.2">
      <c r="A70" s="237"/>
      <c r="B70" s="303"/>
      <c r="C70" s="303"/>
      <c r="D70" s="303"/>
      <c r="E70" s="303"/>
      <c r="F70" s="303"/>
      <c r="G70" s="303"/>
      <c r="H70" s="303"/>
      <c r="I70" s="303"/>
      <c r="J70" s="303"/>
      <c r="K70" s="303"/>
      <c r="L70" s="303"/>
      <c r="M70" s="236"/>
    </row>
    <row r="71" spans="1:13" x14ac:dyDescent="0.2">
      <c r="A71" s="237"/>
      <c r="B71" s="237"/>
      <c r="C71" s="237"/>
      <c r="D71" s="237"/>
      <c r="E71" s="237"/>
      <c r="F71" s="237"/>
      <c r="G71" s="237"/>
      <c r="H71" s="237"/>
      <c r="I71" s="237"/>
      <c r="J71" s="237"/>
      <c r="K71" s="237"/>
      <c r="L71" s="240"/>
      <c r="M71" s="236"/>
    </row>
    <row r="72" spans="1:13" x14ac:dyDescent="0.2">
      <c r="A72" s="237"/>
      <c r="B72" s="237"/>
      <c r="C72" s="237"/>
      <c r="D72" s="237"/>
      <c r="E72" s="237"/>
      <c r="F72" s="237"/>
      <c r="G72" s="237"/>
      <c r="H72" s="237"/>
      <c r="I72" s="237"/>
      <c r="J72" s="237"/>
      <c r="K72" s="237"/>
      <c r="L72" s="284"/>
      <c r="M72" s="236"/>
    </row>
    <row r="73" spans="1:13" x14ac:dyDescent="0.2">
      <c r="A73" s="258"/>
      <c r="B73" s="241"/>
      <c r="C73" s="241"/>
      <c r="D73" s="241"/>
      <c r="E73" s="241"/>
      <c r="F73" s="241"/>
      <c r="G73" s="241"/>
      <c r="H73" s="241"/>
      <c r="I73" s="241"/>
      <c r="J73" s="241"/>
      <c r="K73" s="241"/>
      <c r="L73" s="236"/>
      <c r="M73" s="236"/>
    </row>
    <row r="74" spans="1:13" x14ac:dyDescent="0.2">
      <c r="A74" s="241"/>
      <c r="B74" s="375"/>
      <c r="C74" s="375"/>
      <c r="D74" s="375"/>
      <c r="E74" s="253"/>
      <c r="F74" s="375"/>
      <c r="G74" s="375"/>
      <c r="H74" s="375"/>
      <c r="I74" s="253"/>
      <c r="J74" s="375"/>
      <c r="K74" s="375"/>
      <c r="L74" s="375"/>
      <c r="M74" s="236"/>
    </row>
    <row r="75" spans="1:13" x14ac:dyDescent="0.2">
      <c r="A75" s="258"/>
      <c r="B75" s="259"/>
      <c r="C75" s="259"/>
      <c r="D75" s="259"/>
      <c r="E75" s="259"/>
      <c r="F75" s="259"/>
      <c r="G75" s="259"/>
      <c r="H75" s="259"/>
      <c r="I75" s="259"/>
      <c r="J75" s="259"/>
      <c r="K75" s="259"/>
      <c r="L75" s="259"/>
      <c r="M75" s="236"/>
    </row>
    <row r="76" spans="1:13" x14ac:dyDescent="0.2">
      <c r="A76" s="258"/>
      <c r="B76" s="259"/>
      <c r="C76" s="259"/>
      <c r="D76" s="259"/>
      <c r="E76" s="259"/>
      <c r="F76" s="259"/>
      <c r="G76" s="259"/>
      <c r="H76" s="259"/>
      <c r="I76" s="259"/>
      <c r="J76" s="259"/>
      <c r="K76" s="259"/>
      <c r="L76" s="259"/>
      <c r="M76" s="236"/>
    </row>
    <row r="77" spans="1:13" x14ac:dyDescent="0.2">
      <c r="A77" s="237"/>
      <c r="B77" s="302"/>
      <c r="C77" s="302"/>
      <c r="D77" s="302"/>
      <c r="E77" s="303"/>
      <c r="F77" s="302"/>
      <c r="G77" s="302"/>
      <c r="H77" s="302"/>
      <c r="I77" s="303"/>
      <c r="J77" s="302"/>
      <c r="K77" s="302"/>
      <c r="L77" s="302"/>
      <c r="M77" s="236"/>
    </row>
    <row r="78" spans="1:13" x14ac:dyDescent="0.2">
      <c r="A78" s="237"/>
      <c r="B78" s="302"/>
      <c r="C78" s="302"/>
      <c r="D78" s="302"/>
      <c r="E78" s="303"/>
      <c r="F78" s="302"/>
      <c r="G78" s="302"/>
      <c r="H78" s="302"/>
      <c r="I78" s="303"/>
      <c r="J78" s="302"/>
      <c r="K78" s="302"/>
      <c r="L78" s="302"/>
      <c r="M78" s="236"/>
    </row>
    <row r="79" spans="1:13" x14ac:dyDescent="0.2">
      <c r="A79" s="237"/>
      <c r="B79" s="302"/>
      <c r="C79" s="302"/>
      <c r="D79" s="302"/>
      <c r="E79" s="303"/>
      <c r="F79" s="302"/>
      <c r="G79" s="302"/>
      <c r="H79" s="302"/>
      <c r="I79" s="303"/>
      <c r="J79" s="302"/>
      <c r="K79" s="302"/>
      <c r="L79" s="302"/>
      <c r="M79" s="236"/>
    </row>
    <row r="80" spans="1:13" x14ac:dyDescent="0.2">
      <c r="A80" s="237"/>
      <c r="B80" s="302"/>
      <c r="C80" s="302"/>
      <c r="D80" s="302"/>
      <c r="E80" s="303"/>
      <c r="F80" s="302"/>
      <c r="G80" s="302"/>
      <c r="H80" s="302"/>
      <c r="I80" s="303"/>
      <c r="J80" s="302"/>
      <c r="K80" s="302"/>
      <c r="L80" s="302"/>
      <c r="M80" s="236"/>
    </row>
    <row r="81" spans="1:13" x14ac:dyDescent="0.2">
      <c r="A81" s="237"/>
      <c r="B81" s="302"/>
      <c r="C81" s="302"/>
      <c r="D81" s="302"/>
      <c r="E81" s="303"/>
      <c r="F81" s="302"/>
      <c r="G81" s="302"/>
      <c r="H81" s="302"/>
      <c r="I81" s="303"/>
      <c r="J81" s="302"/>
      <c r="K81" s="302"/>
      <c r="L81" s="302"/>
      <c r="M81" s="236"/>
    </row>
    <row r="82" spans="1:13" x14ac:dyDescent="0.2">
      <c r="A82" s="237"/>
      <c r="B82" s="302"/>
      <c r="C82" s="302"/>
      <c r="D82" s="302"/>
      <c r="E82" s="303"/>
      <c r="F82" s="302"/>
      <c r="G82" s="302"/>
      <c r="H82" s="302"/>
      <c r="I82" s="303"/>
      <c r="J82" s="302"/>
      <c r="K82" s="302"/>
      <c r="L82" s="302"/>
      <c r="M82" s="236"/>
    </row>
    <row r="83" spans="1:13" x14ac:dyDescent="0.2">
      <c r="A83" s="237"/>
      <c r="B83" s="302"/>
      <c r="C83" s="302"/>
      <c r="D83" s="302"/>
      <c r="E83" s="303"/>
      <c r="F83" s="302"/>
      <c r="G83" s="302"/>
      <c r="H83" s="302"/>
      <c r="I83" s="303"/>
      <c r="J83" s="302"/>
      <c r="K83" s="302"/>
      <c r="L83" s="302"/>
      <c r="M83" s="236"/>
    </row>
    <row r="84" spans="1:13" x14ac:dyDescent="0.2">
      <c r="A84" s="237"/>
      <c r="B84" s="302"/>
      <c r="C84" s="302"/>
      <c r="D84" s="302"/>
      <c r="E84" s="303"/>
      <c r="F84" s="302"/>
      <c r="G84" s="302"/>
      <c r="H84" s="302"/>
      <c r="I84" s="303"/>
      <c r="J84" s="302"/>
      <c r="K84" s="302"/>
      <c r="L84" s="302"/>
      <c r="M84" s="236"/>
    </row>
    <row r="85" spans="1:13" x14ac:dyDescent="0.2">
      <c r="A85" s="237"/>
      <c r="B85" s="302"/>
      <c r="C85" s="302"/>
      <c r="D85" s="302"/>
      <c r="E85" s="303"/>
      <c r="F85" s="302"/>
      <c r="G85" s="302"/>
      <c r="H85" s="302"/>
      <c r="I85" s="303"/>
      <c r="J85" s="302"/>
      <c r="K85" s="302"/>
      <c r="L85" s="302"/>
      <c r="M85" s="236"/>
    </row>
    <row r="86" spans="1:13" x14ac:dyDescent="0.2">
      <c r="A86" s="237"/>
      <c r="B86" s="302"/>
      <c r="C86" s="302"/>
      <c r="D86" s="302"/>
      <c r="E86" s="303"/>
      <c r="F86" s="302"/>
      <c r="G86" s="302"/>
      <c r="H86" s="302"/>
      <c r="I86" s="303"/>
      <c r="J86" s="302"/>
      <c r="K86" s="302"/>
      <c r="L86" s="302"/>
      <c r="M86" s="236"/>
    </row>
    <row r="87" spans="1:13" x14ac:dyDescent="0.2">
      <c r="A87" s="237"/>
      <c r="B87" s="303"/>
      <c r="C87" s="303"/>
      <c r="D87" s="303"/>
      <c r="E87" s="303"/>
      <c r="F87" s="303"/>
      <c r="G87" s="303"/>
      <c r="H87" s="303"/>
      <c r="I87" s="303"/>
      <c r="J87" s="303"/>
      <c r="K87" s="303"/>
      <c r="L87" s="303"/>
      <c r="M87" s="236"/>
    </row>
    <row r="88" spans="1:13" x14ac:dyDescent="0.2">
      <c r="A88" s="237"/>
      <c r="B88" s="237"/>
      <c r="C88" s="237"/>
      <c r="D88" s="237"/>
      <c r="E88" s="237"/>
      <c r="F88" s="237"/>
      <c r="G88" s="237"/>
      <c r="H88" s="237"/>
      <c r="I88" s="237"/>
      <c r="J88" s="237"/>
      <c r="K88" s="237"/>
      <c r="L88" s="240"/>
      <c r="M88" s="236"/>
    </row>
    <row r="89" spans="1:13" x14ac:dyDescent="0.2">
      <c r="A89" s="237"/>
      <c r="B89" s="237"/>
      <c r="C89" s="237"/>
      <c r="D89" s="237"/>
      <c r="E89" s="237"/>
      <c r="F89" s="237"/>
      <c r="G89" s="237"/>
      <c r="H89" s="237"/>
      <c r="I89" s="237"/>
      <c r="J89" s="237"/>
      <c r="K89" s="237"/>
      <c r="L89" s="284"/>
      <c r="M89" s="236"/>
    </row>
    <row r="90" spans="1:13" x14ac:dyDescent="0.2">
      <c r="A90" s="258"/>
      <c r="B90" s="241"/>
      <c r="C90" s="241"/>
      <c r="D90" s="241"/>
      <c r="E90" s="241"/>
      <c r="F90" s="241"/>
      <c r="G90" s="241"/>
      <c r="H90" s="241"/>
      <c r="I90" s="241"/>
      <c r="J90" s="241"/>
      <c r="K90" s="241"/>
      <c r="L90" s="236"/>
      <c r="M90" s="236"/>
    </row>
    <row r="91" spans="1:13" x14ac:dyDescent="0.2">
      <c r="A91" s="241"/>
      <c r="B91" s="375"/>
      <c r="C91" s="375"/>
      <c r="D91" s="375"/>
      <c r="E91" s="253"/>
      <c r="F91" s="375"/>
      <c r="G91" s="375"/>
      <c r="H91" s="375"/>
      <c r="I91" s="253"/>
      <c r="J91" s="375"/>
      <c r="K91" s="375"/>
      <c r="L91" s="375"/>
      <c r="M91" s="236"/>
    </row>
    <row r="92" spans="1:13" x14ac:dyDescent="0.2">
      <c r="A92" s="258"/>
      <c r="B92" s="259"/>
      <c r="C92" s="259"/>
      <c r="D92" s="259"/>
      <c r="E92" s="259"/>
      <c r="F92" s="259"/>
      <c r="G92" s="259"/>
      <c r="H92" s="259"/>
      <c r="I92" s="259"/>
      <c r="J92" s="259"/>
      <c r="K92" s="259"/>
      <c r="L92" s="259"/>
      <c r="M92" s="236"/>
    </row>
    <row r="93" spans="1:13" x14ac:dyDescent="0.2">
      <c r="A93" s="258"/>
      <c r="B93" s="259"/>
      <c r="C93" s="259"/>
      <c r="D93" s="259"/>
      <c r="E93" s="259"/>
      <c r="F93" s="259"/>
      <c r="G93" s="259"/>
      <c r="H93" s="259"/>
      <c r="I93" s="259"/>
      <c r="J93" s="259"/>
      <c r="K93" s="259"/>
      <c r="L93" s="259"/>
      <c r="M93" s="236"/>
    </row>
    <row r="94" spans="1:13" x14ac:dyDescent="0.2">
      <c r="A94" s="237"/>
      <c r="B94" s="302"/>
      <c r="C94" s="302"/>
      <c r="D94" s="302"/>
      <c r="E94" s="303"/>
      <c r="F94" s="302"/>
      <c r="G94" s="302"/>
      <c r="H94" s="302"/>
      <c r="I94" s="303"/>
      <c r="J94" s="302"/>
      <c r="K94" s="302"/>
      <c r="L94" s="302"/>
      <c r="M94" s="236"/>
    </row>
    <row r="95" spans="1:13" x14ac:dyDescent="0.2">
      <c r="A95" s="237"/>
      <c r="B95" s="302"/>
      <c r="C95" s="302"/>
      <c r="D95" s="302"/>
      <c r="E95" s="303"/>
      <c r="F95" s="302"/>
      <c r="G95" s="302"/>
      <c r="H95" s="302"/>
      <c r="I95" s="303"/>
      <c r="J95" s="302"/>
      <c r="K95" s="302"/>
      <c r="L95" s="302"/>
      <c r="M95" s="236"/>
    </row>
    <row r="96" spans="1:13" x14ac:dyDescent="0.2">
      <c r="A96" s="237"/>
      <c r="B96" s="302"/>
      <c r="C96" s="302"/>
      <c r="D96" s="302"/>
      <c r="E96" s="303"/>
      <c r="F96" s="302"/>
      <c r="G96" s="302"/>
      <c r="H96" s="302"/>
      <c r="I96" s="303"/>
      <c r="J96" s="302"/>
      <c r="K96" s="302"/>
      <c r="L96" s="302"/>
      <c r="M96" s="236"/>
    </row>
    <row r="97" spans="1:13" x14ac:dyDescent="0.2">
      <c r="A97" s="237"/>
      <c r="B97" s="302"/>
      <c r="C97" s="302"/>
      <c r="D97" s="302"/>
      <c r="E97" s="303"/>
      <c r="F97" s="302"/>
      <c r="G97" s="302"/>
      <c r="H97" s="302"/>
      <c r="I97" s="303"/>
      <c r="J97" s="302"/>
      <c r="K97" s="302"/>
      <c r="L97" s="302"/>
      <c r="M97" s="236"/>
    </row>
    <row r="98" spans="1:13" x14ac:dyDescent="0.2">
      <c r="A98" s="237"/>
      <c r="B98" s="302"/>
      <c r="C98" s="302"/>
      <c r="D98" s="302"/>
      <c r="E98" s="303"/>
      <c r="F98" s="302"/>
      <c r="G98" s="302"/>
      <c r="H98" s="302"/>
      <c r="I98" s="303"/>
      <c r="J98" s="302"/>
      <c r="K98" s="302"/>
      <c r="L98" s="302"/>
      <c r="M98" s="236"/>
    </row>
    <row r="99" spans="1:13" x14ac:dyDescent="0.2">
      <c r="A99" s="237"/>
      <c r="B99" s="302"/>
      <c r="C99" s="302"/>
      <c r="D99" s="302"/>
      <c r="E99" s="303"/>
      <c r="F99" s="302"/>
      <c r="G99" s="302"/>
      <c r="H99" s="302"/>
      <c r="I99" s="303"/>
      <c r="J99" s="302"/>
      <c r="K99" s="302"/>
      <c r="L99" s="302"/>
      <c r="M99" s="236"/>
    </row>
    <row r="100" spans="1:13" x14ac:dyDescent="0.2">
      <c r="A100" s="237"/>
      <c r="B100" s="302"/>
      <c r="C100" s="302"/>
      <c r="D100" s="302"/>
      <c r="E100" s="303"/>
      <c r="F100" s="302"/>
      <c r="G100" s="302"/>
      <c r="H100" s="302"/>
      <c r="I100" s="303"/>
      <c r="J100" s="302"/>
      <c r="K100" s="302"/>
      <c r="L100" s="302"/>
      <c r="M100" s="236"/>
    </row>
    <row r="101" spans="1:13" x14ac:dyDescent="0.2">
      <c r="A101" s="237"/>
      <c r="B101" s="302"/>
      <c r="C101" s="302"/>
      <c r="D101" s="302"/>
      <c r="E101" s="303"/>
      <c r="F101" s="302"/>
      <c r="G101" s="302"/>
      <c r="H101" s="302"/>
      <c r="I101" s="303"/>
      <c r="J101" s="302"/>
      <c r="K101" s="302"/>
      <c r="L101" s="302"/>
      <c r="M101" s="236"/>
    </row>
    <row r="102" spans="1:13" x14ac:dyDescent="0.2">
      <c r="A102" s="237"/>
      <c r="B102" s="302"/>
      <c r="C102" s="302"/>
      <c r="D102" s="302"/>
      <c r="E102" s="303"/>
      <c r="F102" s="302"/>
      <c r="G102" s="302"/>
      <c r="H102" s="302"/>
      <c r="I102" s="303"/>
      <c r="J102" s="302"/>
      <c r="K102" s="302"/>
      <c r="L102" s="302"/>
      <c r="M102" s="236"/>
    </row>
    <row r="103" spans="1:13" x14ac:dyDescent="0.2">
      <c r="A103" s="237"/>
      <c r="B103" s="302"/>
      <c r="C103" s="302"/>
      <c r="D103" s="302"/>
      <c r="E103" s="303"/>
      <c r="F103" s="302"/>
      <c r="G103" s="302"/>
      <c r="H103" s="302"/>
      <c r="I103" s="303"/>
      <c r="J103" s="302"/>
      <c r="K103" s="302"/>
      <c r="L103" s="302"/>
      <c r="M103" s="236"/>
    </row>
    <row r="104" spans="1:13" x14ac:dyDescent="0.2">
      <c r="A104" s="237"/>
      <c r="B104" s="303"/>
      <c r="C104" s="303"/>
      <c r="D104" s="303"/>
      <c r="E104" s="303"/>
      <c r="F104" s="303"/>
      <c r="G104" s="303"/>
      <c r="H104" s="303"/>
      <c r="I104" s="303"/>
      <c r="J104" s="303"/>
      <c r="K104" s="303"/>
      <c r="L104" s="303"/>
      <c r="M104" s="236"/>
    </row>
    <row r="105" spans="1:13" x14ac:dyDescent="0.2">
      <c r="A105" s="237"/>
      <c r="B105" s="237"/>
      <c r="C105" s="237"/>
      <c r="D105" s="237"/>
      <c r="E105" s="237"/>
      <c r="F105" s="237"/>
      <c r="G105" s="237"/>
      <c r="H105" s="237"/>
      <c r="I105" s="237"/>
      <c r="J105" s="237"/>
      <c r="K105" s="237"/>
      <c r="L105" s="240"/>
      <c r="M105" s="236"/>
    </row>
    <row r="106" spans="1:13" x14ac:dyDescent="0.2">
      <c r="A106" s="237"/>
      <c r="B106" s="237"/>
      <c r="C106" s="237"/>
      <c r="D106" s="237"/>
      <c r="E106" s="237"/>
      <c r="F106" s="237"/>
      <c r="G106" s="237"/>
      <c r="H106" s="237"/>
      <c r="I106" s="237"/>
      <c r="J106" s="237"/>
      <c r="K106" s="237"/>
      <c r="L106" s="284"/>
      <c r="M106" s="236"/>
    </row>
    <row r="107" spans="1:13" x14ac:dyDescent="0.2">
      <c r="A107" s="258"/>
      <c r="B107" s="241"/>
      <c r="C107" s="241"/>
      <c r="D107" s="241"/>
      <c r="E107" s="241"/>
      <c r="F107" s="241"/>
      <c r="G107" s="241"/>
      <c r="H107" s="241"/>
      <c r="I107" s="241"/>
      <c r="J107" s="241"/>
      <c r="K107" s="241"/>
      <c r="L107" s="236"/>
      <c r="M107" s="236"/>
    </row>
    <row r="108" spans="1:13" x14ac:dyDescent="0.2">
      <c r="A108" s="241"/>
      <c r="B108" s="375"/>
      <c r="C108" s="375"/>
      <c r="D108" s="375"/>
      <c r="E108" s="253"/>
      <c r="F108" s="375"/>
      <c r="G108" s="375"/>
      <c r="H108" s="375"/>
      <c r="I108" s="253"/>
      <c r="J108" s="375"/>
      <c r="K108" s="375"/>
      <c r="L108" s="375"/>
      <c r="M108" s="236"/>
    </row>
    <row r="109" spans="1:13" x14ac:dyDescent="0.2">
      <c r="A109" s="258"/>
      <c r="B109" s="259"/>
      <c r="C109" s="259"/>
      <c r="D109" s="259"/>
      <c r="E109" s="259"/>
      <c r="F109" s="259"/>
      <c r="G109" s="259"/>
      <c r="H109" s="259"/>
      <c r="I109" s="259"/>
      <c r="J109" s="259"/>
      <c r="K109" s="259"/>
      <c r="L109" s="259"/>
      <c r="M109" s="236"/>
    </row>
    <row r="110" spans="1:13" x14ac:dyDescent="0.2">
      <c r="A110" s="258"/>
      <c r="B110" s="259"/>
      <c r="C110" s="259"/>
      <c r="D110" s="259"/>
      <c r="E110" s="259"/>
      <c r="F110" s="259"/>
      <c r="G110" s="259"/>
      <c r="H110" s="259"/>
      <c r="I110" s="259"/>
      <c r="J110" s="259"/>
      <c r="K110" s="259"/>
      <c r="L110" s="259"/>
      <c r="M110" s="236"/>
    </row>
    <row r="111" spans="1:13" x14ac:dyDescent="0.2">
      <c r="A111" s="237"/>
      <c r="B111" s="302"/>
      <c r="C111" s="302"/>
      <c r="D111" s="302"/>
      <c r="E111" s="303"/>
      <c r="F111" s="302"/>
      <c r="G111" s="302"/>
      <c r="H111" s="302"/>
      <c r="I111" s="303"/>
      <c r="J111" s="302"/>
      <c r="K111" s="302"/>
      <c r="L111" s="302"/>
      <c r="M111" s="236"/>
    </row>
    <row r="112" spans="1:13" x14ac:dyDescent="0.2">
      <c r="A112" s="237"/>
      <c r="B112" s="302"/>
      <c r="C112" s="302"/>
      <c r="D112" s="302"/>
      <c r="E112" s="303"/>
      <c r="F112" s="302"/>
      <c r="G112" s="302"/>
      <c r="H112" s="302"/>
      <c r="I112" s="303"/>
      <c r="J112" s="302"/>
      <c r="K112" s="302"/>
      <c r="L112" s="302"/>
      <c r="M112" s="236"/>
    </row>
    <row r="113" spans="1:13" x14ac:dyDescent="0.2">
      <c r="A113" s="237"/>
      <c r="B113" s="302"/>
      <c r="C113" s="302"/>
      <c r="D113" s="302"/>
      <c r="E113" s="303"/>
      <c r="F113" s="302"/>
      <c r="G113" s="302"/>
      <c r="H113" s="302"/>
      <c r="I113" s="303"/>
      <c r="J113" s="302"/>
      <c r="K113" s="302"/>
      <c r="L113" s="302"/>
      <c r="M113" s="236"/>
    </row>
    <row r="114" spans="1:13" x14ac:dyDescent="0.2">
      <c r="A114" s="237"/>
      <c r="B114" s="302"/>
      <c r="C114" s="302"/>
      <c r="D114" s="302"/>
      <c r="E114" s="303"/>
      <c r="F114" s="302"/>
      <c r="G114" s="302"/>
      <c r="H114" s="302"/>
      <c r="I114" s="303"/>
      <c r="J114" s="302"/>
      <c r="K114" s="302"/>
      <c r="L114" s="302"/>
      <c r="M114" s="236"/>
    </row>
    <row r="115" spans="1:13" x14ac:dyDescent="0.2">
      <c r="A115" s="237"/>
      <c r="B115" s="302"/>
      <c r="C115" s="302"/>
      <c r="D115" s="302"/>
      <c r="E115" s="303"/>
      <c r="F115" s="302"/>
      <c r="G115" s="302"/>
      <c r="H115" s="302"/>
      <c r="I115" s="303"/>
      <c r="J115" s="302"/>
      <c r="K115" s="302"/>
      <c r="L115" s="302"/>
      <c r="M115" s="236"/>
    </row>
    <row r="116" spans="1:13" x14ac:dyDescent="0.2">
      <c r="A116" s="237"/>
      <c r="B116" s="302"/>
      <c r="C116" s="302"/>
      <c r="D116" s="302"/>
      <c r="E116" s="303"/>
      <c r="F116" s="302"/>
      <c r="G116" s="302"/>
      <c r="H116" s="302"/>
      <c r="I116" s="303"/>
      <c r="J116" s="302"/>
      <c r="K116" s="302"/>
      <c r="L116" s="302"/>
      <c r="M116" s="236"/>
    </row>
    <row r="117" spans="1:13" x14ac:dyDescent="0.2">
      <c r="A117" s="237"/>
      <c r="B117" s="302"/>
      <c r="C117" s="302"/>
      <c r="D117" s="302"/>
      <c r="E117" s="303"/>
      <c r="F117" s="302"/>
      <c r="G117" s="302"/>
      <c r="H117" s="302"/>
      <c r="I117" s="303"/>
      <c r="J117" s="302"/>
      <c r="K117" s="302"/>
      <c r="L117" s="302"/>
      <c r="M117" s="236"/>
    </row>
    <row r="118" spans="1:13" x14ac:dyDescent="0.2">
      <c r="A118" s="237"/>
      <c r="B118" s="302"/>
      <c r="C118" s="302"/>
      <c r="D118" s="302"/>
      <c r="E118" s="303"/>
      <c r="F118" s="302"/>
      <c r="G118" s="302"/>
      <c r="H118" s="302"/>
      <c r="I118" s="303"/>
      <c r="J118" s="302"/>
      <c r="K118" s="302"/>
      <c r="L118" s="302"/>
      <c r="M118" s="236"/>
    </row>
    <row r="119" spans="1:13" x14ac:dyDescent="0.2">
      <c r="A119" s="237"/>
      <c r="B119" s="302"/>
      <c r="C119" s="302"/>
      <c r="D119" s="302"/>
      <c r="E119" s="303"/>
      <c r="F119" s="302"/>
      <c r="G119" s="302"/>
      <c r="H119" s="302"/>
      <c r="I119" s="303"/>
      <c r="J119" s="302"/>
      <c r="K119" s="302"/>
      <c r="L119" s="302"/>
      <c r="M119" s="236"/>
    </row>
    <row r="120" spans="1:13" x14ac:dyDescent="0.2">
      <c r="A120" s="237"/>
      <c r="B120" s="302"/>
      <c r="C120" s="302"/>
      <c r="D120" s="302"/>
      <c r="E120" s="303"/>
      <c r="F120" s="302"/>
      <c r="G120" s="302"/>
      <c r="H120" s="302"/>
      <c r="I120" s="303"/>
      <c r="J120" s="302"/>
      <c r="K120" s="302"/>
      <c r="L120" s="302"/>
      <c r="M120" s="236"/>
    </row>
    <row r="121" spans="1:13" x14ac:dyDescent="0.2">
      <c r="A121" s="237"/>
      <c r="B121" s="303"/>
      <c r="C121" s="303"/>
      <c r="D121" s="303"/>
      <c r="E121" s="303"/>
      <c r="F121" s="303"/>
      <c r="G121" s="303"/>
      <c r="H121" s="303"/>
      <c r="I121" s="303"/>
      <c r="J121" s="303"/>
      <c r="K121" s="303"/>
      <c r="L121" s="303"/>
      <c r="M121" s="236"/>
    </row>
    <row r="122" spans="1:13" x14ac:dyDescent="0.2">
      <c r="A122" s="237"/>
      <c r="B122" s="237"/>
      <c r="C122" s="237"/>
      <c r="D122" s="237"/>
      <c r="E122" s="237"/>
      <c r="F122" s="237"/>
      <c r="G122" s="237"/>
      <c r="H122" s="237"/>
      <c r="I122" s="237"/>
      <c r="J122" s="237"/>
      <c r="K122" s="237"/>
      <c r="L122" s="240"/>
      <c r="M122" s="236"/>
    </row>
    <row r="123" spans="1:13" x14ac:dyDescent="0.2">
      <c r="A123" s="237"/>
      <c r="B123" s="237"/>
      <c r="C123" s="237"/>
      <c r="D123" s="237"/>
      <c r="E123" s="237"/>
      <c r="F123" s="237"/>
      <c r="G123" s="237"/>
      <c r="H123" s="237"/>
      <c r="I123" s="237"/>
      <c r="J123" s="237"/>
      <c r="K123" s="237"/>
      <c r="L123" s="284"/>
      <c r="M123" s="236"/>
    </row>
    <row r="124" spans="1:13" x14ac:dyDescent="0.2">
      <c r="A124" s="258"/>
      <c r="B124" s="241"/>
      <c r="C124" s="241"/>
      <c r="D124" s="241"/>
      <c r="E124" s="241"/>
      <c r="F124" s="241"/>
      <c r="G124" s="241"/>
      <c r="H124" s="241"/>
      <c r="I124" s="241"/>
      <c r="J124" s="241"/>
      <c r="K124" s="241"/>
      <c r="L124" s="236"/>
      <c r="M124" s="236"/>
    </row>
    <row r="125" spans="1:13" x14ac:dyDescent="0.2">
      <c r="A125" s="241"/>
      <c r="B125" s="375"/>
      <c r="C125" s="375"/>
      <c r="D125" s="375"/>
      <c r="E125" s="253"/>
      <c r="F125" s="375"/>
      <c r="G125" s="375"/>
      <c r="H125" s="375"/>
      <c r="I125" s="253"/>
      <c r="J125" s="375"/>
      <c r="K125" s="375"/>
      <c r="L125" s="375"/>
      <c r="M125" s="236"/>
    </row>
    <row r="126" spans="1:13" x14ac:dyDescent="0.2">
      <c r="A126" s="258"/>
      <c r="B126" s="259"/>
      <c r="C126" s="259"/>
      <c r="D126" s="259"/>
      <c r="E126" s="259"/>
      <c r="F126" s="259"/>
      <c r="G126" s="259"/>
      <c r="H126" s="259"/>
      <c r="I126" s="259"/>
      <c r="J126" s="259"/>
      <c r="K126" s="259"/>
      <c r="L126" s="259"/>
      <c r="M126" s="236"/>
    </row>
    <row r="127" spans="1:13" x14ac:dyDescent="0.2">
      <c r="A127" s="258"/>
      <c r="B127" s="259"/>
      <c r="C127" s="259"/>
      <c r="D127" s="259"/>
      <c r="E127" s="259"/>
      <c r="F127" s="259"/>
      <c r="G127" s="259"/>
      <c r="H127" s="259"/>
      <c r="I127" s="259"/>
      <c r="J127" s="259"/>
      <c r="K127" s="259"/>
      <c r="L127" s="259"/>
      <c r="M127" s="236"/>
    </row>
    <row r="128" spans="1:13" x14ac:dyDescent="0.2">
      <c r="A128" s="237"/>
      <c r="B128" s="302"/>
      <c r="C128" s="302"/>
      <c r="D128" s="302"/>
      <c r="E128" s="303"/>
      <c r="F128" s="302"/>
      <c r="G128" s="302"/>
      <c r="H128" s="302"/>
      <c r="I128" s="303"/>
      <c r="J128" s="302"/>
      <c r="K128" s="302"/>
      <c r="L128" s="302"/>
      <c r="M128" s="236"/>
    </row>
    <row r="129" spans="1:13" x14ac:dyDescent="0.2">
      <c r="A129" s="237"/>
      <c r="B129" s="302"/>
      <c r="C129" s="302"/>
      <c r="D129" s="302"/>
      <c r="E129" s="303"/>
      <c r="F129" s="302"/>
      <c r="G129" s="302"/>
      <c r="H129" s="302"/>
      <c r="I129" s="303"/>
      <c r="J129" s="302"/>
      <c r="K129" s="302"/>
      <c r="L129" s="302"/>
      <c r="M129" s="236"/>
    </row>
    <row r="130" spans="1:13" x14ac:dyDescent="0.2">
      <c r="A130" s="237"/>
      <c r="B130" s="302"/>
      <c r="C130" s="302"/>
      <c r="D130" s="302"/>
      <c r="E130" s="303"/>
      <c r="F130" s="302"/>
      <c r="G130" s="302"/>
      <c r="H130" s="302"/>
      <c r="I130" s="303"/>
      <c r="J130" s="302"/>
      <c r="K130" s="302"/>
      <c r="L130" s="302"/>
      <c r="M130" s="236"/>
    </row>
    <row r="131" spans="1:13" x14ac:dyDescent="0.2">
      <c r="A131" s="237"/>
      <c r="B131" s="302"/>
      <c r="C131" s="302"/>
      <c r="D131" s="302"/>
      <c r="E131" s="303"/>
      <c r="F131" s="302"/>
      <c r="G131" s="302"/>
      <c r="H131" s="302"/>
      <c r="I131" s="303"/>
      <c r="J131" s="302"/>
      <c r="K131" s="302"/>
      <c r="L131" s="302"/>
      <c r="M131" s="236"/>
    </row>
    <row r="132" spans="1:13" x14ac:dyDescent="0.2">
      <c r="A132" s="237"/>
      <c r="B132" s="302"/>
      <c r="C132" s="302"/>
      <c r="D132" s="302"/>
      <c r="E132" s="303"/>
      <c r="F132" s="302"/>
      <c r="G132" s="302"/>
      <c r="H132" s="302"/>
      <c r="I132" s="303"/>
      <c r="J132" s="302"/>
      <c r="K132" s="302"/>
      <c r="L132" s="302"/>
      <c r="M132" s="236"/>
    </row>
    <row r="133" spans="1:13" x14ac:dyDescent="0.2">
      <c r="A133" s="237"/>
      <c r="B133" s="302"/>
      <c r="C133" s="302"/>
      <c r="D133" s="302"/>
      <c r="E133" s="303"/>
      <c r="F133" s="302"/>
      <c r="G133" s="302"/>
      <c r="H133" s="302"/>
      <c r="I133" s="303"/>
      <c r="J133" s="302"/>
      <c r="K133" s="302"/>
      <c r="L133" s="302"/>
      <c r="M133" s="236"/>
    </row>
    <row r="134" spans="1:13" x14ac:dyDescent="0.2">
      <c r="A134" s="237"/>
      <c r="B134" s="302"/>
      <c r="C134" s="302"/>
      <c r="D134" s="302"/>
      <c r="E134" s="303"/>
      <c r="F134" s="302"/>
      <c r="G134" s="302"/>
      <c r="H134" s="302"/>
      <c r="I134" s="303"/>
      <c r="J134" s="302"/>
      <c r="K134" s="302"/>
      <c r="L134" s="302"/>
      <c r="M134" s="236"/>
    </row>
    <row r="135" spans="1:13" x14ac:dyDescent="0.2">
      <c r="A135" s="237"/>
      <c r="B135" s="302"/>
      <c r="C135" s="302"/>
      <c r="D135" s="302"/>
      <c r="E135" s="303"/>
      <c r="F135" s="302"/>
      <c r="G135" s="302"/>
      <c r="H135" s="302"/>
      <c r="I135" s="303"/>
      <c r="J135" s="302"/>
      <c r="K135" s="302"/>
      <c r="L135" s="302"/>
      <c r="M135" s="236"/>
    </row>
    <row r="136" spans="1:13" x14ac:dyDescent="0.2">
      <c r="A136" s="237"/>
      <c r="B136" s="302"/>
      <c r="C136" s="302"/>
      <c r="D136" s="302"/>
      <c r="E136" s="303"/>
      <c r="F136" s="302"/>
      <c r="G136" s="302"/>
      <c r="H136" s="302"/>
      <c r="I136" s="303"/>
      <c r="J136" s="302"/>
      <c r="K136" s="302"/>
      <c r="L136" s="302"/>
      <c r="M136" s="236"/>
    </row>
    <row r="137" spans="1:13" x14ac:dyDescent="0.2">
      <c r="A137" s="237"/>
      <c r="B137" s="302"/>
      <c r="C137" s="302"/>
      <c r="D137" s="302"/>
      <c r="E137" s="303"/>
      <c r="F137" s="302"/>
      <c r="G137" s="302"/>
      <c r="H137" s="302"/>
      <c r="I137" s="303"/>
      <c r="J137" s="302"/>
      <c r="K137" s="302"/>
      <c r="L137" s="302"/>
      <c r="M137" s="236"/>
    </row>
    <row r="138" spans="1:13" x14ac:dyDescent="0.2">
      <c r="A138" s="237"/>
      <c r="B138" s="303"/>
      <c r="C138" s="303"/>
      <c r="D138" s="303"/>
      <c r="E138" s="303"/>
      <c r="F138" s="303"/>
      <c r="G138" s="303"/>
      <c r="H138" s="303"/>
      <c r="I138" s="303"/>
      <c r="J138" s="303"/>
      <c r="K138" s="303"/>
      <c r="L138" s="303"/>
      <c r="M138" s="236"/>
    </row>
    <row r="139" spans="1:13" x14ac:dyDescent="0.2">
      <c r="A139" s="237"/>
      <c r="B139" s="237"/>
      <c r="C139" s="237"/>
      <c r="D139" s="237"/>
      <c r="E139" s="237"/>
      <c r="F139" s="237"/>
      <c r="G139" s="237"/>
      <c r="H139" s="237"/>
      <c r="I139" s="237"/>
      <c r="J139" s="237"/>
      <c r="K139" s="237"/>
      <c r="L139" s="240"/>
      <c r="M139" s="236"/>
    </row>
    <row r="140" spans="1:13" x14ac:dyDescent="0.2">
      <c r="A140" s="237"/>
      <c r="B140" s="237"/>
      <c r="C140" s="237"/>
      <c r="D140" s="237"/>
      <c r="E140" s="237"/>
      <c r="F140" s="237"/>
      <c r="G140" s="237"/>
      <c r="H140" s="237"/>
      <c r="I140" s="237"/>
      <c r="J140" s="237"/>
      <c r="K140" s="237"/>
      <c r="L140" s="284"/>
      <c r="M140" s="236"/>
    </row>
    <row r="141" spans="1:13" x14ac:dyDescent="0.2">
      <c r="A141" s="258"/>
      <c r="B141" s="241"/>
      <c r="C141" s="241"/>
      <c r="D141" s="241"/>
      <c r="E141" s="241"/>
      <c r="F141" s="241"/>
      <c r="G141" s="241"/>
      <c r="H141" s="241"/>
      <c r="I141" s="241"/>
      <c r="J141" s="241"/>
      <c r="K141" s="241"/>
      <c r="L141" s="236"/>
      <c r="M141" s="236"/>
    </row>
    <row r="142" spans="1:13" x14ac:dyDescent="0.2">
      <c r="A142" s="241"/>
      <c r="B142" s="375"/>
      <c r="C142" s="375"/>
      <c r="D142" s="375"/>
      <c r="E142" s="253"/>
      <c r="F142" s="375"/>
      <c r="G142" s="375"/>
      <c r="H142" s="375"/>
      <c r="I142" s="253"/>
      <c r="J142" s="375"/>
      <c r="K142" s="375"/>
      <c r="L142" s="375"/>
      <c r="M142" s="236"/>
    </row>
    <row r="143" spans="1:13" x14ac:dyDescent="0.2">
      <c r="A143" s="258"/>
      <c r="B143" s="259"/>
      <c r="C143" s="259"/>
      <c r="D143" s="259"/>
      <c r="E143" s="259"/>
      <c r="F143" s="259"/>
      <c r="G143" s="259"/>
      <c r="H143" s="259"/>
      <c r="I143" s="259"/>
      <c r="J143" s="259"/>
      <c r="K143" s="259"/>
      <c r="L143" s="259"/>
      <c r="M143" s="236"/>
    </row>
    <row r="144" spans="1:13" x14ac:dyDescent="0.2">
      <c r="A144" s="258"/>
      <c r="B144" s="259"/>
      <c r="C144" s="259"/>
      <c r="D144" s="259"/>
      <c r="E144" s="259"/>
      <c r="F144" s="259"/>
      <c r="G144" s="259"/>
      <c r="H144" s="259"/>
      <c r="I144" s="259"/>
      <c r="J144" s="259"/>
      <c r="K144" s="259"/>
      <c r="L144" s="259"/>
      <c r="M144" s="236"/>
    </row>
    <row r="145" spans="1:13" x14ac:dyDescent="0.2">
      <c r="A145" s="237"/>
      <c r="B145" s="302"/>
      <c r="C145" s="302"/>
      <c r="D145" s="302"/>
      <c r="E145" s="303"/>
      <c r="F145" s="302"/>
      <c r="G145" s="302"/>
      <c r="H145" s="302"/>
      <c r="I145" s="303"/>
      <c r="J145" s="302"/>
      <c r="K145" s="302"/>
      <c r="L145" s="302"/>
      <c r="M145" s="236"/>
    </row>
    <row r="146" spans="1:13" x14ac:dyDescent="0.2">
      <c r="A146" s="237"/>
      <c r="B146" s="302"/>
      <c r="C146" s="302"/>
      <c r="D146" s="302"/>
      <c r="E146" s="303"/>
      <c r="F146" s="302"/>
      <c r="G146" s="302"/>
      <c r="H146" s="302"/>
      <c r="I146" s="303"/>
      <c r="J146" s="302"/>
      <c r="K146" s="302"/>
      <c r="L146" s="302"/>
      <c r="M146" s="236"/>
    </row>
    <row r="147" spans="1:13" x14ac:dyDescent="0.2">
      <c r="A147" s="237"/>
      <c r="B147" s="302"/>
      <c r="C147" s="302"/>
      <c r="D147" s="302"/>
      <c r="E147" s="303"/>
      <c r="F147" s="302"/>
      <c r="G147" s="302"/>
      <c r="H147" s="302"/>
      <c r="I147" s="303"/>
      <c r="J147" s="302"/>
      <c r="K147" s="302"/>
      <c r="L147" s="302"/>
      <c r="M147" s="236"/>
    </row>
    <row r="148" spans="1:13" x14ac:dyDescent="0.2">
      <c r="A148" s="237"/>
      <c r="B148" s="302"/>
      <c r="C148" s="302"/>
      <c r="D148" s="302"/>
      <c r="E148" s="303"/>
      <c r="F148" s="302"/>
      <c r="G148" s="302"/>
      <c r="H148" s="302"/>
      <c r="I148" s="303"/>
      <c r="J148" s="302"/>
      <c r="K148" s="302"/>
      <c r="L148" s="302"/>
      <c r="M148" s="236"/>
    </row>
    <row r="149" spans="1:13" x14ac:dyDescent="0.2">
      <c r="A149" s="237"/>
      <c r="B149" s="302"/>
      <c r="C149" s="302"/>
      <c r="D149" s="302"/>
      <c r="E149" s="303"/>
      <c r="F149" s="302"/>
      <c r="G149" s="302"/>
      <c r="H149" s="302"/>
      <c r="I149" s="303"/>
      <c r="J149" s="302"/>
      <c r="K149" s="302"/>
      <c r="L149" s="302"/>
      <c r="M149" s="236"/>
    </row>
    <row r="150" spans="1:13" x14ac:dyDescent="0.2">
      <c r="A150" s="237"/>
      <c r="B150" s="302"/>
      <c r="C150" s="302"/>
      <c r="D150" s="302"/>
      <c r="E150" s="303"/>
      <c r="F150" s="302"/>
      <c r="G150" s="302"/>
      <c r="H150" s="302"/>
      <c r="I150" s="303"/>
      <c r="J150" s="302"/>
      <c r="K150" s="302"/>
      <c r="L150" s="302"/>
      <c r="M150" s="236"/>
    </row>
    <row r="151" spans="1:13" x14ac:dyDescent="0.2">
      <c r="A151" s="237"/>
      <c r="B151" s="302"/>
      <c r="C151" s="302"/>
      <c r="D151" s="302"/>
      <c r="E151" s="303"/>
      <c r="F151" s="302"/>
      <c r="G151" s="302"/>
      <c r="H151" s="302"/>
      <c r="I151" s="303"/>
      <c r="J151" s="302"/>
      <c r="K151" s="302"/>
      <c r="L151" s="302"/>
      <c r="M151" s="236"/>
    </row>
    <row r="152" spans="1:13" x14ac:dyDescent="0.2">
      <c r="A152" s="237"/>
      <c r="B152" s="302"/>
      <c r="C152" s="302"/>
      <c r="D152" s="302"/>
      <c r="E152" s="303"/>
      <c r="F152" s="302"/>
      <c r="G152" s="302"/>
      <c r="H152" s="302"/>
      <c r="I152" s="303"/>
      <c r="J152" s="302"/>
      <c r="K152" s="302"/>
      <c r="L152" s="302"/>
      <c r="M152" s="236"/>
    </row>
    <row r="153" spans="1:13" x14ac:dyDescent="0.2">
      <c r="A153" s="237"/>
      <c r="B153" s="302"/>
      <c r="C153" s="302"/>
      <c r="D153" s="302"/>
      <c r="E153" s="303"/>
      <c r="F153" s="302"/>
      <c r="G153" s="302"/>
      <c r="H153" s="302"/>
      <c r="I153" s="303"/>
      <c r="J153" s="302"/>
      <c r="K153" s="302"/>
      <c r="L153" s="302"/>
      <c r="M153" s="236"/>
    </row>
    <row r="154" spans="1:13" x14ac:dyDescent="0.2">
      <c r="A154" s="237"/>
      <c r="B154" s="302"/>
      <c r="C154" s="302"/>
      <c r="D154" s="302"/>
      <c r="E154" s="303"/>
      <c r="F154" s="302"/>
      <c r="G154" s="302"/>
      <c r="H154" s="302"/>
      <c r="I154" s="303"/>
      <c r="J154" s="302"/>
      <c r="K154" s="302"/>
      <c r="L154" s="302"/>
      <c r="M154" s="236"/>
    </row>
    <row r="155" spans="1:13" x14ac:dyDescent="0.2">
      <c r="A155" s="237"/>
      <c r="B155" s="303"/>
      <c r="C155" s="303"/>
      <c r="D155" s="303"/>
      <c r="E155" s="303"/>
      <c r="F155" s="303"/>
      <c r="G155" s="303"/>
      <c r="H155" s="303"/>
      <c r="I155" s="303"/>
      <c r="J155" s="303"/>
      <c r="K155" s="303"/>
      <c r="L155" s="303"/>
      <c r="M155" s="236"/>
    </row>
    <row r="156" spans="1:13" x14ac:dyDescent="0.2">
      <c r="A156" s="237"/>
      <c r="B156" s="237"/>
      <c r="C156" s="237"/>
      <c r="D156" s="237"/>
      <c r="E156" s="237"/>
      <c r="F156" s="237"/>
      <c r="G156" s="237"/>
      <c r="H156" s="237"/>
      <c r="I156" s="237"/>
      <c r="J156" s="237"/>
      <c r="K156" s="237"/>
      <c r="L156" s="240"/>
      <c r="M156" s="236"/>
    </row>
    <row r="157" spans="1:13" x14ac:dyDescent="0.2">
      <c r="A157" s="237"/>
      <c r="B157" s="237"/>
      <c r="C157" s="237"/>
      <c r="D157" s="237"/>
      <c r="E157" s="237"/>
      <c r="F157" s="237"/>
      <c r="G157" s="237"/>
      <c r="H157" s="237"/>
      <c r="I157" s="237"/>
      <c r="J157" s="237"/>
      <c r="K157" s="237"/>
      <c r="L157" s="284"/>
      <c r="M157" s="236"/>
    </row>
    <row r="158" spans="1:13" x14ac:dyDescent="0.2">
      <c r="A158" s="258"/>
      <c r="B158" s="241"/>
      <c r="C158" s="241"/>
      <c r="D158" s="241"/>
      <c r="E158" s="241"/>
      <c r="F158" s="241"/>
      <c r="G158" s="241"/>
      <c r="H158" s="241"/>
      <c r="I158" s="241"/>
      <c r="J158" s="241"/>
      <c r="K158" s="241"/>
      <c r="L158" s="236"/>
      <c r="M158" s="236"/>
    </row>
    <row r="159" spans="1:13" x14ac:dyDescent="0.2">
      <c r="A159" s="241"/>
      <c r="B159" s="375"/>
      <c r="C159" s="375"/>
      <c r="D159" s="375"/>
      <c r="E159" s="253"/>
      <c r="F159" s="375"/>
      <c r="G159" s="375"/>
      <c r="H159" s="375"/>
      <c r="I159" s="253"/>
      <c r="J159" s="375"/>
      <c r="K159" s="375"/>
      <c r="L159" s="375"/>
      <c r="M159" s="236"/>
    </row>
    <row r="160" spans="1:13" x14ac:dyDescent="0.2">
      <c r="A160" s="258"/>
      <c r="B160" s="259"/>
      <c r="C160" s="259"/>
      <c r="D160" s="259"/>
      <c r="E160" s="259"/>
      <c r="F160" s="259"/>
      <c r="G160" s="259"/>
      <c r="H160" s="259"/>
      <c r="I160" s="259"/>
      <c r="J160" s="259"/>
      <c r="K160" s="259"/>
      <c r="L160" s="259"/>
      <c r="M160" s="236"/>
    </row>
    <row r="161" spans="1:13" x14ac:dyDescent="0.2">
      <c r="A161" s="258"/>
      <c r="B161" s="259"/>
      <c r="C161" s="259"/>
      <c r="D161" s="259"/>
      <c r="E161" s="259"/>
      <c r="F161" s="259"/>
      <c r="G161" s="259"/>
      <c r="H161" s="259"/>
      <c r="I161" s="259"/>
      <c r="J161" s="259"/>
      <c r="K161" s="259"/>
      <c r="L161" s="259"/>
      <c r="M161" s="236"/>
    </row>
    <row r="162" spans="1:13" x14ac:dyDescent="0.2">
      <c r="A162" s="237"/>
      <c r="B162" s="302"/>
      <c r="C162" s="302"/>
      <c r="D162" s="302"/>
      <c r="E162" s="303"/>
      <c r="F162" s="302"/>
      <c r="G162" s="302"/>
      <c r="H162" s="302"/>
      <c r="I162" s="303"/>
      <c r="J162" s="302"/>
      <c r="K162" s="302"/>
      <c r="L162" s="302"/>
      <c r="M162" s="236"/>
    </row>
    <row r="163" spans="1:13" x14ac:dyDescent="0.2">
      <c r="A163" s="237"/>
      <c r="B163" s="302"/>
      <c r="C163" s="302"/>
      <c r="D163" s="302"/>
      <c r="E163" s="303"/>
      <c r="F163" s="302"/>
      <c r="G163" s="302"/>
      <c r="H163" s="302"/>
      <c r="I163" s="303"/>
      <c r="J163" s="302"/>
      <c r="K163" s="302"/>
      <c r="L163" s="302"/>
      <c r="M163" s="236"/>
    </row>
    <row r="164" spans="1:13" x14ac:dyDescent="0.2">
      <c r="A164" s="237"/>
      <c r="B164" s="302"/>
      <c r="C164" s="302"/>
      <c r="D164" s="302"/>
      <c r="E164" s="303"/>
      <c r="F164" s="302"/>
      <c r="G164" s="302"/>
      <c r="H164" s="302"/>
      <c r="I164" s="303"/>
      <c r="J164" s="302"/>
      <c r="K164" s="302"/>
      <c r="L164" s="302"/>
      <c r="M164" s="236"/>
    </row>
    <row r="165" spans="1:13" x14ac:dyDescent="0.2">
      <c r="A165" s="237"/>
      <c r="B165" s="302"/>
      <c r="C165" s="302"/>
      <c r="D165" s="302"/>
      <c r="E165" s="303"/>
      <c r="F165" s="302"/>
      <c r="G165" s="302"/>
      <c r="H165" s="302"/>
      <c r="I165" s="303"/>
      <c r="J165" s="302"/>
      <c r="K165" s="302"/>
      <c r="L165" s="302"/>
      <c r="M165" s="236"/>
    </row>
    <row r="166" spans="1:13" x14ac:dyDescent="0.2">
      <c r="A166" s="237"/>
      <c r="B166" s="302"/>
      <c r="C166" s="302"/>
      <c r="D166" s="302"/>
      <c r="E166" s="303"/>
      <c r="F166" s="302"/>
      <c r="G166" s="302"/>
      <c r="H166" s="302"/>
      <c r="I166" s="303"/>
      <c r="J166" s="302"/>
      <c r="K166" s="302"/>
      <c r="L166" s="302"/>
      <c r="M166" s="236"/>
    </row>
    <row r="167" spans="1:13" x14ac:dyDescent="0.2">
      <c r="A167" s="237"/>
      <c r="B167" s="302"/>
      <c r="C167" s="302"/>
      <c r="D167" s="302"/>
      <c r="E167" s="303"/>
      <c r="F167" s="302"/>
      <c r="G167" s="302"/>
      <c r="H167" s="302"/>
      <c r="I167" s="303"/>
      <c r="J167" s="302"/>
      <c r="K167" s="302"/>
      <c r="L167" s="302"/>
      <c r="M167" s="236"/>
    </row>
    <row r="168" spans="1:13" x14ac:dyDescent="0.2">
      <c r="A168" s="237"/>
      <c r="B168" s="302"/>
      <c r="C168" s="302"/>
      <c r="D168" s="302"/>
      <c r="E168" s="303"/>
      <c r="F168" s="302"/>
      <c r="G168" s="302"/>
      <c r="H168" s="302"/>
      <c r="I168" s="303"/>
      <c r="J168" s="302"/>
      <c r="K168" s="302"/>
      <c r="L168" s="302"/>
      <c r="M168" s="236"/>
    </row>
    <row r="169" spans="1:13" x14ac:dyDescent="0.2">
      <c r="A169" s="237"/>
      <c r="B169" s="302"/>
      <c r="C169" s="302"/>
      <c r="D169" s="302"/>
      <c r="E169" s="303"/>
      <c r="F169" s="302"/>
      <c r="G169" s="302"/>
      <c r="H169" s="302"/>
      <c r="I169" s="303"/>
      <c r="J169" s="302"/>
      <c r="K169" s="302"/>
      <c r="L169" s="302"/>
      <c r="M169" s="236"/>
    </row>
    <row r="170" spans="1:13" x14ac:dyDescent="0.2">
      <c r="A170" s="237"/>
      <c r="B170" s="302"/>
      <c r="C170" s="302"/>
      <c r="D170" s="302"/>
      <c r="E170" s="303"/>
      <c r="F170" s="302"/>
      <c r="G170" s="302"/>
      <c r="H170" s="302"/>
      <c r="I170" s="303"/>
      <c r="J170" s="302"/>
      <c r="K170" s="302"/>
      <c r="L170" s="302"/>
      <c r="M170" s="236"/>
    </row>
    <row r="171" spans="1:13" x14ac:dyDescent="0.2">
      <c r="A171" s="237"/>
      <c r="B171" s="302"/>
      <c r="C171" s="302"/>
      <c r="D171" s="302"/>
      <c r="E171" s="303"/>
      <c r="F171" s="302"/>
      <c r="G171" s="302"/>
      <c r="H171" s="302"/>
      <c r="I171" s="303"/>
      <c r="J171" s="302"/>
      <c r="K171" s="302"/>
      <c r="L171" s="302"/>
      <c r="M171" s="236"/>
    </row>
    <row r="172" spans="1:13" x14ac:dyDescent="0.2">
      <c r="A172" s="237"/>
      <c r="B172" s="303"/>
      <c r="C172" s="303"/>
      <c r="D172" s="303"/>
      <c r="E172" s="303"/>
      <c r="F172" s="303"/>
      <c r="G172" s="303"/>
      <c r="H172" s="303"/>
      <c r="I172" s="303"/>
      <c r="J172" s="303"/>
      <c r="K172" s="303"/>
      <c r="L172" s="303"/>
      <c r="M172" s="236"/>
    </row>
    <row r="173" spans="1:13" x14ac:dyDescent="0.2">
      <c r="A173" s="237"/>
      <c r="B173" s="237"/>
      <c r="C173" s="237"/>
      <c r="D173" s="237"/>
      <c r="E173" s="237"/>
      <c r="F173" s="237"/>
      <c r="G173" s="237"/>
      <c r="H173" s="237"/>
      <c r="I173" s="237"/>
      <c r="J173" s="237"/>
      <c r="K173" s="237"/>
      <c r="L173" s="240"/>
      <c r="M173" s="236"/>
    </row>
    <row r="174" spans="1:13" x14ac:dyDescent="0.2">
      <c r="A174" s="237"/>
      <c r="B174" s="237"/>
      <c r="C174" s="237"/>
      <c r="D174" s="237"/>
      <c r="E174" s="237"/>
      <c r="F174" s="237"/>
      <c r="G174" s="237"/>
      <c r="H174" s="237"/>
      <c r="I174" s="237"/>
      <c r="J174" s="237"/>
      <c r="K174" s="237"/>
      <c r="L174" s="284"/>
      <c r="M174" s="236"/>
    </row>
    <row r="175" spans="1:13" x14ac:dyDescent="0.2">
      <c r="A175" s="258"/>
      <c r="B175" s="241"/>
      <c r="C175" s="241"/>
      <c r="D175" s="241"/>
      <c r="E175" s="241"/>
      <c r="F175" s="241"/>
      <c r="G175" s="241"/>
      <c r="H175" s="241"/>
      <c r="I175" s="241"/>
      <c r="J175" s="241"/>
      <c r="K175" s="241"/>
      <c r="L175" s="236"/>
      <c r="M175" s="236"/>
    </row>
    <row r="176" spans="1:13" x14ac:dyDescent="0.2">
      <c r="A176" s="241"/>
      <c r="B176" s="375"/>
      <c r="C176" s="375"/>
      <c r="D176" s="375"/>
      <c r="E176" s="253"/>
      <c r="F176" s="375"/>
      <c r="G176" s="375"/>
      <c r="H176" s="375"/>
      <c r="I176" s="253"/>
      <c r="J176" s="375"/>
      <c r="K176" s="375"/>
      <c r="L176" s="375"/>
      <c r="M176" s="236"/>
    </row>
    <row r="177" spans="1:13" x14ac:dyDescent="0.2">
      <c r="A177" s="258"/>
      <c r="B177" s="259"/>
      <c r="C177" s="259"/>
      <c r="D177" s="259"/>
      <c r="E177" s="259"/>
      <c r="F177" s="259"/>
      <c r="G177" s="259"/>
      <c r="H177" s="259"/>
      <c r="I177" s="259"/>
      <c r="J177" s="259"/>
      <c r="K177" s="259"/>
      <c r="L177" s="259"/>
      <c r="M177" s="236"/>
    </row>
    <row r="178" spans="1:13" x14ac:dyDescent="0.2">
      <c r="A178" s="258"/>
      <c r="B178" s="259"/>
      <c r="C178" s="259"/>
      <c r="D178" s="259"/>
      <c r="E178" s="259"/>
      <c r="F178" s="259"/>
      <c r="G178" s="259"/>
      <c r="H178" s="259"/>
      <c r="I178" s="259"/>
      <c r="J178" s="259"/>
      <c r="K178" s="259"/>
      <c r="L178" s="259"/>
      <c r="M178" s="236"/>
    </row>
    <row r="179" spans="1:13" x14ac:dyDescent="0.2">
      <c r="A179" s="237"/>
      <c r="B179" s="302"/>
      <c r="C179" s="302"/>
      <c r="D179" s="302"/>
      <c r="E179" s="303"/>
      <c r="F179" s="302"/>
      <c r="G179" s="302"/>
      <c r="H179" s="302"/>
      <c r="I179" s="303"/>
      <c r="J179" s="302"/>
      <c r="K179" s="302"/>
      <c r="L179" s="302"/>
      <c r="M179" s="236"/>
    </row>
    <row r="180" spans="1:13" x14ac:dyDescent="0.2">
      <c r="A180" s="237"/>
      <c r="B180" s="302"/>
      <c r="C180" s="302"/>
      <c r="D180" s="302"/>
      <c r="E180" s="303"/>
      <c r="F180" s="302"/>
      <c r="G180" s="302"/>
      <c r="H180" s="302"/>
      <c r="I180" s="303"/>
      <c r="J180" s="302"/>
      <c r="K180" s="302"/>
      <c r="L180" s="302"/>
      <c r="M180" s="236"/>
    </row>
    <row r="181" spans="1:13" x14ac:dyDescent="0.2">
      <c r="A181" s="237"/>
      <c r="B181" s="302"/>
      <c r="C181" s="302"/>
      <c r="D181" s="302"/>
      <c r="E181" s="303"/>
      <c r="F181" s="302"/>
      <c r="G181" s="302"/>
      <c r="H181" s="302"/>
      <c r="I181" s="303"/>
      <c r="J181" s="302"/>
      <c r="K181" s="302"/>
      <c r="L181" s="302"/>
      <c r="M181" s="236"/>
    </row>
    <row r="182" spans="1:13" x14ac:dyDescent="0.2">
      <c r="A182" s="237"/>
      <c r="B182" s="302"/>
      <c r="C182" s="302"/>
      <c r="D182" s="302"/>
      <c r="E182" s="303"/>
      <c r="F182" s="302"/>
      <c r="G182" s="302"/>
      <c r="H182" s="302"/>
      <c r="I182" s="303"/>
      <c r="J182" s="302"/>
      <c r="K182" s="302"/>
      <c r="L182" s="302"/>
      <c r="M182" s="236"/>
    </row>
    <row r="183" spans="1:13" x14ac:dyDescent="0.2">
      <c r="A183" s="237"/>
      <c r="B183" s="302"/>
      <c r="C183" s="302"/>
      <c r="D183" s="302"/>
      <c r="E183" s="303"/>
      <c r="F183" s="302"/>
      <c r="G183" s="302"/>
      <c r="H183" s="302"/>
      <c r="I183" s="303"/>
      <c r="J183" s="302"/>
      <c r="K183" s="302"/>
      <c r="L183" s="302"/>
      <c r="M183" s="236"/>
    </row>
    <row r="184" spans="1:13" x14ac:dyDescent="0.2">
      <c r="A184" s="237"/>
      <c r="B184" s="302"/>
      <c r="C184" s="302"/>
      <c r="D184" s="302"/>
      <c r="E184" s="303"/>
      <c r="F184" s="302"/>
      <c r="G184" s="302"/>
      <c r="H184" s="302"/>
      <c r="I184" s="303"/>
      <c r="J184" s="302"/>
      <c r="K184" s="302"/>
      <c r="L184" s="302"/>
      <c r="M184" s="236"/>
    </row>
    <row r="185" spans="1:13" x14ac:dyDescent="0.2">
      <c r="A185" s="237"/>
      <c r="B185" s="302"/>
      <c r="C185" s="302"/>
      <c r="D185" s="302"/>
      <c r="E185" s="303"/>
      <c r="F185" s="302"/>
      <c r="G185" s="302"/>
      <c r="H185" s="302"/>
      <c r="I185" s="303"/>
      <c r="J185" s="302"/>
      <c r="K185" s="302"/>
      <c r="L185" s="302"/>
      <c r="M185" s="236"/>
    </row>
    <row r="186" spans="1:13" x14ac:dyDescent="0.2">
      <c r="A186" s="237"/>
      <c r="B186" s="302"/>
      <c r="C186" s="302"/>
      <c r="D186" s="302"/>
      <c r="E186" s="303"/>
      <c r="F186" s="302"/>
      <c r="G186" s="302"/>
      <c r="H186" s="302"/>
      <c r="I186" s="303"/>
      <c r="J186" s="302"/>
      <c r="K186" s="302"/>
      <c r="L186" s="302"/>
      <c r="M186" s="236"/>
    </row>
    <row r="187" spans="1:13" x14ac:dyDescent="0.2">
      <c r="A187" s="237"/>
      <c r="B187" s="302"/>
      <c r="C187" s="302"/>
      <c r="D187" s="302"/>
      <c r="E187" s="303"/>
      <c r="F187" s="302"/>
      <c r="G187" s="302"/>
      <c r="H187" s="302"/>
      <c r="I187" s="303"/>
      <c r="J187" s="302"/>
      <c r="K187" s="302"/>
      <c r="L187" s="302"/>
      <c r="M187" s="236"/>
    </row>
    <row r="188" spans="1:13" x14ac:dyDescent="0.2">
      <c r="A188" s="237"/>
      <c r="B188" s="302"/>
      <c r="C188" s="302"/>
      <c r="D188" s="302"/>
      <c r="E188" s="303"/>
      <c r="F188" s="302"/>
      <c r="G188" s="302"/>
      <c r="H188" s="302"/>
      <c r="I188" s="303"/>
      <c r="J188" s="302"/>
      <c r="K188" s="302"/>
      <c r="L188" s="302"/>
      <c r="M188" s="236"/>
    </row>
    <row r="189" spans="1:13" x14ac:dyDescent="0.2">
      <c r="A189" s="237"/>
      <c r="B189" s="303"/>
      <c r="C189" s="303"/>
      <c r="D189" s="303"/>
      <c r="E189" s="303"/>
      <c r="F189" s="303"/>
      <c r="G189" s="303"/>
      <c r="H189" s="303"/>
      <c r="I189" s="303"/>
      <c r="J189" s="303"/>
      <c r="K189" s="303"/>
      <c r="L189" s="303"/>
      <c r="M189" s="236"/>
    </row>
    <row r="190" spans="1:13" x14ac:dyDescent="0.2">
      <c r="A190" s="237"/>
      <c r="B190" s="237"/>
      <c r="C190" s="237"/>
      <c r="D190" s="237"/>
      <c r="E190" s="237"/>
      <c r="F190" s="237"/>
      <c r="G190" s="237"/>
      <c r="H190" s="237"/>
      <c r="I190" s="237"/>
      <c r="J190" s="237"/>
      <c r="K190" s="237"/>
      <c r="L190" s="240"/>
      <c r="M190" s="236"/>
    </row>
    <row r="191" spans="1:13" x14ac:dyDescent="0.2">
      <c r="A191" s="237"/>
      <c r="B191" s="237"/>
      <c r="C191" s="237"/>
      <c r="D191" s="237"/>
      <c r="E191" s="237"/>
      <c r="F191" s="237"/>
      <c r="G191" s="237"/>
      <c r="H191" s="237"/>
      <c r="I191" s="237"/>
      <c r="J191" s="237"/>
      <c r="K191" s="237"/>
      <c r="L191" s="284"/>
      <c r="M191" s="236"/>
    </row>
    <row r="192" spans="1:13" x14ac:dyDescent="0.2">
      <c r="A192" s="258"/>
      <c r="B192" s="241"/>
      <c r="C192" s="241"/>
      <c r="D192" s="241"/>
      <c r="E192" s="241"/>
      <c r="F192" s="241"/>
      <c r="G192" s="241"/>
      <c r="H192" s="241"/>
      <c r="I192" s="241"/>
      <c r="J192" s="241"/>
      <c r="K192" s="241"/>
      <c r="L192" s="236"/>
      <c r="M192" s="236"/>
    </row>
    <row r="193" spans="1:13" x14ac:dyDescent="0.2">
      <c r="A193" s="241"/>
      <c r="B193" s="375"/>
      <c r="C193" s="375"/>
      <c r="D193" s="375"/>
      <c r="E193" s="253"/>
      <c r="F193" s="375"/>
      <c r="G193" s="375"/>
      <c r="H193" s="375"/>
      <c r="I193" s="253"/>
      <c r="J193" s="375"/>
      <c r="K193" s="375"/>
      <c r="L193" s="375"/>
      <c r="M193" s="236"/>
    </row>
    <row r="194" spans="1:13" x14ac:dyDescent="0.2">
      <c r="A194" s="258"/>
      <c r="B194" s="259"/>
      <c r="C194" s="259"/>
      <c r="D194" s="259"/>
      <c r="E194" s="259"/>
      <c r="F194" s="259"/>
      <c r="G194" s="259"/>
      <c r="H194" s="259"/>
      <c r="I194" s="259"/>
      <c r="J194" s="259"/>
      <c r="K194" s="259"/>
      <c r="L194" s="259"/>
      <c r="M194" s="236"/>
    </row>
    <row r="195" spans="1:13" x14ac:dyDescent="0.2">
      <c r="A195" s="258"/>
      <c r="B195" s="259"/>
      <c r="C195" s="259"/>
      <c r="D195" s="259"/>
      <c r="E195" s="259"/>
      <c r="F195" s="259"/>
      <c r="G195" s="259"/>
      <c r="H195" s="259"/>
      <c r="I195" s="259"/>
      <c r="J195" s="259"/>
      <c r="K195" s="259"/>
      <c r="L195" s="259"/>
      <c r="M195" s="236"/>
    </row>
    <row r="196" spans="1:13" x14ac:dyDescent="0.2">
      <c r="A196" s="237"/>
      <c r="B196" s="302"/>
      <c r="C196" s="302"/>
      <c r="D196" s="302"/>
      <c r="E196" s="303"/>
      <c r="F196" s="302"/>
      <c r="G196" s="302"/>
      <c r="H196" s="302"/>
      <c r="I196" s="303"/>
      <c r="J196" s="302"/>
      <c r="K196" s="302"/>
      <c r="L196" s="302"/>
      <c r="M196" s="236"/>
    </row>
    <row r="197" spans="1:13" x14ac:dyDescent="0.2">
      <c r="A197" s="237"/>
      <c r="B197" s="302"/>
      <c r="C197" s="302"/>
      <c r="D197" s="302"/>
      <c r="E197" s="303"/>
      <c r="F197" s="302"/>
      <c r="G197" s="302"/>
      <c r="H197" s="302"/>
      <c r="I197" s="303"/>
      <c r="J197" s="302"/>
      <c r="K197" s="302"/>
      <c r="L197" s="302"/>
      <c r="M197" s="236"/>
    </row>
    <row r="198" spans="1:13" x14ac:dyDescent="0.2">
      <c r="A198" s="237"/>
      <c r="B198" s="302"/>
      <c r="C198" s="302"/>
      <c r="D198" s="302"/>
      <c r="E198" s="303"/>
      <c r="F198" s="302"/>
      <c r="G198" s="302"/>
      <c r="H198" s="302"/>
      <c r="I198" s="303"/>
      <c r="J198" s="302"/>
      <c r="K198" s="302"/>
      <c r="L198" s="302"/>
      <c r="M198" s="236"/>
    </row>
    <row r="199" spans="1:13" x14ac:dyDescent="0.2">
      <c r="A199" s="237"/>
      <c r="B199" s="302"/>
      <c r="C199" s="302"/>
      <c r="D199" s="302"/>
      <c r="E199" s="303"/>
      <c r="F199" s="302"/>
      <c r="G199" s="302"/>
      <c r="H199" s="302"/>
      <c r="I199" s="303"/>
      <c r="J199" s="302"/>
      <c r="K199" s="302"/>
      <c r="L199" s="302"/>
      <c r="M199" s="236"/>
    </row>
    <row r="200" spans="1:13" x14ac:dyDescent="0.2">
      <c r="A200" s="237"/>
      <c r="B200" s="302"/>
      <c r="C200" s="302"/>
      <c r="D200" s="302"/>
      <c r="E200" s="303"/>
      <c r="F200" s="302"/>
      <c r="G200" s="302"/>
      <c r="H200" s="302"/>
      <c r="I200" s="303"/>
      <c r="J200" s="302"/>
      <c r="K200" s="302"/>
      <c r="L200" s="302"/>
      <c r="M200" s="236"/>
    </row>
    <row r="201" spans="1:13" x14ac:dyDescent="0.2">
      <c r="A201" s="237"/>
      <c r="B201" s="302"/>
      <c r="C201" s="302"/>
      <c r="D201" s="302"/>
      <c r="E201" s="303"/>
      <c r="F201" s="302"/>
      <c r="G201" s="302"/>
      <c r="H201" s="302"/>
      <c r="I201" s="303"/>
      <c r="J201" s="302"/>
      <c r="K201" s="302"/>
      <c r="L201" s="302"/>
      <c r="M201" s="236"/>
    </row>
    <row r="202" spans="1:13" x14ac:dyDescent="0.2">
      <c r="A202" s="237"/>
      <c r="B202" s="302"/>
      <c r="C202" s="302"/>
      <c r="D202" s="302"/>
      <c r="E202" s="303"/>
      <c r="F202" s="302"/>
      <c r="G202" s="302"/>
      <c r="H202" s="302"/>
      <c r="I202" s="303"/>
      <c r="J202" s="302"/>
      <c r="K202" s="302"/>
      <c r="L202" s="302"/>
      <c r="M202" s="236"/>
    </row>
    <row r="203" spans="1:13" x14ac:dyDescent="0.2">
      <c r="A203" s="237"/>
      <c r="B203" s="302"/>
      <c r="C203" s="302"/>
      <c r="D203" s="302"/>
      <c r="E203" s="303"/>
      <c r="F203" s="302"/>
      <c r="G203" s="302"/>
      <c r="H203" s="302"/>
      <c r="I203" s="303"/>
      <c r="J203" s="302"/>
      <c r="K203" s="302"/>
      <c r="L203" s="302"/>
      <c r="M203" s="236"/>
    </row>
    <row r="204" spans="1:13" x14ac:dyDescent="0.2">
      <c r="A204" s="237"/>
      <c r="B204" s="302"/>
      <c r="C204" s="302"/>
      <c r="D204" s="302"/>
      <c r="E204" s="303"/>
      <c r="F204" s="302"/>
      <c r="G204" s="302"/>
      <c r="H204" s="302"/>
      <c r="I204" s="303"/>
      <c r="J204" s="302"/>
      <c r="K204" s="302"/>
      <c r="L204" s="302"/>
      <c r="M204" s="236"/>
    </row>
    <row r="205" spans="1:13" x14ac:dyDescent="0.2">
      <c r="A205" s="237"/>
      <c r="B205" s="302"/>
      <c r="C205" s="302"/>
      <c r="D205" s="302"/>
      <c r="E205" s="303"/>
      <c r="F205" s="302"/>
      <c r="G205" s="302"/>
      <c r="H205" s="302"/>
      <c r="I205" s="303"/>
      <c r="J205" s="302"/>
      <c r="K205" s="302"/>
      <c r="L205" s="302"/>
      <c r="M205" s="236"/>
    </row>
    <row r="206" spans="1:13" x14ac:dyDescent="0.2">
      <c r="A206" s="237"/>
      <c r="B206" s="303"/>
      <c r="C206" s="303"/>
      <c r="D206" s="303"/>
      <c r="E206" s="303"/>
      <c r="F206" s="303"/>
      <c r="G206" s="303"/>
      <c r="H206" s="303"/>
      <c r="I206" s="303"/>
      <c r="J206" s="303"/>
      <c r="K206" s="303"/>
      <c r="L206" s="303"/>
      <c r="M206" s="236"/>
    </row>
    <row r="207" spans="1:13" x14ac:dyDescent="0.2">
      <c r="A207" s="237"/>
      <c r="B207" s="237"/>
      <c r="C207" s="237"/>
      <c r="D207" s="237"/>
      <c r="E207" s="237"/>
      <c r="F207" s="237"/>
      <c r="G207" s="237"/>
      <c r="H207" s="237"/>
      <c r="I207" s="237"/>
      <c r="J207" s="237"/>
      <c r="K207" s="237"/>
      <c r="L207" s="240"/>
      <c r="M207" s="236"/>
    </row>
    <row r="208" spans="1:13" x14ac:dyDescent="0.2">
      <c r="A208" s="237"/>
      <c r="B208" s="237"/>
      <c r="C208" s="237"/>
      <c r="D208" s="237"/>
      <c r="E208" s="237"/>
      <c r="F208" s="237"/>
      <c r="G208" s="237"/>
      <c r="H208" s="237"/>
      <c r="I208" s="237"/>
      <c r="J208" s="237"/>
      <c r="K208" s="237"/>
      <c r="L208" s="284"/>
      <c r="M208" s="236"/>
    </row>
    <row r="209" spans="1:13" x14ac:dyDescent="0.2">
      <c r="A209" s="258"/>
      <c r="B209" s="241"/>
      <c r="C209" s="241"/>
      <c r="D209" s="241"/>
      <c r="E209" s="241"/>
      <c r="F209" s="241"/>
      <c r="G209" s="241"/>
      <c r="H209" s="241"/>
      <c r="I209" s="241"/>
      <c r="J209" s="241"/>
      <c r="K209" s="241"/>
      <c r="L209" s="236"/>
      <c r="M209" s="236"/>
    </row>
    <row r="210" spans="1:13" x14ac:dyDescent="0.2">
      <c r="A210" s="241"/>
      <c r="B210" s="375"/>
      <c r="C210" s="375"/>
      <c r="D210" s="375"/>
      <c r="E210" s="253"/>
      <c r="F210" s="375"/>
      <c r="G210" s="375"/>
      <c r="H210" s="375"/>
      <c r="I210" s="253"/>
      <c r="J210" s="375"/>
      <c r="K210" s="375"/>
      <c r="L210" s="375"/>
      <c r="M210" s="236"/>
    </row>
    <row r="211" spans="1:13" x14ac:dyDescent="0.2">
      <c r="A211" s="258"/>
      <c r="B211" s="259"/>
      <c r="C211" s="259"/>
      <c r="D211" s="259"/>
      <c r="E211" s="259"/>
      <c r="F211" s="259"/>
      <c r="G211" s="259"/>
      <c r="H211" s="259"/>
      <c r="I211" s="259"/>
      <c r="J211" s="259"/>
      <c r="K211" s="259"/>
      <c r="L211" s="259"/>
      <c r="M211" s="236"/>
    </row>
    <row r="212" spans="1:13" x14ac:dyDescent="0.2">
      <c r="A212" s="258"/>
      <c r="B212" s="259"/>
      <c r="C212" s="259"/>
      <c r="D212" s="259"/>
      <c r="E212" s="259"/>
      <c r="F212" s="259"/>
      <c r="G212" s="259"/>
      <c r="H212" s="259"/>
      <c r="I212" s="259"/>
      <c r="J212" s="259"/>
      <c r="K212" s="259"/>
      <c r="L212" s="259"/>
      <c r="M212" s="236"/>
    </row>
    <row r="213" spans="1:13" x14ac:dyDescent="0.2">
      <c r="A213" s="237"/>
      <c r="B213" s="302"/>
      <c r="C213" s="302"/>
      <c r="D213" s="302"/>
      <c r="E213" s="303"/>
      <c r="F213" s="302"/>
      <c r="G213" s="302"/>
      <c r="H213" s="302"/>
      <c r="I213" s="303"/>
      <c r="J213" s="302"/>
      <c r="K213" s="302"/>
      <c r="L213" s="302"/>
      <c r="M213" s="236"/>
    </row>
    <row r="214" spans="1:13" x14ac:dyDescent="0.2">
      <c r="A214" s="237"/>
      <c r="B214" s="302"/>
      <c r="C214" s="302"/>
      <c r="D214" s="302"/>
      <c r="E214" s="303"/>
      <c r="F214" s="302"/>
      <c r="G214" s="302"/>
      <c r="H214" s="302"/>
      <c r="I214" s="303"/>
      <c r="J214" s="302"/>
      <c r="K214" s="302"/>
      <c r="L214" s="302"/>
      <c r="M214" s="236"/>
    </row>
    <row r="215" spans="1:13" x14ac:dyDescent="0.2">
      <c r="A215" s="237"/>
      <c r="B215" s="302"/>
      <c r="C215" s="302"/>
      <c r="D215" s="302"/>
      <c r="E215" s="303"/>
      <c r="F215" s="302"/>
      <c r="G215" s="302"/>
      <c r="H215" s="302"/>
      <c r="I215" s="303"/>
      <c r="J215" s="302"/>
      <c r="K215" s="302"/>
      <c r="L215" s="302"/>
      <c r="M215" s="236"/>
    </row>
    <row r="216" spans="1:13" x14ac:dyDescent="0.2">
      <c r="A216" s="237"/>
      <c r="B216" s="302"/>
      <c r="C216" s="302"/>
      <c r="D216" s="302"/>
      <c r="E216" s="303"/>
      <c r="F216" s="302"/>
      <c r="G216" s="302"/>
      <c r="H216" s="302"/>
      <c r="I216" s="303"/>
      <c r="J216" s="302"/>
      <c r="K216" s="302"/>
      <c r="L216" s="302"/>
      <c r="M216" s="236"/>
    </row>
    <row r="217" spans="1:13" x14ac:dyDescent="0.2">
      <c r="A217" s="237"/>
      <c r="B217" s="302"/>
      <c r="C217" s="302"/>
      <c r="D217" s="302"/>
      <c r="E217" s="303"/>
      <c r="F217" s="302"/>
      <c r="G217" s="302"/>
      <c r="H217" s="302"/>
      <c r="I217" s="303"/>
      <c r="J217" s="302"/>
      <c r="K217" s="302"/>
      <c r="L217" s="302"/>
      <c r="M217" s="236"/>
    </row>
    <row r="218" spans="1:13" x14ac:dyDescent="0.2">
      <c r="A218" s="237"/>
      <c r="B218" s="302"/>
      <c r="C218" s="302"/>
      <c r="D218" s="302"/>
      <c r="E218" s="303"/>
      <c r="F218" s="302"/>
      <c r="G218" s="302"/>
      <c r="H218" s="302"/>
      <c r="I218" s="303"/>
      <c r="J218" s="302"/>
      <c r="K218" s="302"/>
      <c r="L218" s="302"/>
      <c r="M218" s="236"/>
    </row>
    <row r="219" spans="1:13" x14ac:dyDescent="0.2">
      <c r="A219" s="237"/>
      <c r="B219" s="302"/>
      <c r="C219" s="302"/>
      <c r="D219" s="302"/>
      <c r="E219" s="303"/>
      <c r="F219" s="302"/>
      <c r="G219" s="302"/>
      <c r="H219" s="302"/>
      <c r="I219" s="303"/>
      <c r="J219" s="302"/>
      <c r="K219" s="302"/>
      <c r="L219" s="302"/>
      <c r="M219" s="236"/>
    </row>
    <row r="220" spans="1:13" x14ac:dyDescent="0.2">
      <c r="A220" s="237"/>
      <c r="B220" s="302"/>
      <c r="C220" s="302"/>
      <c r="D220" s="302"/>
      <c r="E220" s="303"/>
      <c r="F220" s="302"/>
      <c r="G220" s="302"/>
      <c r="H220" s="302"/>
      <c r="I220" s="303"/>
      <c r="J220" s="302"/>
      <c r="K220" s="302"/>
      <c r="L220" s="302"/>
      <c r="M220" s="236"/>
    </row>
    <row r="221" spans="1:13" x14ac:dyDescent="0.2">
      <c r="A221" s="237"/>
      <c r="B221" s="302"/>
      <c r="C221" s="302"/>
      <c r="D221" s="302"/>
      <c r="E221" s="303"/>
      <c r="F221" s="302"/>
      <c r="G221" s="302"/>
      <c r="H221" s="302"/>
      <c r="I221" s="303"/>
      <c r="J221" s="302"/>
      <c r="K221" s="302"/>
      <c r="L221" s="302"/>
      <c r="M221" s="236"/>
    </row>
    <row r="222" spans="1:13" x14ac:dyDescent="0.2">
      <c r="A222" s="237"/>
      <c r="B222" s="302"/>
      <c r="C222" s="302"/>
      <c r="D222" s="302"/>
      <c r="E222" s="303"/>
      <c r="F222" s="302"/>
      <c r="G222" s="302"/>
      <c r="H222" s="302"/>
      <c r="I222" s="303"/>
      <c r="J222" s="302"/>
      <c r="K222" s="302"/>
      <c r="L222" s="302"/>
      <c r="M222" s="236"/>
    </row>
    <row r="223" spans="1:13" x14ac:dyDescent="0.2">
      <c r="A223" s="237"/>
      <c r="B223" s="303"/>
      <c r="C223" s="303"/>
      <c r="D223" s="303"/>
      <c r="E223" s="303"/>
      <c r="F223" s="303"/>
      <c r="G223" s="303"/>
      <c r="H223" s="303"/>
      <c r="I223" s="303"/>
      <c r="J223" s="303"/>
      <c r="K223" s="303"/>
      <c r="L223" s="303"/>
      <c r="M223" s="236"/>
    </row>
    <row r="224" spans="1:13" x14ac:dyDescent="0.2">
      <c r="A224" s="237"/>
      <c r="B224" s="237"/>
      <c r="C224" s="237"/>
      <c r="D224" s="237"/>
      <c r="E224" s="237"/>
      <c r="F224" s="237"/>
      <c r="G224" s="237"/>
      <c r="H224" s="237"/>
      <c r="I224" s="237"/>
      <c r="J224" s="237"/>
      <c r="K224" s="237"/>
      <c r="L224" s="240"/>
      <c r="M224" s="236"/>
    </row>
    <row r="225" spans="1:13" x14ac:dyDescent="0.2">
      <c r="A225" s="237"/>
      <c r="B225" s="237"/>
      <c r="C225" s="237"/>
      <c r="D225" s="237"/>
      <c r="E225" s="237"/>
      <c r="F225" s="237"/>
      <c r="G225" s="237"/>
      <c r="H225" s="237"/>
      <c r="I225" s="237"/>
      <c r="J225" s="237"/>
      <c r="K225" s="237"/>
      <c r="L225" s="284"/>
      <c r="M225" s="236"/>
    </row>
    <row r="226" spans="1:13" x14ac:dyDescent="0.2">
      <c r="A226" s="258"/>
      <c r="B226" s="241"/>
      <c r="C226" s="241"/>
      <c r="D226" s="241"/>
      <c r="E226" s="241"/>
      <c r="F226" s="241"/>
      <c r="G226" s="241"/>
      <c r="H226" s="241"/>
      <c r="I226" s="241"/>
      <c r="J226" s="241"/>
      <c r="K226" s="241"/>
      <c r="L226" s="236"/>
      <c r="M226" s="236"/>
    </row>
    <row r="227" spans="1:13" x14ac:dyDescent="0.2">
      <c r="A227" s="241"/>
      <c r="B227" s="375"/>
      <c r="C227" s="375"/>
      <c r="D227" s="375"/>
      <c r="E227" s="253"/>
      <c r="F227" s="375"/>
      <c r="G227" s="375"/>
      <c r="H227" s="375"/>
      <c r="I227" s="253"/>
      <c r="J227" s="375"/>
      <c r="K227" s="375"/>
      <c r="L227" s="375"/>
      <c r="M227" s="236"/>
    </row>
    <row r="228" spans="1:13" x14ac:dyDescent="0.2">
      <c r="A228" s="258"/>
      <c r="B228" s="259"/>
      <c r="C228" s="259"/>
      <c r="D228" s="259"/>
      <c r="E228" s="259"/>
      <c r="F228" s="259"/>
      <c r="G228" s="259"/>
      <c r="H228" s="259"/>
      <c r="I228" s="259"/>
      <c r="J228" s="259"/>
      <c r="K228" s="259"/>
      <c r="L228" s="259"/>
      <c r="M228" s="236"/>
    </row>
    <row r="229" spans="1:13" x14ac:dyDescent="0.2">
      <c r="A229" s="258"/>
      <c r="B229" s="259"/>
      <c r="C229" s="259"/>
      <c r="D229" s="259"/>
      <c r="E229" s="259"/>
      <c r="F229" s="259"/>
      <c r="G229" s="259"/>
      <c r="H229" s="259"/>
      <c r="I229" s="259"/>
      <c r="J229" s="259"/>
      <c r="K229" s="259"/>
      <c r="L229" s="259"/>
      <c r="M229" s="236"/>
    </row>
    <row r="230" spans="1:13" x14ac:dyDescent="0.2">
      <c r="A230" s="237"/>
      <c r="B230" s="302"/>
      <c r="C230" s="302"/>
      <c r="D230" s="302"/>
      <c r="E230" s="303"/>
      <c r="F230" s="302"/>
      <c r="G230" s="302"/>
      <c r="H230" s="302"/>
      <c r="I230" s="303"/>
      <c r="J230" s="302"/>
      <c r="K230" s="302"/>
      <c r="L230" s="302"/>
      <c r="M230" s="236"/>
    </row>
    <row r="231" spans="1:13" x14ac:dyDescent="0.2">
      <c r="A231" s="237"/>
      <c r="B231" s="302"/>
      <c r="C231" s="302"/>
      <c r="D231" s="302"/>
      <c r="E231" s="303"/>
      <c r="F231" s="302"/>
      <c r="G231" s="302"/>
      <c r="H231" s="302"/>
      <c r="I231" s="303"/>
      <c r="J231" s="302"/>
      <c r="K231" s="302"/>
      <c r="L231" s="302"/>
      <c r="M231" s="236"/>
    </row>
    <row r="232" spans="1:13" x14ac:dyDescent="0.2">
      <c r="A232" s="237"/>
      <c r="B232" s="302"/>
      <c r="C232" s="302"/>
      <c r="D232" s="302"/>
      <c r="E232" s="303"/>
      <c r="F232" s="302"/>
      <c r="G232" s="302"/>
      <c r="H232" s="302"/>
      <c r="I232" s="303"/>
      <c r="J232" s="302"/>
      <c r="K232" s="302"/>
      <c r="L232" s="302"/>
      <c r="M232" s="236"/>
    </row>
    <row r="233" spans="1:13" x14ac:dyDescent="0.2">
      <c r="A233" s="237"/>
      <c r="B233" s="302"/>
      <c r="C233" s="302"/>
      <c r="D233" s="302"/>
      <c r="E233" s="303"/>
      <c r="F233" s="302"/>
      <c r="G233" s="302"/>
      <c r="H233" s="302"/>
      <c r="I233" s="303"/>
      <c r="J233" s="302"/>
      <c r="K233" s="302"/>
      <c r="L233" s="302"/>
      <c r="M233" s="236"/>
    </row>
    <row r="234" spans="1:13" x14ac:dyDescent="0.2">
      <c r="A234" s="237"/>
      <c r="B234" s="302"/>
      <c r="C234" s="302"/>
      <c r="D234" s="302"/>
      <c r="E234" s="303"/>
      <c r="F234" s="302"/>
      <c r="G234" s="302"/>
      <c r="H234" s="302"/>
      <c r="I234" s="303"/>
      <c r="J234" s="302"/>
      <c r="K234" s="302"/>
      <c r="L234" s="302"/>
      <c r="M234" s="236"/>
    </row>
    <row r="235" spans="1:13" x14ac:dyDescent="0.2">
      <c r="A235" s="237"/>
      <c r="B235" s="302"/>
      <c r="C235" s="302"/>
      <c r="D235" s="302"/>
      <c r="E235" s="303"/>
      <c r="F235" s="302"/>
      <c r="G235" s="302"/>
      <c r="H235" s="302"/>
      <c r="I235" s="303"/>
      <c r="J235" s="302"/>
      <c r="K235" s="302"/>
      <c r="L235" s="302"/>
      <c r="M235" s="236"/>
    </row>
    <row r="236" spans="1:13" x14ac:dyDescent="0.2">
      <c r="A236" s="237"/>
      <c r="B236" s="302"/>
      <c r="C236" s="302"/>
      <c r="D236" s="302"/>
      <c r="E236" s="303"/>
      <c r="F236" s="302"/>
      <c r="G236" s="302"/>
      <c r="H236" s="302"/>
      <c r="I236" s="303"/>
      <c r="J236" s="302"/>
      <c r="K236" s="302"/>
      <c r="L236" s="302"/>
      <c r="M236" s="236"/>
    </row>
    <row r="237" spans="1:13" x14ac:dyDescent="0.2">
      <c r="A237" s="237"/>
      <c r="B237" s="302"/>
      <c r="C237" s="302"/>
      <c r="D237" s="302"/>
      <c r="E237" s="303"/>
      <c r="F237" s="302"/>
      <c r="G237" s="302"/>
      <c r="H237" s="302"/>
      <c r="I237" s="303"/>
      <c r="J237" s="302"/>
      <c r="K237" s="302"/>
      <c r="L237" s="302"/>
      <c r="M237" s="236"/>
    </row>
    <row r="238" spans="1:13" x14ac:dyDescent="0.2">
      <c r="A238" s="237"/>
      <c r="B238" s="302"/>
      <c r="C238" s="302"/>
      <c r="D238" s="302"/>
      <c r="E238" s="303"/>
      <c r="F238" s="302"/>
      <c r="G238" s="302"/>
      <c r="H238" s="302"/>
      <c r="I238" s="303"/>
      <c r="J238" s="302"/>
      <c r="K238" s="302"/>
      <c r="L238" s="302"/>
      <c r="M238" s="236"/>
    </row>
    <row r="239" spans="1:13" x14ac:dyDescent="0.2">
      <c r="A239" s="237"/>
      <c r="B239" s="302"/>
      <c r="C239" s="302"/>
      <c r="D239" s="302"/>
      <c r="E239" s="303"/>
      <c r="F239" s="302"/>
      <c r="G239" s="302"/>
      <c r="H239" s="302"/>
      <c r="I239" s="303"/>
      <c r="J239" s="302"/>
      <c r="K239" s="302"/>
      <c r="L239" s="302"/>
      <c r="M239" s="236"/>
    </row>
    <row r="240" spans="1:13" x14ac:dyDescent="0.2">
      <c r="A240" s="237"/>
      <c r="B240" s="303"/>
      <c r="C240" s="303"/>
      <c r="D240" s="303"/>
      <c r="E240" s="303"/>
      <c r="F240" s="303"/>
      <c r="G240" s="303"/>
      <c r="H240" s="303"/>
      <c r="I240" s="303"/>
      <c r="J240" s="303"/>
      <c r="K240" s="303"/>
      <c r="L240" s="303"/>
      <c r="M240" s="236"/>
    </row>
    <row r="241" spans="1:13" x14ac:dyDescent="0.2">
      <c r="A241" s="237"/>
      <c r="B241" s="237"/>
      <c r="C241" s="237"/>
      <c r="D241" s="237"/>
      <c r="E241" s="237"/>
      <c r="F241" s="237"/>
      <c r="G241" s="237"/>
      <c r="H241" s="237"/>
      <c r="I241" s="237"/>
      <c r="J241" s="237"/>
      <c r="K241" s="237"/>
      <c r="L241" s="240"/>
      <c r="M241" s="236"/>
    </row>
    <row r="242" spans="1:13" x14ac:dyDescent="0.2">
      <c r="A242" s="237"/>
      <c r="B242" s="237"/>
      <c r="C242" s="237"/>
      <c r="D242" s="237"/>
      <c r="E242" s="237"/>
      <c r="F242" s="237"/>
      <c r="G242" s="237"/>
      <c r="H242" s="237"/>
      <c r="I242" s="237"/>
      <c r="J242" s="237"/>
      <c r="K242" s="237"/>
      <c r="L242" s="284"/>
      <c r="M242" s="236"/>
    </row>
    <row r="243" spans="1:13" x14ac:dyDescent="0.2">
      <c r="A243" s="258"/>
      <c r="B243" s="241"/>
      <c r="C243" s="241"/>
      <c r="D243" s="241"/>
      <c r="E243" s="241"/>
      <c r="F243" s="241"/>
      <c r="G243" s="241"/>
      <c r="H243" s="241"/>
      <c r="I243" s="241"/>
      <c r="J243" s="241"/>
      <c r="K243" s="241"/>
      <c r="L243" s="236"/>
      <c r="M243" s="236"/>
    </row>
    <row r="244" spans="1:13" x14ac:dyDescent="0.2">
      <c r="A244" s="241"/>
      <c r="B244" s="375"/>
      <c r="C244" s="375"/>
      <c r="D244" s="375"/>
      <c r="E244" s="253"/>
      <c r="F244" s="375"/>
      <c r="G244" s="375"/>
      <c r="H244" s="375"/>
      <c r="I244" s="253"/>
      <c r="J244" s="375"/>
      <c r="K244" s="375"/>
      <c r="L244" s="375"/>
      <c r="M244" s="236"/>
    </row>
    <row r="245" spans="1:13" x14ac:dyDescent="0.2">
      <c r="A245" s="258"/>
      <c r="B245" s="259"/>
      <c r="C245" s="259"/>
      <c r="D245" s="259"/>
      <c r="E245" s="259"/>
      <c r="F245" s="259"/>
      <c r="G245" s="259"/>
      <c r="H245" s="259"/>
      <c r="I245" s="259"/>
      <c r="J245" s="259"/>
      <c r="K245" s="259"/>
      <c r="L245" s="259"/>
      <c r="M245" s="236"/>
    </row>
    <row r="246" spans="1:13" x14ac:dyDescent="0.2">
      <c r="A246" s="258"/>
      <c r="B246" s="259"/>
      <c r="C246" s="259"/>
      <c r="D246" s="259"/>
      <c r="E246" s="259"/>
      <c r="F246" s="259"/>
      <c r="G246" s="259"/>
      <c r="H246" s="259"/>
      <c r="I246" s="259"/>
      <c r="J246" s="259"/>
      <c r="K246" s="259"/>
      <c r="L246" s="259"/>
      <c r="M246" s="236"/>
    </row>
    <row r="247" spans="1:13" x14ac:dyDescent="0.2">
      <c r="A247" s="237"/>
      <c r="B247" s="302"/>
      <c r="C247" s="302"/>
      <c r="D247" s="302"/>
      <c r="E247" s="303"/>
      <c r="F247" s="302"/>
      <c r="G247" s="302"/>
      <c r="H247" s="302"/>
      <c r="I247" s="303"/>
      <c r="J247" s="302"/>
      <c r="K247" s="302"/>
      <c r="L247" s="302"/>
      <c r="M247" s="236"/>
    </row>
    <row r="248" spans="1:13" x14ac:dyDescent="0.2">
      <c r="A248" s="237"/>
      <c r="B248" s="302"/>
      <c r="C248" s="302"/>
      <c r="D248" s="302"/>
      <c r="E248" s="303"/>
      <c r="F248" s="302"/>
      <c r="G248" s="302"/>
      <c r="H248" s="302"/>
      <c r="I248" s="303"/>
      <c r="J248" s="302"/>
      <c r="K248" s="302"/>
      <c r="L248" s="302"/>
      <c r="M248" s="236"/>
    </row>
    <row r="249" spans="1:13" x14ac:dyDescent="0.2">
      <c r="A249" s="237"/>
      <c r="B249" s="302"/>
      <c r="C249" s="302"/>
      <c r="D249" s="302"/>
      <c r="E249" s="303"/>
      <c r="F249" s="302"/>
      <c r="G249" s="302"/>
      <c r="H249" s="302"/>
      <c r="I249" s="303"/>
      <c r="J249" s="302"/>
      <c r="K249" s="302"/>
      <c r="L249" s="302"/>
      <c r="M249" s="236"/>
    </row>
    <row r="250" spans="1:13" x14ac:dyDescent="0.2">
      <c r="A250" s="237"/>
      <c r="B250" s="302"/>
      <c r="C250" s="302"/>
      <c r="D250" s="302"/>
      <c r="E250" s="303"/>
      <c r="F250" s="302"/>
      <c r="G250" s="302"/>
      <c r="H250" s="302"/>
      <c r="I250" s="303"/>
      <c r="J250" s="302"/>
      <c r="K250" s="302"/>
      <c r="L250" s="302"/>
      <c r="M250" s="236"/>
    </row>
    <row r="251" spans="1:13" x14ac:dyDescent="0.2">
      <c r="A251" s="237"/>
      <c r="B251" s="302"/>
      <c r="C251" s="302"/>
      <c r="D251" s="302"/>
      <c r="E251" s="303"/>
      <c r="F251" s="302"/>
      <c r="G251" s="302"/>
      <c r="H251" s="302"/>
      <c r="I251" s="303"/>
      <c r="J251" s="302"/>
      <c r="K251" s="302"/>
      <c r="L251" s="302"/>
      <c r="M251" s="236"/>
    </row>
    <row r="252" spans="1:13" x14ac:dyDescent="0.2">
      <c r="A252" s="237"/>
      <c r="B252" s="302"/>
      <c r="C252" s="302"/>
      <c r="D252" s="302"/>
      <c r="E252" s="303"/>
      <c r="F252" s="302"/>
      <c r="G252" s="302"/>
      <c r="H252" s="302"/>
      <c r="I252" s="303"/>
      <c r="J252" s="302"/>
      <c r="K252" s="302"/>
      <c r="L252" s="302"/>
      <c r="M252" s="236"/>
    </row>
    <row r="253" spans="1:13" x14ac:dyDescent="0.2">
      <c r="A253" s="237"/>
      <c r="B253" s="302"/>
      <c r="C253" s="302"/>
      <c r="D253" s="302"/>
      <c r="E253" s="303"/>
      <c r="F253" s="302"/>
      <c r="G253" s="302"/>
      <c r="H253" s="302"/>
      <c r="I253" s="303"/>
      <c r="J253" s="302"/>
      <c r="K253" s="302"/>
      <c r="L253" s="302"/>
      <c r="M253" s="236"/>
    </row>
    <row r="254" spans="1:13" x14ac:dyDescent="0.2">
      <c r="A254" s="237"/>
      <c r="B254" s="302"/>
      <c r="C254" s="302"/>
      <c r="D254" s="302"/>
      <c r="E254" s="303"/>
      <c r="F254" s="302"/>
      <c r="G254" s="302"/>
      <c r="H254" s="302"/>
      <c r="I254" s="303"/>
      <c r="J254" s="302"/>
      <c r="K254" s="302"/>
      <c r="L254" s="302"/>
      <c r="M254" s="236"/>
    </row>
    <row r="255" spans="1:13" x14ac:dyDescent="0.2">
      <c r="A255" s="237"/>
      <c r="B255" s="302"/>
      <c r="C255" s="302"/>
      <c r="D255" s="302"/>
      <c r="E255" s="303"/>
      <c r="F255" s="302"/>
      <c r="G255" s="302"/>
      <c r="H255" s="302"/>
      <c r="I255" s="303"/>
      <c r="J255" s="302"/>
      <c r="K255" s="302"/>
      <c r="L255" s="302"/>
      <c r="M255" s="236"/>
    </row>
    <row r="256" spans="1:13" x14ac:dyDescent="0.2">
      <c r="A256" s="237"/>
      <c r="B256" s="302"/>
      <c r="C256" s="302"/>
      <c r="D256" s="302"/>
      <c r="E256" s="303"/>
      <c r="F256" s="302"/>
      <c r="G256" s="302"/>
      <c r="H256" s="302"/>
      <c r="I256" s="303"/>
      <c r="J256" s="302"/>
      <c r="K256" s="302"/>
      <c r="L256" s="302"/>
      <c r="M256" s="236"/>
    </row>
    <row r="257" spans="1:13" x14ac:dyDescent="0.2">
      <c r="A257" s="237"/>
      <c r="B257" s="303"/>
      <c r="C257" s="303"/>
      <c r="D257" s="303"/>
      <c r="E257" s="303"/>
      <c r="F257" s="303"/>
      <c r="G257" s="303"/>
      <c r="H257" s="303"/>
      <c r="I257" s="303"/>
      <c r="J257" s="303"/>
      <c r="K257" s="303"/>
      <c r="L257" s="303"/>
      <c r="M257" s="236"/>
    </row>
    <row r="258" spans="1:13" x14ac:dyDescent="0.2">
      <c r="A258" s="237"/>
      <c r="B258" s="237"/>
      <c r="C258" s="237"/>
      <c r="D258" s="237"/>
      <c r="E258" s="237"/>
      <c r="F258" s="237"/>
      <c r="G258" s="237"/>
      <c r="H258" s="237"/>
      <c r="I258" s="237"/>
      <c r="J258" s="237"/>
      <c r="K258" s="237"/>
      <c r="L258" s="240"/>
      <c r="M258" s="236"/>
    </row>
    <row r="259" spans="1:13" x14ac:dyDescent="0.2">
      <c r="A259" s="237"/>
      <c r="B259" s="237"/>
      <c r="C259" s="237"/>
      <c r="D259" s="237"/>
      <c r="E259" s="237"/>
      <c r="F259" s="237"/>
      <c r="G259" s="237"/>
      <c r="H259" s="237"/>
      <c r="I259" s="237"/>
      <c r="J259" s="237"/>
      <c r="K259" s="237"/>
      <c r="L259" s="284"/>
      <c r="M259" s="236"/>
    </row>
    <row r="260" spans="1:13" x14ac:dyDescent="0.2">
      <c r="A260" s="258"/>
      <c r="B260" s="241"/>
      <c r="C260" s="241"/>
      <c r="D260" s="241"/>
      <c r="E260" s="241"/>
      <c r="F260" s="241"/>
      <c r="G260" s="241"/>
      <c r="H260" s="241"/>
      <c r="I260" s="241"/>
      <c r="J260" s="241"/>
      <c r="K260" s="241"/>
      <c r="L260" s="236"/>
      <c r="M260" s="236"/>
    </row>
    <row r="261" spans="1:13" x14ac:dyDescent="0.2">
      <c r="A261" s="241"/>
      <c r="B261" s="375"/>
      <c r="C261" s="375"/>
      <c r="D261" s="375"/>
      <c r="E261" s="253"/>
      <c r="F261" s="375"/>
      <c r="G261" s="375"/>
      <c r="H261" s="375"/>
      <c r="I261" s="253"/>
      <c r="J261" s="375"/>
      <c r="K261" s="375"/>
      <c r="L261" s="375"/>
      <c r="M261" s="236"/>
    </row>
    <row r="262" spans="1:13" x14ac:dyDescent="0.2">
      <c r="A262" s="258"/>
      <c r="B262" s="259"/>
      <c r="C262" s="259"/>
      <c r="D262" s="259"/>
      <c r="E262" s="259"/>
      <c r="F262" s="259"/>
      <c r="G262" s="259"/>
      <c r="H262" s="259"/>
      <c r="I262" s="259"/>
      <c r="J262" s="259"/>
      <c r="K262" s="259"/>
      <c r="L262" s="259"/>
      <c r="M262" s="236"/>
    </row>
    <row r="263" spans="1:13" x14ac:dyDescent="0.2">
      <c r="A263" s="258"/>
      <c r="B263" s="259"/>
      <c r="C263" s="259"/>
      <c r="D263" s="259"/>
      <c r="E263" s="259"/>
      <c r="F263" s="259"/>
      <c r="G263" s="259"/>
      <c r="H263" s="259"/>
      <c r="I263" s="259"/>
      <c r="J263" s="259"/>
      <c r="K263" s="259"/>
      <c r="L263" s="259"/>
      <c r="M263" s="236"/>
    </row>
    <row r="264" spans="1:13" x14ac:dyDescent="0.2">
      <c r="A264" s="237"/>
      <c r="B264" s="302"/>
      <c r="C264" s="302"/>
      <c r="D264" s="302"/>
      <c r="E264" s="303"/>
      <c r="F264" s="302"/>
      <c r="G264" s="302"/>
      <c r="H264" s="302"/>
      <c r="I264" s="303"/>
      <c r="J264" s="302"/>
      <c r="K264" s="302"/>
      <c r="L264" s="302"/>
      <c r="M264" s="236"/>
    </row>
    <row r="265" spans="1:13" x14ac:dyDescent="0.2">
      <c r="A265" s="237"/>
      <c r="B265" s="302"/>
      <c r="C265" s="302"/>
      <c r="D265" s="302"/>
      <c r="E265" s="303"/>
      <c r="F265" s="302"/>
      <c r="G265" s="302"/>
      <c r="H265" s="302"/>
      <c r="I265" s="303"/>
      <c r="J265" s="302"/>
      <c r="K265" s="302"/>
      <c r="L265" s="302"/>
      <c r="M265" s="236"/>
    </row>
    <row r="266" spans="1:13" x14ac:dyDescent="0.2">
      <c r="A266" s="237"/>
      <c r="B266" s="302"/>
      <c r="C266" s="302"/>
      <c r="D266" s="302"/>
      <c r="E266" s="303"/>
      <c r="F266" s="302"/>
      <c r="G266" s="302"/>
      <c r="H266" s="302"/>
      <c r="I266" s="303"/>
      <c r="J266" s="302"/>
      <c r="K266" s="302"/>
      <c r="L266" s="302"/>
      <c r="M266" s="236"/>
    </row>
    <row r="267" spans="1:13" x14ac:dyDescent="0.2">
      <c r="A267" s="237"/>
      <c r="B267" s="302"/>
      <c r="C267" s="302"/>
      <c r="D267" s="302"/>
      <c r="E267" s="303"/>
      <c r="F267" s="302"/>
      <c r="G267" s="302"/>
      <c r="H267" s="302"/>
      <c r="I267" s="303"/>
      <c r="J267" s="302"/>
      <c r="K267" s="302"/>
      <c r="L267" s="302"/>
      <c r="M267" s="236"/>
    </row>
    <row r="268" spans="1:13" x14ac:dyDescent="0.2">
      <c r="A268" s="237"/>
      <c r="B268" s="302"/>
      <c r="C268" s="302"/>
      <c r="D268" s="302"/>
      <c r="E268" s="303"/>
      <c r="F268" s="302"/>
      <c r="G268" s="302"/>
      <c r="H268" s="302"/>
      <c r="I268" s="303"/>
      <c r="J268" s="302"/>
      <c r="K268" s="302"/>
      <c r="L268" s="302"/>
      <c r="M268" s="236"/>
    </row>
    <row r="269" spans="1:13" x14ac:dyDescent="0.2">
      <c r="A269" s="237"/>
      <c r="B269" s="302"/>
      <c r="C269" s="302"/>
      <c r="D269" s="302"/>
      <c r="E269" s="303"/>
      <c r="F269" s="302"/>
      <c r="G269" s="302"/>
      <c r="H269" s="302"/>
      <c r="I269" s="303"/>
      <c r="J269" s="302"/>
      <c r="K269" s="302"/>
      <c r="L269" s="302"/>
      <c r="M269" s="236"/>
    </row>
    <row r="270" spans="1:13" x14ac:dyDescent="0.2">
      <c r="A270" s="237"/>
      <c r="B270" s="302"/>
      <c r="C270" s="302"/>
      <c r="D270" s="302"/>
      <c r="E270" s="303"/>
      <c r="F270" s="302"/>
      <c r="G270" s="302"/>
      <c r="H270" s="302"/>
      <c r="I270" s="303"/>
      <c r="J270" s="302"/>
      <c r="K270" s="302"/>
      <c r="L270" s="302"/>
      <c r="M270" s="236"/>
    </row>
    <row r="271" spans="1:13" x14ac:dyDescent="0.2">
      <c r="A271" s="237"/>
      <c r="B271" s="302"/>
      <c r="C271" s="302"/>
      <c r="D271" s="302"/>
      <c r="E271" s="303"/>
      <c r="F271" s="302"/>
      <c r="G271" s="302"/>
      <c r="H271" s="302"/>
      <c r="I271" s="303"/>
      <c r="J271" s="302"/>
      <c r="K271" s="302"/>
      <c r="L271" s="302"/>
      <c r="M271" s="236"/>
    </row>
    <row r="272" spans="1:13" x14ac:dyDescent="0.2">
      <c r="A272" s="237"/>
      <c r="B272" s="302"/>
      <c r="C272" s="302"/>
      <c r="D272" s="302"/>
      <c r="E272" s="303"/>
      <c r="F272" s="302"/>
      <c r="G272" s="302"/>
      <c r="H272" s="302"/>
      <c r="I272" s="303"/>
      <c r="J272" s="302"/>
      <c r="K272" s="302"/>
      <c r="L272" s="302"/>
      <c r="M272" s="236"/>
    </row>
    <row r="273" spans="1:13" x14ac:dyDescent="0.2">
      <c r="A273" s="237"/>
      <c r="B273" s="302"/>
      <c r="C273" s="302"/>
      <c r="D273" s="302"/>
      <c r="E273" s="303"/>
      <c r="F273" s="302"/>
      <c r="G273" s="302"/>
      <c r="H273" s="302"/>
      <c r="I273" s="303"/>
      <c r="J273" s="302"/>
      <c r="K273" s="302"/>
      <c r="L273" s="302"/>
      <c r="M273" s="236"/>
    </row>
    <row r="274" spans="1:13" x14ac:dyDescent="0.2">
      <c r="A274" s="237"/>
      <c r="B274" s="303"/>
      <c r="C274" s="303"/>
      <c r="D274" s="303"/>
      <c r="E274" s="303"/>
      <c r="F274" s="303"/>
      <c r="G274" s="303"/>
      <c r="H274" s="303"/>
      <c r="I274" s="303"/>
      <c r="J274" s="303"/>
      <c r="K274" s="303"/>
      <c r="L274" s="303"/>
      <c r="M274" s="236"/>
    </row>
    <row r="275" spans="1:13" x14ac:dyDescent="0.2">
      <c r="A275" s="237"/>
      <c r="B275" s="237"/>
      <c r="C275" s="237"/>
      <c r="D275" s="237"/>
      <c r="E275" s="237"/>
      <c r="F275" s="237"/>
      <c r="G275" s="237"/>
      <c r="H275" s="237"/>
      <c r="I275" s="237"/>
      <c r="J275" s="237"/>
      <c r="K275" s="237"/>
      <c r="L275" s="240"/>
      <c r="M275" s="236"/>
    </row>
    <row r="276" spans="1:13" x14ac:dyDescent="0.2">
      <c r="A276" s="237"/>
      <c r="B276" s="237"/>
      <c r="C276" s="237"/>
      <c r="D276" s="237"/>
      <c r="E276" s="237"/>
      <c r="F276" s="237"/>
      <c r="G276" s="237"/>
      <c r="H276" s="237"/>
      <c r="I276" s="237"/>
      <c r="J276" s="237"/>
      <c r="K276" s="237"/>
      <c r="L276" s="284"/>
      <c r="M276" s="236"/>
    </row>
    <row r="277" spans="1:13" x14ac:dyDescent="0.2">
      <c r="A277" s="258"/>
      <c r="B277" s="241"/>
      <c r="C277" s="241"/>
      <c r="D277" s="241"/>
      <c r="E277" s="241"/>
      <c r="F277" s="241"/>
      <c r="G277" s="241"/>
      <c r="H277" s="241"/>
      <c r="I277" s="241"/>
      <c r="J277" s="241"/>
      <c r="K277" s="241"/>
      <c r="L277" s="236"/>
      <c r="M277" s="236"/>
    </row>
    <row r="278" spans="1:13" x14ac:dyDescent="0.2">
      <c r="A278" s="241"/>
      <c r="B278" s="375"/>
      <c r="C278" s="375"/>
      <c r="D278" s="375"/>
      <c r="E278" s="253"/>
      <c r="F278" s="375"/>
      <c r="G278" s="375"/>
      <c r="H278" s="375"/>
      <c r="I278" s="253"/>
      <c r="J278" s="375"/>
      <c r="K278" s="375"/>
      <c r="L278" s="375"/>
      <c r="M278" s="236"/>
    </row>
    <row r="279" spans="1:13" x14ac:dyDescent="0.2">
      <c r="A279" s="258"/>
      <c r="B279" s="259"/>
      <c r="C279" s="259"/>
      <c r="D279" s="259"/>
      <c r="E279" s="259"/>
      <c r="F279" s="259"/>
      <c r="G279" s="259"/>
      <c r="H279" s="259"/>
      <c r="I279" s="259"/>
      <c r="J279" s="259"/>
      <c r="K279" s="259"/>
      <c r="L279" s="259"/>
      <c r="M279" s="236"/>
    </row>
    <row r="280" spans="1:13" x14ac:dyDescent="0.2">
      <c r="A280" s="258"/>
      <c r="B280" s="259"/>
      <c r="C280" s="259"/>
      <c r="D280" s="259"/>
      <c r="E280" s="259"/>
      <c r="F280" s="259"/>
      <c r="G280" s="259"/>
      <c r="H280" s="259"/>
      <c r="I280" s="259"/>
      <c r="J280" s="259"/>
      <c r="K280" s="259"/>
      <c r="L280" s="259"/>
      <c r="M280" s="236"/>
    </row>
    <row r="281" spans="1:13" x14ac:dyDescent="0.2">
      <c r="A281" s="237"/>
      <c r="B281" s="302"/>
      <c r="C281" s="302"/>
      <c r="D281" s="302"/>
      <c r="E281" s="303"/>
      <c r="F281" s="302"/>
      <c r="G281" s="302"/>
      <c r="H281" s="302"/>
      <c r="I281" s="303"/>
      <c r="J281" s="302"/>
      <c r="K281" s="302"/>
      <c r="L281" s="302"/>
      <c r="M281" s="236"/>
    </row>
    <row r="282" spans="1:13" x14ac:dyDescent="0.2">
      <c r="A282" s="237"/>
      <c r="B282" s="302"/>
      <c r="C282" s="302"/>
      <c r="D282" s="302"/>
      <c r="E282" s="303"/>
      <c r="F282" s="302"/>
      <c r="G282" s="302"/>
      <c r="H282" s="302"/>
      <c r="I282" s="303"/>
      <c r="J282" s="302"/>
      <c r="K282" s="302"/>
      <c r="L282" s="302"/>
      <c r="M282" s="236"/>
    </row>
    <row r="283" spans="1:13" x14ac:dyDescent="0.2">
      <c r="A283" s="237"/>
      <c r="B283" s="302"/>
      <c r="C283" s="302"/>
      <c r="D283" s="302"/>
      <c r="E283" s="303"/>
      <c r="F283" s="302"/>
      <c r="G283" s="302"/>
      <c r="H283" s="302"/>
      <c r="I283" s="303"/>
      <c r="J283" s="302"/>
      <c r="K283" s="302"/>
      <c r="L283" s="302"/>
      <c r="M283" s="236"/>
    </row>
    <row r="284" spans="1:13" x14ac:dyDescent="0.2">
      <c r="A284" s="237"/>
      <c r="B284" s="302"/>
      <c r="C284" s="302"/>
      <c r="D284" s="302"/>
      <c r="E284" s="303"/>
      <c r="F284" s="302"/>
      <c r="G284" s="302"/>
      <c r="H284" s="302"/>
      <c r="I284" s="303"/>
      <c r="J284" s="302"/>
      <c r="K284" s="302"/>
      <c r="L284" s="302"/>
      <c r="M284" s="236"/>
    </row>
    <row r="285" spans="1:13" x14ac:dyDescent="0.2">
      <c r="A285" s="237"/>
      <c r="B285" s="302"/>
      <c r="C285" s="302"/>
      <c r="D285" s="302"/>
      <c r="E285" s="303"/>
      <c r="F285" s="302"/>
      <c r="G285" s="302"/>
      <c r="H285" s="302"/>
      <c r="I285" s="303"/>
      <c r="J285" s="302"/>
      <c r="K285" s="302"/>
      <c r="L285" s="302"/>
      <c r="M285" s="236"/>
    </row>
    <row r="286" spans="1:13" x14ac:dyDescent="0.2">
      <c r="A286" s="237"/>
      <c r="B286" s="302"/>
      <c r="C286" s="302"/>
      <c r="D286" s="302"/>
      <c r="E286" s="303"/>
      <c r="F286" s="302"/>
      <c r="G286" s="302"/>
      <c r="H286" s="302"/>
      <c r="I286" s="303"/>
      <c r="J286" s="302"/>
      <c r="K286" s="302"/>
      <c r="L286" s="302"/>
      <c r="M286" s="236"/>
    </row>
    <row r="287" spans="1:13" x14ac:dyDescent="0.2">
      <c r="A287" s="237"/>
      <c r="B287" s="302"/>
      <c r="C287" s="302"/>
      <c r="D287" s="302"/>
      <c r="E287" s="303"/>
      <c r="F287" s="302"/>
      <c r="G287" s="302"/>
      <c r="H287" s="302"/>
      <c r="I287" s="303"/>
      <c r="J287" s="302"/>
      <c r="K287" s="302"/>
      <c r="L287" s="302"/>
      <c r="M287" s="236"/>
    </row>
    <row r="288" spans="1:13" x14ac:dyDescent="0.2">
      <c r="A288" s="237"/>
      <c r="B288" s="302"/>
      <c r="C288" s="302"/>
      <c r="D288" s="302"/>
      <c r="E288" s="303"/>
      <c r="F288" s="302"/>
      <c r="G288" s="302"/>
      <c r="H288" s="302"/>
      <c r="I288" s="303"/>
      <c r="J288" s="302"/>
      <c r="K288" s="302"/>
      <c r="L288" s="302"/>
      <c r="M288" s="236"/>
    </row>
    <row r="289" spans="1:13" x14ac:dyDescent="0.2">
      <c r="A289" s="237"/>
      <c r="B289" s="302"/>
      <c r="C289" s="302"/>
      <c r="D289" s="302"/>
      <c r="E289" s="303"/>
      <c r="F289" s="302"/>
      <c r="G289" s="302"/>
      <c r="H289" s="302"/>
      <c r="I289" s="303"/>
      <c r="J289" s="302"/>
      <c r="K289" s="302"/>
      <c r="L289" s="302"/>
      <c r="M289" s="236"/>
    </row>
    <row r="290" spans="1:13" x14ac:dyDescent="0.2">
      <c r="A290" s="237"/>
      <c r="B290" s="302"/>
      <c r="C290" s="302"/>
      <c r="D290" s="302"/>
      <c r="E290" s="303"/>
      <c r="F290" s="302"/>
      <c r="G290" s="302"/>
      <c r="H290" s="302"/>
      <c r="I290" s="303"/>
      <c r="J290" s="302"/>
      <c r="K290" s="302"/>
      <c r="L290" s="302"/>
      <c r="M290" s="236"/>
    </row>
    <row r="291" spans="1:13" x14ac:dyDescent="0.2">
      <c r="A291" s="237"/>
      <c r="B291" s="303"/>
      <c r="C291" s="303"/>
      <c r="D291" s="303"/>
      <c r="E291" s="303"/>
      <c r="F291" s="303"/>
      <c r="G291" s="303"/>
      <c r="H291" s="303"/>
      <c r="I291" s="303"/>
      <c r="J291" s="303"/>
      <c r="K291" s="303"/>
      <c r="L291" s="303"/>
      <c r="M291" s="236"/>
    </row>
    <row r="292" spans="1:13" x14ac:dyDescent="0.2">
      <c r="A292" s="237"/>
      <c r="B292" s="237"/>
      <c r="C292" s="237"/>
      <c r="D292" s="237"/>
      <c r="E292" s="237"/>
      <c r="F292" s="237"/>
      <c r="G292" s="237"/>
      <c r="H292" s="237"/>
      <c r="I292" s="237"/>
      <c r="J292" s="237"/>
      <c r="K292" s="237"/>
      <c r="L292" s="240"/>
      <c r="M292" s="236"/>
    </row>
    <row r="293" spans="1:13" x14ac:dyDescent="0.2">
      <c r="A293" s="237"/>
      <c r="B293" s="237"/>
      <c r="C293" s="237"/>
      <c r="D293" s="237"/>
      <c r="E293" s="237"/>
      <c r="F293" s="237"/>
      <c r="G293" s="237"/>
      <c r="H293" s="237"/>
      <c r="I293" s="237"/>
      <c r="J293" s="237"/>
      <c r="K293" s="237"/>
      <c r="L293" s="284"/>
      <c r="M293" s="236"/>
    </row>
    <row r="294" spans="1:13" x14ac:dyDescent="0.2">
      <c r="A294" s="258"/>
      <c r="B294" s="241"/>
      <c r="C294" s="241"/>
      <c r="D294" s="241"/>
      <c r="E294" s="241"/>
      <c r="F294" s="241"/>
      <c r="G294" s="241"/>
      <c r="H294" s="241"/>
      <c r="I294" s="241"/>
      <c r="J294" s="241"/>
      <c r="K294" s="241"/>
      <c r="L294" s="236"/>
      <c r="M294" s="236"/>
    </row>
    <row r="295" spans="1:13" x14ac:dyDescent="0.2">
      <c r="A295" s="241"/>
      <c r="B295" s="375"/>
      <c r="C295" s="375"/>
      <c r="D295" s="375"/>
      <c r="E295" s="253"/>
      <c r="F295" s="375"/>
      <c r="G295" s="375"/>
      <c r="H295" s="375"/>
      <c r="I295" s="253"/>
      <c r="J295" s="375"/>
      <c r="K295" s="375"/>
      <c r="L295" s="375"/>
      <c r="M295" s="236"/>
    </row>
    <row r="296" spans="1:13" x14ac:dyDescent="0.2">
      <c r="A296" s="258"/>
      <c r="B296" s="259"/>
      <c r="C296" s="259"/>
      <c r="D296" s="259"/>
      <c r="E296" s="259"/>
      <c r="F296" s="259"/>
      <c r="G296" s="259"/>
      <c r="H296" s="259"/>
      <c r="I296" s="259"/>
      <c r="J296" s="259"/>
      <c r="K296" s="259"/>
      <c r="L296" s="259"/>
      <c r="M296" s="236"/>
    </row>
    <row r="297" spans="1:13" x14ac:dyDescent="0.2">
      <c r="A297" s="258"/>
      <c r="B297" s="259"/>
      <c r="C297" s="259"/>
      <c r="D297" s="259"/>
      <c r="E297" s="259"/>
      <c r="F297" s="259"/>
      <c r="G297" s="259"/>
      <c r="H297" s="259"/>
      <c r="I297" s="259"/>
      <c r="J297" s="259"/>
      <c r="K297" s="259"/>
      <c r="L297" s="259"/>
      <c r="M297" s="236"/>
    </row>
    <row r="298" spans="1:13" x14ac:dyDescent="0.2">
      <c r="A298" s="237"/>
      <c r="B298" s="302"/>
      <c r="C298" s="302"/>
      <c r="D298" s="302"/>
      <c r="E298" s="303"/>
      <c r="F298" s="302"/>
      <c r="G298" s="302"/>
      <c r="H298" s="302"/>
      <c r="I298" s="303"/>
      <c r="J298" s="302"/>
      <c r="K298" s="302"/>
      <c r="L298" s="302"/>
      <c r="M298" s="236"/>
    </row>
    <row r="299" spans="1:13" x14ac:dyDescent="0.2">
      <c r="A299" s="237"/>
      <c r="B299" s="302"/>
      <c r="C299" s="302"/>
      <c r="D299" s="302"/>
      <c r="E299" s="303"/>
      <c r="F299" s="302"/>
      <c r="G299" s="302"/>
      <c r="H299" s="302"/>
      <c r="I299" s="303"/>
      <c r="J299" s="302"/>
      <c r="K299" s="302"/>
      <c r="L299" s="302"/>
      <c r="M299" s="236"/>
    </row>
    <row r="300" spans="1:13" x14ac:dyDescent="0.2">
      <c r="A300" s="237"/>
      <c r="B300" s="302"/>
      <c r="C300" s="302"/>
      <c r="D300" s="302"/>
      <c r="E300" s="303"/>
      <c r="F300" s="302"/>
      <c r="G300" s="302"/>
      <c r="H300" s="302"/>
      <c r="I300" s="303"/>
      <c r="J300" s="302"/>
      <c r="K300" s="302"/>
      <c r="L300" s="302"/>
      <c r="M300" s="236"/>
    </row>
    <row r="301" spans="1:13" x14ac:dyDescent="0.2">
      <c r="A301" s="237"/>
      <c r="B301" s="302"/>
      <c r="C301" s="302"/>
      <c r="D301" s="302"/>
      <c r="E301" s="303"/>
      <c r="F301" s="302"/>
      <c r="G301" s="302"/>
      <c r="H301" s="302"/>
      <c r="I301" s="303"/>
      <c r="J301" s="302"/>
      <c r="K301" s="302"/>
      <c r="L301" s="302"/>
      <c r="M301" s="236"/>
    </row>
    <row r="302" spans="1:13" x14ac:dyDescent="0.2">
      <c r="A302" s="237"/>
      <c r="B302" s="302"/>
      <c r="C302" s="302"/>
      <c r="D302" s="302"/>
      <c r="E302" s="303"/>
      <c r="F302" s="302"/>
      <c r="G302" s="302"/>
      <c r="H302" s="302"/>
      <c r="I302" s="303"/>
      <c r="J302" s="302"/>
      <c r="K302" s="302"/>
      <c r="L302" s="302"/>
      <c r="M302" s="236"/>
    </row>
    <row r="303" spans="1:13" x14ac:dyDescent="0.2">
      <c r="A303" s="237"/>
      <c r="B303" s="302"/>
      <c r="C303" s="302"/>
      <c r="D303" s="302"/>
      <c r="E303" s="303"/>
      <c r="F303" s="302"/>
      <c r="G303" s="302"/>
      <c r="H303" s="302"/>
      <c r="I303" s="303"/>
      <c r="J303" s="302"/>
      <c r="K303" s="302"/>
      <c r="L303" s="302"/>
      <c r="M303" s="236"/>
    </row>
    <row r="304" spans="1:13" x14ac:dyDescent="0.2">
      <c r="A304" s="237"/>
      <c r="B304" s="302"/>
      <c r="C304" s="302"/>
      <c r="D304" s="302"/>
      <c r="E304" s="303"/>
      <c r="F304" s="302"/>
      <c r="G304" s="302"/>
      <c r="H304" s="302"/>
      <c r="I304" s="303"/>
      <c r="J304" s="302"/>
      <c r="K304" s="302"/>
      <c r="L304" s="302"/>
      <c r="M304" s="236"/>
    </row>
    <row r="305" spans="1:13" x14ac:dyDescent="0.2">
      <c r="A305" s="237"/>
      <c r="B305" s="302"/>
      <c r="C305" s="302"/>
      <c r="D305" s="302"/>
      <c r="E305" s="303"/>
      <c r="F305" s="302"/>
      <c r="G305" s="302"/>
      <c r="H305" s="302"/>
      <c r="I305" s="303"/>
      <c r="J305" s="302"/>
      <c r="K305" s="302"/>
      <c r="L305" s="302"/>
      <c r="M305" s="236"/>
    </row>
    <row r="306" spans="1:13" x14ac:dyDescent="0.2">
      <c r="A306" s="237"/>
      <c r="B306" s="302"/>
      <c r="C306" s="302"/>
      <c r="D306" s="302"/>
      <c r="E306" s="303"/>
      <c r="F306" s="302"/>
      <c r="G306" s="302"/>
      <c r="H306" s="302"/>
      <c r="I306" s="303"/>
      <c r="J306" s="302"/>
      <c r="K306" s="302"/>
      <c r="L306" s="302"/>
      <c r="M306" s="236"/>
    </row>
    <row r="307" spans="1:13" x14ac:dyDescent="0.2">
      <c r="A307" s="237"/>
      <c r="B307" s="302"/>
      <c r="C307" s="302"/>
      <c r="D307" s="302"/>
      <c r="E307" s="303"/>
      <c r="F307" s="302"/>
      <c r="G307" s="302"/>
      <c r="H307" s="302"/>
      <c r="I307" s="303"/>
      <c r="J307" s="302"/>
      <c r="K307" s="302"/>
      <c r="L307" s="302"/>
      <c r="M307" s="236"/>
    </row>
    <row r="308" spans="1:13" x14ac:dyDescent="0.2">
      <c r="A308" s="237"/>
      <c r="B308" s="303"/>
      <c r="C308" s="303"/>
      <c r="D308" s="303"/>
      <c r="E308" s="303"/>
      <c r="F308" s="303"/>
      <c r="G308" s="303"/>
      <c r="H308" s="303"/>
      <c r="I308" s="303"/>
      <c r="J308" s="303"/>
      <c r="K308" s="303"/>
      <c r="L308" s="303"/>
      <c r="M308" s="236"/>
    </row>
    <row r="309" spans="1:13" x14ac:dyDescent="0.2">
      <c r="A309" s="237"/>
      <c r="B309" s="237"/>
      <c r="C309" s="237"/>
      <c r="D309" s="237"/>
      <c r="E309" s="237"/>
      <c r="F309" s="237"/>
      <c r="G309" s="237"/>
      <c r="H309" s="237"/>
      <c r="I309" s="237"/>
      <c r="J309" s="237"/>
      <c r="K309" s="237"/>
      <c r="L309" s="240"/>
      <c r="M309" s="236"/>
    </row>
    <row r="310" spans="1:13" x14ac:dyDescent="0.2">
      <c r="A310" s="237"/>
      <c r="B310" s="237"/>
      <c r="C310" s="237"/>
      <c r="D310" s="237"/>
      <c r="E310" s="237"/>
      <c r="F310" s="237"/>
      <c r="G310" s="237"/>
      <c r="H310" s="237"/>
      <c r="I310" s="237"/>
      <c r="J310" s="237"/>
      <c r="K310" s="237"/>
      <c r="L310" s="284"/>
      <c r="M310" s="236"/>
    </row>
    <row r="311" spans="1:13" x14ac:dyDescent="0.2">
      <c r="A311" s="258"/>
      <c r="B311" s="241"/>
      <c r="C311" s="241"/>
      <c r="D311" s="241"/>
      <c r="E311" s="241"/>
      <c r="F311" s="241"/>
      <c r="G311" s="241"/>
      <c r="H311" s="241"/>
      <c r="I311" s="241"/>
      <c r="J311" s="241"/>
      <c r="K311" s="241"/>
      <c r="L311" s="236"/>
      <c r="M311" s="236"/>
    </row>
    <row r="312" spans="1:13" x14ac:dyDescent="0.2">
      <c r="A312" s="241"/>
      <c r="B312" s="375"/>
      <c r="C312" s="375"/>
      <c r="D312" s="375"/>
      <c r="E312" s="253"/>
      <c r="F312" s="375"/>
      <c r="G312" s="375"/>
      <c r="H312" s="375"/>
      <c r="I312" s="253"/>
      <c r="J312" s="375"/>
      <c r="K312" s="375"/>
      <c r="L312" s="375"/>
      <c r="M312" s="236"/>
    </row>
    <row r="313" spans="1:13" x14ac:dyDescent="0.2">
      <c r="A313" s="258"/>
      <c r="B313" s="259"/>
      <c r="C313" s="259"/>
      <c r="D313" s="259"/>
      <c r="E313" s="259"/>
      <c r="F313" s="259"/>
      <c r="G313" s="259"/>
      <c r="H313" s="259"/>
      <c r="I313" s="259"/>
      <c r="J313" s="259"/>
      <c r="K313" s="259"/>
      <c r="L313" s="259"/>
      <c r="M313" s="236"/>
    </row>
    <row r="314" spans="1:13" x14ac:dyDescent="0.2">
      <c r="A314" s="258"/>
      <c r="B314" s="259"/>
      <c r="C314" s="259"/>
      <c r="D314" s="259"/>
      <c r="E314" s="259"/>
      <c r="F314" s="259"/>
      <c r="G314" s="259"/>
      <c r="H314" s="259"/>
      <c r="I314" s="259"/>
      <c r="J314" s="259"/>
      <c r="K314" s="259"/>
      <c r="L314" s="259"/>
      <c r="M314" s="236"/>
    </row>
    <row r="315" spans="1:13" x14ac:dyDescent="0.2">
      <c r="A315" s="237"/>
      <c r="B315" s="302"/>
      <c r="C315" s="302"/>
      <c r="D315" s="302"/>
      <c r="E315" s="303"/>
      <c r="F315" s="302"/>
      <c r="G315" s="302"/>
      <c r="H315" s="302"/>
      <c r="I315" s="303"/>
      <c r="J315" s="302"/>
      <c r="K315" s="302"/>
      <c r="L315" s="302"/>
      <c r="M315" s="236"/>
    </row>
    <row r="316" spans="1:13" x14ac:dyDescent="0.2">
      <c r="A316" s="237"/>
      <c r="B316" s="302"/>
      <c r="C316" s="302"/>
      <c r="D316" s="302"/>
      <c r="E316" s="303"/>
      <c r="F316" s="302"/>
      <c r="G316" s="302"/>
      <c r="H316" s="302"/>
      <c r="I316" s="303"/>
      <c r="J316" s="302"/>
      <c r="K316" s="302"/>
      <c r="L316" s="302"/>
      <c r="M316" s="236"/>
    </row>
    <row r="317" spans="1:13" x14ac:dyDescent="0.2">
      <c r="A317" s="237"/>
      <c r="B317" s="302"/>
      <c r="C317" s="302"/>
      <c r="D317" s="302"/>
      <c r="E317" s="303"/>
      <c r="F317" s="302"/>
      <c r="G317" s="302"/>
      <c r="H317" s="302"/>
      <c r="I317" s="303"/>
      <c r="J317" s="302"/>
      <c r="K317" s="302"/>
      <c r="L317" s="302"/>
      <c r="M317" s="236"/>
    </row>
    <row r="318" spans="1:13" x14ac:dyDescent="0.2">
      <c r="A318" s="237"/>
      <c r="B318" s="302"/>
      <c r="C318" s="302"/>
      <c r="D318" s="302"/>
      <c r="E318" s="303"/>
      <c r="F318" s="302"/>
      <c r="G318" s="302"/>
      <c r="H318" s="302"/>
      <c r="I318" s="303"/>
      <c r="J318" s="302"/>
      <c r="K318" s="302"/>
      <c r="L318" s="302"/>
      <c r="M318" s="236"/>
    </row>
    <row r="319" spans="1:13" x14ac:dyDescent="0.2">
      <c r="A319" s="237"/>
      <c r="B319" s="302"/>
      <c r="C319" s="302"/>
      <c r="D319" s="302"/>
      <c r="E319" s="303"/>
      <c r="F319" s="302"/>
      <c r="G319" s="302"/>
      <c r="H319" s="302"/>
      <c r="I319" s="303"/>
      <c r="J319" s="302"/>
      <c r="K319" s="302"/>
      <c r="L319" s="302"/>
      <c r="M319" s="236"/>
    </row>
    <row r="320" spans="1:13" x14ac:dyDescent="0.2">
      <c r="A320" s="237"/>
      <c r="B320" s="302"/>
      <c r="C320" s="302"/>
      <c r="D320" s="302"/>
      <c r="E320" s="303"/>
      <c r="F320" s="302"/>
      <c r="G320" s="302"/>
      <c r="H320" s="302"/>
      <c r="I320" s="303"/>
      <c r="J320" s="302"/>
      <c r="K320" s="302"/>
      <c r="L320" s="302"/>
      <c r="M320" s="236"/>
    </row>
    <row r="321" spans="1:13" x14ac:dyDescent="0.2">
      <c r="A321" s="237"/>
      <c r="B321" s="302"/>
      <c r="C321" s="302"/>
      <c r="D321" s="302"/>
      <c r="E321" s="303"/>
      <c r="F321" s="302"/>
      <c r="G321" s="302"/>
      <c r="H321" s="302"/>
      <c r="I321" s="303"/>
      <c r="J321" s="302"/>
      <c r="K321" s="302"/>
      <c r="L321" s="302"/>
      <c r="M321" s="236"/>
    </row>
    <row r="322" spans="1:13" x14ac:dyDescent="0.2">
      <c r="A322" s="237"/>
      <c r="B322" s="302"/>
      <c r="C322" s="302"/>
      <c r="D322" s="302"/>
      <c r="E322" s="303"/>
      <c r="F322" s="302"/>
      <c r="G322" s="302"/>
      <c r="H322" s="302"/>
      <c r="I322" s="303"/>
      <c r="J322" s="302"/>
      <c r="K322" s="302"/>
      <c r="L322" s="302"/>
      <c r="M322" s="236"/>
    </row>
    <row r="323" spans="1:13" x14ac:dyDescent="0.2">
      <c r="A323" s="237"/>
      <c r="B323" s="302"/>
      <c r="C323" s="302"/>
      <c r="D323" s="302"/>
      <c r="E323" s="303"/>
      <c r="F323" s="302"/>
      <c r="G323" s="302"/>
      <c r="H323" s="302"/>
      <c r="I323" s="303"/>
      <c r="J323" s="302"/>
      <c r="K323" s="302"/>
      <c r="L323" s="302"/>
      <c r="M323" s="236"/>
    </row>
    <row r="324" spans="1:13" x14ac:dyDescent="0.2">
      <c r="A324" s="237"/>
      <c r="B324" s="302"/>
      <c r="C324" s="302"/>
      <c r="D324" s="302"/>
      <c r="E324" s="303"/>
      <c r="F324" s="302"/>
      <c r="G324" s="302"/>
      <c r="H324" s="302"/>
      <c r="I324" s="303"/>
      <c r="J324" s="302"/>
      <c r="K324" s="302"/>
      <c r="L324" s="302"/>
      <c r="M324" s="236"/>
    </row>
    <row r="325" spans="1:13" x14ac:dyDescent="0.2">
      <c r="A325" s="237"/>
      <c r="B325" s="303"/>
      <c r="C325" s="303"/>
      <c r="D325" s="303"/>
      <c r="E325" s="303"/>
      <c r="F325" s="303"/>
      <c r="G325" s="303"/>
      <c r="H325" s="303"/>
      <c r="I325" s="303"/>
      <c r="J325" s="303"/>
      <c r="K325" s="303"/>
      <c r="L325" s="303"/>
      <c r="M325" s="236"/>
    </row>
    <row r="326" spans="1:13" x14ac:dyDescent="0.2">
      <c r="A326" s="237"/>
      <c r="B326" s="237"/>
      <c r="C326" s="237"/>
      <c r="D326" s="237"/>
      <c r="E326" s="237"/>
      <c r="F326" s="237"/>
      <c r="G326" s="237"/>
      <c r="H326" s="237"/>
      <c r="I326" s="237"/>
      <c r="J326" s="237"/>
      <c r="K326" s="237"/>
      <c r="L326" s="240"/>
      <c r="M326" s="236"/>
    </row>
    <row r="327" spans="1:13" x14ac:dyDescent="0.2">
      <c r="A327" s="237"/>
      <c r="B327" s="237"/>
      <c r="C327" s="237"/>
      <c r="D327" s="237"/>
      <c r="E327" s="237"/>
      <c r="F327" s="237"/>
      <c r="G327" s="237"/>
      <c r="H327" s="237"/>
      <c r="I327" s="237"/>
      <c r="J327" s="237"/>
      <c r="K327" s="237"/>
      <c r="L327" s="284"/>
      <c r="M327" s="236"/>
    </row>
    <row r="328" spans="1:13" x14ac:dyDescent="0.2">
      <c r="A328" s="258"/>
      <c r="B328" s="241"/>
      <c r="C328" s="241"/>
      <c r="D328" s="241"/>
      <c r="E328" s="241"/>
      <c r="F328" s="241"/>
      <c r="G328" s="241"/>
      <c r="H328" s="241"/>
      <c r="I328" s="241"/>
      <c r="J328" s="241"/>
      <c r="K328" s="241"/>
      <c r="L328" s="236"/>
      <c r="M328" s="236"/>
    </row>
    <row r="329" spans="1:13" x14ac:dyDescent="0.2">
      <c r="A329" s="241"/>
      <c r="B329" s="375"/>
      <c r="C329" s="375"/>
      <c r="D329" s="375"/>
      <c r="E329" s="253"/>
      <c r="F329" s="375"/>
      <c r="G329" s="375"/>
      <c r="H329" s="375"/>
      <c r="I329" s="253"/>
      <c r="J329" s="375"/>
      <c r="K329" s="375"/>
      <c r="L329" s="375"/>
      <c r="M329" s="236"/>
    </row>
    <row r="330" spans="1:13" x14ac:dyDescent="0.2">
      <c r="A330" s="258"/>
      <c r="B330" s="259"/>
      <c r="C330" s="259"/>
      <c r="D330" s="259"/>
      <c r="E330" s="259"/>
      <c r="F330" s="259"/>
      <c r="G330" s="259"/>
      <c r="H330" s="259"/>
      <c r="I330" s="259"/>
      <c r="J330" s="259"/>
      <c r="K330" s="259"/>
      <c r="L330" s="259"/>
      <c r="M330" s="236"/>
    </row>
    <row r="331" spans="1:13" x14ac:dyDescent="0.2">
      <c r="A331" s="258"/>
      <c r="B331" s="259"/>
      <c r="C331" s="259"/>
      <c r="D331" s="259"/>
      <c r="E331" s="259"/>
      <c r="F331" s="259"/>
      <c r="G331" s="259"/>
      <c r="H331" s="259"/>
      <c r="I331" s="259"/>
      <c r="J331" s="259"/>
      <c r="K331" s="259"/>
      <c r="L331" s="259"/>
      <c r="M331" s="236"/>
    </row>
    <row r="332" spans="1:13" x14ac:dyDescent="0.2">
      <c r="A332" s="237"/>
      <c r="B332" s="302"/>
      <c r="C332" s="302"/>
      <c r="D332" s="302"/>
      <c r="E332" s="303"/>
      <c r="F332" s="302"/>
      <c r="G332" s="302"/>
      <c r="H332" s="302"/>
      <c r="I332" s="303"/>
      <c r="J332" s="302"/>
      <c r="K332" s="302"/>
      <c r="L332" s="302"/>
      <c r="M332" s="236"/>
    </row>
    <row r="333" spans="1:13" x14ac:dyDescent="0.2">
      <c r="A333" s="237"/>
      <c r="B333" s="302"/>
      <c r="C333" s="302"/>
      <c r="D333" s="302"/>
      <c r="E333" s="303"/>
      <c r="F333" s="302"/>
      <c r="G333" s="302"/>
      <c r="H333" s="302"/>
      <c r="I333" s="303"/>
      <c r="J333" s="302"/>
      <c r="K333" s="302"/>
      <c r="L333" s="302"/>
      <c r="M333" s="236"/>
    </row>
    <row r="334" spans="1:13" x14ac:dyDescent="0.2">
      <c r="A334" s="237"/>
      <c r="B334" s="302"/>
      <c r="C334" s="302"/>
      <c r="D334" s="302"/>
      <c r="E334" s="303"/>
      <c r="F334" s="302"/>
      <c r="G334" s="302"/>
      <c r="H334" s="302"/>
      <c r="I334" s="303"/>
      <c r="J334" s="302"/>
      <c r="K334" s="302"/>
      <c r="L334" s="302"/>
      <c r="M334" s="236"/>
    </row>
    <row r="335" spans="1:13" x14ac:dyDescent="0.2">
      <c r="A335" s="237"/>
      <c r="B335" s="302"/>
      <c r="C335" s="302"/>
      <c r="D335" s="302"/>
      <c r="E335" s="303"/>
      <c r="F335" s="302"/>
      <c r="G335" s="302"/>
      <c r="H335" s="302"/>
      <c r="I335" s="303"/>
      <c r="J335" s="302"/>
      <c r="K335" s="302"/>
      <c r="L335" s="302"/>
      <c r="M335" s="236"/>
    </row>
    <row r="336" spans="1:13" x14ac:dyDescent="0.2">
      <c r="A336" s="237"/>
      <c r="B336" s="302"/>
      <c r="C336" s="302"/>
      <c r="D336" s="302"/>
      <c r="E336" s="303"/>
      <c r="F336" s="302"/>
      <c r="G336" s="302"/>
      <c r="H336" s="302"/>
      <c r="I336" s="303"/>
      <c r="J336" s="302"/>
      <c r="K336" s="302"/>
      <c r="L336" s="302"/>
      <c r="M336" s="236"/>
    </row>
    <row r="337" spans="1:13" x14ac:dyDescent="0.2">
      <c r="A337" s="237"/>
      <c r="B337" s="302"/>
      <c r="C337" s="302"/>
      <c r="D337" s="302"/>
      <c r="E337" s="303"/>
      <c r="F337" s="302"/>
      <c r="G337" s="302"/>
      <c r="H337" s="302"/>
      <c r="I337" s="303"/>
      <c r="J337" s="302"/>
      <c r="K337" s="302"/>
      <c r="L337" s="302"/>
      <c r="M337" s="236"/>
    </row>
    <row r="338" spans="1:13" x14ac:dyDescent="0.2">
      <c r="A338" s="237"/>
      <c r="B338" s="302"/>
      <c r="C338" s="302"/>
      <c r="D338" s="302"/>
      <c r="E338" s="303"/>
      <c r="F338" s="302"/>
      <c r="G338" s="302"/>
      <c r="H338" s="302"/>
      <c r="I338" s="303"/>
      <c r="J338" s="302"/>
      <c r="K338" s="302"/>
      <c r="L338" s="302"/>
      <c r="M338" s="236"/>
    </row>
    <row r="339" spans="1:13" x14ac:dyDescent="0.2">
      <c r="A339" s="237"/>
      <c r="B339" s="302"/>
      <c r="C339" s="302"/>
      <c r="D339" s="302"/>
      <c r="E339" s="303"/>
      <c r="F339" s="302"/>
      <c r="G339" s="302"/>
      <c r="H339" s="302"/>
      <c r="I339" s="303"/>
      <c r="J339" s="302"/>
      <c r="K339" s="302"/>
      <c r="L339" s="302"/>
      <c r="M339" s="236"/>
    </row>
    <row r="340" spans="1:13" x14ac:dyDescent="0.2">
      <c r="A340" s="237"/>
      <c r="B340" s="302"/>
      <c r="C340" s="302"/>
      <c r="D340" s="302"/>
      <c r="E340" s="303"/>
      <c r="F340" s="302"/>
      <c r="G340" s="302"/>
      <c r="H340" s="302"/>
      <c r="I340" s="303"/>
      <c r="J340" s="302"/>
      <c r="K340" s="302"/>
      <c r="L340" s="302"/>
      <c r="M340" s="236"/>
    </row>
    <row r="341" spans="1:13" x14ac:dyDescent="0.2">
      <c r="A341" s="237"/>
      <c r="B341" s="302"/>
      <c r="C341" s="302"/>
      <c r="D341" s="302"/>
      <c r="E341" s="303"/>
      <c r="F341" s="302"/>
      <c r="G341" s="302"/>
      <c r="H341" s="302"/>
      <c r="I341" s="303"/>
      <c r="J341" s="302"/>
      <c r="K341" s="302"/>
      <c r="L341" s="302"/>
      <c r="M341" s="236"/>
    </row>
    <row r="342" spans="1:13" x14ac:dyDescent="0.2">
      <c r="A342" s="237"/>
      <c r="B342" s="303"/>
      <c r="C342" s="303"/>
      <c r="D342" s="303"/>
      <c r="E342" s="303"/>
      <c r="F342" s="303"/>
      <c r="G342" s="303"/>
      <c r="H342" s="303"/>
      <c r="I342" s="303"/>
      <c r="J342" s="303"/>
      <c r="K342" s="303"/>
      <c r="L342" s="303"/>
      <c r="M342" s="236"/>
    </row>
    <row r="343" spans="1:13" x14ac:dyDescent="0.2">
      <c r="A343" s="237"/>
      <c r="B343" s="237"/>
      <c r="C343" s="237"/>
      <c r="D343" s="237"/>
      <c r="E343" s="237"/>
      <c r="F343" s="237"/>
      <c r="G343" s="237"/>
      <c r="H343" s="237"/>
      <c r="I343" s="237"/>
      <c r="J343" s="237"/>
      <c r="K343" s="237"/>
      <c r="L343" s="240"/>
      <c r="M343" s="236"/>
    </row>
    <row r="344" spans="1:13" x14ac:dyDescent="0.2">
      <c r="A344" s="237"/>
      <c r="B344" s="237"/>
      <c r="C344" s="237"/>
      <c r="D344" s="237"/>
      <c r="E344" s="237"/>
      <c r="F344" s="237"/>
      <c r="G344" s="237"/>
      <c r="H344" s="237"/>
      <c r="I344" s="237"/>
      <c r="J344" s="237"/>
      <c r="K344" s="237"/>
      <c r="L344" s="284"/>
      <c r="M344" s="236"/>
    </row>
    <row r="345" spans="1:13" x14ac:dyDescent="0.2">
      <c r="A345" s="258"/>
      <c r="B345" s="241"/>
      <c r="C345" s="241"/>
      <c r="D345" s="241"/>
      <c r="E345" s="241"/>
      <c r="F345" s="241"/>
      <c r="G345" s="241"/>
      <c r="H345" s="241"/>
      <c r="I345" s="241"/>
      <c r="J345" s="241"/>
      <c r="K345" s="241"/>
      <c r="L345" s="236"/>
      <c r="M345" s="236"/>
    </row>
    <row r="346" spans="1:13" x14ac:dyDescent="0.2">
      <c r="A346" s="241"/>
      <c r="B346" s="375"/>
      <c r="C346" s="375"/>
      <c r="D346" s="375"/>
      <c r="E346" s="253"/>
      <c r="F346" s="375"/>
      <c r="G346" s="375"/>
      <c r="H346" s="375"/>
      <c r="I346" s="253"/>
      <c r="J346" s="375"/>
      <c r="K346" s="375"/>
      <c r="L346" s="375"/>
      <c r="M346" s="236"/>
    </row>
    <row r="347" spans="1:13" x14ac:dyDescent="0.2">
      <c r="A347" s="258"/>
      <c r="B347" s="259"/>
      <c r="C347" s="259"/>
      <c r="D347" s="259"/>
      <c r="E347" s="259"/>
      <c r="F347" s="259"/>
      <c r="G347" s="259"/>
      <c r="H347" s="259"/>
      <c r="I347" s="259"/>
      <c r="J347" s="259"/>
      <c r="K347" s="259"/>
      <c r="L347" s="259"/>
      <c r="M347" s="236"/>
    </row>
    <row r="348" spans="1:13" x14ac:dyDescent="0.2">
      <c r="A348" s="258"/>
      <c r="B348" s="259"/>
      <c r="C348" s="259"/>
      <c r="D348" s="259"/>
      <c r="E348" s="259"/>
      <c r="F348" s="259"/>
      <c r="G348" s="259"/>
      <c r="H348" s="259"/>
      <c r="I348" s="259"/>
      <c r="J348" s="259"/>
      <c r="K348" s="259"/>
      <c r="L348" s="259"/>
      <c r="M348" s="236"/>
    </row>
    <row r="349" spans="1:13" x14ac:dyDescent="0.2">
      <c r="A349" s="237"/>
      <c r="B349" s="302"/>
      <c r="C349" s="302"/>
      <c r="D349" s="302"/>
      <c r="E349" s="303"/>
      <c r="F349" s="302"/>
      <c r="G349" s="302"/>
      <c r="H349" s="302"/>
      <c r="I349" s="303"/>
      <c r="J349" s="302"/>
      <c r="K349" s="302"/>
      <c r="L349" s="302"/>
      <c r="M349" s="236"/>
    </row>
    <row r="350" spans="1:13" x14ac:dyDescent="0.2">
      <c r="A350" s="237"/>
      <c r="B350" s="302"/>
      <c r="C350" s="302"/>
      <c r="D350" s="302"/>
      <c r="E350" s="303"/>
      <c r="F350" s="302"/>
      <c r="G350" s="302"/>
      <c r="H350" s="302"/>
      <c r="I350" s="303"/>
      <c r="J350" s="302"/>
      <c r="K350" s="302"/>
      <c r="L350" s="302"/>
      <c r="M350" s="236"/>
    </row>
    <row r="351" spans="1:13" x14ac:dyDescent="0.2">
      <c r="A351" s="237"/>
      <c r="B351" s="302"/>
      <c r="C351" s="302"/>
      <c r="D351" s="302"/>
      <c r="E351" s="303"/>
      <c r="F351" s="302"/>
      <c r="G351" s="302"/>
      <c r="H351" s="302"/>
      <c r="I351" s="303"/>
      <c r="J351" s="302"/>
      <c r="K351" s="302"/>
      <c r="L351" s="302"/>
      <c r="M351" s="236"/>
    </row>
    <row r="352" spans="1:13" x14ac:dyDescent="0.2">
      <c r="A352" s="237"/>
      <c r="B352" s="302"/>
      <c r="C352" s="302"/>
      <c r="D352" s="302"/>
      <c r="E352" s="303"/>
      <c r="F352" s="302"/>
      <c r="G352" s="302"/>
      <c r="H352" s="302"/>
      <c r="I352" s="303"/>
      <c r="J352" s="302"/>
      <c r="K352" s="302"/>
      <c r="L352" s="302"/>
      <c r="M352" s="236"/>
    </row>
    <row r="353" spans="1:13" x14ac:dyDescent="0.2">
      <c r="A353" s="237"/>
      <c r="B353" s="302"/>
      <c r="C353" s="302"/>
      <c r="D353" s="302"/>
      <c r="E353" s="303"/>
      <c r="F353" s="302"/>
      <c r="G353" s="302"/>
      <c r="H353" s="302"/>
      <c r="I353" s="303"/>
      <c r="J353" s="302"/>
      <c r="K353" s="302"/>
      <c r="L353" s="302"/>
      <c r="M353" s="236"/>
    </row>
    <row r="354" spans="1:13" x14ac:dyDescent="0.2">
      <c r="A354" s="237"/>
      <c r="B354" s="302"/>
      <c r="C354" s="302"/>
      <c r="D354" s="302"/>
      <c r="E354" s="303"/>
      <c r="F354" s="302"/>
      <c r="G354" s="302"/>
      <c r="H354" s="302"/>
      <c r="I354" s="303"/>
      <c r="J354" s="302"/>
      <c r="K354" s="302"/>
      <c r="L354" s="302"/>
      <c r="M354" s="236"/>
    </row>
    <row r="355" spans="1:13" x14ac:dyDescent="0.2">
      <c r="A355" s="237"/>
      <c r="B355" s="302"/>
      <c r="C355" s="302"/>
      <c r="D355" s="302"/>
      <c r="E355" s="303"/>
      <c r="F355" s="302"/>
      <c r="G355" s="302"/>
      <c r="H355" s="302"/>
      <c r="I355" s="303"/>
      <c r="J355" s="302"/>
      <c r="K355" s="302"/>
      <c r="L355" s="302"/>
      <c r="M355" s="236"/>
    </row>
    <row r="356" spans="1:13" x14ac:dyDescent="0.2">
      <c r="A356" s="237"/>
      <c r="B356" s="302"/>
      <c r="C356" s="302"/>
      <c r="D356" s="302"/>
      <c r="E356" s="303"/>
      <c r="F356" s="302"/>
      <c r="G356" s="302"/>
      <c r="H356" s="302"/>
      <c r="I356" s="303"/>
      <c r="J356" s="302"/>
      <c r="K356" s="302"/>
      <c r="L356" s="302"/>
      <c r="M356" s="236"/>
    </row>
    <row r="357" spans="1:13" x14ac:dyDescent="0.2">
      <c r="A357" s="237"/>
      <c r="B357" s="302"/>
      <c r="C357" s="302"/>
      <c r="D357" s="302"/>
      <c r="E357" s="303"/>
      <c r="F357" s="302"/>
      <c r="G357" s="302"/>
      <c r="H357" s="302"/>
      <c r="I357" s="303"/>
      <c r="J357" s="302"/>
      <c r="K357" s="302"/>
      <c r="L357" s="302"/>
      <c r="M357" s="236"/>
    </row>
    <row r="358" spans="1:13" x14ac:dyDescent="0.2">
      <c r="A358" s="237"/>
      <c r="B358" s="302"/>
      <c r="C358" s="302"/>
      <c r="D358" s="302"/>
      <c r="E358" s="303"/>
      <c r="F358" s="302"/>
      <c r="G358" s="302"/>
      <c r="H358" s="302"/>
      <c r="I358" s="303"/>
      <c r="J358" s="302"/>
      <c r="K358" s="302"/>
      <c r="L358" s="302"/>
      <c r="M358" s="236"/>
    </row>
    <row r="359" spans="1:13" x14ac:dyDescent="0.2">
      <c r="A359" s="237"/>
      <c r="B359" s="303"/>
      <c r="C359" s="303"/>
      <c r="D359" s="303"/>
      <c r="E359" s="303"/>
      <c r="F359" s="303"/>
      <c r="G359" s="303"/>
      <c r="H359" s="303"/>
      <c r="I359" s="303"/>
      <c r="J359" s="303"/>
      <c r="K359" s="303"/>
      <c r="L359" s="303"/>
      <c r="M359" s="236"/>
    </row>
    <row r="360" spans="1:13" x14ac:dyDescent="0.2">
      <c r="A360" s="237"/>
      <c r="B360" s="237"/>
      <c r="C360" s="237"/>
      <c r="D360" s="237"/>
      <c r="E360" s="237"/>
      <c r="F360" s="237"/>
      <c r="G360" s="237"/>
      <c r="H360" s="237"/>
      <c r="I360" s="237"/>
      <c r="J360" s="237"/>
      <c r="K360" s="237"/>
      <c r="L360" s="240"/>
      <c r="M360" s="236"/>
    </row>
    <row r="361" spans="1:13" x14ac:dyDescent="0.2">
      <c r="A361" s="237"/>
      <c r="B361" s="237"/>
      <c r="C361" s="237"/>
      <c r="D361" s="237"/>
      <c r="E361" s="237"/>
      <c r="F361" s="237"/>
      <c r="G361" s="237"/>
      <c r="H361" s="237"/>
      <c r="I361" s="237"/>
      <c r="J361" s="237"/>
      <c r="K361" s="237"/>
      <c r="L361" s="284"/>
      <c r="M361" s="236"/>
    </row>
    <row r="362" spans="1:13" x14ac:dyDescent="0.2">
      <c r="A362" s="258"/>
      <c r="B362" s="241"/>
      <c r="C362" s="241"/>
      <c r="D362" s="241"/>
      <c r="E362" s="241"/>
      <c r="F362" s="241"/>
      <c r="G362" s="241"/>
      <c r="H362" s="241"/>
      <c r="I362" s="241"/>
      <c r="J362" s="241"/>
      <c r="K362" s="241"/>
      <c r="L362" s="236"/>
      <c r="M362" s="236"/>
    </row>
    <row r="363" spans="1:13" x14ac:dyDescent="0.2">
      <c r="A363" s="241"/>
      <c r="B363" s="375"/>
      <c r="C363" s="375"/>
      <c r="D363" s="375"/>
      <c r="E363" s="253"/>
      <c r="F363" s="375"/>
      <c r="G363" s="375"/>
      <c r="H363" s="375"/>
      <c r="I363" s="253"/>
      <c r="J363" s="375"/>
      <c r="K363" s="375"/>
      <c r="L363" s="375"/>
      <c r="M363" s="236"/>
    </row>
    <row r="364" spans="1:13" x14ac:dyDescent="0.2">
      <c r="A364" s="258"/>
      <c r="B364" s="259"/>
      <c r="C364" s="259"/>
      <c r="D364" s="259"/>
      <c r="E364" s="259"/>
      <c r="F364" s="259"/>
      <c r="G364" s="259"/>
      <c r="H364" s="259"/>
      <c r="I364" s="259"/>
      <c r="J364" s="259"/>
      <c r="K364" s="259"/>
      <c r="L364" s="259"/>
      <c r="M364" s="236"/>
    </row>
    <row r="365" spans="1:13" x14ac:dyDescent="0.2">
      <c r="A365" s="258"/>
      <c r="B365" s="259"/>
      <c r="C365" s="259"/>
      <c r="D365" s="259"/>
      <c r="E365" s="259"/>
      <c r="F365" s="259"/>
      <c r="G365" s="259"/>
      <c r="H365" s="259"/>
      <c r="I365" s="259"/>
      <c r="J365" s="259"/>
      <c r="K365" s="259"/>
      <c r="L365" s="259"/>
      <c r="M365" s="236"/>
    </row>
    <row r="366" spans="1:13" x14ac:dyDescent="0.2">
      <c r="A366" s="237"/>
      <c r="B366" s="302"/>
      <c r="C366" s="302"/>
      <c r="D366" s="302"/>
      <c r="E366" s="303"/>
      <c r="F366" s="302"/>
      <c r="G366" s="302"/>
      <c r="H366" s="302"/>
      <c r="I366" s="303"/>
      <c r="J366" s="302"/>
      <c r="K366" s="302"/>
      <c r="L366" s="302"/>
      <c r="M366" s="236"/>
    </row>
    <row r="367" spans="1:13" x14ac:dyDescent="0.2">
      <c r="A367" s="237"/>
      <c r="B367" s="302"/>
      <c r="C367" s="302"/>
      <c r="D367" s="302"/>
      <c r="E367" s="303"/>
      <c r="F367" s="302"/>
      <c r="G367" s="302"/>
      <c r="H367" s="302"/>
      <c r="I367" s="303"/>
      <c r="J367" s="302"/>
      <c r="K367" s="302"/>
      <c r="L367" s="302"/>
      <c r="M367" s="236"/>
    </row>
    <row r="368" spans="1:13" x14ac:dyDescent="0.2">
      <c r="A368" s="237"/>
      <c r="B368" s="302"/>
      <c r="C368" s="302"/>
      <c r="D368" s="302"/>
      <c r="E368" s="303"/>
      <c r="F368" s="302"/>
      <c r="G368" s="302"/>
      <c r="H368" s="302"/>
      <c r="I368" s="303"/>
      <c r="J368" s="302"/>
      <c r="K368" s="302"/>
      <c r="L368" s="302"/>
      <c r="M368" s="236"/>
    </row>
    <row r="369" spans="1:13" x14ac:dyDescent="0.2">
      <c r="A369" s="237"/>
      <c r="B369" s="302"/>
      <c r="C369" s="302"/>
      <c r="D369" s="302"/>
      <c r="E369" s="303"/>
      <c r="F369" s="302"/>
      <c r="G369" s="302"/>
      <c r="H369" s="302"/>
      <c r="I369" s="303"/>
      <c r="J369" s="302"/>
      <c r="K369" s="302"/>
      <c r="L369" s="302"/>
      <c r="M369" s="236"/>
    </row>
    <row r="370" spans="1:13" x14ac:dyDescent="0.2">
      <c r="A370" s="237"/>
      <c r="B370" s="302"/>
      <c r="C370" s="302"/>
      <c r="D370" s="302"/>
      <c r="E370" s="303"/>
      <c r="F370" s="302"/>
      <c r="G370" s="302"/>
      <c r="H370" s="302"/>
      <c r="I370" s="303"/>
      <c r="J370" s="302"/>
      <c r="K370" s="302"/>
      <c r="L370" s="302"/>
      <c r="M370" s="236"/>
    </row>
    <row r="371" spans="1:13" x14ac:dyDescent="0.2">
      <c r="A371" s="237"/>
      <c r="B371" s="302"/>
      <c r="C371" s="302"/>
      <c r="D371" s="302"/>
      <c r="E371" s="303"/>
      <c r="F371" s="302"/>
      <c r="G371" s="302"/>
      <c r="H371" s="302"/>
      <c r="I371" s="303"/>
      <c r="J371" s="302"/>
      <c r="K371" s="302"/>
      <c r="L371" s="302"/>
      <c r="M371" s="236"/>
    </row>
    <row r="372" spans="1:13" x14ac:dyDescent="0.2">
      <c r="A372" s="237"/>
      <c r="B372" s="302"/>
      <c r="C372" s="302"/>
      <c r="D372" s="302"/>
      <c r="E372" s="303"/>
      <c r="F372" s="302"/>
      <c r="G372" s="302"/>
      <c r="H372" s="302"/>
      <c r="I372" s="303"/>
      <c r="J372" s="302"/>
      <c r="K372" s="302"/>
      <c r="L372" s="302"/>
      <c r="M372" s="236"/>
    </row>
    <row r="373" spans="1:13" x14ac:dyDescent="0.2">
      <c r="A373" s="237"/>
      <c r="B373" s="302"/>
      <c r="C373" s="302"/>
      <c r="D373" s="302"/>
      <c r="E373" s="303"/>
      <c r="F373" s="302"/>
      <c r="G373" s="302"/>
      <c r="H373" s="302"/>
      <c r="I373" s="303"/>
      <c r="J373" s="302"/>
      <c r="K373" s="302"/>
      <c r="L373" s="302"/>
      <c r="M373" s="236"/>
    </row>
    <row r="374" spans="1:13" x14ac:dyDescent="0.2">
      <c r="A374" s="237"/>
      <c r="B374" s="302"/>
      <c r="C374" s="302"/>
      <c r="D374" s="302"/>
      <c r="E374" s="303"/>
      <c r="F374" s="302"/>
      <c r="G374" s="302"/>
      <c r="H374" s="302"/>
      <c r="I374" s="303"/>
      <c r="J374" s="302"/>
      <c r="K374" s="302"/>
      <c r="L374" s="302"/>
      <c r="M374" s="236"/>
    </row>
    <row r="375" spans="1:13" x14ac:dyDescent="0.2">
      <c r="A375" s="237"/>
      <c r="B375" s="302"/>
      <c r="C375" s="302"/>
      <c r="D375" s="302"/>
      <c r="E375" s="303"/>
      <c r="F375" s="302"/>
      <c r="G375" s="302"/>
      <c r="H375" s="302"/>
      <c r="I375" s="303"/>
      <c r="J375" s="302"/>
      <c r="K375" s="302"/>
      <c r="L375" s="302"/>
      <c r="M375" s="236"/>
    </row>
    <row r="376" spans="1:13" x14ac:dyDescent="0.2">
      <c r="A376" s="237"/>
      <c r="B376" s="303"/>
      <c r="C376" s="303"/>
      <c r="D376" s="303"/>
      <c r="E376" s="303"/>
      <c r="F376" s="303"/>
      <c r="G376" s="303"/>
      <c r="H376" s="303"/>
      <c r="I376" s="303"/>
      <c r="J376" s="303"/>
      <c r="K376" s="303"/>
      <c r="L376" s="303"/>
      <c r="M376" s="236"/>
    </row>
    <row r="377" spans="1:13" x14ac:dyDescent="0.2">
      <c r="A377" s="237"/>
      <c r="B377" s="237"/>
      <c r="C377" s="237"/>
      <c r="D377" s="237"/>
      <c r="E377" s="237"/>
      <c r="F377" s="237"/>
      <c r="G377" s="237"/>
      <c r="H377" s="237"/>
      <c r="I377" s="237"/>
      <c r="J377" s="237"/>
      <c r="K377" s="237"/>
      <c r="L377" s="240"/>
      <c r="M377" s="236"/>
    </row>
    <row r="378" spans="1:13" x14ac:dyDescent="0.2">
      <c r="A378" s="237"/>
      <c r="B378" s="237"/>
      <c r="C378" s="237"/>
      <c r="D378" s="237"/>
      <c r="E378" s="237"/>
      <c r="F378" s="237"/>
      <c r="G378" s="237"/>
      <c r="H378" s="237"/>
      <c r="I378" s="237"/>
      <c r="J378" s="237"/>
      <c r="K378" s="237"/>
      <c r="L378" s="284"/>
      <c r="M378" s="236"/>
    </row>
    <row r="379" spans="1:13" x14ac:dyDescent="0.2">
      <c r="A379" s="258"/>
      <c r="B379" s="241"/>
      <c r="C379" s="241"/>
      <c r="D379" s="241"/>
      <c r="E379" s="241"/>
      <c r="F379" s="241"/>
      <c r="G379" s="241"/>
      <c r="H379" s="241"/>
      <c r="I379" s="241"/>
      <c r="J379" s="241"/>
      <c r="K379" s="241"/>
      <c r="L379" s="236"/>
      <c r="M379" s="236"/>
    </row>
    <row r="380" spans="1:13" x14ac:dyDescent="0.2">
      <c r="A380" s="241"/>
      <c r="B380" s="375"/>
      <c r="C380" s="375"/>
      <c r="D380" s="375"/>
      <c r="E380" s="253"/>
      <c r="F380" s="375"/>
      <c r="G380" s="375"/>
      <c r="H380" s="375"/>
      <c r="I380" s="253"/>
      <c r="J380" s="375"/>
      <c r="K380" s="375"/>
      <c r="L380" s="375"/>
      <c r="M380" s="236"/>
    </row>
    <row r="381" spans="1:13" x14ac:dyDescent="0.2">
      <c r="A381" s="258"/>
      <c r="B381" s="259"/>
      <c r="C381" s="259"/>
      <c r="D381" s="259"/>
      <c r="E381" s="259"/>
      <c r="F381" s="259"/>
      <c r="G381" s="259"/>
      <c r="H381" s="259"/>
      <c r="I381" s="259"/>
      <c r="J381" s="259"/>
      <c r="K381" s="259"/>
      <c r="L381" s="259"/>
      <c r="M381" s="236"/>
    </row>
    <row r="382" spans="1:13" x14ac:dyDescent="0.2">
      <c r="A382" s="258"/>
      <c r="B382" s="259"/>
      <c r="C382" s="259"/>
      <c r="D382" s="259"/>
      <c r="E382" s="259"/>
      <c r="F382" s="259"/>
      <c r="G382" s="259"/>
      <c r="H382" s="259"/>
      <c r="I382" s="259"/>
      <c r="J382" s="259"/>
      <c r="K382" s="259"/>
      <c r="L382" s="259"/>
      <c r="M382" s="236"/>
    </row>
    <row r="383" spans="1:13" x14ac:dyDescent="0.2">
      <c r="A383" s="237"/>
      <c r="B383" s="302"/>
      <c r="C383" s="302"/>
      <c r="D383" s="302"/>
      <c r="E383" s="303"/>
      <c r="F383" s="302"/>
      <c r="G383" s="302"/>
      <c r="H383" s="302"/>
      <c r="I383" s="303"/>
      <c r="J383" s="302"/>
      <c r="K383" s="302"/>
      <c r="L383" s="302"/>
      <c r="M383" s="236"/>
    </row>
    <row r="384" spans="1:13" x14ac:dyDescent="0.2">
      <c r="A384" s="237"/>
      <c r="B384" s="302"/>
      <c r="C384" s="302"/>
      <c r="D384" s="302"/>
      <c r="E384" s="303"/>
      <c r="F384" s="302"/>
      <c r="G384" s="302"/>
      <c r="H384" s="302"/>
      <c r="I384" s="303"/>
      <c r="J384" s="302"/>
      <c r="K384" s="302"/>
      <c r="L384" s="302"/>
      <c r="M384" s="236"/>
    </row>
    <row r="385" spans="1:13" x14ac:dyDescent="0.2">
      <c r="A385" s="237"/>
      <c r="B385" s="302"/>
      <c r="C385" s="302"/>
      <c r="D385" s="302"/>
      <c r="E385" s="303"/>
      <c r="F385" s="302"/>
      <c r="G385" s="302"/>
      <c r="H385" s="302"/>
      <c r="I385" s="303"/>
      <c r="J385" s="302"/>
      <c r="K385" s="302"/>
      <c r="L385" s="302"/>
      <c r="M385" s="236"/>
    </row>
    <row r="386" spans="1:13" x14ac:dyDescent="0.2">
      <c r="A386" s="237"/>
      <c r="B386" s="302"/>
      <c r="C386" s="302"/>
      <c r="D386" s="302"/>
      <c r="E386" s="303"/>
      <c r="F386" s="302"/>
      <c r="G386" s="302"/>
      <c r="H386" s="302"/>
      <c r="I386" s="303"/>
      <c r="J386" s="302"/>
      <c r="K386" s="302"/>
      <c r="L386" s="302"/>
      <c r="M386" s="236"/>
    </row>
    <row r="387" spans="1:13" x14ac:dyDescent="0.2">
      <c r="A387" s="237"/>
      <c r="B387" s="302"/>
      <c r="C387" s="302"/>
      <c r="D387" s="302"/>
      <c r="E387" s="303"/>
      <c r="F387" s="302"/>
      <c r="G387" s="302"/>
      <c r="H387" s="302"/>
      <c r="I387" s="303"/>
      <c r="J387" s="302"/>
      <c r="K387" s="302"/>
      <c r="L387" s="302"/>
      <c r="M387" s="236"/>
    </row>
    <row r="388" spans="1:13" x14ac:dyDescent="0.2">
      <c r="A388" s="237"/>
      <c r="B388" s="302"/>
      <c r="C388" s="302"/>
      <c r="D388" s="302"/>
      <c r="E388" s="303"/>
      <c r="F388" s="302"/>
      <c r="G388" s="302"/>
      <c r="H388" s="302"/>
      <c r="I388" s="303"/>
      <c r="J388" s="302"/>
      <c r="K388" s="302"/>
      <c r="L388" s="302"/>
      <c r="M388" s="236"/>
    </row>
    <row r="389" spans="1:13" x14ac:dyDescent="0.2">
      <c r="A389" s="237"/>
      <c r="B389" s="302"/>
      <c r="C389" s="302"/>
      <c r="D389" s="302"/>
      <c r="E389" s="303"/>
      <c r="F389" s="302"/>
      <c r="G389" s="302"/>
      <c r="H389" s="302"/>
      <c r="I389" s="303"/>
      <c r="J389" s="302"/>
      <c r="K389" s="302"/>
      <c r="L389" s="302"/>
      <c r="M389" s="236"/>
    </row>
    <row r="390" spans="1:13" x14ac:dyDescent="0.2">
      <c r="A390" s="237"/>
      <c r="B390" s="302"/>
      <c r="C390" s="302"/>
      <c r="D390" s="302"/>
      <c r="E390" s="303"/>
      <c r="F390" s="302"/>
      <c r="G390" s="302"/>
      <c r="H390" s="302"/>
      <c r="I390" s="303"/>
      <c r="J390" s="302"/>
      <c r="K390" s="302"/>
      <c r="L390" s="302"/>
      <c r="M390" s="236"/>
    </row>
    <row r="391" spans="1:13" x14ac:dyDescent="0.2">
      <c r="A391" s="237"/>
      <c r="B391" s="302"/>
      <c r="C391" s="302"/>
      <c r="D391" s="302"/>
      <c r="E391" s="303"/>
      <c r="F391" s="302"/>
      <c r="G391" s="302"/>
      <c r="H391" s="302"/>
      <c r="I391" s="303"/>
      <c r="J391" s="302"/>
      <c r="K391" s="302"/>
      <c r="L391" s="302"/>
      <c r="M391" s="236"/>
    </row>
    <row r="392" spans="1:13" x14ac:dyDescent="0.2">
      <c r="A392" s="237"/>
      <c r="B392" s="302"/>
      <c r="C392" s="302"/>
      <c r="D392" s="302"/>
      <c r="E392" s="303"/>
      <c r="F392" s="302"/>
      <c r="G392" s="302"/>
      <c r="H392" s="302"/>
      <c r="I392" s="303"/>
      <c r="J392" s="302"/>
      <c r="K392" s="302"/>
      <c r="L392" s="302"/>
      <c r="M392" s="236"/>
    </row>
    <row r="393" spans="1:13" x14ac:dyDescent="0.2">
      <c r="A393" s="237"/>
      <c r="B393" s="303"/>
      <c r="C393" s="303"/>
      <c r="D393" s="303"/>
      <c r="E393" s="303"/>
      <c r="F393" s="303"/>
      <c r="G393" s="303"/>
      <c r="H393" s="303"/>
      <c r="I393" s="303"/>
      <c r="J393" s="303"/>
      <c r="K393" s="303"/>
      <c r="L393" s="303"/>
      <c r="M393" s="236"/>
    </row>
    <row r="394" spans="1:13" x14ac:dyDescent="0.2">
      <c r="A394" s="237"/>
      <c r="B394" s="237"/>
      <c r="C394" s="237"/>
      <c r="D394" s="237"/>
      <c r="E394" s="237"/>
      <c r="F394" s="237"/>
      <c r="G394" s="237"/>
      <c r="H394" s="237"/>
      <c r="I394" s="237"/>
      <c r="J394" s="237"/>
      <c r="K394" s="237"/>
      <c r="L394" s="240"/>
      <c r="M394" s="236"/>
    </row>
    <row r="395" spans="1:13" x14ac:dyDescent="0.2">
      <c r="A395" s="237"/>
      <c r="B395" s="237"/>
      <c r="C395" s="237"/>
      <c r="D395" s="237"/>
      <c r="E395" s="237"/>
      <c r="F395" s="237"/>
      <c r="G395" s="237"/>
      <c r="H395" s="237"/>
      <c r="I395" s="237"/>
      <c r="J395" s="237"/>
      <c r="K395" s="237"/>
      <c r="L395" s="284"/>
      <c r="M395" s="236"/>
    </row>
    <row r="396" spans="1:13" x14ac:dyDescent="0.2">
      <c r="A396" s="258"/>
      <c r="B396" s="241"/>
      <c r="C396" s="241"/>
      <c r="D396" s="241"/>
      <c r="E396" s="241"/>
      <c r="F396" s="241"/>
      <c r="G396" s="241"/>
      <c r="H396" s="241"/>
      <c r="I396" s="241"/>
      <c r="J396" s="241"/>
      <c r="K396" s="241"/>
      <c r="L396" s="236"/>
      <c r="M396" s="236"/>
    </row>
    <row r="397" spans="1:13" x14ac:dyDescent="0.2">
      <c r="A397" s="241"/>
      <c r="B397" s="375"/>
      <c r="C397" s="375"/>
      <c r="D397" s="375"/>
      <c r="E397" s="253"/>
      <c r="F397" s="375"/>
      <c r="G397" s="375"/>
      <c r="H397" s="375"/>
      <c r="I397" s="253"/>
      <c r="J397" s="375"/>
      <c r="K397" s="375"/>
      <c r="L397" s="375"/>
      <c r="M397" s="236"/>
    </row>
    <row r="398" spans="1:13" x14ac:dyDescent="0.2">
      <c r="A398" s="258"/>
      <c r="B398" s="259"/>
      <c r="C398" s="259"/>
      <c r="D398" s="259"/>
      <c r="E398" s="259"/>
      <c r="F398" s="259"/>
      <c r="G398" s="259"/>
      <c r="H398" s="259"/>
      <c r="I398" s="259"/>
      <c r="J398" s="259"/>
      <c r="K398" s="259"/>
      <c r="L398" s="259"/>
      <c r="M398" s="236"/>
    </row>
    <row r="399" spans="1:13" x14ac:dyDescent="0.2">
      <c r="A399" s="258"/>
      <c r="B399" s="259"/>
      <c r="C399" s="259"/>
      <c r="D399" s="259"/>
      <c r="E399" s="259"/>
      <c r="F399" s="259"/>
      <c r="G399" s="259"/>
      <c r="H399" s="259"/>
      <c r="I399" s="259"/>
      <c r="J399" s="259"/>
      <c r="K399" s="259"/>
      <c r="L399" s="259"/>
      <c r="M399" s="236"/>
    </row>
    <row r="400" spans="1:13" x14ac:dyDescent="0.2">
      <c r="A400" s="237"/>
      <c r="B400" s="302"/>
      <c r="C400" s="302"/>
      <c r="D400" s="302"/>
      <c r="E400" s="303"/>
      <c r="F400" s="302"/>
      <c r="G400" s="302"/>
      <c r="H400" s="302"/>
      <c r="I400" s="303"/>
      <c r="J400" s="302"/>
      <c r="K400" s="302"/>
      <c r="L400" s="302"/>
      <c r="M400" s="236"/>
    </row>
    <row r="401" spans="1:13" x14ac:dyDescent="0.2">
      <c r="A401" s="237"/>
      <c r="B401" s="302"/>
      <c r="C401" s="302"/>
      <c r="D401" s="302"/>
      <c r="E401" s="303"/>
      <c r="F401" s="302"/>
      <c r="G401" s="302"/>
      <c r="H401" s="302"/>
      <c r="I401" s="303"/>
      <c r="J401" s="302"/>
      <c r="K401" s="302"/>
      <c r="L401" s="302"/>
      <c r="M401" s="236"/>
    </row>
    <row r="402" spans="1:13" x14ac:dyDescent="0.2">
      <c r="A402" s="237"/>
      <c r="B402" s="302"/>
      <c r="C402" s="302"/>
      <c r="D402" s="302"/>
      <c r="E402" s="303"/>
      <c r="F402" s="302"/>
      <c r="G402" s="302"/>
      <c r="H402" s="302"/>
      <c r="I402" s="303"/>
      <c r="J402" s="302"/>
      <c r="K402" s="302"/>
      <c r="L402" s="302"/>
      <c r="M402" s="236"/>
    </row>
    <row r="403" spans="1:13" x14ac:dyDescent="0.2">
      <c r="A403" s="237"/>
      <c r="B403" s="302"/>
      <c r="C403" s="302"/>
      <c r="D403" s="302"/>
      <c r="E403" s="303"/>
      <c r="F403" s="302"/>
      <c r="G403" s="302"/>
      <c r="H403" s="302"/>
      <c r="I403" s="303"/>
      <c r="J403" s="302"/>
      <c r="K403" s="302"/>
      <c r="L403" s="302"/>
      <c r="M403" s="236"/>
    </row>
    <row r="404" spans="1:13" x14ac:dyDescent="0.2">
      <c r="A404" s="237"/>
      <c r="B404" s="302"/>
      <c r="C404" s="302"/>
      <c r="D404" s="302"/>
      <c r="E404" s="303"/>
      <c r="F404" s="302"/>
      <c r="G404" s="302"/>
      <c r="H404" s="302"/>
      <c r="I404" s="303"/>
      <c r="J404" s="302"/>
      <c r="K404" s="302"/>
      <c r="L404" s="302"/>
      <c r="M404" s="236"/>
    </row>
    <row r="405" spans="1:13" x14ac:dyDescent="0.2">
      <c r="A405" s="237"/>
      <c r="B405" s="302"/>
      <c r="C405" s="302"/>
      <c r="D405" s="302"/>
      <c r="E405" s="303"/>
      <c r="F405" s="302"/>
      <c r="G405" s="302"/>
      <c r="H405" s="302"/>
      <c r="I405" s="303"/>
      <c r="J405" s="302"/>
      <c r="K405" s="302"/>
      <c r="L405" s="302"/>
      <c r="M405" s="236"/>
    </row>
    <row r="406" spans="1:13" x14ac:dyDescent="0.2">
      <c r="A406" s="237"/>
      <c r="B406" s="302"/>
      <c r="C406" s="302"/>
      <c r="D406" s="302"/>
      <c r="E406" s="303"/>
      <c r="F406" s="302"/>
      <c r="G406" s="302"/>
      <c r="H406" s="302"/>
      <c r="I406" s="303"/>
      <c r="J406" s="302"/>
      <c r="K406" s="302"/>
      <c r="L406" s="302"/>
      <c r="M406" s="236"/>
    </row>
    <row r="407" spans="1:13" x14ac:dyDescent="0.2">
      <c r="A407" s="237"/>
      <c r="B407" s="302"/>
      <c r="C407" s="302"/>
      <c r="D407" s="302"/>
      <c r="E407" s="303"/>
      <c r="F407" s="302"/>
      <c r="G407" s="302"/>
      <c r="H407" s="302"/>
      <c r="I407" s="303"/>
      <c r="J407" s="302"/>
      <c r="K407" s="302"/>
      <c r="L407" s="302"/>
      <c r="M407" s="236"/>
    </row>
    <row r="408" spans="1:13" x14ac:dyDescent="0.2">
      <c r="A408" s="237"/>
      <c r="B408" s="302"/>
      <c r="C408" s="302"/>
      <c r="D408" s="302"/>
      <c r="E408" s="303"/>
      <c r="F408" s="302"/>
      <c r="G408" s="302"/>
      <c r="H408" s="302"/>
      <c r="I408" s="303"/>
      <c r="J408" s="302"/>
      <c r="K408" s="302"/>
      <c r="L408" s="302"/>
      <c r="M408" s="236"/>
    </row>
    <row r="409" spans="1:13" x14ac:dyDescent="0.2">
      <c r="A409" s="237"/>
      <c r="B409" s="302"/>
      <c r="C409" s="302"/>
      <c r="D409" s="302"/>
      <c r="E409" s="303"/>
      <c r="F409" s="302"/>
      <c r="G409" s="302"/>
      <c r="H409" s="302"/>
      <c r="I409" s="303"/>
      <c r="J409" s="302"/>
      <c r="K409" s="302"/>
      <c r="L409" s="302"/>
      <c r="M409" s="236"/>
    </row>
    <row r="410" spans="1:13" x14ac:dyDescent="0.2">
      <c r="A410" s="237"/>
      <c r="B410" s="303"/>
      <c r="C410" s="303"/>
      <c r="D410" s="303"/>
      <c r="E410" s="303"/>
      <c r="F410" s="303"/>
      <c r="G410" s="303"/>
      <c r="H410" s="303"/>
      <c r="I410" s="303"/>
      <c r="J410" s="303"/>
      <c r="K410" s="303"/>
      <c r="L410" s="303"/>
      <c r="M410" s="236"/>
    </row>
    <row r="411" spans="1:13" x14ac:dyDescent="0.2">
      <c r="A411" s="237"/>
      <c r="B411" s="237"/>
      <c r="C411" s="237"/>
      <c r="D411" s="237"/>
      <c r="E411" s="237"/>
      <c r="F411" s="237"/>
      <c r="G411" s="237"/>
      <c r="H411" s="237"/>
      <c r="I411" s="237"/>
      <c r="J411" s="237"/>
      <c r="K411" s="237"/>
      <c r="L411" s="240"/>
      <c r="M411" s="236"/>
    </row>
    <row r="412" spans="1:13" x14ac:dyDescent="0.2">
      <c r="A412" s="237"/>
      <c r="B412" s="237"/>
      <c r="C412" s="237"/>
      <c r="D412" s="237"/>
      <c r="E412" s="237"/>
      <c r="F412" s="237"/>
      <c r="G412" s="237"/>
      <c r="H412" s="237"/>
      <c r="I412" s="237"/>
      <c r="J412" s="237"/>
      <c r="K412" s="237"/>
      <c r="L412" s="284"/>
      <c r="M412" s="236"/>
    </row>
    <row r="413" spans="1:13" x14ac:dyDescent="0.2">
      <c r="A413" s="258"/>
      <c r="B413" s="241"/>
      <c r="C413" s="241"/>
      <c r="D413" s="241"/>
      <c r="E413" s="241"/>
      <c r="F413" s="241"/>
      <c r="G413" s="241"/>
      <c r="H413" s="241"/>
      <c r="I413" s="241"/>
      <c r="J413" s="241"/>
      <c r="K413" s="241"/>
      <c r="L413" s="236"/>
      <c r="M413" s="236"/>
    </row>
    <row r="414" spans="1:13" x14ac:dyDescent="0.2">
      <c r="A414" s="241"/>
      <c r="B414" s="375"/>
      <c r="C414" s="375"/>
      <c r="D414" s="375"/>
      <c r="E414" s="253"/>
      <c r="F414" s="375"/>
      <c r="G414" s="375"/>
      <c r="H414" s="375"/>
      <c r="I414" s="253"/>
      <c r="J414" s="375"/>
      <c r="K414" s="375"/>
      <c r="L414" s="375"/>
      <c r="M414" s="236"/>
    </row>
    <row r="415" spans="1:13" x14ac:dyDescent="0.2">
      <c r="A415" s="258"/>
      <c r="B415" s="259"/>
      <c r="C415" s="259"/>
      <c r="D415" s="259"/>
      <c r="E415" s="259"/>
      <c r="F415" s="259"/>
      <c r="G415" s="259"/>
      <c r="H415" s="259"/>
      <c r="I415" s="259"/>
      <c r="J415" s="259"/>
      <c r="K415" s="259"/>
      <c r="L415" s="259"/>
      <c r="M415" s="236"/>
    </row>
    <row r="416" spans="1:13" x14ac:dyDescent="0.2">
      <c r="A416" s="258"/>
      <c r="B416" s="259"/>
      <c r="C416" s="259"/>
      <c r="D416" s="259"/>
      <c r="E416" s="259"/>
      <c r="F416" s="259"/>
      <c r="G416" s="259"/>
      <c r="H416" s="259"/>
      <c r="I416" s="259"/>
      <c r="J416" s="259"/>
      <c r="K416" s="259"/>
      <c r="L416" s="259"/>
      <c r="M416" s="236"/>
    </row>
    <row r="417" spans="1:13" x14ac:dyDescent="0.2">
      <c r="A417" s="237"/>
      <c r="B417" s="302"/>
      <c r="C417" s="302"/>
      <c r="D417" s="302"/>
      <c r="E417" s="303"/>
      <c r="F417" s="302"/>
      <c r="G417" s="302"/>
      <c r="H417" s="302"/>
      <c r="I417" s="303"/>
      <c r="J417" s="302"/>
      <c r="K417" s="302"/>
      <c r="L417" s="302"/>
      <c r="M417" s="236"/>
    </row>
    <row r="418" spans="1:13" x14ac:dyDescent="0.2">
      <c r="A418" s="237"/>
      <c r="B418" s="302"/>
      <c r="C418" s="302"/>
      <c r="D418" s="302"/>
      <c r="E418" s="303"/>
      <c r="F418" s="302"/>
      <c r="G418" s="302"/>
      <c r="H418" s="302"/>
      <c r="I418" s="303"/>
      <c r="J418" s="302"/>
      <c r="K418" s="302"/>
      <c r="L418" s="302"/>
      <c r="M418" s="236"/>
    </row>
    <row r="419" spans="1:13" x14ac:dyDescent="0.2">
      <c r="A419" s="237"/>
      <c r="B419" s="302"/>
      <c r="C419" s="302"/>
      <c r="D419" s="302"/>
      <c r="E419" s="303"/>
      <c r="F419" s="302"/>
      <c r="G419" s="302"/>
      <c r="H419" s="302"/>
      <c r="I419" s="303"/>
      <c r="J419" s="302"/>
      <c r="K419" s="302"/>
      <c r="L419" s="302"/>
      <c r="M419" s="236"/>
    </row>
    <row r="420" spans="1:13" x14ac:dyDescent="0.2">
      <c r="A420" s="237"/>
      <c r="B420" s="302"/>
      <c r="C420" s="302"/>
      <c r="D420" s="302"/>
      <c r="E420" s="303"/>
      <c r="F420" s="302"/>
      <c r="G420" s="302"/>
      <c r="H420" s="302"/>
      <c r="I420" s="303"/>
      <c r="J420" s="302"/>
      <c r="K420" s="302"/>
      <c r="L420" s="302"/>
      <c r="M420" s="236"/>
    </row>
    <row r="421" spans="1:13" x14ac:dyDescent="0.2">
      <c r="A421" s="237"/>
      <c r="B421" s="302"/>
      <c r="C421" s="302"/>
      <c r="D421" s="302"/>
      <c r="E421" s="303"/>
      <c r="F421" s="302"/>
      <c r="G421" s="302"/>
      <c r="H421" s="302"/>
      <c r="I421" s="303"/>
      <c r="J421" s="302"/>
      <c r="K421" s="302"/>
      <c r="L421" s="302"/>
      <c r="M421" s="236"/>
    </row>
    <row r="422" spans="1:13" x14ac:dyDescent="0.2">
      <c r="A422" s="237"/>
      <c r="B422" s="302"/>
      <c r="C422" s="302"/>
      <c r="D422" s="302"/>
      <c r="E422" s="303"/>
      <c r="F422" s="302"/>
      <c r="G422" s="302"/>
      <c r="H422" s="302"/>
      <c r="I422" s="303"/>
      <c r="J422" s="302"/>
      <c r="K422" s="302"/>
      <c r="L422" s="302"/>
      <c r="M422" s="236"/>
    </row>
    <row r="423" spans="1:13" x14ac:dyDescent="0.2">
      <c r="A423" s="237"/>
      <c r="B423" s="302"/>
      <c r="C423" s="302"/>
      <c r="D423" s="302"/>
      <c r="E423" s="303"/>
      <c r="F423" s="302"/>
      <c r="G423" s="302"/>
      <c r="H423" s="302"/>
      <c r="I423" s="303"/>
      <c r="J423" s="302"/>
      <c r="K423" s="302"/>
      <c r="L423" s="302"/>
      <c r="M423" s="236"/>
    </row>
    <row r="424" spans="1:13" x14ac:dyDescent="0.2">
      <c r="A424" s="237"/>
      <c r="B424" s="302"/>
      <c r="C424" s="302"/>
      <c r="D424" s="302"/>
      <c r="E424" s="303"/>
      <c r="F424" s="302"/>
      <c r="G424" s="302"/>
      <c r="H424" s="302"/>
      <c r="I424" s="303"/>
      <c r="J424" s="302"/>
      <c r="K424" s="302"/>
      <c r="L424" s="302"/>
      <c r="M424" s="236"/>
    </row>
    <row r="425" spans="1:13" x14ac:dyDescent="0.2">
      <c r="A425" s="237"/>
      <c r="B425" s="302"/>
      <c r="C425" s="302"/>
      <c r="D425" s="302"/>
      <c r="E425" s="303"/>
      <c r="F425" s="302"/>
      <c r="G425" s="302"/>
      <c r="H425" s="302"/>
      <c r="I425" s="303"/>
      <c r="J425" s="302"/>
      <c r="K425" s="302"/>
      <c r="L425" s="302"/>
      <c r="M425" s="236"/>
    </row>
    <row r="426" spans="1:13" x14ac:dyDescent="0.2">
      <c r="A426" s="237"/>
      <c r="B426" s="302"/>
      <c r="C426" s="302"/>
      <c r="D426" s="302"/>
      <c r="E426" s="303"/>
      <c r="F426" s="302"/>
      <c r="G426" s="302"/>
      <c r="H426" s="302"/>
      <c r="I426" s="303"/>
      <c r="J426" s="302"/>
      <c r="K426" s="302"/>
      <c r="L426" s="302"/>
      <c r="M426" s="236"/>
    </row>
    <row r="427" spans="1:13" x14ac:dyDescent="0.2">
      <c r="A427" s="237"/>
      <c r="B427" s="303"/>
      <c r="C427" s="303"/>
      <c r="D427" s="303"/>
      <c r="E427" s="303"/>
      <c r="F427" s="303"/>
      <c r="G427" s="303"/>
      <c r="H427" s="303"/>
      <c r="I427" s="303"/>
      <c r="J427" s="303"/>
      <c r="K427" s="303"/>
      <c r="L427" s="303"/>
      <c r="M427" s="236"/>
    </row>
    <row r="428" spans="1:13" x14ac:dyDescent="0.2">
      <c r="A428" s="237"/>
      <c r="B428" s="237"/>
      <c r="C428" s="237"/>
      <c r="D428" s="237"/>
      <c r="E428" s="237"/>
      <c r="F428" s="237"/>
      <c r="G428" s="237"/>
      <c r="H428" s="237"/>
      <c r="I428" s="237"/>
      <c r="J428" s="237"/>
      <c r="K428" s="237"/>
      <c r="L428" s="240"/>
      <c r="M428" s="236"/>
    </row>
    <row r="429" spans="1:13" x14ac:dyDescent="0.2">
      <c r="A429" s="237"/>
      <c r="B429" s="237"/>
      <c r="C429" s="237"/>
      <c r="D429" s="237"/>
      <c r="E429" s="237"/>
      <c r="F429" s="237"/>
      <c r="G429" s="237"/>
      <c r="H429" s="237"/>
      <c r="I429" s="237"/>
      <c r="J429" s="237"/>
      <c r="K429" s="237"/>
      <c r="L429" s="284"/>
      <c r="M429" s="236"/>
    </row>
    <row r="430" spans="1:13" x14ac:dyDescent="0.2">
      <c r="A430" s="258"/>
      <c r="B430" s="241"/>
      <c r="C430" s="241"/>
      <c r="D430" s="241"/>
      <c r="E430" s="241"/>
      <c r="F430" s="241"/>
      <c r="G430" s="241"/>
      <c r="H430" s="241"/>
      <c r="I430" s="241"/>
      <c r="J430" s="241"/>
      <c r="K430" s="241"/>
      <c r="L430" s="236"/>
      <c r="M430" s="236"/>
    </row>
    <row r="431" spans="1:13" x14ac:dyDescent="0.2">
      <c r="A431" s="241"/>
      <c r="B431" s="375"/>
      <c r="C431" s="375"/>
      <c r="D431" s="375"/>
      <c r="E431" s="253"/>
      <c r="F431" s="375"/>
      <c r="G431" s="375"/>
      <c r="H431" s="375"/>
      <c r="I431" s="253"/>
      <c r="J431" s="375"/>
      <c r="K431" s="375"/>
      <c r="L431" s="375"/>
      <c r="M431" s="236"/>
    </row>
    <row r="432" spans="1:13" x14ac:dyDescent="0.2">
      <c r="A432" s="258"/>
      <c r="B432" s="259"/>
      <c r="C432" s="259"/>
      <c r="D432" s="259"/>
      <c r="E432" s="259"/>
      <c r="F432" s="259"/>
      <c r="G432" s="259"/>
      <c r="H432" s="259"/>
      <c r="I432" s="259"/>
      <c r="J432" s="259"/>
      <c r="K432" s="259"/>
      <c r="L432" s="259"/>
      <c r="M432" s="236"/>
    </row>
    <row r="433" spans="1:13" x14ac:dyDescent="0.2">
      <c r="A433" s="258"/>
      <c r="B433" s="259"/>
      <c r="C433" s="259"/>
      <c r="D433" s="259"/>
      <c r="E433" s="259"/>
      <c r="F433" s="259"/>
      <c r="G433" s="259"/>
      <c r="H433" s="259"/>
      <c r="I433" s="259"/>
      <c r="J433" s="259"/>
      <c r="K433" s="259"/>
      <c r="L433" s="259"/>
      <c r="M433" s="236"/>
    </row>
    <row r="434" spans="1:13" x14ac:dyDescent="0.2">
      <c r="A434" s="237"/>
      <c r="B434" s="302"/>
      <c r="C434" s="302"/>
      <c r="D434" s="302"/>
      <c r="E434" s="303"/>
      <c r="F434" s="302"/>
      <c r="G434" s="302"/>
      <c r="H434" s="302"/>
      <c r="I434" s="303"/>
      <c r="J434" s="302"/>
      <c r="K434" s="302"/>
      <c r="L434" s="302"/>
      <c r="M434" s="236"/>
    </row>
    <row r="435" spans="1:13" x14ac:dyDescent="0.2">
      <c r="A435" s="237"/>
      <c r="B435" s="302"/>
      <c r="C435" s="302"/>
      <c r="D435" s="302"/>
      <c r="E435" s="303"/>
      <c r="F435" s="302"/>
      <c r="G435" s="302"/>
      <c r="H435" s="302"/>
      <c r="I435" s="303"/>
      <c r="J435" s="302"/>
      <c r="K435" s="302"/>
      <c r="L435" s="302"/>
      <c r="M435" s="236"/>
    </row>
    <row r="436" spans="1:13" x14ac:dyDescent="0.2">
      <c r="A436" s="237"/>
      <c r="B436" s="302"/>
      <c r="C436" s="302"/>
      <c r="D436" s="302"/>
      <c r="E436" s="303"/>
      <c r="F436" s="302"/>
      <c r="G436" s="302"/>
      <c r="H436" s="302"/>
      <c r="I436" s="303"/>
      <c r="J436" s="302"/>
      <c r="K436" s="302"/>
      <c r="L436" s="302"/>
      <c r="M436" s="236"/>
    </row>
    <row r="437" spans="1:13" x14ac:dyDescent="0.2">
      <c r="A437" s="237"/>
      <c r="B437" s="302"/>
      <c r="C437" s="302"/>
      <c r="D437" s="302"/>
      <c r="E437" s="303"/>
      <c r="F437" s="302"/>
      <c r="G437" s="302"/>
      <c r="H437" s="302"/>
      <c r="I437" s="303"/>
      <c r="J437" s="302"/>
      <c r="K437" s="302"/>
      <c r="L437" s="302"/>
      <c r="M437" s="236"/>
    </row>
    <row r="438" spans="1:13" x14ac:dyDescent="0.2">
      <c r="A438" s="237"/>
      <c r="B438" s="302"/>
      <c r="C438" s="302"/>
      <c r="D438" s="302"/>
      <c r="E438" s="303"/>
      <c r="F438" s="302"/>
      <c r="G438" s="302"/>
      <c r="H438" s="302"/>
      <c r="I438" s="303"/>
      <c r="J438" s="302"/>
      <c r="K438" s="302"/>
      <c r="L438" s="302"/>
      <c r="M438" s="236"/>
    </row>
    <row r="439" spans="1:13" x14ac:dyDescent="0.2">
      <c r="A439" s="237"/>
      <c r="B439" s="302"/>
      <c r="C439" s="302"/>
      <c r="D439" s="302"/>
      <c r="E439" s="303"/>
      <c r="F439" s="302"/>
      <c r="G439" s="302"/>
      <c r="H439" s="302"/>
      <c r="I439" s="303"/>
      <c r="J439" s="302"/>
      <c r="K439" s="302"/>
      <c r="L439" s="302"/>
      <c r="M439" s="236"/>
    </row>
    <row r="440" spans="1:13" x14ac:dyDescent="0.2">
      <c r="A440" s="237"/>
      <c r="B440" s="302"/>
      <c r="C440" s="302"/>
      <c r="D440" s="302"/>
      <c r="E440" s="303"/>
      <c r="F440" s="302"/>
      <c r="G440" s="302"/>
      <c r="H440" s="302"/>
      <c r="I440" s="303"/>
      <c r="J440" s="302"/>
      <c r="K440" s="302"/>
      <c r="L440" s="302"/>
      <c r="M440" s="236"/>
    </row>
    <row r="441" spans="1:13" x14ac:dyDescent="0.2">
      <c r="A441" s="237"/>
      <c r="B441" s="302"/>
      <c r="C441" s="302"/>
      <c r="D441" s="302"/>
      <c r="E441" s="303"/>
      <c r="F441" s="302"/>
      <c r="G441" s="302"/>
      <c r="H441" s="302"/>
      <c r="I441" s="303"/>
      <c r="J441" s="302"/>
      <c r="K441" s="302"/>
      <c r="L441" s="302"/>
      <c r="M441" s="236"/>
    </row>
    <row r="442" spans="1:13" x14ac:dyDescent="0.2">
      <c r="A442" s="237"/>
      <c r="B442" s="302"/>
      <c r="C442" s="302"/>
      <c r="D442" s="302"/>
      <c r="E442" s="303"/>
      <c r="F442" s="302"/>
      <c r="G442" s="302"/>
      <c r="H442" s="302"/>
      <c r="I442" s="303"/>
      <c r="J442" s="302"/>
      <c r="K442" s="302"/>
      <c r="L442" s="302"/>
      <c r="M442" s="236"/>
    </row>
    <row r="443" spans="1:13" x14ac:dyDescent="0.2">
      <c r="A443" s="237"/>
      <c r="B443" s="302"/>
      <c r="C443" s="302"/>
      <c r="D443" s="302"/>
      <c r="E443" s="303"/>
      <c r="F443" s="302"/>
      <c r="G443" s="302"/>
      <c r="H443" s="302"/>
      <c r="I443" s="303"/>
      <c r="J443" s="302"/>
      <c r="K443" s="302"/>
      <c r="L443" s="302"/>
      <c r="M443" s="236"/>
    </row>
    <row r="444" spans="1:13" x14ac:dyDescent="0.2">
      <c r="A444" s="237"/>
      <c r="B444" s="303"/>
      <c r="C444" s="303"/>
      <c r="D444" s="303"/>
      <c r="E444" s="303"/>
      <c r="F444" s="303"/>
      <c r="G444" s="303"/>
      <c r="H444" s="303"/>
      <c r="I444" s="303"/>
      <c r="J444" s="303"/>
      <c r="K444" s="303"/>
      <c r="L444" s="303"/>
      <c r="M444" s="236"/>
    </row>
    <row r="445" spans="1:13" x14ac:dyDescent="0.2">
      <c r="A445" s="237"/>
      <c r="B445" s="237"/>
      <c r="C445" s="237"/>
      <c r="D445" s="237"/>
      <c r="E445" s="237"/>
      <c r="F445" s="237"/>
      <c r="G445" s="237"/>
      <c r="H445" s="237"/>
      <c r="I445" s="237"/>
      <c r="J445" s="237"/>
      <c r="K445" s="237"/>
      <c r="L445" s="240"/>
      <c r="M445" s="236"/>
    </row>
    <row r="446" spans="1:13" x14ac:dyDescent="0.2">
      <c r="A446" s="237"/>
      <c r="B446" s="237"/>
      <c r="C446" s="237"/>
      <c r="D446" s="237"/>
      <c r="E446" s="237"/>
      <c r="F446" s="237"/>
      <c r="G446" s="237"/>
      <c r="H446" s="237"/>
      <c r="I446" s="237"/>
      <c r="J446" s="237"/>
      <c r="K446" s="237"/>
      <c r="L446" s="284"/>
      <c r="M446" s="236"/>
    </row>
    <row r="447" spans="1:13" x14ac:dyDescent="0.2">
      <c r="A447" s="258"/>
      <c r="B447" s="241"/>
      <c r="C447" s="241"/>
      <c r="D447" s="241"/>
      <c r="E447" s="241"/>
      <c r="F447" s="241"/>
      <c r="G447" s="241"/>
      <c r="H447" s="241"/>
      <c r="I447" s="241"/>
      <c r="J447" s="241"/>
      <c r="K447" s="241"/>
      <c r="L447" s="236"/>
      <c r="M447" s="236"/>
    </row>
    <row r="448" spans="1:13" x14ac:dyDescent="0.2">
      <c r="A448" s="241"/>
      <c r="B448" s="375"/>
      <c r="C448" s="375"/>
      <c r="D448" s="375"/>
      <c r="E448" s="253"/>
      <c r="F448" s="375"/>
      <c r="G448" s="375"/>
      <c r="H448" s="375"/>
      <c r="I448" s="253"/>
      <c r="J448" s="375"/>
      <c r="K448" s="375"/>
      <c r="L448" s="375"/>
      <c r="M448" s="236"/>
    </row>
    <row r="449" spans="1:13" x14ac:dyDescent="0.2">
      <c r="A449" s="258"/>
      <c r="B449" s="259"/>
      <c r="C449" s="259"/>
      <c r="D449" s="259"/>
      <c r="E449" s="259"/>
      <c r="F449" s="259"/>
      <c r="G449" s="259"/>
      <c r="H449" s="259"/>
      <c r="I449" s="259"/>
      <c r="J449" s="259"/>
      <c r="K449" s="259"/>
      <c r="L449" s="259"/>
      <c r="M449" s="236"/>
    </row>
    <row r="450" spans="1:13" x14ac:dyDescent="0.2">
      <c r="A450" s="258"/>
      <c r="B450" s="259"/>
      <c r="C450" s="259"/>
      <c r="D450" s="259"/>
      <c r="E450" s="259"/>
      <c r="F450" s="259"/>
      <c r="G450" s="259"/>
      <c r="H450" s="259"/>
      <c r="I450" s="259"/>
      <c r="J450" s="259"/>
      <c r="K450" s="259"/>
      <c r="L450" s="259"/>
      <c r="M450" s="236"/>
    </row>
    <row r="451" spans="1:13" x14ac:dyDescent="0.2">
      <c r="A451" s="237"/>
      <c r="B451" s="302"/>
      <c r="C451" s="302"/>
      <c r="D451" s="302"/>
      <c r="E451" s="303"/>
      <c r="F451" s="302"/>
      <c r="G451" s="302"/>
      <c r="H451" s="302"/>
      <c r="I451" s="303"/>
      <c r="J451" s="302"/>
      <c r="K451" s="302"/>
      <c r="L451" s="302"/>
      <c r="M451" s="236"/>
    </row>
    <row r="452" spans="1:13" x14ac:dyDescent="0.2">
      <c r="A452" s="237"/>
      <c r="B452" s="302"/>
      <c r="C452" s="302"/>
      <c r="D452" s="302"/>
      <c r="E452" s="303"/>
      <c r="F452" s="302"/>
      <c r="G452" s="302"/>
      <c r="H452" s="302"/>
      <c r="I452" s="303"/>
      <c r="J452" s="302"/>
      <c r="K452" s="302"/>
      <c r="L452" s="302"/>
      <c r="M452" s="236"/>
    </row>
    <row r="453" spans="1:13" x14ac:dyDescent="0.2">
      <c r="A453" s="237"/>
      <c r="B453" s="302"/>
      <c r="C453" s="302"/>
      <c r="D453" s="302"/>
      <c r="E453" s="303"/>
      <c r="F453" s="302"/>
      <c r="G453" s="302"/>
      <c r="H453" s="302"/>
      <c r="I453" s="303"/>
      <c r="J453" s="302"/>
      <c r="K453" s="302"/>
      <c r="L453" s="302"/>
      <c r="M453" s="236"/>
    </row>
    <row r="454" spans="1:13" x14ac:dyDescent="0.2">
      <c r="A454" s="237"/>
      <c r="B454" s="302"/>
      <c r="C454" s="302"/>
      <c r="D454" s="302"/>
      <c r="E454" s="303"/>
      <c r="F454" s="302"/>
      <c r="G454" s="302"/>
      <c r="H454" s="302"/>
      <c r="I454" s="303"/>
      <c r="J454" s="302"/>
      <c r="K454" s="302"/>
      <c r="L454" s="302"/>
      <c r="M454" s="236"/>
    </row>
    <row r="455" spans="1:13" x14ac:dyDescent="0.2">
      <c r="A455" s="237"/>
      <c r="B455" s="302"/>
      <c r="C455" s="302"/>
      <c r="D455" s="302"/>
      <c r="E455" s="303"/>
      <c r="F455" s="302"/>
      <c r="G455" s="302"/>
      <c r="H455" s="302"/>
      <c r="I455" s="303"/>
      <c r="J455" s="302"/>
      <c r="K455" s="302"/>
      <c r="L455" s="302"/>
      <c r="M455" s="236"/>
    </row>
    <row r="456" spans="1:13" x14ac:dyDescent="0.2">
      <c r="A456" s="237"/>
      <c r="B456" s="302"/>
      <c r="C456" s="302"/>
      <c r="D456" s="302"/>
      <c r="E456" s="303"/>
      <c r="F456" s="302"/>
      <c r="G456" s="302"/>
      <c r="H456" s="302"/>
      <c r="I456" s="303"/>
      <c r="J456" s="302"/>
      <c r="K456" s="302"/>
      <c r="L456" s="302"/>
      <c r="M456" s="236"/>
    </row>
    <row r="457" spans="1:13" x14ac:dyDescent="0.2">
      <c r="A457" s="237"/>
      <c r="B457" s="302"/>
      <c r="C457" s="302"/>
      <c r="D457" s="302"/>
      <c r="E457" s="303"/>
      <c r="F457" s="302"/>
      <c r="G457" s="302"/>
      <c r="H457" s="302"/>
      <c r="I457" s="303"/>
      <c r="J457" s="302"/>
      <c r="K457" s="302"/>
      <c r="L457" s="302"/>
      <c r="M457" s="236"/>
    </row>
    <row r="458" spans="1:13" x14ac:dyDescent="0.2">
      <c r="A458" s="237"/>
      <c r="B458" s="302"/>
      <c r="C458" s="302"/>
      <c r="D458" s="302"/>
      <c r="E458" s="303"/>
      <c r="F458" s="302"/>
      <c r="G458" s="302"/>
      <c r="H458" s="302"/>
      <c r="I458" s="303"/>
      <c r="J458" s="302"/>
      <c r="K458" s="302"/>
      <c r="L458" s="302"/>
      <c r="M458" s="236"/>
    </row>
    <row r="459" spans="1:13" x14ac:dyDescent="0.2">
      <c r="A459" s="237"/>
      <c r="B459" s="302"/>
      <c r="C459" s="302"/>
      <c r="D459" s="302"/>
      <c r="E459" s="303"/>
      <c r="F459" s="302"/>
      <c r="G459" s="302"/>
      <c r="H459" s="302"/>
      <c r="I459" s="303"/>
      <c r="J459" s="302"/>
      <c r="K459" s="302"/>
      <c r="L459" s="302"/>
      <c r="M459" s="236"/>
    </row>
    <row r="460" spans="1:13" x14ac:dyDescent="0.2">
      <c r="A460" s="237"/>
      <c r="B460" s="302"/>
      <c r="C460" s="302"/>
      <c r="D460" s="302"/>
      <c r="E460" s="303"/>
      <c r="F460" s="302"/>
      <c r="G460" s="302"/>
      <c r="H460" s="302"/>
      <c r="I460" s="303"/>
      <c r="J460" s="302"/>
      <c r="K460" s="302"/>
      <c r="L460" s="302"/>
      <c r="M460" s="236"/>
    </row>
    <row r="461" spans="1:13" x14ac:dyDescent="0.2">
      <c r="A461" s="237"/>
      <c r="B461" s="303"/>
      <c r="C461" s="303"/>
      <c r="D461" s="303"/>
      <c r="E461" s="303"/>
      <c r="F461" s="303"/>
      <c r="G461" s="303"/>
      <c r="H461" s="303"/>
      <c r="I461" s="303"/>
      <c r="J461" s="303"/>
      <c r="K461" s="303"/>
      <c r="L461" s="303"/>
      <c r="M461" s="236"/>
    </row>
    <row r="462" spans="1:13" x14ac:dyDescent="0.2">
      <c r="A462" s="237"/>
      <c r="B462" s="237"/>
      <c r="C462" s="237"/>
      <c r="D462" s="237"/>
      <c r="E462" s="237"/>
      <c r="F462" s="237"/>
      <c r="G462" s="237"/>
      <c r="H462" s="237"/>
      <c r="I462" s="237"/>
      <c r="J462" s="237"/>
      <c r="K462" s="237"/>
      <c r="L462" s="240"/>
      <c r="M462" s="236"/>
    </row>
    <row r="463" spans="1:13" x14ac:dyDescent="0.2">
      <c r="A463" s="237"/>
      <c r="B463" s="237"/>
      <c r="C463" s="237"/>
      <c r="D463" s="237"/>
      <c r="E463" s="237"/>
      <c r="F463" s="237"/>
      <c r="G463" s="237"/>
      <c r="H463" s="237"/>
      <c r="I463" s="237"/>
      <c r="J463" s="237"/>
      <c r="K463" s="237"/>
      <c r="L463" s="284"/>
      <c r="M463" s="236"/>
    </row>
    <row r="464" spans="1:13" x14ac:dyDescent="0.2">
      <c r="A464" s="258"/>
      <c r="B464" s="241"/>
      <c r="C464" s="241"/>
      <c r="D464" s="241"/>
      <c r="E464" s="241"/>
      <c r="F464" s="241"/>
      <c r="G464" s="241"/>
      <c r="H464" s="241"/>
      <c r="I464" s="241"/>
      <c r="J464" s="241"/>
      <c r="K464" s="241"/>
      <c r="L464" s="236"/>
      <c r="M464" s="236"/>
    </row>
    <row r="465" spans="1:13" x14ac:dyDescent="0.2">
      <c r="A465" s="241"/>
      <c r="B465" s="375"/>
      <c r="C465" s="375"/>
      <c r="D465" s="375"/>
      <c r="E465" s="253"/>
      <c r="F465" s="375"/>
      <c r="G465" s="375"/>
      <c r="H465" s="375"/>
      <c r="I465" s="253"/>
      <c r="J465" s="375"/>
      <c r="K465" s="375"/>
      <c r="L465" s="375"/>
      <c r="M465" s="236"/>
    </row>
    <row r="466" spans="1:13" x14ac:dyDescent="0.2">
      <c r="A466" s="258"/>
      <c r="B466" s="259"/>
      <c r="C466" s="259"/>
      <c r="D466" s="259"/>
      <c r="E466" s="259"/>
      <c r="F466" s="259"/>
      <c r="G466" s="259"/>
      <c r="H466" s="259"/>
      <c r="I466" s="259"/>
      <c r="J466" s="259"/>
      <c r="K466" s="259"/>
      <c r="L466" s="259"/>
      <c r="M466" s="236"/>
    </row>
    <row r="467" spans="1:13" x14ac:dyDescent="0.2">
      <c r="A467" s="258"/>
      <c r="B467" s="259"/>
      <c r="C467" s="259"/>
      <c r="D467" s="259"/>
      <c r="E467" s="259"/>
      <c r="F467" s="259"/>
      <c r="G467" s="259"/>
      <c r="H467" s="259"/>
      <c r="I467" s="259"/>
      <c r="J467" s="259"/>
      <c r="K467" s="259"/>
      <c r="L467" s="259"/>
      <c r="M467" s="236"/>
    </row>
    <row r="468" spans="1:13" x14ac:dyDescent="0.2">
      <c r="A468" s="237"/>
      <c r="B468" s="302"/>
      <c r="C468" s="302"/>
      <c r="D468" s="302"/>
      <c r="E468" s="303"/>
      <c r="F468" s="302"/>
      <c r="G468" s="302"/>
      <c r="H468" s="302"/>
      <c r="I468" s="303"/>
      <c r="J468" s="302"/>
      <c r="K468" s="302"/>
      <c r="L468" s="302"/>
      <c r="M468" s="236"/>
    </row>
    <row r="469" spans="1:13" x14ac:dyDescent="0.2">
      <c r="A469" s="237"/>
      <c r="B469" s="302"/>
      <c r="C469" s="302"/>
      <c r="D469" s="302"/>
      <c r="E469" s="303"/>
      <c r="F469" s="302"/>
      <c r="G469" s="302"/>
      <c r="H469" s="302"/>
      <c r="I469" s="303"/>
      <c r="J469" s="302"/>
      <c r="K469" s="302"/>
      <c r="L469" s="302"/>
      <c r="M469" s="236"/>
    </row>
    <row r="470" spans="1:13" x14ac:dyDescent="0.2">
      <c r="A470" s="237"/>
      <c r="B470" s="302"/>
      <c r="C470" s="302"/>
      <c r="D470" s="302"/>
      <c r="E470" s="303"/>
      <c r="F470" s="302"/>
      <c r="G470" s="302"/>
      <c r="H470" s="302"/>
      <c r="I470" s="303"/>
      <c r="J470" s="302"/>
      <c r="K470" s="302"/>
      <c r="L470" s="302"/>
      <c r="M470" s="236"/>
    </row>
    <row r="471" spans="1:13" x14ac:dyDescent="0.2">
      <c r="A471" s="237"/>
      <c r="B471" s="302"/>
      <c r="C471" s="302"/>
      <c r="D471" s="302"/>
      <c r="E471" s="303"/>
      <c r="F471" s="302"/>
      <c r="G471" s="302"/>
      <c r="H471" s="302"/>
      <c r="I471" s="303"/>
      <c r="J471" s="302"/>
      <c r="K471" s="302"/>
      <c r="L471" s="302"/>
      <c r="M471" s="236"/>
    </row>
    <row r="472" spans="1:13" x14ac:dyDescent="0.2">
      <c r="A472" s="237"/>
      <c r="B472" s="302"/>
      <c r="C472" s="302"/>
      <c r="D472" s="302"/>
      <c r="E472" s="303"/>
      <c r="F472" s="302"/>
      <c r="G472" s="302"/>
      <c r="H472" s="302"/>
      <c r="I472" s="303"/>
      <c r="J472" s="302"/>
      <c r="K472" s="302"/>
      <c r="L472" s="302"/>
      <c r="M472" s="236"/>
    </row>
    <row r="473" spans="1:13" x14ac:dyDescent="0.2">
      <c r="A473" s="237"/>
      <c r="B473" s="302"/>
      <c r="C473" s="302"/>
      <c r="D473" s="302"/>
      <c r="E473" s="303"/>
      <c r="F473" s="302"/>
      <c r="G473" s="302"/>
      <c r="H473" s="302"/>
      <c r="I473" s="303"/>
      <c r="J473" s="302"/>
      <c r="K473" s="302"/>
      <c r="L473" s="302"/>
      <c r="M473" s="236"/>
    </row>
    <row r="474" spans="1:13" x14ac:dyDescent="0.2">
      <c r="A474" s="237"/>
      <c r="B474" s="302"/>
      <c r="C474" s="302"/>
      <c r="D474" s="302"/>
      <c r="E474" s="303"/>
      <c r="F474" s="302"/>
      <c r="G474" s="302"/>
      <c r="H474" s="302"/>
      <c r="I474" s="303"/>
      <c r="J474" s="302"/>
      <c r="K474" s="302"/>
      <c r="L474" s="302"/>
      <c r="M474" s="236"/>
    </row>
    <row r="475" spans="1:13" x14ac:dyDescent="0.2">
      <c r="A475" s="237"/>
      <c r="B475" s="302"/>
      <c r="C475" s="302"/>
      <c r="D475" s="302"/>
      <c r="E475" s="303"/>
      <c r="F475" s="302"/>
      <c r="G475" s="302"/>
      <c r="H475" s="302"/>
      <c r="I475" s="303"/>
      <c r="J475" s="302"/>
      <c r="K475" s="302"/>
      <c r="L475" s="302"/>
      <c r="M475" s="236"/>
    </row>
    <row r="476" spans="1:13" x14ac:dyDescent="0.2">
      <c r="A476" s="237"/>
      <c r="B476" s="302"/>
      <c r="C476" s="302"/>
      <c r="D476" s="302"/>
      <c r="E476" s="303"/>
      <c r="F476" s="302"/>
      <c r="G476" s="302"/>
      <c r="H476" s="302"/>
      <c r="I476" s="303"/>
      <c r="J476" s="302"/>
      <c r="K476" s="302"/>
      <c r="L476" s="302"/>
      <c r="M476" s="236"/>
    </row>
    <row r="477" spans="1:13" x14ac:dyDescent="0.2">
      <c r="A477" s="237"/>
      <c r="B477" s="302"/>
      <c r="C477" s="302"/>
      <c r="D477" s="302"/>
      <c r="E477" s="303"/>
      <c r="F477" s="302"/>
      <c r="G477" s="302"/>
      <c r="H477" s="302"/>
      <c r="I477" s="303"/>
      <c r="J477" s="302"/>
      <c r="K477" s="302"/>
      <c r="L477" s="302"/>
      <c r="M477" s="236"/>
    </row>
    <row r="478" spans="1:13" x14ac:dyDescent="0.2">
      <c r="A478" s="237"/>
      <c r="B478" s="303"/>
      <c r="C478" s="303"/>
      <c r="D478" s="303"/>
      <c r="E478" s="303"/>
      <c r="F478" s="303"/>
      <c r="G478" s="303"/>
      <c r="H478" s="303"/>
      <c r="I478" s="303"/>
      <c r="J478" s="303"/>
      <c r="K478" s="303"/>
      <c r="L478" s="303"/>
      <c r="M478" s="236"/>
    </row>
    <row r="479" spans="1:13" x14ac:dyDescent="0.2">
      <c r="A479" s="237"/>
      <c r="B479" s="237"/>
      <c r="C479" s="237"/>
      <c r="D479" s="237"/>
      <c r="E479" s="237"/>
      <c r="F479" s="237"/>
      <c r="G479" s="237"/>
      <c r="H479" s="237"/>
      <c r="I479" s="237"/>
      <c r="J479" s="237"/>
      <c r="K479" s="237"/>
      <c r="L479" s="240"/>
      <c r="M479" s="236"/>
    </row>
    <row r="480" spans="1:13" x14ac:dyDescent="0.2">
      <c r="A480" s="237"/>
      <c r="B480" s="237"/>
      <c r="C480" s="237"/>
      <c r="D480" s="237"/>
      <c r="E480" s="237"/>
      <c r="F480" s="237"/>
      <c r="G480" s="237"/>
      <c r="H480" s="237"/>
      <c r="I480" s="237"/>
      <c r="J480" s="237"/>
      <c r="K480" s="237"/>
      <c r="L480" s="284"/>
      <c r="M480" s="236"/>
    </row>
    <row r="481" spans="1:13" x14ac:dyDescent="0.2">
      <c r="A481" s="258"/>
      <c r="B481" s="241"/>
      <c r="C481" s="241"/>
      <c r="D481" s="241"/>
      <c r="E481" s="241"/>
      <c r="F481" s="241"/>
      <c r="G481" s="241"/>
      <c r="H481" s="241"/>
      <c r="I481" s="241"/>
      <c r="J481" s="241"/>
      <c r="K481" s="241"/>
      <c r="L481" s="236"/>
      <c r="M481" s="236"/>
    </row>
    <row r="482" spans="1:13" x14ac:dyDescent="0.2">
      <c r="A482" s="241"/>
      <c r="B482" s="375"/>
      <c r="C482" s="375"/>
      <c r="D482" s="375"/>
      <c r="E482" s="253"/>
      <c r="F482" s="375"/>
      <c r="G482" s="375"/>
      <c r="H482" s="375"/>
      <c r="I482" s="253"/>
      <c r="J482" s="375"/>
      <c r="K482" s="375"/>
      <c r="L482" s="375"/>
      <c r="M482" s="236"/>
    </row>
    <row r="483" spans="1:13" x14ac:dyDescent="0.2">
      <c r="A483" s="258"/>
      <c r="B483" s="259"/>
      <c r="C483" s="259"/>
      <c r="D483" s="259"/>
      <c r="E483" s="259"/>
      <c r="F483" s="259"/>
      <c r="G483" s="259"/>
      <c r="H483" s="259"/>
      <c r="I483" s="259"/>
      <c r="J483" s="259"/>
      <c r="K483" s="259"/>
      <c r="L483" s="259"/>
      <c r="M483" s="236"/>
    </row>
    <row r="484" spans="1:13" x14ac:dyDescent="0.2">
      <c r="A484" s="258"/>
      <c r="B484" s="259"/>
      <c r="C484" s="259"/>
      <c r="D484" s="259"/>
      <c r="E484" s="259"/>
      <c r="F484" s="259"/>
      <c r="G484" s="259"/>
      <c r="H484" s="259"/>
      <c r="I484" s="259"/>
      <c r="J484" s="259"/>
      <c r="K484" s="259"/>
      <c r="L484" s="259"/>
      <c r="M484" s="236"/>
    </row>
    <row r="485" spans="1:13" x14ac:dyDescent="0.2">
      <c r="A485" s="237"/>
      <c r="B485" s="302"/>
      <c r="C485" s="302"/>
      <c r="D485" s="302"/>
      <c r="E485" s="303"/>
      <c r="F485" s="302"/>
      <c r="G485" s="302"/>
      <c r="H485" s="302"/>
      <c r="I485" s="303"/>
      <c r="J485" s="302"/>
      <c r="K485" s="302"/>
      <c r="L485" s="302"/>
      <c r="M485" s="236"/>
    </row>
    <row r="486" spans="1:13" x14ac:dyDescent="0.2">
      <c r="A486" s="237"/>
      <c r="B486" s="302"/>
      <c r="C486" s="302"/>
      <c r="D486" s="302"/>
      <c r="E486" s="303"/>
      <c r="F486" s="302"/>
      <c r="G486" s="302"/>
      <c r="H486" s="302"/>
      <c r="I486" s="303"/>
      <c r="J486" s="302"/>
      <c r="K486" s="302"/>
      <c r="L486" s="302"/>
      <c r="M486" s="236"/>
    </row>
    <row r="487" spans="1:13" x14ac:dyDescent="0.2">
      <c r="A487" s="237"/>
      <c r="B487" s="302"/>
      <c r="C487" s="302"/>
      <c r="D487" s="302"/>
      <c r="E487" s="303"/>
      <c r="F487" s="302"/>
      <c r="G487" s="302"/>
      <c r="H487" s="302"/>
      <c r="I487" s="303"/>
      <c r="J487" s="302"/>
      <c r="K487" s="302"/>
      <c r="L487" s="302"/>
      <c r="M487" s="236"/>
    </row>
    <row r="488" spans="1:13" x14ac:dyDescent="0.2">
      <c r="A488" s="237"/>
      <c r="B488" s="302"/>
      <c r="C488" s="302"/>
      <c r="D488" s="302"/>
      <c r="E488" s="303"/>
      <c r="F488" s="302"/>
      <c r="G488" s="302"/>
      <c r="H488" s="302"/>
      <c r="I488" s="303"/>
      <c r="J488" s="302"/>
      <c r="K488" s="302"/>
      <c r="L488" s="302"/>
      <c r="M488" s="236"/>
    </row>
    <row r="489" spans="1:13" x14ac:dyDescent="0.2">
      <c r="A489" s="237"/>
      <c r="B489" s="302"/>
      <c r="C489" s="302"/>
      <c r="D489" s="302"/>
      <c r="E489" s="303"/>
      <c r="F489" s="302"/>
      <c r="G489" s="302"/>
      <c r="H489" s="302"/>
      <c r="I489" s="303"/>
      <c r="J489" s="302"/>
      <c r="K489" s="302"/>
      <c r="L489" s="302"/>
      <c r="M489" s="236"/>
    </row>
    <row r="490" spans="1:13" x14ac:dyDescent="0.2">
      <c r="A490" s="237"/>
      <c r="B490" s="302"/>
      <c r="C490" s="302"/>
      <c r="D490" s="302"/>
      <c r="E490" s="303"/>
      <c r="F490" s="302"/>
      <c r="G490" s="302"/>
      <c r="H490" s="302"/>
      <c r="I490" s="303"/>
      <c r="J490" s="302"/>
      <c r="K490" s="302"/>
      <c r="L490" s="302"/>
      <c r="M490" s="236"/>
    </row>
    <row r="491" spans="1:13" x14ac:dyDescent="0.2">
      <c r="A491" s="237"/>
      <c r="B491" s="302"/>
      <c r="C491" s="302"/>
      <c r="D491" s="302"/>
      <c r="E491" s="303"/>
      <c r="F491" s="302"/>
      <c r="G491" s="302"/>
      <c r="H491" s="302"/>
      <c r="I491" s="303"/>
      <c r="J491" s="302"/>
      <c r="K491" s="302"/>
      <c r="L491" s="302"/>
      <c r="M491" s="236"/>
    </row>
    <row r="492" spans="1:13" x14ac:dyDescent="0.2">
      <c r="A492" s="237"/>
      <c r="B492" s="302"/>
      <c r="C492" s="302"/>
      <c r="D492" s="302"/>
      <c r="E492" s="303"/>
      <c r="F492" s="302"/>
      <c r="G492" s="302"/>
      <c r="H492" s="302"/>
      <c r="I492" s="303"/>
      <c r="J492" s="302"/>
      <c r="K492" s="302"/>
      <c r="L492" s="302"/>
      <c r="M492" s="236"/>
    </row>
    <row r="493" spans="1:13" x14ac:dyDescent="0.2">
      <c r="A493" s="237"/>
      <c r="B493" s="302"/>
      <c r="C493" s="302"/>
      <c r="D493" s="302"/>
      <c r="E493" s="303"/>
      <c r="F493" s="302"/>
      <c r="G493" s="302"/>
      <c r="H493" s="302"/>
      <c r="I493" s="303"/>
      <c r="J493" s="302"/>
      <c r="K493" s="302"/>
      <c r="L493" s="302"/>
      <c r="M493" s="236"/>
    </row>
    <row r="494" spans="1:13" x14ac:dyDescent="0.2">
      <c r="A494" s="237"/>
      <c r="B494" s="302"/>
      <c r="C494" s="302"/>
      <c r="D494" s="302"/>
      <c r="E494" s="303"/>
      <c r="F494" s="302"/>
      <c r="G494" s="302"/>
      <c r="H494" s="302"/>
      <c r="I494" s="303"/>
      <c r="J494" s="302"/>
      <c r="K494" s="302"/>
      <c r="L494" s="302"/>
      <c r="M494" s="236"/>
    </row>
    <row r="495" spans="1:13" x14ac:dyDescent="0.2">
      <c r="A495" s="237"/>
      <c r="B495" s="303"/>
      <c r="C495" s="303"/>
      <c r="D495" s="303"/>
      <c r="E495" s="303"/>
      <c r="F495" s="303"/>
      <c r="G495" s="303"/>
      <c r="H495" s="303"/>
      <c r="I495" s="303"/>
      <c r="J495" s="303"/>
      <c r="K495" s="303"/>
      <c r="L495" s="303"/>
      <c r="M495" s="236"/>
    </row>
    <row r="496" spans="1:13" x14ac:dyDescent="0.2">
      <c r="A496" s="237"/>
      <c r="B496" s="237"/>
      <c r="C496" s="237"/>
      <c r="D496" s="237"/>
      <c r="E496" s="237"/>
      <c r="F496" s="237"/>
      <c r="G496" s="237"/>
      <c r="H496" s="237"/>
      <c r="I496" s="237"/>
      <c r="J496" s="237"/>
      <c r="K496" s="237"/>
      <c r="L496" s="240"/>
      <c r="M496" s="236"/>
    </row>
    <row r="497" spans="1:13" x14ac:dyDescent="0.2">
      <c r="A497" s="237"/>
      <c r="B497" s="237"/>
      <c r="C497" s="237"/>
      <c r="D497" s="237"/>
      <c r="E497" s="237"/>
      <c r="F497" s="237"/>
      <c r="G497" s="237"/>
      <c r="H497" s="237"/>
      <c r="I497" s="237"/>
      <c r="J497" s="237"/>
      <c r="K497" s="237"/>
      <c r="L497" s="284"/>
      <c r="M497" s="236"/>
    </row>
    <row r="498" spans="1:13" x14ac:dyDescent="0.2">
      <c r="A498" s="258"/>
      <c r="B498" s="241"/>
      <c r="C498" s="241"/>
      <c r="D498" s="241"/>
      <c r="E498" s="241"/>
      <c r="F498" s="241"/>
      <c r="G498" s="241"/>
      <c r="H498" s="241"/>
      <c r="I498" s="241"/>
      <c r="J498" s="241"/>
      <c r="K498" s="241"/>
      <c r="L498" s="236"/>
      <c r="M498" s="236"/>
    </row>
    <row r="499" spans="1:13" x14ac:dyDescent="0.2">
      <c r="A499" s="241"/>
      <c r="B499" s="375"/>
      <c r="C499" s="375"/>
      <c r="D499" s="375"/>
      <c r="E499" s="253"/>
      <c r="F499" s="375"/>
      <c r="G499" s="375"/>
      <c r="H499" s="375"/>
      <c r="I499" s="253"/>
      <c r="J499" s="375"/>
      <c r="K499" s="375"/>
      <c r="L499" s="375"/>
      <c r="M499" s="236"/>
    </row>
    <row r="500" spans="1:13" x14ac:dyDescent="0.2">
      <c r="A500" s="258"/>
      <c r="B500" s="259"/>
      <c r="C500" s="259"/>
      <c r="D500" s="259"/>
      <c r="E500" s="259"/>
      <c r="F500" s="259"/>
      <c r="G500" s="259"/>
      <c r="H500" s="259"/>
      <c r="I500" s="259"/>
      <c r="J500" s="259"/>
      <c r="K500" s="259"/>
      <c r="L500" s="259"/>
      <c r="M500" s="236"/>
    </row>
    <row r="501" spans="1:13" x14ac:dyDescent="0.2">
      <c r="A501" s="258"/>
      <c r="B501" s="259"/>
      <c r="C501" s="259"/>
      <c r="D501" s="259"/>
      <c r="E501" s="259"/>
      <c r="F501" s="259"/>
      <c r="G501" s="259"/>
      <c r="H501" s="259"/>
      <c r="I501" s="259"/>
      <c r="J501" s="259"/>
      <c r="K501" s="259"/>
      <c r="L501" s="259"/>
      <c r="M501" s="236"/>
    </row>
    <row r="502" spans="1:13" x14ac:dyDescent="0.2">
      <c r="A502" s="237"/>
      <c r="B502" s="302"/>
      <c r="C502" s="302"/>
      <c r="D502" s="302"/>
      <c r="E502" s="303"/>
      <c r="F502" s="302"/>
      <c r="G502" s="302"/>
      <c r="H502" s="302"/>
      <c r="I502" s="303"/>
      <c r="J502" s="302"/>
      <c r="K502" s="302"/>
      <c r="L502" s="302"/>
      <c r="M502" s="236"/>
    </row>
    <row r="503" spans="1:13" x14ac:dyDescent="0.2">
      <c r="A503" s="237"/>
      <c r="B503" s="302"/>
      <c r="C503" s="302"/>
      <c r="D503" s="302"/>
      <c r="E503" s="303"/>
      <c r="F503" s="302"/>
      <c r="G503" s="302"/>
      <c r="H503" s="302"/>
      <c r="I503" s="303"/>
      <c r="J503" s="302"/>
      <c r="K503" s="302"/>
      <c r="L503" s="302"/>
      <c r="M503" s="236"/>
    </row>
    <row r="504" spans="1:13" x14ac:dyDescent="0.2">
      <c r="A504" s="237"/>
      <c r="B504" s="302"/>
      <c r="C504" s="302"/>
      <c r="D504" s="302"/>
      <c r="E504" s="303"/>
      <c r="F504" s="302"/>
      <c r="G504" s="302"/>
      <c r="H504" s="302"/>
      <c r="I504" s="303"/>
      <c r="J504" s="302"/>
      <c r="K504" s="302"/>
      <c r="L504" s="302"/>
      <c r="M504" s="236"/>
    </row>
    <row r="505" spans="1:13" x14ac:dyDescent="0.2">
      <c r="A505" s="237"/>
      <c r="B505" s="302"/>
      <c r="C505" s="302"/>
      <c r="D505" s="302"/>
      <c r="E505" s="303"/>
      <c r="F505" s="302"/>
      <c r="G505" s="302"/>
      <c r="H505" s="302"/>
      <c r="I505" s="303"/>
      <c r="J505" s="302"/>
      <c r="K505" s="302"/>
      <c r="L505" s="302"/>
      <c r="M505" s="236"/>
    </row>
    <row r="506" spans="1:13" x14ac:dyDescent="0.2">
      <c r="A506" s="237"/>
      <c r="B506" s="302"/>
      <c r="C506" s="302"/>
      <c r="D506" s="302"/>
      <c r="E506" s="303"/>
      <c r="F506" s="302"/>
      <c r="G506" s="302"/>
      <c r="H506" s="302"/>
      <c r="I506" s="303"/>
      <c r="J506" s="302"/>
      <c r="K506" s="302"/>
      <c r="L506" s="302"/>
      <c r="M506" s="236"/>
    </row>
    <row r="507" spans="1:13" x14ac:dyDescent="0.2">
      <c r="A507" s="237"/>
      <c r="B507" s="302"/>
      <c r="C507" s="302"/>
      <c r="D507" s="302"/>
      <c r="E507" s="303"/>
      <c r="F507" s="302"/>
      <c r="G507" s="302"/>
      <c r="H507" s="302"/>
      <c r="I507" s="303"/>
      <c r="J507" s="302"/>
      <c r="K507" s="302"/>
      <c r="L507" s="302"/>
      <c r="M507" s="236"/>
    </row>
    <row r="508" spans="1:13" x14ac:dyDescent="0.2">
      <c r="A508" s="237"/>
      <c r="B508" s="302"/>
      <c r="C508" s="302"/>
      <c r="D508" s="302"/>
      <c r="E508" s="303"/>
      <c r="F508" s="302"/>
      <c r="G508" s="302"/>
      <c r="H508" s="302"/>
      <c r="I508" s="303"/>
      <c r="J508" s="302"/>
      <c r="K508" s="302"/>
      <c r="L508" s="302"/>
      <c r="M508" s="236"/>
    </row>
    <row r="509" spans="1:13" x14ac:dyDescent="0.2">
      <c r="A509" s="237"/>
      <c r="B509" s="302"/>
      <c r="C509" s="302"/>
      <c r="D509" s="302"/>
      <c r="E509" s="303"/>
      <c r="F509" s="302"/>
      <c r="G509" s="302"/>
      <c r="H509" s="302"/>
      <c r="I509" s="303"/>
      <c r="J509" s="302"/>
      <c r="K509" s="302"/>
      <c r="L509" s="302"/>
      <c r="M509" s="236"/>
    </row>
    <row r="510" spans="1:13" x14ac:dyDescent="0.2">
      <c r="A510" s="237"/>
      <c r="B510" s="302"/>
      <c r="C510" s="302"/>
      <c r="D510" s="302"/>
      <c r="E510" s="303"/>
      <c r="F510" s="302"/>
      <c r="G510" s="302"/>
      <c r="H510" s="302"/>
      <c r="I510" s="303"/>
      <c r="J510" s="302"/>
      <c r="K510" s="302"/>
      <c r="L510" s="302"/>
      <c r="M510" s="236"/>
    </row>
    <row r="511" spans="1:13" x14ac:dyDescent="0.2">
      <c r="A511" s="237"/>
      <c r="B511" s="302"/>
      <c r="C511" s="302"/>
      <c r="D511" s="302"/>
      <c r="E511" s="303"/>
      <c r="F511" s="302"/>
      <c r="G511" s="302"/>
      <c r="H511" s="302"/>
      <c r="I511" s="303"/>
      <c r="J511" s="302"/>
      <c r="K511" s="302"/>
      <c r="L511" s="302"/>
      <c r="M511" s="236"/>
    </row>
    <row r="512" spans="1:13" x14ac:dyDescent="0.2">
      <c r="A512" s="237"/>
      <c r="B512" s="303"/>
      <c r="C512" s="303"/>
      <c r="D512" s="303"/>
      <c r="E512" s="303"/>
      <c r="F512" s="303"/>
      <c r="G512" s="303"/>
      <c r="H512" s="303"/>
      <c r="I512" s="303"/>
      <c r="J512" s="303"/>
      <c r="K512" s="303"/>
      <c r="L512" s="303"/>
      <c r="M512" s="236"/>
    </row>
    <row r="513" spans="1:13" x14ac:dyDescent="0.2">
      <c r="A513" s="237"/>
      <c r="B513" s="237"/>
      <c r="C513" s="237"/>
      <c r="D513" s="237"/>
      <c r="E513" s="237"/>
      <c r="F513" s="237"/>
      <c r="G513" s="237"/>
      <c r="H513" s="237"/>
      <c r="I513" s="237"/>
      <c r="J513" s="237"/>
      <c r="K513" s="237"/>
      <c r="L513" s="240"/>
      <c r="M513" s="236"/>
    </row>
    <row r="514" spans="1:13" x14ac:dyDescent="0.2">
      <c r="A514" s="237"/>
      <c r="B514" s="237"/>
      <c r="C514" s="237"/>
      <c r="D514" s="237"/>
      <c r="E514" s="237"/>
      <c r="F514" s="237"/>
      <c r="G514" s="237"/>
      <c r="H514" s="237"/>
      <c r="I514" s="237"/>
      <c r="J514" s="237"/>
      <c r="K514" s="237"/>
      <c r="L514" s="284"/>
      <c r="M514" s="236"/>
    </row>
    <row r="515" spans="1:13" x14ac:dyDescent="0.2">
      <c r="A515" s="258"/>
      <c r="B515" s="241"/>
      <c r="C515" s="241"/>
      <c r="D515" s="241"/>
      <c r="E515" s="241"/>
      <c r="F515" s="241"/>
      <c r="G515" s="241"/>
      <c r="H515" s="241"/>
      <c r="I515" s="241"/>
      <c r="J515" s="241"/>
      <c r="K515" s="241"/>
      <c r="L515" s="236"/>
      <c r="M515" s="236"/>
    </row>
    <row r="516" spans="1:13" x14ac:dyDescent="0.2">
      <c r="A516" s="241"/>
      <c r="B516" s="375"/>
      <c r="C516" s="375"/>
      <c r="D516" s="375"/>
      <c r="E516" s="253"/>
      <c r="F516" s="375"/>
      <c r="G516" s="375"/>
      <c r="H516" s="375"/>
      <c r="I516" s="253"/>
      <c r="J516" s="375"/>
      <c r="K516" s="375"/>
      <c r="L516" s="375"/>
      <c r="M516" s="236"/>
    </row>
    <row r="517" spans="1:13" x14ac:dyDescent="0.2">
      <c r="A517" s="258"/>
      <c r="B517" s="259"/>
      <c r="C517" s="259"/>
      <c r="D517" s="259"/>
      <c r="E517" s="259"/>
      <c r="F517" s="259"/>
      <c r="G517" s="259"/>
      <c r="H517" s="259"/>
      <c r="I517" s="259"/>
      <c r="J517" s="259"/>
      <c r="K517" s="259"/>
      <c r="L517" s="259"/>
      <c r="M517" s="236"/>
    </row>
    <row r="518" spans="1:13" x14ac:dyDescent="0.2">
      <c r="A518" s="258"/>
      <c r="B518" s="259"/>
      <c r="C518" s="259"/>
      <c r="D518" s="259"/>
      <c r="E518" s="259"/>
      <c r="F518" s="259"/>
      <c r="G518" s="259"/>
      <c r="H518" s="259"/>
      <c r="I518" s="259"/>
      <c r="J518" s="259"/>
      <c r="K518" s="259"/>
      <c r="L518" s="259"/>
      <c r="M518" s="236"/>
    </row>
    <row r="519" spans="1:13" x14ac:dyDescent="0.2">
      <c r="A519" s="237"/>
      <c r="B519" s="302"/>
      <c r="C519" s="302"/>
      <c r="D519" s="302"/>
      <c r="E519" s="303"/>
      <c r="F519" s="302"/>
      <c r="G519" s="302"/>
      <c r="H519" s="302"/>
      <c r="I519" s="303"/>
      <c r="J519" s="302"/>
      <c r="K519" s="302"/>
      <c r="L519" s="302"/>
      <c r="M519" s="236"/>
    </row>
    <row r="520" spans="1:13" x14ac:dyDescent="0.2">
      <c r="A520" s="237"/>
      <c r="B520" s="302"/>
      <c r="C520" s="302"/>
      <c r="D520" s="302"/>
      <c r="E520" s="303"/>
      <c r="F520" s="302"/>
      <c r="G520" s="302"/>
      <c r="H520" s="302"/>
      <c r="I520" s="303"/>
      <c r="J520" s="302"/>
      <c r="K520" s="302"/>
      <c r="L520" s="302"/>
      <c r="M520" s="236"/>
    </row>
    <row r="521" spans="1:13" x14ac:dyDescent="0.2">
      <c r="A521" s="237"/>
      <c r="B521" s="302"/>
      <c r="C521" s="302"/>
      <c r="D521" s="302"/>
      <c r="E521" s="303"/>
      <c r="F521" s="302"/>
      <c r="G521" s="302"/>
      <c r="H521" s="302"/>
      <c r="I521" s="303"/>
      <c r="J521" s="302"/>
      <c r="K521" s="302"/>
      <c r="L521" s="302"/>
      <c r="M521" s="236"/>
    </row>
    <row r="522" spans="1:13" x14ac:dyDescent="0.2">
      <c r="A522" s="237"/>
      <c r="B522" s="302"/>
      <c r="C522" s="302"/>
      <c r="D522" s="302"/>
      <c r="E522" s="303"/>
      <c r="F522" s="302"/>
      <c r="G522" s="302"/>
      <c r="H522" s="302"/>
      <c r="I522" s="303"/>
      <c r="J522" s="302"/>
      <c r="K522" s="302"/>
      <c r="L522" s="302"/>
      <c r="M522" s="236"/>
    </row>
    <row r="523" spans="1:13" x14ac:dyDescent="0.2">
      <c r="A523" s="237"/>
      <c r="B523" s="302"/>
      <c r="C523" s="302"/>
      <c r="D523" s="302"/>
      <c r="E523" s="303"/>
      <c r="F523" s="302"/>
      <c r="G523" s="302"/>
      <c r="H523" s="302"/>
      <c r="I523" s="303"/>
      <c r="J523" s="302"/>
      <c r="K523" s="302"/>
      <c r="L523" s="302"/>
      <c r="M523" s="236"/>
    </row>
    <row r="524" spans="1:13" x14ac:dyDescent="0.2">
      <c r="A524" s="237"/>
      <c r="B524" s="302"/>
      <c r="C524" s="302"/>
      <c r="D524" s="302"/>
      <c r="E524" s="303"/>
      <c r="F524" s="302"/>
      <c r="G524" s="302"/>
      <c r="H524" s="302"/>
      <c r="I524" s="303"/>
      <c r="J524" s="302"/>
      <c r="K524" s="302"/>
      <c r="L524" s="302"/>
      <c r="M524" s="236"/>
    </row>
    <row r="525" spans="1:13" x14ac:dyDescent="0.2">
      <c r="A525" s="237"/>
      <c r="B525" s="302"/>
      <c r="C525" s="302"/>
      <c r="D525" s="302"/>
      <c r="E525" s="303"/>
      <c r="F525" s="302"/>
      <c r="G525" s="302"/>
      <c r="H525" s="302"/>
      <c r="I525" s="303"/>
      <c r="J525" s="302"/>
      <c r="K525" s="302"/>
      <c r="L525" s="302"/>
      <c r="M525" s="236"/>
    </row>
    <row r="526" spans="1:13" x14ac:dyDescent="0.2">
      <c r="A526" s="237"/>
      <c r="B526" s="302"/>
      <c r="C526" s="302"/>
      <c r="D526" s="302"/>
      <c r="E526" s="303"/>
      <c r="F526" s="302"/>
      <c r="G526" s="302"/>
      <c r="H526" s="302"/>
      <c r="I526" s="303"/>
      <c r="J526" s="302"/>
      <c r="K526" s="302"/>
      <c r="L526" s="302"/>
      <c r="M526" s="236"/>
    </row>
    <row r="527" spans="1:13" x14ac:dyDescent="0.2">
      <c r="A527" s="237"/>
      <c r="B527" s="302"/>
      <c r="C527" s="302"/>
      <c r="D527" s="302"/>
      <c r="E527" s="303"/>
      <c r="F527" s="302"/>
      <c r="G527" s="302"/>
      <c r="H527" s="302"/>
      <c r="I527" s="303"/>
      <c r="J527" s="302"/>
      <c r="K527" s="302"/>
      <c r="L527" s="302"/>
      <c r="M527" s="236"/>
    </row>
    <row r="528" spans="1:13" x14ac:dyDescent="0.2">
      <c r="A528" s="237"/>
      <c r="B528" s="302"/>
      <c r="C528" s="302"/>
      <c r="D528" s="302"/>
      <c r="E528" s="303"/>
      <c r="F528" s="302"/>
      <c r="G528" s="302"/>
      <c r="H528" s="302"/>
      <c r="I528" s="303"/>
      <c r="J528" s="302"/>
      <c r="K528" s="302"/>
      <c r="L528" s="302"/>
      <c r="M528" s="236"/>
    </row>
    <row r="529" spans="1:13" x14ac:dyDescent="0.2">
      <c r="A529" s="237"/>
      <c r="B529" s="303"/>
      <c r="C529" s="303"/>
      <c r="D529" s="303"/>
      <c r="E529" s="303"/>
      <c r="F529" s="303"/>
      <c r="G529" s="303"/>
      <c r="H529" s="303"/>
      <c r="I529" s="303"/>
      <c r="J529" s="303"/>
      <c r="K529" s="303"/>
      <c r="L529" s="303"/>
      <c r="M529" s="236"/>
    </row>
    <row r="530" spans="1:13" x14ac:dyDescent="0.2">
      <c r="A530" s="237"/>
      <c r="B530" s="237"/>
      <c r="C530" s="237"/>
      <c r="D530" s="237"/>
      <c r="E530" s="237"/>
      <c r="F530" s="237"/>
      <c r="G530" s="237"/>
      <c r="H530" s="237"/>
      <c r="I530" s="237"/>
      <c r="J530" s="237"/>
      <c r="K530" s="237"/>
      <c r="L530" s="240"/>
      <c r="M530" s="236"/>
    </row>
    <row r="531" spans="1:13" x14ac:dyDescent="0.2">
      <c r="A531" s="237"/>
      <c r="B531" s="237"/>
      <c r="C531" s="237"/>
      <c r="D531" s="237"/>
      <c r="E531" s="237"/>
      <c r="F531" s="237"/>
      <c r="G531" s="237"/>
      <c r="H531" s="237"/>
      <c r="I531" s="237"/>
      <c r="J531" s="237"/>
      <c r="K531" s="237"/>
      <c r="L531" s="284"/>
      <c r="M531" s="236"/>
    </row>
    <row r="532" spans="1:13" x14ac:dyDescent="0.2">
      <c r="A532" s="258"/>
      <c r="B532" s="241"/>
      <c r="C532" s="241"/>
      <c r="D532" s="241"/>
      <c r="E532" s="241"/>
      <c r="F532" s="241"/>
      <c r="G532" s="241"/>
      <c r="H532" s="241"/>
      <c r="I532" s="241"/>
      <c r="J532" s="241"/>
      <c r="K532" s="241"/>
      <c r="L532" s="236"/>
      <c r="M532" s="236"/>
    </row>
    <row r="533" spans="1:13" x14ac:dyDescent="0.2">
      <c r="A533" s="241"/>
      <c r="B533" s="375"/>
      <c r="C533" s="375"/>
      <c r="D533" s="375"/>
      <c r="E533" s="253"/>
      <c r="F533" s="375"/>
      <c r="G533" s="375"/>
      <c r="H533" s="375"/>
      <c r="I533" s="253"/>
      <c r="J533" s="375"/>
      <c r="K533" s="375"/>
      <c r="L533" s="375"/>
      <c r="M533" s="236"/>
    </row>
    <row r="534" spans="1:13" x14ac:dyDescent="0.2">
      <c r="A534" s="258"/>
      <c r="B534" s="259"/>
      <c r="C534" s="259"/>
      <c r="D534" s="259"/>
      <c r="E534" s="259"/>
      <c r="F534" s="259"/>
      <c r="G534" s="259"/>
      <c r="H534" s="259"/>
      <c r="I534" s="259"/>
      <c r="J534" s="259"/>
      <c r="K534" s="259"/>
      <c r="L534" s="259"/>
      <c r="M534" s="236"/>
    </row>
    <row r="535" spans="1:13" x14ac:dyDescent="0.2">
      <c r="A535" s="258"/>
      <c r="B535" s="259"/>
      <c r="C535" s="259"/>
      <c r="D535" s="259"/>
      <c r="E535" s="259"/>
      <c r="F535" s="259"/>
      <c r="G535" s="259"/>
      <c r="H535" s="259"/>
      <c r="I535" s="259"/>
      <c r="J535" s="259"/>
      <c r="K535" s="259"/>
      <c r="L535" s="259"/>
      <c r="M535" s="236"/>
    </row>
    <row r="536" spans="1:13" x14ac:dyDescent="0.2">
      <c r="A536" s="237"/>
      <c r="B536" s="302"/>
      <c r="C536" s="302"/>
      <c r="D536" s="302"/>
      <c r="E536" s="303"/>
      <c r="F536" s="302"/>
      <c r="G536" s="302"/>
      <c r="H536" s="302"/>
      <c r="I536" s="303"/>
      <c r="J536" s="302"/>
      <c r="K536" s="302"/>
      <c r="L536" s="302"/>
      <c r="M536" s="236"/>
    </row>
    <row r="537" spans="1:13" x14ac:dyDescent="0.2">
      <c r="A537" s="237"/>
      <c r="B537" s="302"/>
      <c r="C537" s="302"/>
      <c r="D537" s="302"/>
      <c r="E537" s="303"/>
      <c r="F537" s="302"/>
      <c r="G537" s="302"/>
      <c r="H537" s="302"/>
      <c r="I537" s="303"/>
      <c r="J537" s="302"/>
      <c r="K537" s="302"/>
      <c r="L537" s="302"/>
      <c r="M537" s="236"/>
    </row>
    <row r="538" spans="1:13" x14ac:dyDescent="0.2">
      <c r="A538" s="237"/>
      <c r="B538" s="302"/>
      <c r="C538" s="302"/>
      <c r="D538" s="302"/>
      <c r="E538" s="303"/>
      <c r="F538" s="302"/>
      <c r="G538" s="302"/>
      <c r="H538" s="302"/>
      <c r="I538" s="303"/>
      <c r="J538" s="302"/>
      <c r="K538" s="302"/>
      <c r="L538" s="302"/>
      <c r="M538" s="236"/>
    </row>
    <row r="539" spans="1:13" x14ac:dyDescent="0.2">
      <c r="A539" s="237"/>
      <c r="B539" s="302"/>
      <c r="C539" s="302"/>
      <c r="D539" s="302"/>
      <c r="E539" s="303"/>
      <c r="F539" s="302"/>
      <c r="G539" s="302"/>
      <c r="H539" s="302"/>
      <c r="I539" s="303"/>
      <c r="J539" s="302"/>
      <c r="K539" s="302"/>
      <c r="L539" s="302"/>
      <c r="M539" s="236"/>
    </row>
    <row r="540" spans="1:13" x14ac:dyDescent="0.2">
      <c r="A540" s="237"/>
      <c r="B540" s="302"/>
      <c r="C540" s="302"/>
      <c r="D540" s="302"/>
      <c r="E540" s="303"/>
      <c r="F540" s="302"/>
      <c r="G540" s="302"/>
      <c r="H540" s="302"/>
      <c r="I540" s="303"/>
      <c r="J540" s="302"/>
      <c r="K540" s="302"/>
      <c r="L540" s="302"/>
      <c r="M540" s="236"/>
    </row>
    <row r="541" spans="1:13" x14ac:dyDescent="0.2">
      <c r="A541" s="237"/>
      <c r="B541" s="302"/>
      <c r="C541" s="302"/>
      <c r="D541" s="302"/>
      <c r="E541" s="303"/>
      <c r="F541" s="302"/>
      <c r="G541" s="302"/>
      <c r="H541" s="302"/>
      <c r="I541" s="303"/>
      <c r="J541" s="302"/>
      <c r="K541" s="302"/>
      <c r="L541" s="302"/>
      <c r="M541" s="236"/>
    </row>
    <row r="542" spans="1:13" x14ac:dyDescent="0.2">
      <c r="A542" s="237"/>
      <c r="B542" s="302"/>
      <c r="C542" s="302"/>
      <c r="D542" s="302"/>
      <c r="E542" s="303"/>
      <c r="F542" s="302"/>
      <c r="G542" s="302"/>
      <c r="H542" s="302"/>
      <c r="I542" s="303"/>
      <c r="J542" s="302"/>
      <c r="K542" s="302"/>
      <c r="L542" s="302"/>
      <c r="M542" s="236"/>
    </row>
    <row r="543" spans="1:13" x14ac:dyDescent="0.2">
      <c r="A543" s="237"/>
      <c r="B543" s="302"/>
      <c r="C543" s="302"/>
      <c r="D543" s="302"/>
      <c r="E543" s="303"/>
      <c r="F543" s="302"/>
      <c r="G543" s="302"/>
      <c r="H543" s="302"/>
      <c r="I543" s="303"/>
      <c r="J543" s="302"/>
      <c r="K543" s="302"/>
      <c r="L543" s="302"/>
      <c r="M543" s="236"/>
    </row>
    <row r="544" spans="1:13" x14ac:dyDescent="0.2">
      <c r="A544" s="237"/>
      <c r="B544" s="302"/>
      <c r="C544" s="302"/>
      <c r="D544" s="302"/>
      <c r="E544" s="303"/>
      <c r="F544" s="302"/>
      <c r="G544" s="302"/>
      <c r="H544" s="302"/>
      <c r="I544" s="303"/>
      <c r="J544" s="302"/>
      <c r="K544" s="302"/>
      <c r="L544" s="302"/>
      <c r="M544" s="236"/>
    </row>
    <row r="545" spans="1:13" x14ac:dyDescent="0.2">
      <c r="A545" s="237"/>
      <c r="B545" s="302"/>
      <c r="C545" s="302"/>
      <c r="D545" s="302"/>
      <c r="E545" s="303"/>
      <c r="F545" s="302"/>
      <c r="G545" s="302"/>
      <c r="H545" s="302"/>
      <c r="I545" s="303"/>
      <c r="J545" s="302"/>
      <c r="K545" s="302"/>
      <c r="L545" s="302"/>
      <c r="M545" s="236"/>
    </row>
    <row r="546" spans="1:13" x14ac:dyDescent="0.2">
      <c r="A546" s="237"/>
      <c r="B546" s="303"/>
      <c r="C546" s="303"/>
      <c r="D546" s="303"/>
      <c r="E546" s="303"/>
      <c r="F546" s="303"/>
      <c r="G546" s="303"/>
      <c r="H546" s="303"/>
      <c r="I546" s="303"/>
      <c r="J546" s="303"/>
      <c r="K546" s="303"/>
      <c r="L546" s="303"/>
      <c r="M546" s="236"/>
    </row>
    <row r="547" spans="1:13" x14ac:dyDescent="0.2">
      <c r="A547" s="237"/>
      <c r="B547" s="237"/>
      <c r="C547" s="237"/>
      <c r="D547" s="237"/>
      <c r="E547" s="237"/>
      <c r="F547" s="237"/>
      <c r="G547" s="237"/>
      <c r="H547" s="237"/>
      <c r="I547" s="237"/>
      <c r="J547" s="237"/>
      <c r="K547" s="237"/>
      <c r="L547" s="240"/>
      <c r="M547" s="236"/>
    </row>
    <row r="548" spans="1:13" x14ac:dyDescent="0.2">
      <c r="A548" s="237"/>
      <c r="B548" s="237"/>
      <c r="C548" s="237"/>
      <c r="D548" s="237"/>
      <c r="E548" s="237"/>
      <c r="F548" s="237"/>
      <c r="G548" s="237"/>
      <c r="H548" s="237"/>
      <c r="I548" s="237"/>
      <c r="J548" s="237"/>
      <c r="K548" s="237"/>
      <c r="L548" s="284"/>
      <c r="M548" s="236"/>
    </row>
    <row r="549" spans="1:13" x14ac:dyDescent="0.2">
      <c r="A549" s="258"/>
      <c r="B549" s="241"/>
      <c r="C549" s="241"/>
      <c r="D549" s="241"/>
      <c r="E549" s="241"/>
      <c r="F549" s="241"/>
      <c r="G549" s="241"/>
      <c r="H549" s="241"/>
      <c r="I549" s="241"/>
      <c r="J549" s="241"/>
      <c r="K549" s="241"/>
      <c r="L549" s="236"/>
      <c r="M549" s="236"/>
    </row>
    <row r="550" spans="1:13" x14ac:dyDescent="0.2">
      <c r="A550" s="241"/>
      <c r="B550" s="375"/>
      <c r="C550" s="375"/>
      <c r="D550" s="375"/>
      <c r="E550" s="253"/>
      <c r="F550" s="375"/>
      <c r="G550" s="375"/>
      <c r="H550" s="375"/>
      <c r="I550" s="253"/>
      <c r="J550" s="375"/>
      <c r="K550" s="375"/>
      <c r="L550" s="375"/>
      <c r="M550" s="236"/>
    </row>
    <row r="551" spans="1:13" x14ac:dyDescent="0.2">
      <c r="A551" s="258"/>
      <c r="B551" s="259"/>
      <c r="C551" s="259"/>
      <c r="D551" s="259"/>
      <c r="E551" s="259"/>
      <c r="F551" s="259"/>
      <c r="G551" s="259"/>
      <c r="H551" s="259"/>
      <c r="I551" s="259"/>
      <c r="J551" s="259"/>
      <c r="K551" s="259"/>
      <c r="L551" s="259"/>
      <c r="M551" s="236"/>
    </row>
    <row r="552" spans="1:13" x14ac:dyDescent="0.2">
      <c r="A552" s="258"/>
      <c r="B552" s="259"/>
      <c r="C552" s="259"/>
      <c r="D552" s="259"/>
      <c r="E552" s="259"/>
      <c r="F552" s="259"/>
      <c r="G552" s="259"/>
      <c r="H552" s="259"/>
      <c r="I552" s="259"/>
      <c r="J552" s="259"/>
      <c r="K552" s="259"/>
      <c r="L552" s="259"/>
      <c r="M552" s="236"/>
    </row>
    <row r="553" spans="1:13" x14ac:dyDescent="0.2">
      <c r="A553" s="237"/>
      <c r="B553" s="302"/>
      <c r="C553" s="302"/>
      <c r="D553" s="302"/>
      <c r="E553" s="303"/>
      <c r="F553" s="302"/>
      <c r="G553" s="302"/>
      <c r="H553" s="302"/>
      <c r="I553" s="303"/>
      <c r="J553" s="302"/>
      <c r="K553" s="302"/>
      <c r="L553" s="302"/>
      <c r="M553" s="236"/>
    </row>
    <row r="554" spans="1:13" x14ac:dyDescent="0.2">
      <c r="A554" s="237"/>
      <c r="B554" s="302"/>
      <c r="C554" s="302"/>
      <c r="D554" s="302"/>
      <c r="E554" s="303"/>
      <c r="F554" s="302"/>
      <c r="G554" s="302"/>
      <c r="H554" s="302"/>
      <c r="I554" s="303"/>
      <c r="J554" s="302"/>
      <c r="K554" s="302"/>
      <c r="L554" s="302"/>
      <c r="M554" s="236"/>
    </row>
    <row r="555" spans="1:13" x14ac:dyDescent="0.2">
      <c r="A555" s="237"/>
      <c r="B555" s="302"/>
      <c r="C555" s="302"/>
      <c r="D555" s="302"/>
      <c r="E555" s="303"/>
      <c r="F555" s="302"/>
      <c r="G555" s="302"/>
      <c r="H555" s="302"/>
      <c r="I555" s="303"/>
      <c r="J555" s="302"/>
      <c r="K555" s="302"/>
      <c r="L555" s="302"/>
      <c r="M555" s="236"/>
    </row>
    <row r="556" spans="1:13" x14ac:dyDescent="0.2">
      <c r="A556" s="237"/>
      <c r="B556" s="302"/>
      <c r="C556" s="302"/>
      <c r="D556" s="302"/>
      <c r="E556" s="303"/>
      <c r="F556" s="302"/>
      <c r="G556" s="302"/>
      <c r="H556" s="302"/>
      <c r="I556" s="303"/>
      <c r="J556" s="302"/>
      <c r="K556" s="302"/>
      <c r="L556" s="302"/>
      <c r="M556" s="236"/>
    </row>
    <row r="557" spans="1:13" x14ac:dyDescent="0.2">
      <c r="A557" s="237"/>
      <c r="B557" s="302"/>
      <c r="C557" s="302"/>
      <c r="D557" s="302"/>
      <c r="E557" s="303"/>
      <c r="F557" s="302"/>
      <c r="G557" s="302"/>
      <c r="H557" s="302"/>
      <c r="I557" s="303"/>
      <c r="J557" s="302"/>
      <c r="K557" s="302"/>
      <c r="L557" s="302"/>
      <c r="M557" s="236"/>
    </row>
    <row r="558" spans="1:13" x14ac:dyDescent="0.2">
      <c r="A558" s="237"/>
      <c r="B558" s="302"/>
      <c r="C558" s="302"/>
      <c r="D558" s="302"/>
      <c r="E558" s="303"/>
      <c r="F558" s="302"/>
      <c r="G558" s="302"/>
      <c r="H558" s="302"/>
      <c r="I558" s="303"/>
      <c r="J558" s="302"/>
      <c r="K558" s="302"/>
      <c r="L558" s="302"/>
      <c r="M558" s="236"/>
    </row>
    <row r="559" spans="1:13" x14ac:dyDescent="0.2">
      <c r="A559" s="237"/>
      <c r="B559" s="302"/>
      <c r="C559" s="302"/>
      <c r="D559" s="302"/>
      <c r="E559" s="303"/>
      <c r="F559" s="302"/>
      <c r="G559" s="302"/>
      <c r="H559" s="302"/>
      <c r="I559" s="303"/>
      <c r="J559" s="302"/>
      <c r="K559" s="302"/>
      <c r="L559" s="302"/>
      <c r="M559" s="236"/>
    </row>
    <row r="560" spans="1:13" x14ac:dyDescent="0.2">
      <c r="A560" s="237"/>
      <c r="B560" s="302"/>
      <c r="C560" s="302"/>
      <c r="D560" s="302"/>
      <c r="E560" s="303"/>
      <c r="F560" s="302"/>
      <c r="G560" s="302"/>
      <c r="H560" s="302"/>
      <c r="I560" s="303"/>
      <c r="J560" s="302"/>
      <c r="K560" s="302"/>
      <c r="L560" s="302"/>
      <c r="M560" s="236"/>
    </row>
    <row r="561" spans="1:13" x14ac:dyDescent="0.2">
      <c r="A561" s="237"/>
      <c r="B561" s="302"/>
      <c r="C561" s="302"/>
      <c r="D561" s="302"/>
      <c r="E561" s="303"/>
      <c r="F561" s="302"/>
      <c r="G561" s="302"/>
      <c r="H561" s="302"/>
      <c r="I561" s="303"/>
      <c r="J561" s="302"/>
      <c r="K561" s="302"/>
      <c r="L561" s="302"/>
      <c r="M561" s="236"/>
    </row>
    <row r="562" spans="1:13" x14ac:dyDescent="0.2">
      <c r="A562" s="237"/>
      <c r="B562" s="302"/>
      <c r="C562" s="302"/>
      <c r="D562" s="302"/>
      <c r="E562" s="303"/>
      <c r="F562" s="302"/>
      <c r="G562" s="302"/>
      <c r="H562" s="302"/>
      <c r="I562" s="303"/>
      <c r="J562" s="302"/>
      <c r="K562" s="302"/>
      <c r="L562" s="302"/>
      <c r="M562" s="236"/>
    </row>
    <row r="563" spans="1:13" x14ac:dyDescent="0.2">
      <c r="A563" s="237"/>
      <c r="B563" s="303"/>
      <c r="C563" s="303"/>
      <c r="D563" s="303"/>
      <c r="E563" s="303"/>
      <c r="F563" s="303"/>
      <c r="G563" s="303"/>
      <c r="H563" s="303"/>
      <c r="I563" s="303"/>
      <c r="J563" s="303"/>
      <c r="K563" s="303"/>
      <c r="L563" s="303"/>
      <c r="M563" s="236"/>
    </row>
    <row r="564" spans="1:13" x14ac:dyDescent="0.2">
      <c r="A564" s="237"/>
      <c r="B564" s="237"/>
      <c r="C564" s="237"/>
      <c r="D564" s="237"/>
      <c r="E564" s="237"/>
      <c r="F564" s="237"/>
      <c r="G564" s="237"/>
      <c r="H564" s="237"/>
      <c r="I564" s="237"/>
      <c r="J564" s="237"/>
      <c r="K564" s="237"/>
      <c r="L564" s="240"/>
      <c r="M564" s="236"/>
    </row>
    <row r="565" spans="1:13" x14ac:dyDescent="0.2">
      <c r="A565" s="237"/>
      <c r="B565" s="237"/>
      <c r="C565" s="237"/>
      <c r="D565" s="237"/>
      <c r="E565" s="237"/>
      <c r="F565" s="237"/>
      <c r="G565" s="237"/>
      <c r="H565" s="237"/>
      <c r="I565" s="237"/>
      <c r="J565" s="237"/>
      <c r="K565" s="237"/>
      <c r="L565" s="284"/>
      <c r="M565" s="236"/>
    </row>
    <row r="566" spans="1:13" x14ac:dyDescent="0.2">
      <c r="A566" s="258"/>
      <c r="B566" s="241"/>
      <c r="C566" s="241"/>
      <c r="D566" s="241"/>
      <c r="E566" s="241"/>
      <c r="F566" s="241"/>
      <c r="G566" s="241"/>
      <c r="H566" s="241"/>
      <c r="I566" s="241"/>
      <c r="J566" s="241"/>
      <c r="K566" s="241"/>
      <c r="L566" s="236"/>
      <c r="M566" s="236"/>
    </row>
    <row r="567" spans="1:13" x14ac:dyDescent="0.2">
      <c r="A567" s="241"/>
      <c r="B567" s="375"/>
      <c r="C567" s="375"/>
      <c r="D567" s="375"/>
      <c r="E567" s="253"/>
      <c r="F567" s="375"/>
      <c r="G567" s="375"/>
      <c r="H567" s="375"/>
      <c r="I567" s="253"/>
      <c r="J567" s="375"/>
      <c r="K567" s="375"/>
      <c r="L567" s="375"/>
      <c r="M567" s="236"/>
    </row>
    <row r="568" spans="1:13" x14ac:dyDescent="0.2">
      <c r="A568" s="258"/>
      <c r="B568" s="259"/>
      <c r="C568" s="259"/>
      <c r="D568" s="259"/>
      <c r="E568" s="259"/>
      <c r="F568" s="259"/>
      <c r="G568" s="259"/>
      <c r="H568" s="259"/>
      <c r="I568" s="259"/>
      <c r="J568" s="259"/>
      <c r="K568" s="259"/>
      <c r="L568" s="259"/>
      <c r="M568" s="236"/>
    </row>
    <row r="569" spans="1:13" x14ac:dyDescent="0.2">
      <c r="A569" s="258"/>
      <c r="B569" s="259"/>
      <c r="C569" s="259"/>
      <c r="D569" s="259"/>
      <c r="E569" s="259"/>
      <c r="F569" s="259"/>
      <c r="G569" s="259"/>
      <c r="H569" s="259"/>
      <c r="I569" s="259"/>
      <c r="J569" s="259"/>
      <c r="K569" s="259"/>
      <c r="L569" s="259"/>
      <c r="M569" s="236"/>
    </row>
    <row r="570" spans="1:13" x14ac:dyDescent="0.2">
      <c r="A570" s="237"/>
      <c r="B570" s="302"/>
      <c r="C570" s="302"/>
      <c r="D570" s="302"/>
      <c r="E570" s="303"/>
      <c r="F570" s="302"/>
      <c r="G570" s="302"/>
      <c r="H570" s="302"/>
      <c r="I570" s="303"/>
      <c r="J570" s="302"/>
      <c r="K570" s="302"/>
      <c r="L570" s="302"/>
      <c r="M570" s="236"/>
    </row>
    <row r="571" spans="1:13" x14ac:dyDescent="0.2">
      <c r="A571" s="237"/>
      <c r="B571" s="302"/>
      <c r="C571" s="302"/>
      <c r="D571" s="302"/>
      <c r="E571" s="303"/>
      <c r="F571" s="302"/>
      <c r="G571" s="302"/>
      <c r="H571" s="302"/>
      <c r="I571" s="303"/>
      <c r="J571" s="302"/>
      <c r="K571" s="302"/>
      <c r="L571" s="302"/>
      <c r="M571" s="236"/>
    </row>
    <row r="572" spans="1:13" x14ac:dyDescent="0.2">
      <c r="A572" s="237"/>
      <c r="B572" s="302"/>
      <c r="C572" s="302"/>
      <c r="D572" s="302"/>
      <c r="E572" s="303"/>
      <c r="F572" s="302"/>
      <c r="G572" s="302"/>
      <c r="H572" s="302"/>
      <c r="I572" s="303"/>
      <c r="J572" s="302"/>
      <c r="K572" s="302"/>
      <c r="L572" s="302"/>
      <c r="M572" s="236"/>
    </row>
    <row r="573" spans="1:13" x14ac:dyDescent="0.2">
      <c r="A573" s="237"/>
      <c r="B573" s="302"/>
      <c r="C573" s="302"/>
      <c r="D573" s="302"/>
      <c r="E573" s="303"/>
      <c r="F573" s="302"/>
      <c r="G573" s="302"/>
      <c r="H573" s="302"/>
      <c r="I573" s="303"/>
      <c r="J573" s="302"/>
      <c r="K573" s="302"/>
      <c r="L573" s="302"/>
      <c r="M573" s="236"/>
    </row>
    <row r="574" spans="1:13" x14ac:dyDescent="0.2">
      <c r="A574" s="237"/>
      <c r="B574" s="302"/>
      <c r="C574" s="302"/>
      <c r="D574" s="302"/>
      <c r="E574" s="303"/>
      <c r="F574" s="302"/>
      <c r="G574" s="302"/>
      <c r="H574" s="302"/>
      <c r="I574" s="303"/>
      <c r="J574" s="302"/>
      <c r="K574" s="302"/>
      <c r="L574" s="302"/>
      <c r="M574" s="236"/>
    </row>
    <row r="575" spans="1:13" x14ac:dyDescent="0.2">
      <c r="A575" s="237"/>
      <c r="B575" s="302"/>
      <c r="C575" s="302"/>
      <c r="D575" s="302"/>
      <c r="E575" s="303"/>
      <c r="F575" s="302"/>
      <c r="G575" s="302"/>
      <c r="H575" s="302"/>
      <c r="I575" s="303"/>
      <c r="J575" s="302"/>
      <c r="K575" s="302"/>
      <c r="L575" s="302"/>
      <c r="M575" s="236"/>
    </row>
    <row r="576" spans="1:13" x14ac:dyDescent="0.2">
      <c r="A576" s="237"/>
      <c r="B576" s="302"/>
      <c r="C576" s="302"/>
      <c r="D576" s="302"/>
      <c r="E576" s="303"/>
      <c r="F576" s="302"/>
      <c r="G576" s="302"/>
      <c r="H576" s="302"/>
      <c r="I576" s="303"/>
      <c r="J576" s="302"/>
      <c r="K576" s="302"/>
      <c r="L576" s="302"/>
      <c r="M576" s="236"/>
    </row>
    <row r="577" spans="1:13" x14ac:dyDescent="0.2">
      <c r="A577" s="237"/>
      <c r="B577" s="302"/>
      <c r="C577" s="302"/>
      <c r="D577" s="302"/>
      <c r="E577" s="303"/>
      <c r="F577" s="302"/>
      <c r="G577" s="302"/>
      <c r="H577" s="302"/>
      <c r="I577" s="303"/>
      <c r="J577" s="302"/>
      <c r="K577" s="302"/>
      <c r="L577" s="302"/>
      <c r="M577" s="236"/>
    </row>
    <row r="578" spans="1:13" x14ac:dyDescent="0.2">
      <c r="A578" s="237"/>
      <c r="B578" s="302"/>
      <c r="C578" s="302"/>
      <c r="D578" s="302"/>
      <c r="E578" s="303"/>
      <c r="F578" s="302"/>
      <c r="G578" s="302"/>
      <c r="H578" s="302"/>
      <c r="I578" s="303"/>
      <c r="J578" s="302"/>
      <c r="K578" s="302"/>
      <c r="L578" s="302"/>
      <c r="M578" s="236"/>
    </row>
    <row r="579" spans="1:13" x14ac:dyDescent="0.2">
      <c r="A579" s="237"/>
      <c r="B579" s="302"/>
      <c r="C579" s="302"/>
      <c r="D579" s="302"/>
      <c r="E579" s="303"/>
      <c r="F579" s="302"/>
      <c r="G579" s="302"/>
      <c r="H579" s="302"/>
      <c r="I579" s="303"/>
      <c r="J579" s="302"/>
      <c r="K579" s="302"/>
      <c r="L579" s="302"/>
      <c r="M579" s="236"/>
    </row>
    <row r="580" spans="1:13" x14ac:dyDescent="0.2">
      <c r="A580" s="237"/>
      <c r="B580" s="303"/>
      <c r="C580" s="303"/>
      <c r="D580" s="303"/>
      <c r="E580" s="303"/>
      <c r="F580" s="303"/>
      <c r="G580" s="303"/>
      <c r="H580" s="303"/>
      <c r="I580" s="303"/>
      <c r="J580" s="303"/>
      <c r="K580" s="303"/>
      <c r="L580" s="303"/>
      <c r="M580" s="236"/>
    </row>
    <row r="581" spans="1:13" x14ac:dyDescent="0.2">
      <c r="A581" s="237"/>
      <c r="B581" s="237"/>
      <c r="C581" s="237"/>
      <c r="D581" s="237"/>
      <c r="E581" s="237"/>
      <c r="F581" s="237"/>
      <c r="G581" s="237"/>
      <c r="H581" s="237"/>
      <c r="I581" s="237"/>
      <c r="J581" s="237"/>
      <c r="K581" s="237"/>
      <c r="L581" s="240"/>
      <c r="M581" s="236"/>
    </row>
    <row r="582" spans="1:13" x14ac:dyDescent="0.2">
      <c r="A582" s="237"/>
      <c r="B582" s="237"/>
      <c r="C582" s="237"/>
      <c r="D582" s="237"/>
      <c r="E582" s="237"/>
      <c r="F582" s="237"/>
      <c r="G582" s="237"/>
      <c r="H582" s="237"/>
      <c r="I582" s="237"/>
      <c r="J582" s="237"/>
      <c r="K582" s="237"/>
      <c r="L582" s="284"/>
      <c r="M582" s="236"/>
    </row>
    <row r="583" spans="1:13" x14ac:dyDescent="0.2">
      <c r="A583" s="258"/>
      <c r="B583" s="241"/>
      <c r="C583" s="241"/>
      <c r="D583" s="241"/>
      <c r="E583" s="241"/>
      <c r="F583" s="241"/>
      <c r="G583" s="241"/>
      <c r="H583" s="241"/>
      <c r="I583" s="241"/>
      <c r="J583" s="241"/>
      <c r="K583" s="241"/>
      <c r="L583" s="236"/>
      <c r="M583" s="236"/>
    </row>
    <row r="584" spans="1:13" x14ac:dyDescent="0.2">
      <c r="A584" s="241"/>
      <c r="B584" s="375"/>
      <c r="C584" s="375"/>
      <c r="D584" s="375"/>
      <c r="E584" s="253"/>
      <c r="F584" s="375"/>
      <c r="G584" s="375"/>
      <c r="H584" s="375"/>
      <c r="I584" s="253"/>
      <c r="J584" s="375"/>
      <c r="K584" s="375"/>
      <c r="L584" s="375"/>
      <c r="M584" s="236"/>
    </row>
    <row r="585" spans="1:13" x14ac:dyDescent="0.2">
      <c r="A585" s="258"/>
      <c r="B585" s="259"/>
      <c r="C585" s="259"/>
      <c r="D585" s="259"/>
      <c r="E585" s="259"/>
      <c r="F585" s="259"/>
      <c r="G585" s="259"/>
      <c r="H585" s="259"/>
      <c r="I585" s="259"/>
      <c r="J585" s="259"/>
      <c r="K585" s="259"/>
      <c r="L585" s="259"/>
      <c r="M585" s="236"/>
    </row>
    <row r="586" spans="1:13" x14ac:dyDescent="0.2">
      <c r="A586" s="258"/>
      <c r="B586" s="259"/>
      <c r="C586" s="259"/>
      <c r="D586" s="259"/>
      <c r="E586" s="259"/>
      <c r="F586" s="259"/>
      <c r="G586" s="259"/>
      <c r="H586" s="259"/>
      <c r="I586" s="259"/>
      <c r="J586" s="259"/>
      <c r="K586" s="259"/>
      <c r="L586" s="259"/>
      <c r="M586" s="236"/>
    </row>
    <row r="587" spans="1:13" x14ac:dyDescent="0.2">
      <c r="A587" s="237"/>
      <c r="B587" s="302"/>
      <c r="C587" s="302"/>
      <c r="D587" s="302"/>
      <c r="E587" s="303"/>
      <c r="F587" s="302"/>
      <c r="G587" s="302"/>
      <c r="H587" s="302"/>
      <c r="I587" s="303"/>
      <c r="J587" s="302"/>
      <c r="K587" s="302"/>
      <c r="L587" s="302"/>
      <c r="M587" s="236"/>
    </row>
    <row r="588" spans="1:13" x14ac:dyDescent="0.2">
      <c r="A588" s="237"/>
      <c r="B588" s="302"/>
      <c r="C588" s="302"/>
      <c r="D588" s="302"/>
      <c r="E588" s="303"/>
      <c r="F588" s="302"/>
      <c r="G588" s="302"/>
      <c r="H588" s="302"/>
      <c r="I588" s="303"/>
      <c r="J588" s="302"/>
      <c r="K588" s="302"/>
      <c r="L588" s="302"/>
      <c r="M588" s="236"/>
    </row>
    <row r="589" spans="1:13" x14ac:dyDescent="0.2">
      <c r="A589" s="237"/>
      <c r="B589" s="302"/>
      <c r="C589" s="302"/>
      <c r="D589" s="302"/>
      <c r="E589" s="303"/>
      <c r="F589" s="302"/>
      <c r="G589" s="302"/>
      <c r="H589" s="302"/>
      <c r="I589" s="303"/>
      <c r="J589" s="302"/>
      <c r="K589" s="302"/>
      <c r="L589" s="302"/>
      <c r="M589" s="236"/>
    </row>
    <row r="590" spans="1:13" x14ac:dyDescent="0.2">
      <c r="A590" s="237"/>
      <c r="B590" s="302"/>
      <c r="C590" s="302"/>
      <c r="D590" s="302"/>
      <c r="E590" s="303"/>
      <c r="F590" s="302"/>
      <c r="G590" s="302"/>
      <c r="H590" s="302"/>
      <c r="I590" s="303"/>
      <c r="J590" s="302"/>
      <c r="K590" s="302"/>
      <c r="L590" s="302"/>
      <c r="M590" s="236"/>
    </row>
    <row r="591" spans="1:13" x14ac:dyDescent="0.2">
      <c r="A591" s="237"/>
      <c r="B591" s="302"/>
      <c r="C591" s="302"/>
      <c r="D591" s="302"/>
      <c r="E591" s="303"/>
      <c r="F591" s="302"/>
      <c r="G591" s="302"/>
      <c r="H591" s="302"/>
      <c r="I591" s="303"/>
      <c r="J591" s="302"/>
      <c r="K591" s="302"/>
      <c r="L591" s="302"/>
      <c r="M591" s="236"/>
    </row>
    <row r="592" spans="1:13" x14ac:dyDescent="0.2">
      <c r="A592" s="237"/>
      <c r="B592" s="302"/>
      <c r="C592" s="302"/>
      <c r="D592" s="302"/>
      <c r="E592" s="303"/>
      <c r="F592" s="302"/>
      <c r="G592" s="302"/>
      <c r="H592" s="302"/>
      <c r="I592" s="303"/>
      <c r="J592" s="302"/>
      <c r="K592" s="302"/>
      <c r="L592" s="302"/>
      <c r="M592" s="236"/>
    </row>
    <row r="593" spans="1:13" x14ac:dyDescent="0.2">
      <c r="A593" s="237"/>
      <c r="B593" s="302"/>
      <c r="C593" s="302"/>
      <c r="D593" s="302"/>
      <c r="E593" s="303"/>
      <c r="F593" s="302"/>
      <c r="G593" s="302"/>
      <c r="H593" s="302"/>
      <c r="I593" s="303"/>
      <c r="J593" s="302"/>
      <c r="K593" s="302"/>
      <c r="L593" s="302"/>
      <c r="M593" s="236"/>
    </row>
    <row r="594" spans="1:13" x14ac:dyDescent="0.2">
      <c r="A594" s="237"/>
      <c r="B594" s="302"/>
      <c r="C594" s="302"/>
      <c r="D594" s="302"/>
      <c r="E594" s="303"/>
      <c r="F594" s="302"/>
      <c r="G594" s="302"/>
      <c r="H594" s="302"/>
      <c r="I594" s="303"/>
      <c r="J594" s="302"/>
      <c r="K594" s="302"/>
      <c r="L594" s="302"/>
      <c r="M594" s="236"/>
    </row>
    <row r="595" spans="1:13" x14ac:dyDescent="0.2">
      <c r="A595" s="237"/>
      <c r="B595" s="302"/>
      <c r="C595" s="302"/>
      <c r="D595" s="302"/>
      <c r="E595" s="303"/>
      <c r="F595" s="302"/>
      <c r="G595" s="302"/>
      <c r="H595" s="302"/>
      <c r="I595" s="303"/>
      <c r="J595" s="302"/>
      <c r="K595" s="302"/>
      <c r="L595" s="302"/>
      <c r="M595" s="236"/>
    </row>
    <row r="596" spans="1:13" x14ac:dyDescent="0.2">
      <c r="A596" s="237"/>
      <c r="B596" s="302"/>
      <c r="C596" s="302"/>
      <c r="D596" s="302"/>
      <c r="E596" s="303"/>
      <c r="F596" s="302"/>
      <c r="G596" s="302"/>
      <c r="H596" s="302"/>
      <c r="I596" s="303"/>
      <c r="J596" s="302"/>
      <c r="K596" s="302"/>
      <c r="L596" s="302"/>
      <c r="M596" s="236"/>
    </row>
    <row r="597" spans="1:13" x14ac:dyDescent="0.2">
      <c r="A597" s="237"/>
      <c r="B597" s="303"/>
      <c r="C597" s="303"/>
      <c r="D597" s="303"/>
      <c r="E597" s="303"/>
      <c r="F597" s="303"/>
      <c r="G597" s="303"/>
      <c r="H597" s="303"/>
      <c r="I597" s="303"/>
      <c r="J597" s="303"/>
      <c r="K597" s="303"/>
      <c r="L597" s="303"/>
      <c r="M597" s="236"/>
    </row>
    <row r="598" spans="1:13" x14ac:dyDescent="0.2">
      <c r="A598" s="237"/>
      <c r="B598" s="237"/>
      <c r="C598" s="237"/>
      <c r="D598" s="237"/>
      <c r="E598" s="237"/>
      <c r="F598" s="237"/>
      <c r="G598" s="237"/>
      <c r="H598" s="237"/>
      <c r="I598" s="237"/>
      <c r="J598" s="237"/>
      <c r="K598" s="237"/>
      <c r="L598" s="240"/>
      <c r="M598" s="236"/>
    </row>
    <row r="599" spans="1:13" x14ac:dyDescent="0.2">
      <c r="A599" s="237"/>
      <c r="B599" s="237"/>
      <c r="C599" s="237"/>
      <c r="D599" s="237"/>
      <c r="E599" s="237"/>
      <c r="F599" s="237"/>
      <c r="G599" s="237"/>
      <c r="H599" s="237"/>
      <c r="I599" s="237"/>
      <c r="J599" s="237"/>
      <c r="K599" s="237"/>
      <c r="L599" s="284"/>
      <c r="M599" s="236"/>
    </row>
    <row r="600" spans="1:13" x14ac:dyDescent="0.2">
      <c r="A600" s="258"/>
      <c r="B600" s="241"/>
      <c r="C600" s="241"/>
      <c r="D600" s="241"/>
      <c r="E600" s="241"/>
      <c r="F600" s="241"/>
      <c r="G600" s="241"/>
      <c r="H600" s="241"/>
      <c r="I600" s="241"/>
      <c r="J600" s="241"/>
      <c r="K600" s="241"/>
      <c r="L600" s="236"/>
      <c r="M600" s="236"/>
    </row>
    <row r="601" spans="1:13" x14ac:dyDescent="0.2">
      <c r="A601" s="241"/>
      <c r="B601" s="375"/>
      <c r="C601" s="375"/>
      <c r="D601" s="375"/>
      <c r="E601" s="253"/>
      <c r="F601" s="375"/>
      <c r="G601" s="375"/>
      <c r="H601" s="375"/>
      <c r="I601" s="253"/>
      <c r="J601" s="375"/>
      <c r="K601" s="375"/>
      <c r="L601" s="375"/>
      <c r="M601" s="236"/>
    </row>
    <row r="602" spans="1:13" x14ac:dyDescent="0.2">
      <c r="A602" s="258"/>
      <c r="B602" s="259"/>
      <c r="C602" s="259"/>
      <c r="D602" s="259"/>
      <c r="E602" s="259"/>
      <c r="F602" s="259"/>
      <c r="G602" s="259"/>
      <c r="H602" s="259"/>
      <c r="I602" s="259"/>
      <c r="J602" s="259"/>
      <c r="K602" s="259"/>
      <c r="L602" s="259"/>
      <c r="M602" s="236"/>
    </row>
    <row r="603" spans="1:13" x14ac:dyDescent="0.2">
      <c r="A603" s="258"/>
      <c r="B603" s="259"/>
      <c r="C603" s="259"/>
      <c r="D603" s="259"/>
      <c r="E603" s="259"/>
      <c r="F603" s="259"/>
      <c r="G603" s="259"/>
      <c r="H603" s="259"/>
      <c r="I603" s="259"/>
      <c r="J603" s="259"/>
      <c r="K603" s="259"/>
      <c r="L603" s="259"/>
      <c r="M603" s="236"/>
    </row>
    <row r="604" spans="1:13" x14ac:dyDescent="0.2">
      <c r="A604" s="237"/>
      <c r="B604" s="302"/>
      <c r="C604" s="302"/>
      <c r="D604" s="302"/>
      <c r="E604" s="303"/>
      <c r="F604" s="302"/>
      <c r="G604" s="302"/>
      <c r="H604" s="302"/>
      <c r="I604" s="303"/>
      <c r="J604" s="302"/>
      <c r="K604" s="302"/>
      <c r="L604" s="302"/>
      <c r="M604" s="236"/>
    </row>
    <row r="605" spans="1:13" x14ac:dyDescent="0.2">
      <c r="A605" s="237"/>
      <c r="B605" s="302"/>
      <c r="C605" s="302"/>
      <c r="D605" s="302"/>
      <c r="E605" s="303"/>
      <c r="F605" s="302"/>
      <c r="G605" s="302"/>
      <c r="H605" s="302"/>
      <c r="I605" s="303"/>
      <c r="J605" s="302"/>
      <c r="K605" s="302"/>
      <c r="L605" s="302"/>
      <c r="M605" s="236"/>
    </row>
    <row r="606" spans="1:13" x14ac:dyDescent="0.2">
      <c r="A606" s="237"/>
      <c r="B606" s="302"/>
      <c r="C606" s="302"/>
      <c r="D606" s="302"/>
      <c r="E606" s="303"/>
      <c r="F606" s="302"/>
      <c r="G606" s="302"/>
      <c r="H606" s="302"/>
      <c r="I606" s="303"/>
      <c r="J606" s="302"/>
      <c r="K606" s="302"/>
      <c r="L606" s="302"/>
      <c r="M606" s="236"/>
    </row>
    <row r="607" spans="1:13" x14ac:dyDescent="0.2">
      <c r="A607" s="237"/>
      <c r="B607" s="302"/>
      <c r="C607" s="302"/>
      <c r="D607" s="302"/>
      <c r="E607" s="303"/>
      <c r="F607" s="302"/>
      <c r="G607" s="302"/>
      <c r="H607" s="302"/>
      <c r="I607" s="303"/>
      <c r="J607" s="302"/>
      <c r="K607" s="302"/>
      <c r="L607" s="302"/>
      <c r="M607" s="236"/>
    </row>
    <row r="608" spans="1:13" x14ac:dyDescent="0.2">
      <c r="A608" s="237"/>
      <c r="B608" s="302"/>
      <c r="C608" s="302"/>
      <c r="D608" s="302"/>
      <c r="E608" s="303"/>
      <c r="F608" s="302"/>
      <c r="G608" s="302"/>
      <c r="H608" s="302"/>
      <c r="I608" s="303"/>
      <c r="J608" s="302"/>
      <c r="K608" s="302"/>
      <c r="L608" s="302"/>
      <c r="M608" s="236"/>
    </row>
    <row r="609" spans="1:13" x14ac:dyDescent="0.2">
      <c r="A609" s="237"/>
      <c r="B609" s="302"/>
      <c r="C609" s="302"/>
      <c r="D609" s="302"/>
      <c r="E609" s="303"/>
      <c r="F609" s="302"/>
      <c r="G609" s="302"/>
      <c r="H609" s="302"/>
      <c r="I609" s="303"/>
      <c r="J609" s="302"/>
      <c r="K609" s="302"/>
      <c r="L609" s="302"/>
      <c r="M609" s="236"/>
    </row>
    <row r="610" spans="1:13" x14ac:dyDescent="0.2">
      <c r="A610" s="237"/>
      <c r="B610" s="302"/>
      <c r="C610" s="302"/>
      <c r="D610" s="302"/>
      <c r="E610" s="303"/>
      <c r="F610" s="302"/>
      <c r="G610" s="302"/>
      <c r="H610" s="302"/>
      <c r="I610" s="303"/>
      <c r="J610" s="302"/>
      <c r="K610" s="302"/>
      <c r="L610" s="302"/>
      <c r="M610" s="236"/>
    </row>
    <row r="611" spans="1:13" x14ac:dyDescent="0.2">
      <c r="A611" s="237"/>
      <c r="B611" s="302"/>
      <c r="C611" s="302"/>
      <c r="D611" s="302"/>
      <c r="E611" s="303"/>
      <c r="F611" s="302"/>
      <c r="G611" s="302"/>
      <c r="H611" s="302"/>
      <c r="I611" s="303"/>
      <c r="J611" s="302"/>
      <c r="K611" s="302"/>
      <c r="L611" s="302"/>
      <c r="M611" s="236"/>
    </row>
    <row r="612" spans="1:13" x14ac:dyDescent="0.2">
      <c r="A612" s="237"/>
      <c r="B612" s="302"/>
      <c r="C612" s="302"/>
      <c r="D612" s="302"/>
      <c r="E612" s="303"/>
      <c r="F612" s="302"/>
      <c r="G612" s="302"/>
      <c r="H612" s="302"/>
      <c r="I612" s="303"/>
      <c r="J612" s="302"/>
      <c r="K612" s="302"/>
      <c r="L612" s="302"/>
      <c r="M612" s="236"/>
    </row>
    <row r="613" spans="1:13" x14ac:dyDescent="0.2">
      <c r="A613" s="237"/>
      <c r="B613" s="302"/>
      <c r="C613" s="302"/>
      <c r="D613" s="302"/>
      <c r="E613" s="303"/>
      <c r="F613" s="302"/>
      <c r="G613" s="302"/>
      <c r="H613" s="302"/>
      <c r="I613" s="303"/>
      <c r="J613" s="302"/>
      <c r="K613" s="302"/>
      <c r="L613" s="302"/>
      <c r="M613" s="236"/>
    </row>
    <row r="614" spans="1:13" x14ac:dyDescent="0.2">
      <c r="A614" s="237"/>
      <c r="B614" s="303"/>
      <c r="C614" s="303"/>
      <c r="D614" s="303"/>
      <c r="E614" s="303"/>
      <c r="F614" s="303"/>
      <c r="G614" s="303"/>
      <c r="H614" s="303"/>
      <c r="I614" s="303"/>
      <c r="J614" s="303"/>
      <c r="K614" s="303"/>
      <c r="L614" s="303"/>
      <c r="M614" s="236"/>
    </row>
    <row r="615" spans="1:13" x14ac:dyDescent="0.2">
      <c r="A615" s="237"/>
      <c r="B615" s="237"/>
      <c r="C615" s="237"/>
      <c r="D615" s="237"/>
      <c r="E615" s="237"/>
      <c r="F615" s="237"/>
      <c r="G615" s="237"/>
      <c r="H615" s="237"/>
      <c r="I615" s="237"/>
      <c r="J615" s="237"/>
      <c r="K615" s="237"/>
      <c r="L615" s="240"/>
      <c r="M615" s="236"/>
    </row>
    <row r="616" spans="1:13" x14ac:dyDescent="0.2">
      <c r="A616" s="237"/>
      <c r="B616" s="237"/>
      <c r="C616" s="237"/>
      <c r="D616" s="237"/>
      <c r="E616" s="237"/>
      <c r="F616" s="237"/>
      <c r="G616" s="237"/>
      <c r="H616" s="237"/>
      <c r="I616" s="237"/>
      <c r="J616" s="237"/>
      <c r="K616" s="237"/>
      <c r="L616" s="284"/>
      <c r="M616" s="236"/>
    </row>
    <row r="617" spans="1:13" x14ac:dyDescent="0.2">
      <c r="A617" s="258"/>
      <c r="B617" s="241"/>
      <c r="C617" s="241"/>
      <c r="D617" s="241"/>
      <c r="E617" s="241"/>
      <c r="F617" s="241"/>
      <c r="G617" s="241"/>
      <c r="H617" s="241"/>
      <c r="I617" s="241"/>
      <c r="J617" s="241"/>
      <c r="K617" s="241"/>
      <c r="L617" s="236"/>
      <c r="M617" s="236"/>
    </row>
    <row r="618" spans="1:13" x14ac:dyDescent="0.2">
      <c r="A618" s="241"/>
      <c r="B618" s="375"/>
      <c r="C618" s="375"/>
      <c r="D618" s="375"/>
      <c r="E618" s="253"/>
      <c r="F618" s="375"/>
      <c r="G618" s="375"/>
      <c r="H618" s="375"/>
      <c r="I618" s="253"/>
      <c r="J618" s="375"/>
      <c r="K618" s="375"/>
      <c r="L618" s="375"/>
      <c r="M618" s="236"/>
    </row>
    <row r="619" spans="1:13" x14ac:dyDescent="0.2">
      <c r="A619" s="258"/>
      <c r="B619" s="259"/>
      <c r="C619" s="259"/>
      <c r="D619" s="259"/>
      <c r="E619" s="259"/>
      <c r="F619" s="259"/>
      <c r="G619" s="259"/>
      <c r="H619" s="259"/>
      <c r="I619" s="259"/>
      <c r="J619" s="259"/>
      <c r="K619" s="259"/>
      <c r="L619" s="259"/>
      <c r="M619" s="236"/>
    </row>
    <row r="620" spans="1:13" x14ac:dyDescent="0.2">
      <c r="A620" s="258"/>
      <c r="B620" s="259"/>
      <c r="C620" s="259"/>
      <c r="D620" s="259"/>
      <c r="E620" s="259"/>
      <c r="F620" s="259"/>
      <c r="G620" s="259"/>
      <c r="H620" s="259"/>
      <c r="I620" s="259"/>
      <c r="J620" s="259"/>
      <c r="K620" s="259"/>
      <c r="L620" s="259"/>
      <c r="M620" s="236"/>
    </row>
    <row r="621" spans="1:13" x14ac:dyDescent="0.2">
      <c r="A621" s="237"/>
      <c r="B621" s="302"/>
      <c r="C621" s="302"/>
      <c r="D621" s="302"/>
      <c r="E621" s="303"/>
      <c r="F621" s="302"/>
      <c r="G621" s="302"/>
      <c r="H621" s="302"/>
      <c r="I621" s="303"/>
      <c r="J621" s="302"/>
      <c r="K621" s="302"/>
      <c r="L621" s="302"/>
      <c r="M621" s="236"/>
    </row>
    <row r="622" spans="1:13" x14ac:dyDescent="0.2">
      <c r="A622" s="237"/>
      <c r="B622" s="302"/>
      <c r="C622" s="302"/>
      <c r="D622" s="302"/>
      <c r="E622" s="303"/>
      <c r="F622" s="302"/>
      <c r="G622" s="302"/>
      <c r="H622" s="302"/>
      <c r="I622" s="303"/>
      <c r="J622" s="302"/>
      <c r="K622" s="302"/>
      <c r="L622" s="302"/>
      <c r="M622" s="236"/>
    </row>
    <row r="623" spans="1:13" x14ac:dyDescent="0.2">
      <c r="A623" s="237"/>
      <c r="B623" s="302"/>
      <c r="C623" s="302"/>
      <c r="D623" s="302"/>
      <c r="E623" s="303"/>
      <c r="F623" s="302"/>
      <c r="G623" s="302"/>
      <c r="H623" s="302"/>
      <c r="I623" s="303"/>
      <c r="J623" s="302"/>
      <c r="K623" s="302"/>
      <c r="L623" s="302"/>
      <c r="M623" s="236"/>
    </row>
    <row r="624" spans="1:13" x14ac:dyDescent="0.2">
      <c r="A624" s="237"/>
      <c r="B624" s="302"/>
      <c r="C624" s="302"/>
      <c r="D624" s="302"/>
      <c r="E624" s="303"/>
      <c r="F624" s="302"/>
      <c r="G624" s="302"/>
      <c r="H624" s="302"/>
      <c r="I624" s="303"/>
      <c r="J624" s="302"/>
      <c r="K624" s="302"/>
      <c r="L624" s="302"/>
      <c r="M624" s="236"/>
    </row>
    <row r="625" spans="1:13" x14ac:dyDescent="0.2">
      <c r="A625" s="237"/>
      <c r="B625" s="302"/>
      <c r="C625" s="302"/>
      <c r="D625" s="302"/>
      <c r="E625" s="303"/>
      <c r="F625" s="302"/>
      <c r="G625" s="302"/>
      <c r="H625" s="302"/>
      <c r="I625" s="303"/>
      <c r="J625" s="302"/>
      <c r="K625" s="302"/>
      <c r="L625" s="302"/>
      <c r="M625" s="236"/>
    </row>
    <row r="626" spans="1:13" x14ac:dyDescent="0.2">
      <c r="A626" s="237"/>
      <c r="B626" s="302"/>
      <c r="C626" s="302"/>
      <c r="D626" s="302"/>
      <c r="E626" s="303"/>
      <c r="F626" s="302"/>
      <c r="G626" s="302"/>
      <c r="H626" s="302"/>
      <c r="I626" s="303"/>
      <c r="J626" s="302"/>
      <c r="K626" s="302"/>
      <c r="L626" s="302"/>
      <c r="M626" s="236"/>
    </row>
    <row r="627" spans="1:13" x14ac:dyDescent="0.2">
      <c r="A627" s="237"/>
      <c r="B627" s="302"/>
      <c r="C627" s="302"/>
      <c r="D627" s="302"/>
      <c r="E627" s="303"/>
      <c r="F627" s="302"/>
      <c r="G627" s="302"/>
      <c r="H627" s="302"/>
      <c r="I627" s="303"/>
      <c r="J627" s="302"/>
      <c r="K627" s="302"/>
      <c r="L627" s="302"/>
      <c r="M627" s="236"/>
    </row>
    <row r="628" spans="1:13" x14ac:dyDescent="0.2">
      <c r="A628" s="237"/>
      <c r="B628" s="302"/>
      <c r="C628" s="302"/>
      <c r="D628" s="302"/>
      <c r="E628" s="303"/>
      <c r="F628" s="302"/>
      <c r="G628" s="302"/>
      <c r="H628" s="302"/>
      <c r="I628" s="303"/>
      <c r="J628" s="302"/>
      <c r="K628" s="302"/>
      <c r="L628" s="302"/>
      <c r="M628" s="236"/>
    </row>
    <row r="629" spans="1:13" x14ac:dyDescent="0.2">
      <c r="A629" s="237"/>
      <c r="B629" s="302"/>
      <c r="C629" s="302"/>
      <c r="D629" s="302"/>
      <c r="E629" s="303"/>
      <c r="F629" s="302"/>
      <c r="G629" s="302"/>
      <c r="H629" s="302"/>
      <c r="I629" s="303"/>
      <c r="J629" s="302"/>
      <c r="K629" s="302"/>
      <c r="L629" s="302"/>
      <c r="M629" s="236"/>
    </row>
    <row r="630" spans="1:13" x14ac:dyDescent="0.2">
      <c r="A630" s="237"/>
      <c r="B630" s="302"/>
      <c r="C630" s="302"/>
      <c r="D630" s="302"/>
      <c r="E630" s="303"/>
      <c r="F630" s="302"/>
      <c r="G630" s="302"/>
      <c r="H630" s="302"/>
      <c r="I630" s="303"/>
      <c r="J630" s="302"/>
      <c r="K630" s="302"/>
      <c r="L630" s="302"/>
      <c r="M630" s="236"/>
    </row>
    <row r="631" spans="1:13" x14ac:dyDescent="0.2">
      <c r="A631" s="237"/>
      <c r="B631" s="303"/>
      <c r="C631" s="303"/>
      <c r="D631" s="303"/>
      <c r="E631" s="303"/>
      <c r="F631" s="303"/>
      <c r="G631" s="303"/>
      <c r="H631" s="303"/>
      <c r="I631" s="303"/>
      <c r="J631" s="303"/>
      <c r="K631" s="303"/>
      <c r="L631" s="303"/>
      <c r="M631" s="236"/>
    </row>
    <row r="632" spans="1:13" x14ac:dyDescent="0.2">
      <c r="A632" s="237"/>
      <c r="B632" s="237"/>
      <c r="C632" s="237"/>
      <c r="D632" s="237"/>
      <c r="E632" s="237"/>
      <c r="F632" s="237"/>
      <c r="G632" s="237"/>
      <c r="H632" s="237"/>
      <c r="I632" s="237"/>
      <c r="J632" s="237"/>
      <c r="K632" s="237"/>
      <c r="L632" s="240"/>
      <c r="M632" s="236"/>
    </row>
    <row r="633" spans="1:13" x14ac:dyDescent="0.2">
      <c r="A633" s="237"/>
      <c r="B633" s="237"/>
      <c r="C633" s="237"/>
      <c r="D633" s="237"/>
      <c r="E633" s="237"/>
      <c r="F633" s="237"/>
      <c r="G633" s="237"/>
      <c r="H633" s="237"/>
      <c r="I633" s="237"/>
      <c r="J633" s="237"/>
      <c r="K633" s="237"/>
      <c r="L633" s="284"/>
      <c r="M633" s="236"/>
    </row>
    <row r="634" spans="1:13" x14ac:dyDescent="0.2">
      <c r="A634" s="258"/>
      <c r="B634" s="241"/>
      <c r="C634" s="241"/>
      <c r="D634" s="241"/>
      <c r="E634" s="241"/>
      <c r="F634" s="241"/>
      <c r="G634" s="241"/>
      <c r="H634" s="241"/>
      <c r="I634" s="241"/>
      <c r="J634" s="241"/>
      <c r="K634" s="241"/>
      <c r="L634" s="236"/>
      <c r="M634" s="236"/>
    </row>
    <row r="635" spans="1:13" x14ac:dyDescent="0.2">
      <c r="A635" s="241"/>
      <c r="B635" s="375"/>
      <c r="C635" s="375"/>
      <c r="D635" s="375"/>
      <c r="E635" s="253"/>
      <c r="F635" s="375"/>
      <c r="G635" s="375"/>
      <c r="H635" s="375"/>
      <c r="I635" s="253"/>
      <c r="J635" s="375"/>
      <c r="K635" s="375"/>
      <c r="L635" s="375"/>
      <c r="M635" s="236"/>
    </row>
    <row r="636" spans="1:13" x14ac:dyDescent="0.2">
      <c r="A636" s="258"/>
      <c r="B636" s="259"/>
      <c r="C636" s="259"/>
      <c r="D636" s="259"/>
      <c r="E636" s="259"/>
      <c r="F636" s="259"/>
      <c r="G636" s="259"/>
      <c r="H636" s="259"/>
      <c r="I636" s="259"/>
      <c r="J636" s="259"/>
      <c r="K636" s="259"/>
      <c r="L636" s="259"/>
      <c r="M636" s="236"/>
    </row>
    <row r="637" spans="1:13" x14ac:dyDescent="0.2">
      <c r="A637" s="258"/>
      <c r="B637" s="259"/>
      <c r="C637" s="259"/>
      <c r="D637" s="259"/>
      <c r="E637" s="259"/>
      <c r="F637" s="259"/>
      <c r="G637" s="259"/>
      <c r="H637" s="259"/>
      <c r="I637" s="259"/>
      <c r="J637" s="259"/>
      <c r="K637" s="259"/>
      <c r="L637" s="259"/>
      <c r="M637" s="236"/>
    </row>
    <row r="638" spans="1:13" x14ac:dyDescent="0.2">
      <c r="A638" s="237"/>
      <c r="B638" s="302"/>
      <c r="C638" s="302"/>
      <c r="D638" s="302"/>
      <c r="E638" s="303"/>
      <c r="F638" s="302"/>
      <c r="G638" s="302"/>
      <c r="H638" s="302"/>
      <c r="I638" s="303"/>
      <c r="J638" s="302"/>
      <c r="K638" s="302"/>
      <c r="L638" s="302"/>
      <c r="M638" s="236"/>
    </row>
    <row r="639" spans="1:13" x14ac:dyDescent="0.2">
      <c r="A639" s="237"/>
      <c r="B639" s="302"/>
      <c r="C639" s="302"/>
      <c r="D639" s="302"/>
      <c r="E639" s="303"/>
      <c r="F639" s="302"/>
      <c r="G639" s="302"/>
      <c r="H639" s="302"/>
      <c r="I639" s="303"/>
      <c r="J639" s="302"/>
      <c r="K639" s="302"/>
      <c r="L639" s="302"/>
      <c r="M639" s="236"/>
    </row>
    <row r="640" spans="1:13" x14ac:dyDescent="0.2">
      <c r="A640" s="237"/>
      <c r="B640" s="302"/>
      <c r="C640" s="302"/>
      <c r="D640" s="302"/>
      <c r="E640" s="303"/>
      <c r="F640" s="302"/>
      <c r="G640" s="302"/>
      <c r="H640" s="302"/>
      <c r="I640" s="303"/>
      <c r="J640" s="302"/>
      <c r="K640" s="302"/>
      <c r="L640" s="302"/>
      <c r="M640" s="236"/>
    </row>
    <row r="641" spans="1:13" x14ac:dyDescent="0.2">
      <c r="A641" s="237"/>
      <c r="B641" s="302"/>
      <c r="C641" s="302"/>
      <c r="D641" s="302"/>
      <c r="E641" s="303"/>
      <c r="F641" s="302"/>
      <c r="G641" s="302"/>
      <c r="H641" s="302"/>
      <c r="I641" s="303"/>
      <c r="J641" s="302"/>
      <c r="K641" s="302"/>
      <c r="L641" s="302"/>
      <c r="M641" s="236"/>
    </row>
    <row r="642" spans="1:13" x14ac:dyDescent="0.2">
      <c r="A642" s="237"/>
      <c r="B642" s="302"/>
      <c r="C642" s="302"/>
      <c r="D642" s="302"/>
      <c r="E642" s="303"/>
      <c r="F642" s="302"/>
      <c r="G642" s="302"/>
      <c r="H642" s="302"/>
      <c r="I642" s="303"/>
      <c r="J642" s="302"/>
      <c r="K642" s="302"/>
      <c r="L642" s="302"/>
      <c r="M642" s="236"/>
    </row>
    <row r="643" spans="1:13" x14ac:dyDescent="0.2">
      <c r="A643" s="237"/>
      <c r="B643" s="302"/>
      <c r="C643" s="302"/>
      <c r="D643" s="302"/>
      <c r="E643" s="303"/>
      <c r="F643" s="302"/>
      <c r="G643" s="302"/>
      <c r="H643" s="302"/>
      <c r="I643" s="303"/>
      <c r="J643" s="302"/>
      <c r="K643" s="302"/>
      <c r="L643" s="302"/>
      <c r="M643" s="236"/>
    </row>
    <row r="644" spans="1:13" x14ac:dyDescent="0.2">
      <c r="A644" s="237"/>
      <c r="B644" s="302"/>
      <c r="C644" s="302"/>
      <c r="D644" s="302"/>
      <c r="E644" s="303"/>
      <c r="F644" s="302"/>
      <c r="G644" s="302"/>
      <c r="H644" s="302"/>
      <c r="I644" s="303"/>
      <c r="J644" s="302"/>
      <c r="K644" s="302"/>
      <c r="L644" s="302"/>
      <c r="M644" s="236"/>
    </row>
    <row r="645" spans="1:13" x14ac:dyDescent="0.2">
      <c r="A645" s="237"/>
      <c r="B645" s="302"/>
      <c r="C645" s="302"/>
      <c r="D645" s="302"/>
      <c r="E645" s="303"/>
      <c r="F645" s="302"/>
      <c r="G645" s="302"/>
      <c r="H645" s="302"/>
      <c r="I645" s="303"/>
      <c r="J645" s="302"/>
      <c r="K645" s="302"/>
      <c r="L645" s="302"/>
      <c r="M645" s="236"/>
    </row>
    <row r="646" spans="1:13" x14ac:dyDescent="0.2">
      <c r="A646" s="237"/>
      <c r="B646" s="302"/>
      <c r="C646" s="302"/>
      <c r="D646" s="302"/>
      <c r="E646" s="303"/>
      <c r="F646" s="302"/>
      <c r="G646" s="302"/>
      <c r="H646" s="302"/>
      <c r="I646" s="303"/>
      <c r="J646" s="302"/>
      <c r="K646" s="302"/>
      <c r="L646" s="302"/>
      <c r="M646" s="236"/>
    </row>
    <row r="647" spans="1:13" x14ac:dyDescent="0.2">
      <c r="A647" s="237"/>
      <c r="B647" s="302"/>
      <c r="C647" s="302"/>
      <c r="D647" s="302"/>
      <c r="E647" s="303"/>
      <c r="F647" s="302"/>
      <c r="G647" s="302"/>
      <c r="H647" s="302"/>
      <c r="I647" s="303"/>
      <c r="J647" s="302"/>
      <c r="K647" s="302"/>
      <c r="L647" s="302"/>
      <c r="M647" s="236"/>
    </row>
    <row r="648" spans="1:13" x14ac:dyDescent="0.2">
      <c r="A648" s="237"/>
      <c r="B648" s="303"/>
      <c r="C648" s="303"/>
      <c r="D648" s="303"/>
      <c r="E648" s="303"/>
      <c r="F648" s="303"/>
      <c r="G648" s="303"/>
      <c r="H648" s="303"/>
      <c r="I648" s="303"/>
      <c r="J648" s="303"/>
      <c r="K648" s="303"/>
      <c r="L648" s="303"/>
      <c r="M648" s="236"/>
    </row>
    <row r="649" spans="1:13" x14ac:dyDescent="0.2">
      <c r="A649" s="237"/>
      <c r="B649" s="237"/>
      <c r="C649" s="237"/>
      <c r="D649" s="237"/>
      <c r="E649" s="237"/>
      <c r="F649" s="237"/>
      <c r="G649" s="237"/>
      <c r="H649" s="237"/>
      <c r="I649" s="237"/>
      <c r="J649" s="237"/>
      <c r="K649" s="237"/>
      <c r="L649" s="240"/>
      <c r="M649" s="236"/>
    </row>
    <row r="650" spans="1:13" x14ac:dyDescent="0.2">
      <c r="A650" s="237"/>
      <c r="B650" s="237"/>
      <c r="C650" s="237"/>
      <c r="D650" s="237"/>
      <c r="E650" s="237"/>
      <c r="F650" s="237"/>
      <c r="G650" s="237"/>
      <c r="H650" s="237"/>
      <c r="I650" s="237"/>
      <c r="J650" s="237"/>
      <c r="K650" s="237"/>
      <c r="L650" s="284"/>
      <c r="M650" s="236"/>
    </row>
    <row r="651" spans="1:13" x14ac:dyDescent="0.2">
      <c r="A651" s="258"/>
      <c r="B651" s="241"/>
      <c r="C651" s="241"/>
      <c r="D651" s="241"/>
      <c r="E651" s="241"/>
      <c r="F651" s="241"/>
      <c r="G651" s="241"/>
      <c r="H651" s="241"/>
      <c r="I651" s="241"/>
      <c r="J651" s="241"/>
      <c r="K651" s="241"/>
      <c r="L651" s="236"/>
      <c r="M651" s="236"/>
    </row>
    <row r="652" spans="1:13" x14ac:dyDescent="0.2">
      <c r="A652" s="241"/>
      <c r="B652" s="375"/>
      <c r="C652" s="375"/>
      <c r="D652" s="375"/>
      <c r="E652" s="253"/>
      <c r="F652" s="375"/>
      <c r="G652" s="375"/>
      <c r="H652" s="375"/>
      <c r="I652" s="253"/>
      <c r="J652" s="375"/>
      <c r="K652" s="375"/>
      <c r="L652" s="375"/>
      <c r="M652" s="236"/>
    </row>
    <row r="653" spans="1:13" x14ac:dyDescent="0.2">
      <c r="A653" s="258"/>
      <c r="B653" s="259"/>
      <c r="C653" s="259"/>
      <c r="D653" s="259"/>
      <c r="E653" s="259"/>
      <c r="F653" s="259"/>
      <c r="G653" s="259"/>
      <c r="H653" s="259"/>
      <c r="I653" s="259"/>
      <c r="J653" s="259"/>
      <c r="K653" s="259"/>
      <c r="L653" s="259"/>
      <c r="M653" s="236"/>
    </row>
    <row r="654" spans="1:13" x14ac:dyDescent="0.2">
      <c r="A654" s="258"/>
      <c r="B654" s="259"/>
      <c r="C654" s="259"/>
      <c r="D654" s="259"/>
      <c r="E654" s="259"/>
      <c r="F654" s="259"/>
      <c r="G654" s="259"/>
      <c r="H654" s="259"/>
      <c r="I654" s="259"/>
      <c r="J654" s="259"/>
      <c r="K654" s="259"/>
      <c r="L654" s="259"/>
      <c r="M654" s="236"/>
    </row>
    <row r="655" spans="1:13" x14ac:dyDescent="0.2">
      <c r="A655" s="237"/>
      <c r="B655" s="302"/>
      <c r="C655" s="302"/>
      <c r="D655" s="302"/>
      <c r="E655" s="303"/>
      <c r="F655" s="302"/>
      <c r="G655" s="302"/>
      <c r="H655" s="302"/>
      <c r="I655" s="303"/>
      <c r="J655" s="302"/>
      <c r="K655" s="302"/>
      <c r="L655" s="302"/>
      <c r="M655" s="236"/>
    </row>
    <row r="656" spans="1:13" x14ac:dyDescent="0.2">
      <c r="A656" s="237"/>
      <c r="B656" s="302"/>
      <c r="C656" s="302"/>
      <c r="D656" s="302"/>
      <c r="E656" s="303"/>
      <c r="F656" s="302"/>
      <c r="G656" s="302"/>
      <c r="H656" s="302"/>
      <c r="I656" s="303"/>
      <c r="J656" s="302"/>
      <c r="K656" s="302"/>
      <c r="L656" s="302"/>
      <c r="M656" s="236"/>
    </row>
    <row r="657" spans="1:13" x14ac:dyDescent="0.2">
      <c r="A657" s="237"/>
      <c r="B657" s="302"/>
      <c r="C657" s="302"/>
      <c r="D657" s="302"/>
      <c r="E657" s="303"/>
      <c r="F657" s="302"/>
      <c r="G657" s="302"/>
      <c r="H657" s="302"/>
      <c r="I657" s="303"/>
      <c r="J657" s="302"/>
      <c r="K657" s="302"/>
      <c r="L657" s="302"/>
      <c r="M657" s="236"/>
    </row>
    <row r="658" spans="1:13" x14ac:dyDescent="0.2">
      <c r="A658" s="237"/>
      <c r="B658" s="302"/>
      <c r="C658" s="302"/>
      <c r="D658" s="302"/>
      <c r="E658" s="303"/>
      <c r="F658" s="302"/>
      <c r="G658" s="302"/>
      <c r="H658" s="302"/>
      <c r="I658" s="303"/>
      <c r="J658" s="302"/>
      <c r="K658" s="302"/>
      <c r="L658" s="302"/>
      <c r="M658" s="236"/>
    </row>
    <row r="659" spans="1:13" x14ac:dyDescent="0.2">
      <c r="A659" s="237"/>
      <c r="B659" s="302"/>
      <c r="C659" s="302"/>
      <c r="D659" s="302"/>
      <c r="E659" s="303"/>
      <c r="F659" s="302"/>
      <c r="G659" s="302"/>
      <c r="H659" s="302"/>
      <c r="I659" s="303"/>
      <c r="J659" s="302"/>
      <c r="K659" s="302"/>
      <c r="L659" s="302"/>
      <c r="M659" s="236"/>
    </row>
    <row r="660" spans="1:13" x14ac:dyDescent="0.2">
      <c r="A660" s="237"/>
      <c r="B660" s="302"/>
      <c r="C660" s="302"/>
      <c r="D660" s="302"/>
      <c r="E660" s="303"/>
      <c r="F660" s="302"/>
      <c r="G660" s="302"/>
      <c r="H660" s="302"/>
      <c r="I660" s="303"/>
      <c r="J660" s="302"/>
      <c r="K660" s="302"/>
      <c r="L660" s="302"/>
      <c r="M660" s="236"/>
    </row>
    <row r="661" spans="1:13" x14ac:dyDescent="0.2">
      <c r="A661" s="237"/>
      <c r="B661" s="302"/>
      <c r="C661" s="302"/>
      <c r="D661" s="302"/>
      <c r="E661" s="303"/>
      <c r="F661" s="302"/>
      <c r="G661" s="302"/>
      <c r="H661" s="302"/>
      <c r="I661" s="303"/>
      <c r="J661" s="302"/>
      <c r="K661" s="302"/>
      <c r="L661" s="302"/>
      <c r="M661" s="236"/>
    </row>
    <row r="662" spans="1:13" x14ac:dyDescent="0.2">
      <c r="A662" s="237"/>
      <c r="B662" s="302"/>
      <c r="C662" s="302"/>
      <c r="D662" s="302"/>
      <c r="E662" s="303"/>
      <c r="F662" s="302"/>
      <c r="G662" s="302"/>
      <c r="H662" s="302"/>
      <c r="I662" s="303"/>
      <c r="J662" s="302"/>
      <c r="K662" s="302"/>
      <c r="L662" s="302"/>
      <c r="M662" s="236"/>
    </row>
    <row r="663" spans="1:13" x14ac:dyDescent="0.2">
      <c r="A663" s="237"/>
      <c r="B663" s="302"/>
      <c r="C663" s="302"/>
      <c r="D663" s="302"/>
      <c r="E663" s="303"/>
      <c r="F663" s="302"/>
      <c r="G663" s="302"/>
      <c r="H663" s="302"/>
      <c r="I663" s="303"/>
      <c r="J663" s="302"/>
      <c r="K663" s="302"/>
      <c r="L663" s="302"/>
      <c r="M663" s="236"/>
    </row>
    <row r="664" spans="1:13" x14ac:dyDescent="0.2">
      <c r="A664" s="237"/>
      <c r="B664" s="302"/>
      <c r="C664" s="302"/>
      <c r="D664" s="302"/>
      <c r="E664" s="303"/>
      <c r="F664" s="302"/>
      <c r="G664" s="302"/>
      <c r="H664" s="302"/>
      <c r="I664" s="303"/>
      <c r="J664" s="302"/>
      <c r="K664" s="302"/>
      <c r="L664" s="302"/>
      <c r="M664" s="236"/>
    </row>
    <row r="665" spans="1:13" x14ac:dyDescent="0.2">
      <c r="A665" s="237"/>
      <c r="B665" s="303"/>
      <c r="C665" s="303"/>
      <c r="D665" s="303"/>
      <c r="E665" s="303"/>
      <c r="F665" s="303"/>
      <c r="G665" s="303"/>
      <c r="H665" s="303"/>
      <c r="I665" s="303"/>
      <c r="J665" s="303"/>
      <c r="K665" s="303"/>
      <c r="L665" s="303"/>
      <c r="M665" s="236"/>
    </row>
    <row r="666" spans="1:13" x14ac:dyDescent="0.2">
      <c r="A666" s="237"/>
      <c r="B666" s="237"/>
      <c r="C666" s="237"/>
      <c r="D666" s="237"/>
      <c r="E666" s="237"/>
      <c r="F666" s="237"/>
      <c r="G666" s="237"/>
      <c r="H666" s="237"/>
      <c r="I666" s="237"/>
      <c r="J666" s="237"/>
      <c r="K666" s="237"/>
      <c r="L666" s="240"/>
      <c r="M666" s="236"/>
    </row>
    <row r="667" spans="1:13" x14ac:dyDescent="0.2">
      <c r="A667" s="237"/>
      <c r="B667" s="237"/>
      <c r="C667" s="237"/>
      <c r="D667" s="237"/>
      <c r="E667" s="237"/>
      <c r="F667" s="237"/>
      <c r="G667" s="237"/>
      <c r="H667" s="237"/>
      <c r="I667" s="237"/>
      <c r="J667" s="237"/>
      <c r="K667" s="237"/>
      <c r="L667" s="284"/>
      <c r="M667" s="236"/>
    </row>
    <row r="668" spans="1:13" x14ac:dyDescent="0.2">
      <c r="A668" s="258"/>
      <c r="B668" s="241"/>
      <c r="C668" s="241"/>
      <c r="D668" s="241"/>
      <c r="E668" s="241"/>
      <c r="F668" s="241"/>
      <c r="G668" s="241"/>
      <c r="H668" s="241"/>
      <c r="I668" s="241"/>
      <c r="J668" s="241"/>
      <c r="K668" s="241"/>
      <c r="L668" s="236"/>
      <c r="M668" s="236"/>
    </row>
    <row r="669" spans="1:13" x14ac:dyDescent="0.2">
      <c r="A669" s="241"/>
      <c r="B669" s="375"/>
      <c r="C669" s="375"/>
      <c r="D669" s="375"/>
      <c r="E669" s="253"/>
      <c r="F669" s="375"/>
      <c r="G669" s="375"/>
      <c r="H669" s="375"/>
      <c r="I669" s="253"/>
      <c r="J669" s="375"/>
      <c r="K669" s="375"/>
      <c r="L669" s="375"/>
      <c r="M669" s="236"/>
    </row>
    <row r="670" spans="1:13" x14ac:dyDescent="0.2">
      <c r="A670" s="258"/>
      <c r="B670" s="259"/>
      <c r="C670" s="259"/>
      <c r="D670" s="259"/>
      <c r="E670" s="259"/>
      <c r="F670" s="259"/>
      <c r="G670" s="259"/>
      <c r="H670" s="259"/>
      <c r="I670" s="259"/>
      <c r="J670" s="259"/>
      <c r="K670" s="259"/>
      <c r="L670" s="259"/>
      <c r="M670" s="236"/>
    </row>
    <row r="671" spans="1:13" x14ac:dyDescent="0.2">
      <c r="A671" s="258"/>
      <c r="B671" s="259"/>
      <c r="C671" s="259"/>
      <c r="D671" s="259"/>
      <c r="E671" s="259"/>
      <c r="F671" s="259"/>
      <c r="G671" s="259"/>
      <c r="H671" s="259"/>
      <c r="I671" s="259"/>
      <c r="J671" s="259"/>
      <c r="K671" s="259"/>
      <c r="L671" s="259"/>
      <c r="M671" s="236"/>
    </row>
    <row r="672" spans="1:13" x14ac:dyDescent="0.2">
      <c r="A672" s="237"/>
      <c r="B672" s="302"/>
      <c r="C672" s="302"/>
      <c r="D672" s="302"/>
      <c r="E672" s="303"/>
      <c r="F672" s="302"/>
      <c r="G672" s="302"/>
      <c r="H672" s="302"/>
      <c r="I672" s="303"/>
      <c r="J672" s="302"/>
      <c r="K672" s="302"/>
      <c r="L672" s="302"/>
      <c r="M672" s="236"/>
    </row>
    <row r="673" spans="1:13" x14ac:dyDescent="0.2">
      <c r="A673" s="237"/>
      <c r="B673" s="302"/>
      <c r="C673" s="302"/>
      <c r="D673" s="302"/>
      <c r="E673" s="303"/>
      <c r="F673" s="302"/>
      <c r="G673" s="302"/>
      <c r="H673" s="302"/>
      <c r="I673" s="303"/>
      <c r="J673" s="302"/>
      <c r="K673" s="302"/>
      <c r="L673" s="302"/>
      <c r="M673" s="236"/>
    </row>
    <row r="674" spans="1:13" x14ac:dyDescent="0.2">
      <c r="A674" s="237"/>
      <c r="B674" s="302"/>
      <c r="C674" s="302"/>
      <c r="D674" s="302"/>
      <c r="E674" s="303"/>
      <c r="F674" s="302"/>
      <c r="G674" s="302"/>
      <c r="H674" s="302"/>
      <c r="I674" s="303"/>
      <c r="J674" s="302"/>
      <c r="K674" s="302"/>
      <c r="L674" s="302"/>
      <c r="M674" s="236"/>
    </row>
    <row r="675" spans="1:13" x14ac:dyDescent="0.2">
      <c r="A675" s="237"/>
      <c r="B675" s="302"/>
      <c r="C675" s="302"/>
      <c r="D675" s="302"/>
      <c r="E675" s="303"/>
      <c r="F675" s="302"/>
      <c r="G675" s="302"/>
      <c r="H675" s="302"/>
      <c r="I675" s="303"/>
      <c r="J675" s="302"/>
      <c r="K675" s="302"/>
      <c r="L675" s="302"/>
      <c r="M675" s="236"/>
    </row>
    <row r="676" spans="1:13" x14ac:dyDescent="0.2">
      <c r="A676" s="237"/>
      <c r="B676" s="302"/>
      <c r="C676" s="302"/>
      <c r="D676" s="302"/>
      <c r="E676" s="303"/>
      <c r="F676" s="302"/>
      <c r="G676" s="302"/>
      <c r="H676" s="302"/>
      <c r="I676" s="303"/>
      <c r="J676" s="302"/>
      <c r="K676" s="302"/>
      <c r="L676" s="302"/>
      <c r="M676" s="236"/>
    </row>
    <row r="677" spans="1:13" x14ac:dyDescent="0.2">
      <c r="A677" s="237"/>
      <c r="B677" s="302"/>
      <c r="C677" s="302"/>
      <c r="D677" s="302"/>
      <c r="E677" s="303"/>
      <c r="F677" s="302"/>
      <c r="G677" s="302"/>
      <c r="H677" s="302"/>
      <c r="I677" s="303"/>
      <c r="J677" s="302"/>
      <c r="K677" s="302"/>
      <c r="L677" s="302"/>
      <c r="M677" s="236"/>
    </row>
    <row r="678" spans="1:13" x14ac:dyDescent="0.2">
      <c r="A678" s="237"/>
      <c r="B678" s="302"/>
      <c r="C678" s="302"/>
      <c r="D678" s="302"/>
      <c r="E678" s="303"/>
      <c r="F678" s="302"/>
      <c r="G678" s="302"/>
      <c r="H678" s="302"/>
      <c r="I678" s="303"/>
      <c r="J678" s="302"/>
      <c r="K678" s="302"/>
      <c r="L678" s="302"/>
      <c r="M678" s="236"/>
    </row>
    <row r="679" spans="1:13" x14ac:dyDescent="0.2">
      <c r="A679" s="237"/>
      <c r="B679" s="302"/>
      <c r="C679" s="302"/>
      <c r="D679" s="302"/>
      <c r="E679" s="303"/>
      <c r="F679" s="302"/>
      <c r="G679" s="302"/>
      <c r="H679" s="302"/>
      <c r="I679" s="303"/>
      <c r="J679" s="302"/>
      <c r="K679" s="302"/>
      <c r="L679" s="302"/>
      <c r="M679" s="236"/>
    </row>
    <row r="680" spans="1:13" x14ac:dyDescent="0.2">
      <c r="A680" s="237"/>
      <c r="B680" s="302"/>
      <c r="C680" s="302"/>
      <c r="D680" s="302"/>
      <c r="E680" s="303"/>
      <c r="F680" s="302"/>
      <c r="G680" s="302"/>
      <c r="H680" s="302"/>
      <c r="I680" s="303"/>
      <c r="J680" s="302"/>
      <c r="K680" s="302"/>
      <c r="L680" s="302"/>
      <c r="M680" s="236"/>
    </row>
    <row r="681" spans="1:13" x14ac:dyDescent="0.2">
      <c r="A681" s="237"/>
      <c r="B681" s="302"/>
      <c r="C681" s="302"/>
      <c r="D681" s="302"/>
      <c r="E681" s="303"/>
      <c r="F681" s="302"/>
      <c r="G681" s="302"/>
      <c r="H681" s="302"/>
      <c r="I681" s="303"/>
      <c r="J681" s="302"/>
      <c r="K681" s="302"/>
      <c r="L681" s="302"/>
      <c r="M681" s="236"/>
    </row>
    <row r="682" spans="1:13" x14ac:dyDescent="0.2">
      <c r="A682" s="237"/>
      <c r="B682" s="303"/>
      <c r="C682" s="303"/>
      <c r="D682" s="303"/>
      <c r="E682" s="303"/>
      <c r="F682" s="303"/>
      <c r="G682" s="303"/>
      <c r="H682" s="303"/>
      <c r="I682" s="303"/>
      <c r="J682" s="303"/>
      <c r="K682" s="303"/>
      <c r="L682" s="303"/>
      <c r="M682" s="236"/>
    </row>
    <row r="683" spans="1:13" x14ac:dyDescent="0.2">
      <c r="A683" s="237"/>
      <c r="B683" s="237"/>
      <c r="C683" s="237"/>
      <c r="D683" s="237"/>
      <c r="E683" s="237"/>
      <c r="F683" s="237"/>
      <c r="G683" s="237"/>
      <c r="H683" s="237"/>
      <c r="I683" s="237"/>
      <c r="J683" s="237"/>
      <c r="K683" s="237"/>
      <c r="L683" s="240"/>
      <c r="M683" s="236"/>
    </row>
    <row r="684" spans="1:13" x14ac:dyDescent="0.2">
      <c r="A684" s="237"/>
      <c r="B684" s="237"/>
      <c r="C684" s="237"/>
      <c r="D684" s="237"/>
      <c r="E684" s="237"/>
      <c r="F684" s="237"/>
      <c r="G684" s="237"/>
      <c r="H684" s="237"/>
      <c r="I684" s="237"/>
      <c r="J684" s="237"/>
      <c r="K684" s="237"/>
      <c r="L684" s="284"/>
      <c r="M684" s="236"/>
    </row>
    <row r="685" spans="1:13" x14ac:dyDescent="0.2">
      <c r="A685" s="258"/>
      <c r="B685" s="241"/>
      <c r="C685" s="241"/>
      <c r="D685" s="241"/>
      <c r="E685" s="241"/>
      <c r="F685" s="241"/>
      <c r="G685" s="241"/>
      <c r="H685" s="241"/>
      <c r="I685" s="241"/>
      <c r="J685" s="241"/>
      <c r="K685" s="241"/>
      <c r="L685" s="236"/>
      <c r="M685" s="236"/>
    </row>
    <row r="686" spans="1:13" x14ac:dyDescent="0.2">
      <c r="A686" s="241"/>
      <c r="B686" s="375"/>
      <c r="C686" s="375"/>
      <c r="D686" s="375"/>
      <c r="E686" s="253"/>
      <c r="F686" s="375"/>
      <c r="G686" s="375"/>
      <c r="H686" s="375"/>
      <c r="I686" s="253"/>
      <c r="J686" s="375"/>
      <c r="K686" s="375"/>
      <c r="L686" s="375"/>
      <c r="M686" s="236"/>
    </row>
    <row r="687" spans="1:13" x14ac:dyDescent="0.2">
      <c r="A687" s="258"/>
      <c r="B687" s="259"/>
      <c r="C687" s="259"/>
      <c r="D687" s="259"/>
      <c r="E687" s="259"/>
      <c r="F687" s="259"/>
      <c r="G687" s="259"/>
      <c r="H687" s="259"/>
      <c r="I687" s="259"/>
      <c r="J687" s="259"/>
      <c r="K687" s="259"/>
      <c r="L687" s="259"/>
      <c r="M687" s="236"/>
    </row>
    <row r="688" spans="1:13" x14ac:dyDescent="0.2">
      <c r="A688" s="258"/>
      <c r="B688" s="259"/>
      <c r="C688" s="259"/>
      <c r="D688" s="259"/>
      <c r="E688" s="259"/>
      <c r="F688" s="259"/>
      <c r="G688" s="259"/>
      <c r="H688" s="259"/>
      <c r="I688" s="259"/>
      <c r="J688" s="259"/>
      <c r="K688" s="259"/>
      <c r="L688" s="259"/>
      <c r="M688" s="236"/>
    </row>
    <row r="689" spans="1:13" x14ac:dyDescent="0.2">
      <c r="A689" s="237"/>
      <c r="B689" s="302"/>
      <c r="C689" s="302"/>
      <c r="D689" s="302"/>
      <c r="E689" s="303"/>
      <c r="F689" s="302"/>
      <c r="G689" s="302"/>
      <c r="H689" s="302"/>
      <c r="I689" s="303"/>
      <c r="J689" s="302"/>
      <c r="K689" s="302"/>
      <c r="L689" s="302"/>
      <c r="M689" s="236"/>
    </row>
    <row r="690" spans="1:13" x14ac:dyDescent="0.2">
      <c r="A690" s="237"/>
      <c r="B690" s="302"/>
      <c r="C690" s="302"/>
      <c r="D690" s="302"/>
      <c r="E690" s="303"/>
      <c r="F690" s="302"/>
      <c r="G690" s="302"/>
      <c r="H690" s="302"/>
      <c r="I690" s="303"/>
      <c r="J690" s="302"/>
      <c r="K690" s="302"/>
      <c r="L690" s="302"/>
      <c r="M690" s="236"/>
    </row>
    <row r="691" spans="1:13" x14ac:dyDescent="0.2">
      <c r="A691" s="237"/>
      <c r="B691" s="302"/>
      <c r="C691" s="302"/>
      <c r="D691" s="302"/>
      <c r="E691" s="303"/>
      <c r="F691" s="302"/>
      <c r="G691" s="302"/>
      <c r="H691" s="302"/>
      <c r="I691" s="303"/>
      <c r="J691" s="302"/>
      <c r="K691" s="302"/>
      <c r="L691" s="302"/>
      <c r="M691" s="236"/>
    </row>
    <row r="692" spans="1:13" x14ac:dyDescent="0.2">
      <c r="A692" s="237"/>
      <c r="B692" s="302"/>
      <c r="C692" s="302"/>
      <c r="D692" s="302"/>
      <c r="E692" s="303"/>
      <c r="F692" s="302"/>
      <c r="G692" s="302"/>
      <c r="H692" s="302"/>
      <c r="I692" s="303"/>
      <c r="J692" s="302"/>
      <c r="K692" s="302"/>
      <c r="L692" s="302"/>
      <c r="M692" s="236"/>
    </row>
    <row r="693" spans="1:13" x14ac:dyDescent="0.2">
      <c r="A693" s="237"/>
      <c r="B693" s="302"/>
      <c r="C693" s="302"/>
      <c r="D693" s="302"/>
      <c r="E693" s="303"/>
      <c r="F693" s="302"/>
      <c r="G693" s="302"/>
      <c r="H693" s="302"/>
      <c r="I693" s="303"/>
      <c r="J693" s="302"/>
      <c r="K693" s="302"/>
      <c r="L693" s="302"/>
      <c r="M693" s="236"/>
    </row>
    <row r="694" spans="1:13" x14ac:dyDescent="0.2">
      <c r="A694" s="237"/>
      <c r="B694" s="302"/>
      <c r="C694" s="302"/>
      <c r="D694" s="302"/>
      <c r="E694" s="303"/>
      <c r="F694" s="302"/>
      <c r="G694" s="302"/>
      <c r="H694" s="302"/>
      <c r="I694" s="303"/>
      <c r="J694" s="302"/>
      <c r="K694" s="302"/>
      <c r="L694" s="302"/>
      <c r="M694" s="236"/>
    </row>
    <row r="695" spans="1:13" x14ac:dyDescent="0.2">
      <c r="A695" s="237"/>
      <c r="B695" s="302"/>
      <c r="C695" s="302"/>
      <c r="D695" s="302"/>
      <c r="E695" s="303"/>
      <c r="F695" s="302"/>
      <c r="G695" s="302"/>
      <c r="H695" s="302"/>
      <c r="I695" s="303"/>
      <c r="J695" s="302"/>
      <c r="K695" s="302"/>
      <c r="L695" s="302"/>
      <c r="M695" s="236"/>
    </row>
    <row r="696" spans="1:13" x14ac:dyDescent="0.2">
      <c r="A696" s="237"/>
      <c r="B696" s="302"/>
      <c r="C696" s="302"/>
      <c r="D696" s="302"/>
      <c r="E696" s="303"/>
      <c r="F696" s="302"/>
      <c r="G696" s="302"/>
      <c r="H696" s="302"/>
      <c r="I696" s="303"/>
      <c r="J696" s="302"/>
      <c r="K696" s="302"/>
      <c r="L696" s="302"/>
      <c r="M696" s="236"/>
    </row>
    <row r="697" spans="1:13" x14ac:dyDescent="0.2">
      <c r="A697" s="237"/>
      <c r="B697" s="302"/>
      <c r="C697" s="302"/>
      <c r="D697" s="302"/>
      <c r="E697" s="303"/>
      <c r="F697" s="302"/>
      <c r="G697" s="302"/>
      <c r="H697" s="302"/>
      <c r="I697" s="303"/>
      <c r="J697" s="302"/>
      <c r="K697" s="302"/>
      <c r="L697" s="302"/>
      <c r="M697" s="236"/>
    </row>
    <row r="698" spans="1:13" x14ac:dyDescent="0.2">
      <c r="A698" s="237"/>
      <c r="B698" s="302"/>
      <c r="C698" s="302"/>
      <c r="D698" s="302"/>
      <c r="E698" s="303"/>
      <c r="F698" s="302"/>
      <c r="G698" s="302"/>
      <c r="H698" s="302"/>
      <c r="I698" s="303"/>
      <c r="J698" s="302"/>
      <c r="K698" s="302"/>
      <c r="L698" s="302"/>
      <c r="M698" s="236"/>
    </row>
    <row r="699" spans="1:13" x14ac:dyDescent="0.2">
      <c r="A699" s="237"/>
      <c r="B699" s="303"/>
      <c r="C699" s="303"/>
      <c r="D699" s="303"/>
      <c r="E699" s="303"/>
      <c r="F699" s="303"/>
      <c r="G699" s="303"/>
      <c r="H699" s="303"/>
      <c r="I699" s="303"/>
      <c r="J699" s="303"/>
      <c r="K699" s="303"/>
      <c r="L699" s="303"/>
      <c r="M699" s="236"/>
    </row>
    <row r="700" spans="1:13" x14ac:dyDescent="0.2">
      <c r="A700" s="237"/>
      <c r="B700" s="237"/>
      <c r="C700" s="237"/>
      <c r="D700" s="237"/>
      <c r="E700" s="237"/>
      <c r="F700" s="237"/>
      <c r="G700" s="237"/>
      <c r="H700" s="237"/>
      <c r="I700" s="237"/>
      <c r="J700" s="237"/>
      <c r="K700" s="237"/>
      <c r="L700" s="240"/>
      <c r="M700" s="236"/>
    </row>
    <row r="701" spans="1:13" x14ac:dyDescent="0.2">
      <c r="A701" s="237"/>
      <c r="B701" s="237"/>
      <c r="C701" s="237"/>
      <c r="D701" s="237"/>
      <c r="E701" s="237"/>
      <c r="F701" s="237"/>
      <c r="G701" s="237"/>
      <c r="H701" s="237"/>
      <c r="I701" s="237"/>
      <c r="J701" s="237"/>
      <c r="K701" s="237"/>
      <c r="L701" s="284"/>
      <c r="M701" s="236"/>
    </row>
    <row r="702" spans="1:13" x14ac:dyDescent="0.2">
      <c r="A702" s="258"/>
      <c r="B702" s="241"/>
      <c r="C702" s="241"/>
      <c r="D702" s="241"/>
      <c r="E702" s="241"/>
      <c r="F702" s="241"/>
      <c r="G702" s="241"/>
      <c r="H702" s="241"/>
      <c r="I702" s="241"/>
      <c r="J702" s="241"/>
      <c r="K702" s="241"/>
      <c r="L702" s="236"/>
      <c r="M702" s="236"/>
    </row>
    <row r="703" spans="1:13" x14ac:dyDescent="0.2">
      <c r="A703" s="241"/>
      <c r="B703" s="375"/>
      <c r="C703" s="375"/>
      <c r="D703" s="375"/>
      <c r="E703" s="253"/>
      <c r="F703" s="375"/>
      <c r="G703" s="375"/>
      <c r="H703" s="375"/>
      <c r="I703" s="253"/>
      <c r="J703" s="375"/>
      <c r="K703" s="375"/>
      <c r="L703" s="375"/>
      <c r="M703" s="236"/>
    </row>
    <row r="704" spans="1:13" x14ac:dyDescent="0.2">
      <c r="A704" s="258"/>
      <c r="B704" s="259"/>
      <c r="C704" s="259"/>
      <c r="D704" s="259"/>
      <c r="E704" s="259"/>
      <c r="F704" s="259"/>
      <c r="G704" s="259"/>
      <c r="H704" s="259"/>
      <c r="I704" s="259"/>
      <c r="J704" s="259"/>
      <c r="K704" s="259"/>
      <c r="L704" s="259"/>
      <c r="M704" s="236"/>
    </row>
    <row r="705" spans="1:13" x14ac:dyDescent="0.2">
      <c r="A705" s="258"/>
      <c r="B705" s="259"/>
      <c r="C705" s="259"/>
      <c r="D705" s="259"/>
      <c r="E705" s="259"/>
      <c r="F705" s="259"/>
      <c r="G705" s="259"/>
      <c r="H705" s="259"/>
      <c r="I705" s="259"/>
      <c r="J705" s="259"/>
      <c r="K705" s="259"/>
      <c r="L705" s="259"/>
      <c r="M705" s="236"/>
    </row>
    <row r="706" spans="1:13" x14ac:dyDescent="0.2">
      <c r="A706" s="237"/>
      <c r="B706" s="302"/>
      <c r="C706" s="302"/>
      <c r="D706" s="302"/>
      <c r="E706" s="303"/>
      <c r="F706" s="302"/>
      <c r="G706" s="302"/>
      <c r="H706" s="302"/>
      <c r="I706" s="303"/>
      <c r="J706" s="302"/>
      <c r="K706" s="302"/>
      <c r="L706" s="302"/>
      <c r="M706" s="236"/>
    </row>
    <row r="707" spans="1:13" x14ac:dyDescent="0.2">
      <c r="A707" s="237"/>
      <c r="B707" s="302"/>
      <c r="C707" s="302"/>
      <c r="D707" s="302"/>
      <c r="E707" s="303"/>
      <c r="F707" s="302"/>
      <c r="G707" s="302"/>
      <c r="H707" s="302"/>
      <c r="I707" s="303"/>
      <c r="J707" s="302"/>
      <c r="K707" s="302"/>
      <c r="L707" s="302"/>
      <c r="M707" s="236"/>
    </row>
    <row r="708" spans="1:13" x14ac:dyDescent="0.2">
      <c r="A708" s="237"/>
      <c r="B708" s="302"/>
      <c r="C708" s="302"/>
      <c r="D708" s="302"/>
      <c r="E708" s="303"/>
      <c r="F708" s="302"/>
      <c r="G708" s="302"/>
      <c r="H708" s="302"/>
      <c r="I708" s="303"/>
      <c r="J708" s="302"/>
      <c r="K708" s="302"/>
      <c r="L708" s="302"/>
      <c r="M708" s="236"/>
    </row>
    <row r="709" spans="1:13" x14ac:dyDescent="0.2">
      <c r="A709" s="237"/>
      <c r="B709" s="302"/>
      <c r="C709" s="302"/>
      <c r="D709" s="302"/>
      <c r="E709" s="303"/>
      <c r="F709" s="302"/>
      <c r="G709" s="302"/>
      <c r="H709" s="302"/>
      <c r="I709" s="303"/>
      <c r="J709" s="302"/>
      <c r="K709" s="302"/>
      <c r="L709" s="302"/>
      <c r="M709" s="236"/>
    </row>
    <row r="710" spans="1:13" x14ac:dyDescent="0.2">
      <c r="A710" s="237"/>
      <c r="B710" s="302"/>
      <c r="C710" s="302"/>
      <c r="D710" s="302"/>
      <c r="E710" s="303"/>
      <c r="F710" s="302"/>
      <c r="G710" s="302"/>
      <c r="H710" s="302"/>
      <c r="I710" s="303"/>
      <c r="J710" s="302"/>
      <c r="K710" s="302"/>
      <c r="L710" s="302"/>
      <c r="M710" s="236"/>
    </row>
    <row r="711" spans="1:13" x14ac:dyDescent="0.2">
      <c r="A711" s="237"/>
      <c r="B711" s="302"/>
      <c r="C711" s="302"/>
      <c r="D711" s="302"/>
      <c r="E711" s="303"/>
      <c r="F711" s="302"/>
      <c r="G711" s="302"/>
      <c r="H711" s="302"/>
      <c r="I711" s="303"/>
      <c r="J711" s="302"/>
      <c r="K711" s="302"/>
      <c r="L711" s="302"/>
      <c r="M711" s="236"/>
    </row>
    <row r="712" spans="1:13" x14ac:dyDescent="0.2">
      <c r="A712" s="237"/>
      <c r="B712" s="302"/>
      <c r="C712" s="302"/>
      <c r="D712" s="302"/>
      <c r="E712" s="303"/>
      <c r="F712" s="302"/>
      <c r="G712" s="302"/>
      <c r="H712" s="302"/>
      <c r="I712" s="303"/>
      <c r="J712" s="302"/>
      <c r="K712" s="302"/>
      <c r="L712" s="302"/>
      <c r="M712" s="236"/>
    </row>
    <row r="713" spans="1:13" x14ac:dyDescent="0.2">
      <c r="A713" s="237"/>
      <c r="B713" s="302"/>
      <c r="C713" s="302"/>
      <c r="D713" s="302"/>
      <c r="E713" s="303"/>
      <c r="F713" s="302"/>
      <c r="G713" s="302"/>
      <c r="H713" s="302"/>
      <c r="I713" s="303"/>
      <c r="J713" s="302"/>
      <c r="K713" s="302"/>
      <c r="L713" s="302"/>
      <c r="M713" s="236"/>
    </row>
    <row r="714" spans="1:13" x14ac:dyDescent="0.2">
      <c r="A714" s="237"/>
      <c r="B714" s="302"/>
      <c r="C714" s="302"/>
      <c r="D714" s="302"/>
      <c r="E714" s="303"/>
      <c r="F714" s="302"/>
      <c r="G714" s="302"/>
      <c r="H714" s="302"/>
      <c r="I714" s="303"/>
      <c r="J714" s="302"/>
      <c r="K714" s="302"/>
      <c r="L714" s="302"/>
      <c r="M714" s="236"/>
    </row>
    <row r="715" spans="1:13" x14ac:dyDescent="0.2">
      <c r="A715" s="237"/>
      <c r="B715" s="302"/>
      <c r="C715" s="302"/>
      <c r="D715" s="302"/>
      <c r="E715" s="303"/>
      <c r="F715" s="302"/>
      <c r="G715" s="302"/>
      <c r="H715" s="302"/>
      <c r="I715" s="303"/>
      <c r="J715" s="302"/>
      <c r="K715" s="302"/>
      <c r="L715" s="302"/>
      <c r="M715" s="236"/>
    </row>
    <row r="716" spans="1:13" x14ac:dyDescent="0.2">
      <c r="A716" s="237"/>
      <c r="B716" s="303"/>
      <c r="C716" s="303"/>
      <c r="D716" s="303"/>
      <c r="E716" s="303"/>
      <c r="F716" s="303"/>
      <c r="G716" s="303"/>
      <c r="H716" s="303"/>
      <c r="I716" s="303"/>
      <c r="J716" s="303"/>
      <c r="K716" s="303"/>
      <c r="L716" s="303"/>
      <c r="M716" s="236"/>
    </row>
    <row r="717" spans="1:13" x14ac:dyDescent="0.2">
      <c r="A717" s="237"/>
      <c r="B717" s="237"/>
      <c r="C717" s="237"/>
      <c r="D717" s="237"/>
      <c r="E717" s="237"/>
      <c r="F717" s="237"/>
      <c r="G717" s="237"/>
      <c r="H717" s="237"/>
      <c r="I717" s="237"/>
      <c r="J717" s="237"/>
      <c r="K717" s="237"/>
      <c r="L717" s="240"/>
      <c r="M717" s="236"/>
    </row>
    <row r="718" spans="1:13" x14ac:dyDescent="0.2">
      <c r="A718" s="237"/>
      <c r="B718" s="237"/>
      <c r="C718" s="237"/>
      <c r="D718" s="237"/>
      <c r="E718" s="237"/>
      <c r="F718" s="237"/>
      <c r="G718" s="237"/>
      <c r="H718" s="237"/>
      <c r="I718" s="237"/>
      <c r="J718" s="237"/>
      <c r="K718" s="237"/>
      <c r="L718" s="284"/>
      <c r="M718" s="236"/>
    </row>
    <row r="719" spans="1:13" x14ac:dyDescent="0.2">
      <c r="A719" s="258"/>
      <c r="B719" s="241"/>
      <c r="C719" s="241"/>
      <c r="D719" s="241"/>
      <c r="E719" s="241"/>
      <c r="F719" s="241"/>
      <c r="G719" s="241"/>
      <c r="H719" s="241"/>
      <c r="I719" s="241"/>
      <c r="J719" s="241"/>
      <c r="K719" s="241"/>
      <c r="L719" s="236"/>
      <c r="M719" s="236"/>
    </row>
    <row r="720" spans="1:13" x14ac:dyDescent="0.2">
      <c r="A720" s="241"/>
      <c r="B720" s="375"/>
      <c r="C720" s="375"/>
      <c r="D720" s="375"/>
      <c r="E720" s="253"/>
      <c r="F720" s="375"/>
      <c r="G720" s="375"/>
      <c r="H720" s="375"/>
      <c r="I720" s="253"/>
      <c r="J720" s="375"/>
      <c r="K720" s="375"/>
      <c r="L720" s="375"/>
      <c r="M720" s="236"/>
    </row>
    <row r="721" spans="1:13" x14ac:dyDescent="0.2">
      <c r="A721" s="258"/>
      <c r="B721" s="259"/>
      <c r="C721" s="259"/>
      <c r="D721" s="259"/>
      <c r="E721" s="259"/>
      <c r="F721" s="259"/>
      <c r="G721" s="259"/>
      <c r="H721" s="259"/>
      <c r="I721" s="259"/>
      <c r="J721" s="259"/>
      <c r="K721" s="259"/>
      <c r="L721" s="259"/>
      <c r="M721" s="236"/>
    </row>
    <row r="722" spans="1:13" x14ac:dyDescent="0.2">
      <c r="A722" s="258"/>
      <c r="B722" s="259"/>
      <c r="C722" s="259"/>
      <c r="D722" s="259"/>
      <c r="E722" s="259"/>
      <c r="F722" s="259"/>
      <c r="G722" s="259"/>
      <c r="H722" s="259"/>
      <c r="I722" s="259"/>
      <c r="J722" s="259"/>
      <c r="K722" s="259"/>
      <c r="L722" s="259"/>
      <c r="M722" s="236"/>
    </row>
    <row r="723" spans="1:13" x14ac:dyDescent="0.2">
      <c r="A723" s="237"/>
      <c r="B723" s="302"/>
      <c r="C723" s="302"/>
      <c r="D723" s="302"/>
      <c r="E723" s="303"/>
      <c r="F723" s="302"/>
      <c r="G723" s="302"/>
      <c r="H723" s="302"/>
      <c r="I723" s="303"/>
      <c r="J723" s="302"/>
      <c r="K723" s="302"/>
      <c r="L723" s="302"/>
      <c r="M723" s="236"/>
    </row>
    <row r="724" spans="1:13" x14ac:dyDescent="0.2">
      <c r="A724" s="237"/>
      <c r="B724" s="302"/>
      <c r="C724" s="302"/>
      <c r="D724" s="302"/>
      <c r="E724" s="303"/>
      <c r="F724" s="302"/>
      <c r="G724" s="302"/>
      <c r="H724" s="302"/>
      <c r="I724" s="303"/>
      <c r="J724" s="302"/>
      <c r="K724" s="302"/>
      <c r="L724" s="302"/>
      <c r="M724" s="236"/>
    </row>
    <row r="725" spans="1:13" x14ac:dyDescent="0.2">
      <c r="A725" s="237"/>
      <c r="B725" s="302"/>
      <c r="C725" s="302"/>
      <c r="D725" s="302"/>
      <c r="E725" s="303"/>
      <c r="F725" s="302"/>
      <c r="G725" s="302"/>
      <c r="H725" s="302"/>
      <c r="I725" s="303"/>
      <c r="J725" s="302"/>
      <c r="K725" s="302"/>
      <c r="L725" s="302"/>
      <c r="M725" s="236"/>
    </row>
    <row r="726" spans="1:13" x14ac:dyDescent="0.2">
      <c r="A726" s="237"/>
      <c r="B726" s="302"/>
      <c r="C726" s="302"/>
      <c r="D726" s="302"/>
      <c r="E726" s="303"/>
      <c r="F726" s="302"/>
      <c r="G726" s="302"/>
      <c r="H726" s="302"/>
      <c r="I726" s="303"/>
      <c r="J726" s="302"/>
      <c r="K726" s="302"/>
      <c r="L726" s="302"/>
      <c r="M726" s="236"/>
    </row>
    <row r="727" spans="1:13" x14ac:dyDescent="0.2">
      <c r="A727" s="237"/>
      <c r="B727" s="302"/>
      <c r="C727" s="302"/>
      <c r="D727" s="302"/>
      <c r="E727" s="303"/>
      <c r="F727" s="302"/>
      <c r="G727" s="302"/>
      <c r="H727" s="302"/>
      <c r="I727" s="303"/>
      <c r="J727" s="302"/>
      <c r="K727" s="302"/>
      <c r="L727" s="302"/>
      <c r="M727" s="236"/>
    </row>
    <row r="728" spans="1:13" x14ac:dyDescent="0.2">
      <c r="A728" s="237"/>
      <c r="B728" s="302"/>
      <c r="C728" s="302"/>
      <c r="D728" s="302"/>
      <c r="E728" s="303"/>
      <c r="F728" s="302"/>
      <c r="G728" s="302"/>
      <c r="H728" s="302"/>
      <c r="I728" s="303"/>
      <c r="J728" s="302"/>
      <c r="K728" s="302"/>
      <c r="L728" s="302"/>
      <c r="M728" s="236"/>
    </row>
    <row r="729" spans="1:13" x14ac:dyDescent="0.2">
      <c r="A729" s="237"/>
      <c r="B729" s="302"/>
      <c r="C729" s="302"/>
      <c r="D729" s="302"/>
      <c r="E729" s="303"/>
      <c r="F729" s="302"/>
      <c r="G729" s="302"/>
      <c r="H729" s="302"/>
      <c r="I729" s="303"/>
      <c r="J729" s="302"/>
      <c r="K729" s="302"/>
      <c r="L729" s="302"/>
      <c r="M729" s="236"/>
    </row>
    <row r="730" spans="1:13" x14ac:dyDescent="0.2">
      <c r="A730" s="237"/>
      <c r="B730" s="302"/>
      <c r="C730" s="302"/>
      <c r="D730" s="302"/>
      <c r="E730" s="303"/>
      <c r="F730" s="302"/>
      <c r="G730" s="302"/>
      <c r="H730" s="302"/>
      <c r="I730" s="303"/>
      <c r="J730" s="302"/>
      <c r="K730" s="302"/>
      <c r="L730" s="302"/>
      <c r="M730" s="236"/>
    </row>
    <row r="731" spans="1:13" x14ac:dyDescent="0.2">
      <c r="A731" s="237"/>
      <c r="B731" s="302"/>
      <c r="C731" s="302"/>
      <c r="D731" s="302"/>
      <c r="E731" s="303"/>
      <c r="F731" s="302"/>
      <c r="G731" s="302"/>
      <c r="H731" s="302"/>
      <c r="I731" s="303"/>
      <c r="J731" s="302"/>
      <c r="K731" s="302"/>
      <c r="L731" s="302"/>
      <c r="M731" s="236"/>
    </row>
    <row r="732" spans="1:13" x14ac:dyDescent="0.2">
      <c r="A732" s="237"/>
      <c r="B732" s="302"/>
      <c r="C732" s="302"/>
      <c r="D732" s="302"/>
      <c r="E732" s="303"/>
      <c r="F732" s="302"/>
      <c r="G732" s="302"/>
      <c r="H732" s="302"/>
      <c r="I732" s="303"/>
      <c r="J732" s="302"/>
      <c r="K732" s="302"/>
      <c r="L732" s="302"/>
      <c r="M732" s="236"/>
    </row>
    <row r="733" spans="1:13" x14ac:dyDescent="0.2">
      <c r="A733" s="237"/>
      <c r="B733" s="303"/>
      <c r="C733" s="303"/>
      <c r="D733" s="303"/>
      <c r="E733" s="303"/>
      <c r="F733" s="303"/>
      <c r="G733" s="303"/>
      <c r="H733" s="303"/>
      <c r="I733" s="303"/>
      <c r="J733" s="303"/>
      <c r="K733" s="303"/>
      <c r="L733" s="303"/>
      <c r="M733" s="236"/>
    </row>
    <row r="734" spans="1:13" x14ac:dyDescent="0.2">
      <c r="A734" s="237"/>
      <c r="B734" s="237"/>
      <c r="C734" s="237"/>
      <c r="D734" s="237"/>
      <c r="E734" s="237"/>
      <c r="F734" s="237"/>
      <c r="G734" s="237"/>
      <c r="H734" s="237"/>
      <c r="I734" s="237"/>
      <c r="J734" s="237"/>
      <c r="K734" s="237"/>
      <c r="L734" s="240"/>
      <c r="M734" s="236"/>
    </row>
    <row r="735" spans="1:13" x14ac:dyDescent="0.2">
      <c r="A735" s="237"/>
      <c r="B735" s="237"/>
      <c r="C735" s="237"/>
      <c r="D735" s="237"/>
      <c r="E735" s="237"/>
      <c r="F735" s="237"/>
      <c r="G735" s="237"/>
      <c r="H735" s="237"/>
      <c r="I735" s="237"/>
      <c r="J735" s="237"/>
      <c r="K735" s="237"/>
      <c r="L735" s="284"/>
      <c r="M735" s="236"/>
    </row>
    <row r="736" spans="1:13" x14ac:dyDescent="0.2">
      <c r="A736" s="258"/>
      <c r="B736" s="241"/>
      <c r="C736" s="241"/>
      <c r="D736" s="241"/>
      <c r="E736" s="241"/>
      <c r="F736" s="241"/>
      <c r="G736" s="241"/>
      <c r="H736" s="241"/>
      <c r="I736" s="241"/>
      <c r="J736" s="241"/>
      <c r="K736" s="241"/>
      <c r="L736" s="236"/>
      <c r="M736" s="236"/>
    </row>
    <row r="737" spans="1:13" x14ac:dyDescent="0.2">
      <c r="A737" s="241"/>
      <c r="B737" s="375"/>
      <c r="C737" s="375"/>
      <c r="D737" s="375"/>
      <c r="E737" s="253"/>
      <c r="F737" s="375"/>
      <c r="G737" s="375"/>
      <c r="H737" s="375"/>
      <c r="I737" s="253"/>
      <c r="J737" s="375"/>
      <c r="K737" s="375"/>
      <c r="L737" s="375"/>
      <c r="M737" s="236"/>
    </row>
    <row r="738" spans="1:13" x14ac:dyDescent="0.2">
      <c r="A738" s="258"/>
      <c r="B738" s="259"/>
      <c r="C738" s="259"/>
      <c r="D738" s="259"/>
      <c r="E738" s="259"/>
      <c r="F738" s="259"/>
      <c r="G738" s="259"/>
      <c r="H738" s="259"/>
      <c r="I738" s="259"/>
      <c r="J738" s="259"/>
      <c r="K738" s="259"/>
      <c r="L738" s="259"/>
      <c r="M738" s="236"/>
    </row>
    <row r="739" spans="1:13" x14ac:dyDescent="0.2">
      <c r="A739" s="258"/>
      <c r="B739" s="259"/>
      <c r="C739" s="259"/>
      <c r="D739" s="259"/>
      <c r="E739" s="259"/>
      <c r="F739" s="259"/>
      <c r="G739" s="259"/>
      <c r="H739" s="259"/>
      <c r="I739" s="259"/>
      <c r="J739" s="259"/>
      <c r="K739" s="259"/>
      <c r="L739" s="259"/>
      <c r="M739" s="236"/>
    </row>
    <row r="740" spans="1:13" x14ac:dyDescent="0.2">
      <c r="A740" s="237"/>
      <c r="B740" s="302"/>
      <c r="C740" s="302"/>
      <c r="D740" s="302"/>
      <c r="E740" s="303"/>
      <c r="F740" s="302"/>
      <c r="G740" s="302"/>
      <c r="H740" s="302"/>
      <c r="I740" s="303"/>
      <c r="J740" s="302"/>
      <c r="K740" s="302"/>
      <c r="L740" s="302"/>
      <c r="M740" s="236"/>
    </row>
    <row r="741" spans="1:13" x14ac:dyDescent="0.2">
      <c r="A741" s="237"/>
      <c r="B741" s="302"/>
      <c r="C741" s="302"/>
      <c r="D741" s="302"/>
      <c r="E741" s="303"/>
      <c r="F741" s="302"/>
      <c r="G741" s="302"/>
      <c r="H741" s="302"/>
      <c r="I741" s="303"/>
      <c r="J741" s="302"/>
      <c r="K741" s="302"/>
      <c r="L741" s="302"/>
      <c r="M741" s="236"/>
    </row>
    <row r="742" spans="1:13" x14ac:dyDescent="0.2">
      <c r="A742" s="237"/>
      <c r="B742" s="302"/>
      <c r="C742" s="302"/>
      <c r="D742" s="302"/>
      <c r="E742" s="303"/>
      <c r="F742" s="302"/>
      <c r="G742" s="302"/>
      <c r="H742" s="302"/>
      <c r="I742" s="303"/>
      <c r="J742" s="302"/>
      <c r="K742" s="302"/>
      <c r="L742" s="302"/>
      <c r="M742" s="236"/>
    </row>
    <row r="743" spans="1:13" x14ac:dyDescent="0.2">
      <c r="A743" s="237"/>
      <c r="B743" s="302"/>
      <c r="C743" s="302"/>
      <c r="D743" s="302"/>
      <c r="E743" s="303"/>
      <c r="F743" s="302"/>
      <c r="G743" s="302"/>
      <c r="H743" s="302"/>
      <c r="I743" s="303"/>
      <c r="J743" s="302"/>
      <c r="K743" s="302"/>
      <c r="L743" s="302"/>
      <c r="M743" s="236"/>
    </row>
    <row r="744" spans="1:13" x14ac:dyDescent="0.2">
      <c r="A744" s="237"/>
      <c r="B744" s="302"/>
      <c r="C744" s="302"/>
      <c r="D744" s="302"/>
      <c r="E744" s="303"/>
      <c r="F744" s="302"/>
      <c r="G744" s="302"/>
      <c r="H744" s="302"/>
      <c r="I744" s="303"/>
      <c r="J744" s="302"/>
      <c r="K744" s="302"/>
      <c r="L744" s="302"/>
      <c r="M744" s="236"/>
    </row>
    <row r="745" spans="1:13" x14ac:dyDescent="0.2">
      <c r="A745" s="237"/>
      <c r="B745" s="302"/>
      <c r="C745" s="302"/>
      <c r="D745" s="302"/>
      <c r="E745" s="303"/>
      <c r="F745" s="302"/>
      <c r="G745" s="302"/>
      <c r="H745" s="302"/>
      <c r="I745" s="303"/>
      <c r="J745" s="302"/>
      <c r="K745" s="302"/>
      <c r="L745" s="302"/>
      <c r="M745" s="236"/>
    </row>
    <row r="746" spans="1:13" x14ac:dyDescent="0.2">
      <c r="A746" s="237"/>
      <c r="B746" s="302"/>
      <c r="C746" s="302"/>
      <c r="D746" s="302"/>
      <c r="E746" s="303"/>
      <c r="F746" s="302"/>
      <c r="G746" s="302"/>
      <c r="H746" s="302"/>
      <c r="I746" s="303"/>
      <c r="J746" s="302"/>
      <c r="K746" s="302"/>
      <c r="L746" s="302"/>
      <c r="M746" s="236"/>
    </row>
    <row r="747" spans="1:13" x14ac:dyDescent="0.2">
      <c r="A747" s="237"/>
      <c r="B747" s="302"/>
      <c r="C747" s="302"/>
      <c r="D747" s="302"/>
      <c r="E747" s="303"/>
      <c r="F747" s="302"/>
      <c r="G747" s="302"/>
      <c r="H747" s="302"/>
      <c r="I747" s="303"/>
      <c r="J747" s="302"/>
      <c r="K747" s="302"/>
      <c r="L747" s="302"/>
      <c r="M747" s="236"/>
    </row>
    <row r="748" spans="1:13" x14ac:dyDescent="0.2">
      <c r="A748" s="237"/>
      <c r="B748" s="302"/>
      <c r="C748" s="302"/>
      <c r="D748" s="302"/>
      <c r="E748" s="303"/>
      <c r="F748" s="302"/>
      <c r="G748" s="302"/>
      <c r="H748" s="302"/>
      <c r="I748" s="303"/>
      <c r="J748" s="302"/>
      <c r="K748" s="302"/>
      <c r="L748" s="302"/>
      <c r="M748" s="236"/>
    </row>
    <row r="749" spans="1:13" x14ac:dyDescent="0.2">
      <c r="A749" s="237"/>
      <c r="B749" s="302"/>
      <c r="C749" s="302"/>
      <c r="D749" s="302"/>
      <c r="E749" s="303"/>
      <c r="F749" s="302"/>
      <c r="G749" s="302"/>
      <c r="H749" s="302"/>
      <c r="I749" s="303"/>
      <c r="J749" s="302"/>
      <c r="K749" s="302"/>
      <c r="L749" s="302"/>
      <c r="M749" s="236"/>
    </row>
    <row r="750" spans="1:13" x14ac:dyDescent="0.2">
      <c r="A750" s="237"/>
      <c r="B750" s="303"/>
      <c r="C750" s="303"/>
      <c r="D750" s="303"/>
      <c r="E750" s="303"/>
      <c r="F750" s="303"/>
      <c r="G750" s="303"/>
      <c r="H750" s="303"/>
      <c r="I750" s="303"/>
      <c r="J750" s="303"/>
      <c r="K750" s="303"/>
      <c r="L750" s="303"/>
      <c r="M750" s="236"/>
    </row>
    <row r="751" spans="1:13" x14ac:dyDescent="0.2">
      <c r="A751" s="237"/>
      <c r="B751" s="237"/>
      <c r="C751" s="237"/>
      <c r="D751" s="237"/>
      <c r="E751" s="237"/>
      <c r="F751" s="237"/>
      <c r="G751" s="237"/>
      <c r="H751" s="237"/>
      <c r="I751" s="237"/>
      <c r="J751" s="237"/>
      <c r="K751" s="237"/>
      <c r="L751" s="240"/>
      <c r="M751" s="236"/>
    </row>
    <row r="752" spans="1:13" x14ac:dyDescent="0.2">
      <c r="A752" s="237"/>
      <c r="B752" s="237"/>
      <c r="C752" s="237"/>
      <c r="D752" s="237"/>
      <c r="E752" s="237"/>
      <c r="F752" s="237"/>
      <c r="G752" s="237"/>
      <c r="H752" s="237"/>
      <c r="I752" s="237"/>
      <c r="J752" s="237"/>
      <c r="K752" s="237"/>
      <c r="L752" s="284"/>
      <c r="M752" s="236"/>
    </row>
    <row r="753" spans="1:13" x14ac:dyDescent="0.2">
      <c r="A753" s="258"/>
      <c r="B753" s="241"/>
      <c r="C753" s="241"/>
      <c r="D753" s="241"/>
      <c r="E753" s="241"/>
      <c r="F753" s="241"/>
      <c r="G753" s="241"/>
      <c r="H753" s="241"/>
      <c r="I753" s="241"/>
      <c r="J753" s="241"/>
      <c r="K753" s="241"/>
      <c r="L753" s="236"/>
      <c r="M753" s="236"/>
    </row>
    <row r="754" spans="1:13" x14ac:dyDescent="0.2">
      <c r="A754" s="241"/>
      <c r="B754" s="375"/>
      <c r="C754" s="375"/>
      <c r="D754" s="375"/>
      <c r="E754" s="253"/>
      <c r="F754" s="375"/>
      <c r="G754" s="375"/>
      <c r="H754" s="375"/>
      <c r="I754" s="253"/>
      <c r="J754" s="375"/>
      <c r="K754" s="375"/>
      <c r="L754" s="375"/>
      <c r="M754" s="236"/>
    </row>
    <row r="755" spans="1:13" x14ac:dyDescent="0.2">
      <c r="A755" s="258"/>
      <c r="B755" s="259"/>
      <c r="C755" s="259"/>
      <c r="D755" s="259"/>
      <c r="E755" s="259"/>
      <c r="F755" s="259"/>
      <c r="G755" s="259"/>
      <c r="H755" s="259"/>
      <c r="I755" s="259"/>
      <c r="J755" s="259"/>
      <c r="K755" s="259"/>
      <c r="L755" s="259"/>
      <c r="M755" s="236"/>
    </row>
    <row r="756" spans="1:13" x14ac:dyDescent="0.2">
      <c r="A756" s="258"/>
      <c r="B756" s="259"/>
      <c r="C756" s="259"/>
      <c r="D756" s="259"/>
      <c r="E756" s="259"/>
      <c r="F756" s="259"/>
      <c r="G756" s="259"/>
      <c r="H756" s="259"/>
      <c r="I756" s="259"/>
      <c r="J756" s="259"/>
      <c r="K756" s="259"/>
      <c r="L756" s="259"/>
      <c r="M756" s="236"/>
    </row>
    <row r="757" spans="1:13" x14ac:dyDescent="0.2">
      <c r="A757" s="237"/>
      <c r="B757" s="302"/>
      <c r="C757" s="302"/>
      <c r="D757" s="302"/>
      <c r="E757" s="303"/>
      <c r="F757" s="302"/>
      <c r="G757" s="302"/>
      <c r="H757" s="302"/>
      <c r="I757" s="303"/>
      <c r="J757" s="302"/>
      <c r="K757" s="302"/>
      <c r="L757" s="302"/>
      <c r="M757" s="236"/>
    </row>
    <row r="758" spans="1:13" x14ac:dyDescent="0.2">
      <c r="A758" s="237"/>
      <c r="B758" s="302"/>
      <c r="C758" s="302"/>
      <c r="D758" s="302"/>
      <c r="E758" s="303"/>
      <c r="F758" s="302"/>
      <c r="G758" s="302"/>
      <c r="H758" s="302"/>
      <c r="I758" s="303"/>
      <c r="J758" s="302"/>
      <c r="K758" s="302"/>
      <c r="L758" s="302"/>
      <c r="M758" s="236"/>
    </row>
    <row r="759" spans="1:13" x14ac:dyDescent="0.2">
      <c r="A759" s="237"/>
      <c r="B759" s="302"/>
      <c r="C759" s="302"/>
      <c r="D759" s="302"/>
      <c r="E759" s="303"/>
      <c r="F759" s="302"/>
      <c r="G759" s="302"/>
      <c r="H759" s="302"/>
      <c r="I759" s="303"/>
      <c r="J759" s="302"/>
      <c r="K759" s="302"/>
      <c r="L759" s="302"/>
      <c r="M759" s="236"/>
    </row>
    <row r="760" spans="1:13" x14ac:dyDescent="0.2">
      <c r="A760" s="237"/>
      <c r="B760" s="302"/>
      <c r="C760" s="302"/>
      <c r="D760" s="302"/>
      <c r="E760" s="303"/>
      <c r="F760" s="302"/>
      <c r="G760" s="302"/>
      <c r="H760" s="302"/>
      <c r="I760" s="303"/>
      <c r="J760" s="302"/>
      <c r="K760" s="302"/>
      <c r="L760" s="302"/>
      <c r="M760" s="236"/>
    </row>
    <row r="761" spans="1:13" x14ac:dyDescent="0.2">
      <c r="A761" s="237"/>
      <c r="B761" s="302"/>
      <c r="C761" s="302"/>
      <c r="D761" s="302"/>
      <c r="E761" s="303"/>
      <c r="F761" s="302"/>
      <c r="G761" s="302"/>
      <c r="H761" s="302"/>
      <c r="I761" s="303"/>
      <c r="J761" s="302"/>
      <c r="K761" s="302"/>
      <c r="L761" s="302"/>
      <c r="M761" s="236"/>
    </row>
    <row r="762" spans="1:13" x14ac:dyDescent="0.2">
      <c r="A762" s="237"/>
      <c r="B762" s="302"/>
      <c r="C762" s="302"/>
      <c r="D762" s="302"/>
      <c r="E762" s="303"/>
      <c r="F762" s="302"/>
      <c r="G762" s="302"/>
      <c r="H762" s="302"/>
      <c r="I762" s="303"/>
      <c r="J762" s="302"/>
      <c r="K762" s="302"/>
      <c r="L762" s="302"/>
      <c r="M762" s="236"/>
    </row>
    <row r="763" spans="1:13" x14ac:dyDescent="0.2">
      <c r="A763" s="237"/>
      <c r="B763" s="302"/>
      <c r="C763" s="302"/>
      <c r="D763" s="302"/>
      <c r="E763" s="303"/>
      <c r="F763" s="302"/>
      <c r="G763" s="302"/>
      <c r="H763" s="302"/>
      <c r="I763" s="303"/>
      <c r="J763" s="302"/>
      <c r="K763" s="302"/>
      <c r="L763" s="302"/>
      <c r="M763" s="236"/>
    </row>
    <row r="764" spans="1:13" x14ac:dyDescent="0.2">
      <c r="A764" s="237"/>
      <c r="B764" s="302"/>
      <c r="C764" s="302"/>
      <c r="D764" s="302"/>
      <c r="E764" s="303"/>
      <c r="F764" s="302"/>
      <c r="G764" s="302"/>
      <c r="H764" s="302"/>
      <c r="I764" s="303"/>
      <c r="J764" s="302"/>
      <c r="K764" s="302"/>
      <c r="L764" s="302"/>
      <c r="M764" s="236"/>
    </row>
    <row r="765" spans="1:13" x14ac:dyDescent="0.2">
      <c r="A765" s="237"/>
      <c r="B765" s="302"/>
      <c r="C765" s="302"/>
      <c r="D765" s="302"/>
      <c r="E765" s="303"/>
      <c r="F765" s="302"/>
      <c r="G765" s="302"/>
      <c r="H765" s="302"/>
      <c r="I765" s="303"/>
      <c r="J765" s="302"/>
      <c r="K765" s="302"/>
      <c r="L765" s="302"/>
      <c r="M765" s="236"/>
    </row>
    <row r="766" spans="1:13" x14ac:dyDescent="0.2">
      <c r="A766" s="237"/>
      <c r="B766" s="302"/>
      <c r="C766" s="302"/>
      <c r="D766" s="302"/>
      <c r="E766" s="303"/>
      <c r="F766" s="302"/>
      <c r="G766" s="302"/>
      <c r="H766" s="302"/>
      <c r="I766" s="303"/>
      <c r="J766" s="302"/>
      <c r="K766" s="302"/>
      <c r="L766" s="302"/>
      <c r="M766" s="236"/>
    </row>
    <row r="767" spans="1:13" x14ac:dyDescent="0.2">
      <c r="A767" s="237"/>
      <c r="B767" s="303"/>
      <c r="C767" s="303"/>
      <c r="D767" s="303"/>
      <c r="E767" s="303"/>
      <c r="F767" s="303"/>
      <c r="G767" s="303"/>
      <c r="H767" s="303"/>
      <c r="I767" s="303"/>
      <c r="J767" s="303"/>
      <c r="K767" s="303"/>
      <c r="L767" s="303"/>
      <c r="M767" s="236"/>
    </row>
    <row r="768" spans="1:13" x14ac:dyDescent="0.2">
      <c r="A768" s="237"/>
      <c r="B768" s="237"/>
      <c r="C768" s="237"/>
      <c r="D768" s="237"/>
      <c r="E768" s="237"/>
      <c r="F768" s="237"/>
      <c r="G768" s="237"/>
      <c r="H768" s="237"/>
      <c r="I768" s="237"/>
      <c r="J768" s="237"/>
      <c r="K768" s="237"/>
      <c r="L768" s="240"/>
      <c r="M768" s="236"/>
    </row>
    <row r="769" spans="1:13" x14ac:dyDescent="0.2">
      <c r="A769" s="237"/>
      <c r="B769" s="237"/>
      <c r="C769" s="237"/>
      <c r="D769" s="237"/>
      <c r="E769" s="237"/>
      <c r="F769" s="237"/>
      <c r="G769" s="237"/>
      <c r="H769" s="237"/>
      <c r="I769" s="237"/>
      <c r="J769" s="237"/>
      <c r="K769" s="237"/>
      <c r="L769" s="284"/>
      <c r="M769" s="236"/>
    </row>
    <row r="770" spans="1:13" x14ac:dyDescent="0.2">
      <c r="A770" s="258"/>
      <c r="B770" s="241"/>
      <c r="C770" s="241"/>
      <c r="D770" s="241"/>
      <c r="E770" s="241"/>
      <c r="F770" s="241"/>
      <c r="G770" s="241"/>
      <c r="H770" s="241"/>
      <c r="I770" s="241"/>
      <c r="J770" s="241"/>
      <c r="K770" s="241"/>
      <c r="L770" s="236"/>
      <c r="M770" s="236"/>
    </row>
    <row r="771" spans="1:13" x14ac:dyDescent="0.2">
      <c r="A771" s="241"/>
      <c r="B771" s="375"/>
      <c r="C771" s="375"/>
      <c r="D771" s="375"/>
      <c r="E771" s="253"/>
      <c r="F771" s="375"/>
      <c r="G771" s="375"/>
      <c r="H771" s="375"/>
      <c r="I771" s="253"/>
      <c r="J771" s="375"/>
      <c r="K771" s="375"/>
      <c r="L771" s="375"/>
      <c r="M771" s="236"/>
    </row>
    <row r="772" spans="1:13" x14ac:dyDescent="0.2">
      <c r="A772" s="258"/>
      <c r="B772" s="259"/>
      <c r="C772" s="259"/>
      <c r="D772" s="259"/>
      <c r="E772" s="259"/>
      <c r="F772" s="259"/>
      <c r="G772" s="259"/>
      <c r="H772" s="259"/>
      <c r="I772" s="259"/>
      <c r="J772" s="259"/>
      <c r="K772" s="259"/>
      <c r="L772" s="259"/>
      <c r="M772" s="236"/>
    </row>
    <row r="773" spans="1:13" x14ac:dyDescent="0.2">
      <c r="A773" s="258"/>
      <c r="B773" s="259"/>
      <c r="C773" s="259"/>
      <c r="D773" s="259"/>
      <c r="E773" s="259"/>
      <c r="F773" s="259"/>
      <c r="G773" s="259"/>
      <c r="H773" s="259"/>
      <c r="I773" s="259"/>
      <c r="J773" s="259"/>
      <c r="K773" s="259"/>
      <c r="L773" s="259"/>
      <c r="M773" s="236"/>
    </row>
    <row r="774" spans="1:13" x14ac:dyDescent="0.2">
      <c r="A774" s="237"/>
      <c r="B774" s="302"/>
      <c r="C774" s="302"/>
      <c r="D774" s="302"/>
      <c r="E774" s="303"/>
      <c r="F774" s="302"/>
      <c r="G774" s="302"/>
      <c r="H774" s="302"/>
      <c r="I774" s="303"/>
      <c r="J774" s="302"/>
      <c r="K774" s="302"/>
      <c r="L774" s="302"/>
      <c r="M774" s="236"/>
    </row>
    <row r="775" spans="1:13" x14ac:dyDescent="0.2">
      <c r="A775" s="237"/>
      <c r="B775" s="302"/>
      <c r="C775" s="302"/>
      <c r="D775" s="302"/>
      <c r="E775" s="303"/>
      <c r="F775" s="302"/>
      <c r="G775" s="302"/>
      <c r="H775" s="302"/>
      <c r="I775" s="303"/>
      <c r="J775" s="302"/>
      <c r="K775" s="302"/>
      <c r="L775" s="302"/>
      <c r="M775" s="236"/>
    </row>
    <row r="776" spans="1:13" x14ac:dyDescent="0.2">
      <c r="A776" s="237"/>
      <c r="B776" s="302"/>
      <c r="C776" s="302"/>
      <c r="D776" s="302"/>
      <c r="E776" s="303"/>
      <c r="F776" s="302"/>
      <c r="G776" s="302"/>
      <c r="H776" s="302"/>
      <c r="I776" s="303"/>
      <c r="J776" s="302"/>
      <c r="K776" s="302"/>
      <c r="L776" s="302"/>
      <c r="M776" s="236"/>
    </row>
    <row r="777" spans="1:13" x14ac:dyDescent="0.2">
      <c r="A777" s="237"/>
      <c r="B777" s="302"/>
      <c r="C777" s="302"/>
      <c r="D777" s="302"/>
      <c r="E777" s="303"/>
      <c r="F777" s="302"/>
      <c r="G777" s="302"/>
      <c r="H777" s="302"/>
      <c r="I777" s="303"/>
      <c r="J777" s="302"/>
      <c r="K777" s="302"/>
      <c r="L777" s="302"/>
      <c r="M777" s="236"/>
    </row>
    <row r="778" spans="1:13" x14ac:dyDescent="0.2">
      <c r="A778" s="237"/>
      <c r="B778" s="302"/>
      <c r="C778" s="302"/>
      <c r="D778" s="302"/>
      <c r="E778" s="303"/>
      <c r="F778" s="302"/>
      <c r="G778" s="302"/>
      <c r="H778" s="302"/>
      <c r="I778" s="303"/>
      <c r="J778" s="302"/>
      <c r="K778" s="302"/>
      <c r="L778" s="302"/>
      <c r="M778" s="236"/>
    </row>
    <row r="779" spans="1:13" x14ac:dyDescent="0.2">
      <c r="A779" s="237"/>
      <c r="B779" s="302"/>
      <c r="C779" s="302"/>
      <c r="D779" s="302"/>
      <c r="E779" s="303"/>
      <c r="F779" s="302"/>
      <c r="G779" s="302"/>
      <c r="H779" s="302"/>
      <c r="I779" s="303"/>
      <c r="J779" s="302"/>
      <c r="K779" s="302"/>
      <c r="L779" s="302"/>
      <c r="M779" s="236"/>
    </row>
    <row r="780" spans="1:13" x14ac:dyDescent="0.2">
      <c r="A780" s="237"/>
      <c r="B780" s="302"/>
      <c r="C780" s="302"/>
      <c r="D780" s="302"/>
      <c r="E780" s="303"/>
      <c r="F780" s="302"/>
      <c r="G780" s="302"/>
      <c r="H780" s="302"/>
      <c r="I780" s="303"/>
      <c r="J780" s="302"/>
      <c r="K780" s="302"/>
      <c r="L780" s="302"/>
      <c r="M780" s="236"/>
    </row>
    <row r="781" spans="1:13" x14ac:dyDescent="0.2">
      <c r="A781" s="237"/>
      <c r="B781" s="302"/>
      <c r="C781" s="302"/>
      <c r="D781" s="302"/>
      <c r="E781" s="303"/>
      <c r="F781" s="302"/>
      <c r="G781" s="302"/>
      <c r="H781" s="302"/>
      <c r="I781" s="303"/>
      <c r="J781" s="302"/>
      <c r="K781" s="302"/>
      <c r="L781" s="302"/>
      <c r="M781" s="236"/>
    </row>
    <row r="782" spans="1:13" x14ac:dyDescent="0.2">
      <c r="A782" s="237"/>
      <c r="B782" s="302"/>
      <c r="C782" s="302"/>
      <c r="D782" s="302"/>
      <c r="E782" s="303"/>
      <c r="F782" s="302"/>
      <c r="G782" s="302"/>
      <c r="H782" s="302"/>
      <c r="I782" s="303"/>
      <c r="J782" s="302"/>
      <c r="K782" s="302"/>
      <c r="L782" s="302"/>
      <c r="M782" s="236"/>
    </row>
    <row r="783" spans="1:13" x14ac:dyDescent="0.2">
      <c r="A783" s="237"/>
      <c r="B783" s="302"/>
      <c r="C783" s="302"/>
      <c r="D783" s="302"/>
      <c r="E783" s="303"/>
      <c r="F783" s="302"/>
      <c r="G783" s="302"/>
      <c r="H783" s="302"/>
      <c r="I783" s="303"/>
      <c r="J783" s="302"/>
      <c r="K783" s="302"/>
      <c r="L783" s="302"/>
      <c r="M783" s="236"/>
    </row>
    <row r="784" spans="1:13" x14ac:dyDescent="0.2">
      <c r="A784" s="237"/>
      <c r="B784" s="303"/>
      <c r="C784" s="303"/>
      <c r="D784" s="303"/>
      <c r="E784" s="303"/>
      <c r="F784" s="303"/>
      <c r="G784" s="303"/>
      <c r="H784" s="303"/>
      <c r="I784" s="303"/>
      <c r="J784" s="303"/>
      <c r="K784" s="303"/>
      <c r="L784" s="303"/>
      <c r="M784" s="236"/>
    </row>
    <row r="785" spans="1:13" x14ac:dyDescent="0.2">
      <c r="A785" s="237"/>
      <c r="B785" s="237"/>
      <c r="C785" s="237"/>
      <c r="D785" s="237"/>
      <c r="E785" s="237"/>
      <c r="F785" s="237"/>
      <c r="G785" s="237"/>
      <c r="H785" s="237"/>
      <c r="I785" s="237"/>
      <c r="J785" s="237"/>
      <c r="K785" s="237"/>
      <c r="L785" s="240"/>
      <c r="M785" s="236"/>
    </row>
    <row r="786" spans="1:13" x14ac:dyDescent="0.2">
      <c r="A786" s="237"/>
      <c r="B786" s="237"/>
      <c r="C786" s="237"/>
      <c r="D786" s="237"/>
      <c r="E786" s="237"/>
      <c r="F786" s="237"/>
      <c r="G786" s="237"/>
      <c r="H786" s="237"/>
      <c r="I786" s="237"/>
      <c r="J786" s="237"/>
      <c r="K786" s="237"/>
      <c r="L786" s="284"/>
      <c r="M786" s="236"/>
    </row>
    <row r="787" spans="1:13" x14ac:dyDescent="0.2">
      <c r="A787" s="258"/>
      <c r="B787" s="241"/>
      <c r="C787" s="241"/>
      <c r="D787" s="241"/>
      <c r="E787" s="241"/>
      <c r="F787" s="241"/>
      <c r="G787" s="241"/>
      <c r="H787" s="241"/>
      <c r="I787" s="241"/>
      <c r="J787" s="241"/>
      <c r="K787" s="241"/>
      <c r="L787" s="236"/>
      <c r="M787" s="236"/>
    </row>
    <row r="788" spans="1:13" x14ac:dyDescent="0.2">
      <c r="A788" s="241"/>
      <c r="B788" s="375"/>
      <c r="C788" s="375"/>
      <c r="D788" s="375"/>
      <c r="E788" s="253"/>
      <c r="F788" s="375"/>
      <c r="G788" s="375"/>
      <c r="H788" s="375"/>
      <c r="I788" s="253"/>
      <c r="J788" s="375"/>
      <c r="K788" s="375"/>
      <c r="L788" s="375"/>
      <c r="M788" s="236"/>
    </row>
    <row r="789" spans="1:13" x14ac:dyDescent="0.2">
      <c r="A789" s="258"/>
      <c r="B789" s="259"/>
      <c r="C789" s="259"/>
      <c r="D789" s="259"/>
      <c r="E789" s="259"/>
      <c r="F789" s="259"/>
      <c r="G789" s="259"/>
      <c r="H789" s="259"/>
      <c r="I789" s="259"/>
      <c r="J789" s="259"/>
      <c r="K789" s="259"/>
      <c r="L789" s="259"/>
      <c r="M789" s="236"/>
    </row>
    <row r="790" spans="1:13" x14ac:dyDescent="0.2">
      <c r="A790" s="258"/>
      <c r="B790" s="259"/>
      <c r="C790" s="259"/>
      <c r="D790" s="259"/>
      <c r="E790" s="259"/>
      <c r="F790" s="259"/>
      <c r="G790" s="259"/>
      <c r="H790" s="259"/>
      <c r="I790" s="259"/>
      <c r="J790" s="259"/>
      <c r="K790" s="259"/>
      <c r="L790" s="259"/>
      <c r="M790" s="236"/>
    </row>
    <row r="791" spans="1:13" x14ac:dyDescent="0.2">
      <c r="A791" s="237"/>
      <c r="B791" s="302"/>
      <c r="C791" s="302"/>
      <c r="D791" s="302"/>
      <c r="E791" s="303"/>
      <c r="F791" s="302"/>
      <c r="G791" s="302"/>
      <c r="H791" s="302"/>
      <c r="I791" s="303"/>
      <c r="J791" s="302"/>
      <c r="K791" s="302"/>
      <c r="L791" s="302"/>
      <c r="M791" s="236"/>
    </row>
    <row r="792" spans="1:13" x14ac:dyDescent="0.2">
      <c r="A792" s="237"/>
      <c r="B792" s="302"/>
      <c r="C792" s="302"/>
      <c r="D792" s="302"/>
      <c r="E792" s="303"/>
      <c r="F792" s="302"/>
      <c r="G792" s="302"/>
      <c r="H792" s="302"/>
      <c r="I792" s="303"/>
      <c r="J792" s="302"/>
      <c r="K792" s="302"/>
      <c r="L792" s="302"/>
      <c r="M792" s="236"/>
    </row>
    <row r="793" spans="1:13" x14ac:dyDescent="0.2">
      <c r="A793" s="237"/>
      <c r="B793" s="302"/>
      <c r="C793" s="302"/>
      <c r="D793" s="302"/>
      <c r="E793" s="303"/>
      <c r="F793" s="302"/>
      <c r="G793" s="302"/>
      <c r="H793" s="302"/>
      <c r="I793" s="303"/>
      <c r="J793" s="302"/>
      <c r="K793" s="302"/>
      <c r="L793" s="302"/>
      <c r="M793" s="236"/>
    </row>
    <row r="794" spans="1:13" x14ac:dyDescent="0.2">
      <c r="A794" s="237"/>
      <c r="B794" s="302"/>
      <c r="C794" s="302"/>
      <c r="D794" s="302"/>
      <c r="E794" s="303"/>
      <c r="F794" s="302"/>
      <c r="G794" s="302"/>
      <c r="H794" s="302"/>
      <c r="I794" s="303"/>
      <c r="J794" s="302"/>
      <c r="K794" s="302"/>
      <c r="L794" s="302"/>
      <c r="M794" s="236"/>
    </row>
    <row r="795" spans="1:13" x14ac:dyDescent="0.2">
      <c r="A795" s="237"/>
      <c r="B795" s="302"/>
      <c r="C795" s="302"/>
      <c r="D795" s="302"/>
      <c r="E795" s="303"/>
      <c r="F795" s="302"/>
      <c r="G795" s="302"/>
      <c r="H795" s="302"/>
      <c r="I795" s="303"/>
      <c r="J795" s="302"/>
      <c r="K795" s="302"/>
      <c r="L795" s="302"/>
      <c r="M795" s="236"/>
    </row>
    <row r="796" spans="1:13" x14ac:dyDescent="0.2">
      <c r="A796" s="237"/>
      <c r="B796" s="302"/>
      <c r="C796" s="302"/>
      <c r="D796" s="302"/>
      <c r="E796" s="303"/>
      <c r="F796" s="302"/>
      <c r="G796" s="302"/>
      <c r="H796" s="302"/>
      <c r="I796" s="303"/>
      <c r="J796" s="302"/>
      <c r="K796" s="302"/>
      <c r="L796" s="302"/>
      <c r="M796" s="236"/>
    </row>
    <row r="797" spans="1:13" x14ac:dyDescent="0.2">
      <c r="A797" s="237"/>
      <c r="B797" s="302"/>
      <c r="C797" s="302"/>
      <c r="D797" s="302"/>
      <c r="E797" s="303"/>
      <c r="F797" s="302"/>
      <c r="G797" s="302"/>
      <c r="H797" s="302"/>
      <c r="I797" s="303"/>
      <c r="J797" s="302"/>
      <c r="K797" s="302"/>
      <c r="L797" s="302"/>
      <c r="M797" s="236"/>
    </row>
    <row r="798" spans="1:13" x14ac:dyDescent="0.2">
      <c r="A798" s="237"/>
      <c r="B798" s="302"/>
      <c r="C798" s="302"/>
      <c r="D798" s="302"/>
      <c r="E798" s="303"/>
      <c r="F798" s="302"/>
      <c r="G798" s="302"/>
      <c r="H798" s="302"/>
      <c r="I798" s="303"/>
      <c r="J798" s="302"/>
      <c r="K798" s="302"/>
      <c r="L798" s="302"/>
      <c r="M798" s="236"/>
    </row>
    <row r="799" spans="1:13" x14ac:dyDescent="0.2">
      <c r="A799" s="237"/>
      <c r="B799" s="302"/>
      <c r="C799" s="302"/>
      <c r="D799" s="302"/>
      <c r="E799" s="303"/>
      <c r="F799" s="302"/>
      <c r="G799" s="302"/>
      <c r="H799" s="302"/>
      <c r="I799" s="303"/>
      <c r="J799" s="302"/>
      <c r="K799" s="302"/>
      <c r="L799" s="302"/>
      <c r="M799" s="236"/>
    </row>
    <row r="800" spans="1:13" x14ac:dyDescent="0.2">
      <c r="A800" s="237"/>
      <c r="B800" s="302"/>
      <c r="C800" s="302"/>
      <c r="D800" s="302"/>
      <c r="E800" s="303"/>
      <c r="F800" s="302"/>
      <c r="G800" s="302"/>
      <c r="H800" s="302"/>
      <c r="I800" s="303"/>
      <c r="J800" s="302"/>
      <c r="K800" s="302"/>
      <c r="L800" s="302"/>
      <c r="M800" s="236"/>
    </row>
    <row r="801" spans="1:13" x14ac:dyDescent="0.2">
      <c r="A801" s="237"/>
      <c r="B801" s="303"/>
      <c r="C801" s="303"/>
      <c r="D801" s="303"/>
      <c r="E801" s="303"/>
      <c r="F801" s="303"/>
      <c r="G801" s="303"/>
      <c r="H801" s="303"/>
      <c r="I801" s="303"/>
      <c r="J801" s="303"/>
      <c r="K801" s="303"/>
      <c r="L801" s="303"/>
      <c r="M801" s="236"/>
    </row>
    <row r="802" spans="1:13" x14ac:dyDescent="0.2">
      <c r="A802" s="237"/>
      <c r="B802" s="237"/>
      <c r="C802" s="237"/>
      <c r="D802" s="237"/>
      <c r="E802" s="237"/>
      <c r="F802" s="237"/>
      <c r="G802" s="237"/>
      <c r="H802" s="237"/>
      <c r="I802" s="237"/>
      <c r="J802" s="237"/>
      <c r="K802" s="237"/>
      <c r="L802" s="240"/>
      <c r="M802" s="236"/>
    </row>
    <row r="803" spans="1:13" x14ac:dyDescent="0.2">
      <c r="A803" s="237"/>
      <c r="B803" s="237"/>
      <c r="C803" s="237"/>
      <c r="D803" s="237"/>
      <c r="E803" s="237"/>
      <c r="F803" s="237"/>
      <c r="G803" s="237"/>
      <c r="H803" s="237"/>
      <c r="I803" s="237"/>
      <c r="J803" s="237"/>
      <c r="K803" s="237"/>
      <c r="L803" s="284"/>
      <c r="M803" s="236"/>
    </row>
    <row r="804" spans="1:13" x14ac:dyDescent="0.2">
      <c r="A804" s="258"/>
      <c r="B804" s="241"/>
      <c r="C804" s="241"/>
      <c r="D804" s="241"/>
      <c r="E804" s="241"/>
      <c r="F804" s="241"/>
      <c r="G804" s="241"/>
      <c r="H804" s="241"/>
      <c r="I804" s="241"/>
      <c r="J804" s="241"/>
      <c r="K804" s="241"/>
      <c r="L804" s="236"/>
      <c r="M804" s="236"/>
    </row>
    <row r="805" spans="1:13" x14ac:dyDescent="0.2">
      <c r="A805" s="241"/>
      <c r="B805" s="375"/>
      <c r="C805" s="375"/>
      <c r="D805" s="375"/>
      <c r="E805" s="253"/>
      <c r="F805" s="375"/>
      <c r="G805" s="375"/>
      <c r="H805" s="375"/>
      <c r="I805" s="253"/>
      <c r="J805" s="375"/>
      <c r="K805" s="375"/>
      <c r="L805" s="375"/>
      <c r="M805" s="236"/>
    </row>
    <row r="806" spans="1:13" x14ac:dyDescent="0.2">
      <c r="A806" s="258"/>
      <c r="B806" s="259"/>
      <c r="C806" s="259"/>
      <c r="D806" s="259"/>
      <c r="E806" s="259"/>
      <c r="F806" s="259"/>
      <c r="G806" s="259"/>
      <c r="H806" s="259"/>
      <c r="I806" s="259"/>
      <c r="J806" s="259"/>
      <c r="K806" s="259"/>
      <c r="L806" s="259"/>
      <c r="M806" s="236"/>
    </row>
    <row r="807" spans="1:13" x14ac:dyDescent="0.2">
      <c r="A807" s="258"/>
      <c r="B807" s="259"/>
      <c r="C807" s="259"/>
      <c r="D807" s="259"/>
      <c r="E807" s="259"/>
      <c r="F807" s="259"/>
      <c r="G807" s="259"/>
      <c r="H807" s="259"/>
      <c r="I807" s="259"/>
      <c r="J807" s="259"/>
      <c r="K807" s="259"/>
      <c r="L807" s="259"/>
      <c r="M807" s="236"/>
    </row>
    <row r="808" spans="1:13" x14ac:dyDescent="0.2">
      <c r="A808" s="237"/>
      <c r="B808" s="302"/>
      <c r="C808" s="302"/>
      <c r="D808" s="302"/>
      <c r="E808" s="303"/>
      <c r="F808" s="302"/>
      <c r="G808" s="302"/>
      <c r="H808" s="302"/>
      <c r="I808" s="303"/>
      <c r="J808" s="302"/>
      <c r="K808" s="302"/>
      <c r="L808" s="302"/>
      <c r="M808" s="236"/>
    </row>
    <row r="809" spans="1:13" x14ac:dyDescent="0.2">
      <c r="A809" s="237"/>
      <c r="B809" s="302"/>
      <c r="C809" s="302"/>
      <c r="D809" s="302"/>
      <c r="E809" s="303"/>
      <c r="F809" s="302"/>
      <c r="G809" s="302"/>
      <c r="H809" s="302"/>
      <c r="I809" s="303"/>
      <c r="J809" s="302"/>
      <c r="K809" s="302"/>
      <c r="L809" s="302"/>
      <c r="M809" s="236"/>
    </row>
    <row r="810" spans="1:13" x14ac:dyDescent="0.2">
      <c r="A810" s="237"/>
      <c r="B810" s="302"/>
      <c r="C810" s="302"/>
      <c r="D810" s="302"/>
      <c r="E810" s="303"/>
      <c r="F810" s="302"/>
      <c r="G810" s="302"/>
      <c r="H810" s="302"/>
      <c r="I810" s="303"/>
      <c r="J810" s="302"/>
      <c r="K810" s="302"/>
      <c r="L810" s="302"/>
      <c r="M810" s="236"/>
    </row>
    <row r="811" spans="1:13" x14ac:dyDescent="0.2">
      <c r="A811" s="237"/>
      <c r="B811" s="302"/>
      <c r="C811" s="302"/>
      <c r="D811" s="302"/>
      <c r="E811" s="303"/>
      <c r="F811" s="302"/>
      <c r="G811" s="302"/>
      <c r="H811" s="302"/>
      <c r="I811" s="303"/>
      <c r="J811" s="302"/>
      <c r="K811" s="302"/>
      <c r="L811" s="302"/>
      <c r="M811" s="236"/>
    </row>
    <row r="812" spans="1:13" x14ac:dyDescent="0.2">
      <c r="A812" s="237"/>
      <c r="B812" s="302"/>
      <c r="C812" s="302"/>
      <c r="D812" s="302"/>
      <c r="E812" s="303"/>
      <c r="F812" s="302"/>
      <c r="G812" s="302"/>
      <c r="H812" s="302"/>
      <c r="I812" s="303"/>
      <c r="J812" s="302"/>
      <c r="K812" s="302"/>
      <c r="L812" s="302"/>
      <c r="M812" s="236"/>
    </row>
    <row r="813" spans="1:13" x14ac:dyDescent="0.2">
      <c r="A813" s="237"/>
      <c r="B813" s="302"/>
      <c r="C813" s="302"/>
      <c r="D813" s="302"/>
      <c r="E813" s="303"/>
      <c r="F813" s="302"/>
      <c r="G813" s="302"/>
      <c r="H813" s="302"/>
      <c r="I813" s="303"/>
      <c r="J813" s="302"/>
      <c r="K813" s="302"/>
      <c r="L813" s="302"/>
      <c r="M813" s="236"/>
    </row>
    <row r="814" spans="1:13" x14ac:dyDescent="0.2">
      <c r="A814" s="237"/>
      <c r="B814" s="302"/>
      <c r="C814" s="302"/>
      <c r="D814" s="302"/>
      <c r="E814" s="303"/>
      <c r="F814" s="302"/>
      <c r="G814" s="302"/>
      <c r="H814" s="302"/>
      <c r="I814" s="303"/>
      <c r="J814" s="302"/>
      <c r="K814" s="302"/>
      <c r="L814" s="302"/>
      <c r="M814" s="236"/>
    </row>
    <row r="815" spans="1:13" x14ac:dyDescent="0.2">
      <c r="A815" s="237"/>
      <c r="B815" s="302"/>
      <c r="C815" s="302"/>
      <c r="D815" s="302"/>
      <c r="E815" s="303"/>
      <c r="F815" s="302"/>
      <c r="G815" s="302"/>
      <c r="H815" s="302"/>
      <c r="I815" s="303"/>
      <c r="J815" s="302"/>
      <c r="K815" s="302"/>
      <c r="L815" s="302"/>
      <c r="M815" s="236"/>
    </row>
    <row r="816" spans="1:13" x14ac:dyDescent="0.2">
      <c r="A816" s="237"/>
      <c r="B816" s="302"/>
      <c r="C816" s="302"/>
      <c r="D816" s="302"/>
      <c r="E816" s="303"/>
      <c r="F816" s="302"/>
      <c r="G816" s="302"/>
      <c r="H816" s="302"/>
      <c r="I816" s="303"/>
      <c r="J816" s="302"/>
      <c r="K816" s="302"/>
      <c r="L816" s="302"/>
      <c r="M816" s="236"/>
    </row>
    <row r="817" spans="1:13" x14ac:dyDescent="0.2">
      <c r="A817" s="237"/>
      <c r="B817" s="302"/>
      <c r="C817" s="302"/>
      <c r="D817" s="302"/>
      <c r="E817" s="303"/>
      <c r="F817" s="302"/>
      <c r="G817" s="302"/>
      <c r="H817" s="302"/>
      <c r="I817" s="303"/>
      <c r="J817" s="302"/>
      <c r="K817" s="302"/>
      <c r="L817" s="302"/>
      <c r="M817" s="236"/>
    </row>
    <row r="818" spans="1:13" x14ac:dyDescent="0.2">
      <c r="A818" s="237"/>
      <c r="B818" s="303"/>
      <c r="C818" s="303"/>
      <c r="D818" s="303"/>
      <c r="E818" s="303"/>
      <c r="F818" s="303"/>
      <c r="G818" s="303"/>
      <c r="H818" s="303"/>
      <c r="I818" s="303"/>
      <c r="J818" s="303"/>
      <c r="K818" s="303"/>
      <c r="L818" s="303"/>
      <c r="M818" s="236"/>
    </row>
    <row r="819" spans="1:13" x14ac:dyDescent="0.2">
      <c r="A819" s="237"/>
      <c r="B819" s="237"/>
      <c r="C819" s="237"/>
      <c r="D819" s="237"/>
      <c r="E819" s="237"/>
      <c r="F819" s="237"/>
      <c r="G819" s="237"/>
      <c r="H819" s="237"/>
      <c r="I819" s="237"/>
      <c r="J819" s="237"/>
      <c r="K819" s="237"/>
      <c r="L819" s="240"/>
      <c r="M819" s="236"/>
    </row>
    <row r="820" spans="1:13" x14ac:dyDescent="0.2">
      <c r="A820" s="237"/>
      <c r="B820" s="237"/>
      <c r="C820" s="237"/>
      <c r="D820" s="237"/>
      <c r="E820" s="237"/>
      <c r="F820" s="237"/>
      <c r="G820" s="237"/>
      <c r="H820" s="237"/>
      <c r="I820" s="237"/>
      <c r="J820" s="237"/>
      <c r="K820" s="237"/>
      <c r="L820" s="284"/>
      <c r="M820" s="236"/>
    </row>
    <row r="821" spans="1:13" x14ac:dyDescent="0.2">
      <c r="A821" s="258"/>
      <c r="B821" s="241"/>
      <c r="C821" s="241"/>
      <c r="D821" s="241"/>
      <c r="E821" s="241"/>
      <c r="F821" s="241"/>
      <c r="G821" s="241"/>
      <c r="H821" s="241"/>
      <c r="I821" s="241"/>
      <c r="J821" s="241"/>
      <c r="K821" s="241"/>
      <c r="L821" s="236"/>
      <c r="M821" s="236"/>
    </row>
    <row r="822" spans="1:13" x14ac:dyDescent="0.2">
      <c r="A822" s="241"/>
      <c r="B822" s="375"/>
      <c r="C822" s="375"/>
      <c r="D822" s="375"/>
      <c r="E822" s="253"/>
      <c r="F822" s="375"/>
      <c r="G822" s="375"/>
      <c r="H822" s="375"/>
      <c r="I822" s="253"/>
      <c r="J822" s="375"/>
      <c r="K822" s="375"/>
      <c r="L822" s="375"/>
      <c r="M822" s="236"/>
    </row>
    <row r="823" spans="1:13" x14ac:dyDescent="0.2">
      <c r="A823" s="258"/>
      <c r="B823" s="259"/>
      <c r="C823" s="259"/>
      <c r="D823" s="259"/>
      <c r="E823" s="259"/>
      <c r="F823" s="259"/>
      <c r="G823" s="259"/>
      <c r="H823" s="259"/>
      <c r="I823" s="259"/>
      <c r="J823" s="259"/>
      <c r="K823" s="259"/>
      <c r="L823" s="259"/>
      <c r="M823" s="236"/>
    </row>
    <row r="824" spans="1:13" x14ac:dyDescent="0.2">
      <c r="A824" s="258"/>
      <c r="B824" s="259"/>
      <c r="C824" s="259"/>
      <c r="D824" s="259"/>
      <c r="E824" s="259"/>
      <c r="F824" s="259"/>
      <c r="G824" s="259"/>
      <c r="H824" s="259"/>
      <c r="I824" s="259"/>
      <c r="J824" s="259"/>
      <c r="K824" s="259"/>
      <c r="L824" s="259"/>
      <c r="M824" s="236"/>
    </row>
    <row r="825" spans="1:13" x14ac:dyDescent="0.2">
      <c r="A825" s="237"/>
      <c r="B825" s="302"/>
      <c r="C825" s="302"/>
      <c r="D825" s="302"/>
      <c r="E825" s="303"/>
      <c r="F825" s="302"/>
      <c r="G825" s="302"/>
      <c r="H825" s="302"/>
      <c r="I825" s="303"/>
      <c r="J825" s="302"/>
      <c r="K825" s="302"/>
      <c r="L825" s="302"/>
      <c r="M825" s="236"/>
    </row>
    <row r="826" spans="1:13" x14ac:dyDescent="0.2">
      <c r="A826" s="237"/>
      <c r="B826" s="302"/>
      <c r="C826" s="302"/>
      <c r="D826" s="302"/>
      <c r="E826" s="303"/>
      <c r="F826" s="302"/>
      <c r="G826" s="302"/>
      <c r="H826" s="302"/>
      <c r="I826" s="303"/>
      <c r="J826" s="302"/>
      <c r="K826" s="302"/>
      <c r="L826" s="302"/>
      <c r="M826" s="236"/>
    </row>
    <row r="827" spans="1:13" x14ac:dyDescent="0.2">
      <c r="A827" s="237"/>
      <c r="B827" s="302"/>
      <c r="C827" s="302"/>
      <c r="D827" s="302"/>
      <c r="E827" s="303"/>
      <c r="F827" s="302"/>
      <c r="G827" s="302"/>
      <c r="H827" s="302"/>
      <c r="I827" s="303"/>
      <c r="J827" s="302"/>
      <c r="K827" s="302"/>
      <c r="L827" s="302"/>
      <c r="M827" s="236"/>
    </row>
    <row r="828" spans="1:13" x14ac:dyDescent="0.2">
      <c r="A828" s="237"/>
      <c r="B828" s="302"/>
      <c r="C828" s="302"/>
      <c r="D828" s="302"/>
      <c r="E828" s="303"/>
      <c r="F828" s="302"/>
      <c r="G828" s="302"/>
      <c r="H828" s="302"/>
      <c r="I828" s="303"/>
      <c r="J828" s="302"/>
      <c r="K828" s="302"/>
      <c r="L828" s="302"/>
      <c r="M828" s="236"/>
    </row>
    <row r="829" spans="1:13" x14ac:dyDescent="0.2">
      <c r="A829" s="237"/>
      <c r="B829" s="302"/>
      <c r="C829" s="302"/>
      <c r="D829" s="302"/>
      <c r="E829" s="303"/>
      <c r="F829" s="302"/>
      <c r="G829" s="302"/>
      <c r="H829" s="302"/>
      <c r="I829" s="303"/>
      <c r="J829" s="302"/>
      <c r="K829" s="302"/>
      <c r="L829" s="302"/>
      <c r="M829" s="236"/>
    </row>
    <row r="830" spans="1:13" x14ac:dyDescent="0.2">
      <c r="A830" s="237"/>
      <c r="B830" s="302"/>
      <c r="C830" s="302"/>
      <c r="D830" s="302"/>
      <c r="E830" s="303"/>
      <c r="F830" s="302"/>
      <c r="G830" s="302"/>
      <c r="H830" s="302"/>
      <c r="I830" s="303"/>
      <c r="J830" s="302"/>
      <c r="K830" s="302"/>
      <c r="L830" s="302"/>
      <c r="M830" s="236"/>
    </row>
    <row r="831" spans="1:13" x14ac:dyDescent="0.2">
      <c r="A831" s="237"/>
      <c r="B831" s="302"/>
      <c r="C831" s="302"/>
      <c r="D831" s="302"/>
      <c r="E831" s="303"/>
      <c r="F831" s="302"/>
      <c r="G831" s="302"/>
      <c r="H831" s="302"/>
      <c r="I831" s="303"/>
      <c r="J831" s="302"/>
      <c r="K831" s="302"/>
      <c r="L831" s="302"/>
      <c r="M831" s="236"/>
    </row>
    <row r="832" spans="1:13" x14ac:dyDescent="0.2">
      <c r="A832" s="237"/>
      <c r="B832" s="302"/>
      <c r="C832" s="302"/>
      <c r="D832" s="302"/>
      <c r="E832" s="303"/>
      <c r="F832" s="302"/>
      <c r="G832" s="302"/>
      <c r="H832" s="302"/>
      <c r="I832" s="303"/>
      <c r="J832" s="302"/>
      <c r="K832" s="302"/>
      <c r="L832" s="302"/>
      <c r="M832" s="236"/>
    </row>
    <row r="833" spans="1:13" x14ac:dyDescent="0.2">
      <c r="A833" s="237"/>
      <c r="B833" s="302"/>
      <c r="C833" s="302"/>
      <c r="D833" s="302"/>
      <c r="E833" s="303"/>
      <c r="F833" s="302"/>
      <c r="G833" s="302"/>
      <c r="H833" s="302"/>
      <c r="I833" s="303"/>
      <c r="J833" s="302"/>
      <c r="K833" s="302"/>
      <c r="L833" s="302"/>
      <c r="M833" s="236"/>
    </row>
    <row r="834" spans="1:13" x14ac:dyDescent="0.2">
      <c r="A834" s="237"/>
      <c r="B834" s="302"/>
      <c r="C834" s="302"/>
      <c r="D834" s="302"/>
      <c r="E834" s="303"/>
      <c r="F834" s="302"/>
      <c r="G834" s="302"/>
      <c r="H834" s="302"/>
      <c r="I834" s="303"/>
      <c r="J834" s="302"/>
      <c r="K834" s="302"/>
      <c r="L834" s="302"/>
      <c r="M834" s="236"/>
    </row>
    <row r="835" spans="1:13" x14ac:dyDescent="0.2">
      <c r="A835" s="237"/>
      <c r="B835" s="303"/>
      <c r="C835" s="303"/>
      <c r="D835" s="303"/>
      <c r="E835" s="303"/>
      <c r="F835" s="303"/>
      <c r="G835" s="303"/>
      <c r="H835" s="303"/>
      <c r="I835" s="303"/>
      <c r="J835" s="303"/>
      <c r="K835" s="303"/>
      <c r="L835" s="303"/>
      <c r="M835" s="236"/>
    </row>
    <row r="836" spans="1:13" x14ac:dyDescent="0.2">
      <c r="A836" s="237"/>
      <c r="B836" s="237"/>
      <c r="C836" s="237"/>
      <c r="D836" s="237"/>
      <c r="E836" s="237"/>
      <c r="F836" s="237"/>
      <c r="G836" s="237"/>
      <c r="H836" s="237"/>
      <c r="I836" s="237"/>
      <c r="J836" s="237"/>
      <c r="K836" s="237"/>
      <c r="L836" s="240"/>
      <c r="M836" s="236"/>
    </row>
    <row r="837" spans="1:13" x14ac:dyDescent="0.2">
      <c r="A837" s="237"/>
      <c r="B837" s="237"/>
      <c r="C837" s="237"/>
      <c r="D837" s="237"/>
      <c r="E837" s="237"/>
      <c r="F837" s="237"/>
      <c r="G837" s="237"/>
      <c r="H837" s="237"/>
      <c r="I837" s="237"/>
      <c r="J837" s="237"/>
      <c r="K837" s="237"/>
      <c r="L837" s="284"/>
      <c r="M837" s="236"/>
    </row>
    <row r="838" spans="1:13" x14ac:dyDescent="0.2">
      <c r="A838" s="258"/>
      <c r="B838" s="241"/>
      <c r="C838" s="241"/>
      <c r="D838" s="241"/>
      <c r="E838" s="241"/>
      <c r="F838" s="241"/>
      <c r="G838" s="241"/>
      <c r="H838" s="241"/>
      <c r="I838" s="241"/>
      <c r="J838" s="241"/>
      <c r="K838" s="241"/>
      <c r="L838" s="236"/>
      <c r="M838" s="236"/>
    </row>
    <row r="839" spans="1:13" x14ac:dyDescent="0.2">
      <c r="A839" s="241"/>
      <c r="B839" s="375"/>
      <c r="C839" s="375"/>
      <c r="D839" s="375"/>
      <c r="E839" s="253"/>
      <c r="F839" s="375"/>
      <c r="G839" s="375"/>
      <c r="H839" s="375"/>
      <c r="I839" s="253"/>
      <c r="J839" s="375"/>
      <c r="K839" s="375"/>
      <c r="L839" s="375"/>
      <c r="M839" s="236"/>
    </row>
    <row r="840" spans="1:13" x14ac:dyDescent="0.2">
      <c r="A840" s="258"/>
      <c r="B840" s="259"/>
      <c r="C840" s="259"/>
      <c r="D840" s="259"/>
      <c r="E840" s="259"/>
      <c r="F840" s="259"/>
      <c r="G840" s="259"/>
      <c r="H840" s="259"/>
      <c r="I840" s="259"/>
      <c r="J840" s="259"/>
      <c r="K840" s="259"/>
      <c r="L840" s="259"/>
      <c r="M840" s="236"/>
    </row>
    <row r="841" spans="1:13" x14ac:dyDescent="0.2">
      <c r="A841" s="258"/>
      <c r="B841" s="259"/>
      <c r="C841" s="259"/>
      <c r="D841" s="259"/>
      <c r="E841" s="259"/>
      <c r="F841" s="259"/>
      <c r="G841" s="259"/>
      <c r="H841" s="259"/>
      <c r="I841" s="259"/>
      <c r="J841" s="259"/>
      <c r="K841" s="259"/>
      <c r="L841" s="259"/>
      <c r="M841" s="236"/>
    </row>
    <row r="842" spans="1:13" x14ac:dyDescent="0.2">
      <c r="A842" s="237"/>
      <c r="B842" s="302"/>
      <c r="C842" s="302"/>
      <c r="D842" s="302"/>
      <c r="E842" s="303"/>
      <c r="F842" s="302"/>
      <c r="G842" s="302"/>
      <c r="H842" s="302"/>
      <c r="I842" s="303"/>
      <c r="J842" s="302"/>
      <c r="K842" s="302"/>
      <c r="L842" s="302"/>
      <c r="M842" s="236"/>
    </row>
    <row r="843" spans="1:13" x14ac:dyDescent="0.2">
      <c r="A843" s="237"/>
      <c r="B843" s="302"/>
      <c r="C843" s="302"/>
      <c r="D843" s="302"/>
      <c r="E843" s="303"/>
      <c r="F843" s="302"/>
      <c r="G843" s="302"/>
      <c r="H843" s="302"/>
      <c r="I843" s="303"/>
      <c r="J843" s="302"/>
      <c r="K843" s="302"/>
      <c r="L843" s="302"/>
      <c r="M843" s="236"/>
    </row>
    <row r="844" spans="1:13" x14ac:dyDescent="0.2">
      <c r="A844" s="237"/>
      <c r="B844" s="302"/>
      <c r="C844" s="302"/>
      <c r="D844" s="302"/>
      <c r="E844" s="303"/>
      <c r="F844" s="302"/>
      <c r="G844" s="302"/>
      <c r="H844" s="302"/>
      <c r="I844" s="303"/>
      <c r="J844" s="302"/>
      <c r="K844" s="302"/>
      <c r="L844" s="302"/>
      <c r="M844" s="236"/>
    </row>
    <row r="845" spans="1:13" x14ac:dyDescent="0.2">
      <c r="A845" s="237"/>
      <c r="B845" s="302"/>
      <c r="C845" s="302"/>
      <c r="D845" s="302"/>
      <c r="E845" s="303"/>
      <c r="F845" s="302"/>
      <c r="G845" s="302"/>
      <c r="H845" s="302"/>
      <c r="I845" s="303"/>
      <c r="J845" s="302"/>
      <c r="K845" s="302"/>
      <c r="L845" s="302"/>
      <c r="M845" s="236"/>
    </row>
    <row r="846" spans="1:13" x14ac:dyDescent="0.2">
      <c r="A846" s="237"/>
      <c r="B846" s="302"/>
      <c r="C846" s="302"/>
      <c r="D846" s="302"/>
      <c r="E846" s="303"/>
      <c r="F846" s="302"/>
      <c r="G846" s="302"/>
      <c r="H846" s="302"/>
      <c r="I846" s="303"/>
      <c r="J846" s="302"/>
      <c r="K846" s="302"/>
      <c r="L846" s="302"/>
      <c r="M846" s="236"/>
    </row>
    <row r="847" spans="1:13" x14ac:dyDescent="0.2">
      <c r="A847" s="237"/>
      <c r="B847" s="302"/>
      <c r="C847" s="302"/>
      <c r="D847" s="302"/>
      <c r="E847" s="303"/>
      <c r="F847" s="302"/>
      <c r="G847" s="302"/>
      <c r="H847" s="302"/>
      <c r="I847" s="303"/>
      <c r="J847" s="302"/>
      <c r="K847" s="302"/>
      <c r="L847" s="302"/>
      <c r="M847" s="236"/>
    </row>
    <row r="848" spans="1:13" x14ac:dyDescent="0.2">
      <c r="A848" s="237"/>
      <c r="B848" s="302"/>
      <c r="C848" s="302"/>
      <c r="D848" s="302"/>
      <c r="E848" s="303"/>
      <c r="F848" s="302"/>
      <c r="G848" s="302"/>
      <c r="H848" s="302"/>
      <c r="I848" s="303"/>
      <c r="J848" s="302"/>
      <c r="K848" s="302"/>
      <c r="L848" s="302"/>
      <c r="M848" s="236"/>
    </row>
    <row r="849" spans="1:13" x14ac:dyDescent="0.2">
      <c r="A849" s="237"/>
      <c r="B849" s="302"/>
      <c r="C849" s="302"/>
      <c r="D849" s="302"/>
      <c r="E849" s="303"/>
      <c r="F849" s="302"/>
      <c r="G849" s="302"/>
      <c r="H849" s="302"/>
      <c r="I849" s="303"/>
      <c r="J849" s="302"/>
      <c r="K849" s="302"/>
      <c r="L849" s="302"/>
      <c r="M849" s="236"/>
    </row>
    <row r="850" spans="1:13" x14ac:dyDescent="0.2">
      <c r="A850" s="237"/>
      <c r="B850" s="302"/>
      <c r="C850" s="302"/>
      <c r="D850" s="302"/>
      <c r="E850" s="303"/>
      <c r="F850" s="302"/>
      <c r="G850" s="302"/>
      <c r="H850" s="302"/>
      <c r="I850" s="303"/>
      <c r="J850" s="302"/>
      <c r="K850" s="302"/>
      <c r="L850" s="302"/>
      <c r="M850" s="236"/>
    </row>
    <row r="851" spans="1:13" x14ac:dyDescent="0.2">
      <c r="A851" s="237"/>
      <c r="B851" s="302"/>
      <c r="C851" s="302"/>
      <c r="D851" s="302"/>
      <c r="E851" s="303"/>
      <c r="F851" s="302"/>
      <c r="G851" s="302"/>
      <c r="H851" s="302"/>
      <c r="I851" s="303"/>
      <c r="J851" s="302"/>
      <c r="K851" s="302"/>
      <c r="L851" s="302"/>
      <c r="M851" s="236"/>
    </row>
    <row r="852" spans="1:13" x14ac:dyDescent="0.2">
      <c r="A852" s="237"/>
      <c r="B852" s="303"/>
      <c r="C852" s="303"/>
      <c r="D852" s="303"/>
      <c r="E852" s="303"/>
      <c r="F852" s="303"/>
      <c r="G852" s="303"/>
      <c r="H852" s="303"/>
      <c r="I852" s="303"/>
      <c r="J852" s="303"/>
      <c r="K852" s="303"/>
      <c r="L852" s="303"/>
      <c r="M852" s="236"/>
    </row>
    <row r="853" spans="1:13" x14ac:dyDescent="0.2">
      <c r="A853" s="237"/>
      <c r="B853" s="237"/>
      <c r="C853" s="237"/>
      <c r="D853" s="237"/>
      <c r="E853" s="237"/>
      <c r="F853" s="237"/>
      <c r="G853" s="237"/>
      <c r="H853" s="237"/>
      <c r="I853" s="237"/>
      <c r="J853" s="237"/>
      <c r="K853" s="237"/>
      <c r="L853" s="240"/>
      <c r="M853" s="236"/>
    </row>
    <row r="854" spans="1:13" x14ac:dyDescent="0.2">
      <c r="A854" s="237"/>
      <c r="B854" s="237"/>
      <c r="C854" s="237"/>
      <c r="D854" s="237"/>
      <c r="E854" s="237"/>
      <c r="F854" s="237"/>
      <c r="G854" s="237"/>
      <c r="H854" s="237"/>
      <c r="I854" s="237"/>
      <c r="J854" s="237"/>
      <c r="K854" s="237"/>
      <c r="L854" s="284"/>
      <c r="M854" s="236"/>
    </row>
    <row r="855" spans="1:13" x14ac:dyDescent="0.2">
      <c r="A855" s="258"/>
      <c r="B855" s="241"/>
      <c r="C855" s="241"/>
      <c r="D855" s="241"/>
      <c r="E855" s="241"/>
      <c r="F855" s="241"/>
      <c r="G855" s="241"/>
      <c r="H855" s="241"/>
      <c r="I855" s="241"/>
      <c r="J855" s="241"/>
      <c r="K855" s="241"/>
      <c r="L855" s="236"/>
      <c r="M855" s="236"/>
    </row>
    <row r="856" spans="1:13" x14ac:dyDescent="0.2">
      <c r="A856" s="241"/>
      <c r="B856" s="375"/>
      <c r="C856" s="375"/>
      <c r="D856" s="375"/>
      <c r="E856" s="253"/>
      <c r="F856" s="375"/>
      <c r="G856" s="375"/>
      <c r="H856" s="375"/>
      <c r="I856" s="253"/>
      <c r="J856" s="375"/>
      <c r="K856" s="375"/>
      <c r="L856" s="375"/>
      <c r="M856" s="236"/>
    </row>
    <row r="857" spans="1:13" x14ac:dyDescent="0.2">
      <c r="A857" s="258"/>
      <c r="B857" s="259"/>
      <c r="C857" s="259"/>
      <c r="D857" s="259"/>
      <c r="E857" s="259"/>
      <c r="F857" s="259"/>
      <c r="G857" s="259"/>
      <c r="H857" s="259"/>
      <c r="I857" s="259"/>
      <c r="J857" s="259"/>
      <c r="K857" s="259"/>
      <c r="L857" s="259"/>
      <c r="M857" s="236"/>
    </row>
    <row r="858" spans="1:13" x14ac:dyDescent="0.2">
      <c r="A858" s="258"/>
      <c r="B858" s="259"/>
      <c r="C858" s="259"/>
      <c r="D858" s="259"/>
      <c r="E858" s="259"/>
      <c r="F858" s="259"/>
      <c r="G858" s="259"/>
      <c r="H858" s="259"/>
      <c r="I858" s="259"/>
      <c r="J858" s="259"/>
      <c r="K858" s="259"/>
      <c r="L858" s="259"/>
      <c r="M858" s="236"/>
    </row>
    <row r="859" spans="1:13" x14ac:dyDescent="0.2">
      <c r="A859" s="237"/>
      <c r="B859" s="302"/>
      <c r="C859" s="302"/>
      <c r="D859" s="302"/>
      <c r="E859" s="303"/>
      <c r="F859" s="302"/>
      <c r="G859" s="302"/>
      <c r="H859" s="302"/>
      <c r="I859" s="303"/>
      <c r="J859" s="302"/>
      <c r="K859" s="302"/>
      <c r="L859" s="302"/>
      <c r="M859" s="236"/>
    </row>
    <row r="860" spans="1:13" x14ac:dyDescent="0.2">
      <c r="A860" s="237"/>
      <c r="B860" s="302"/>
      <c r="C860" s="302"/>
      <c r="D860" s="302"/>
      <c r="E860" s="303"/>
      <c r="F860" s="302"/>
      <c r="G860" s="302"/>
      <c r="H860" s="302"/>
      <c r="I860" s="303"/>
      <c r="J860" s="302"/>
      <c r="K860" s="302"/>
      <c r="L860" s="302"/>
      <c r="M860" s="236"/>
    </row>
    <row r="861" spans="1:13" x14ac:dyDescent="0.2">
      <c r="A861" s="237"/>
      <c r="B861" s="302"/>
      <c r="C861" s="302"/>
      <c r="D861" s="302"/>
      <c r="E861" s="303"/>
      <c r="F861" s="302"/>
      <c r="G861" s="302"/>
      <c r="H861" s="302"/>
      <c r="I861" s="303"/>
      <c r="J861" s="302"/>
      <c r="K861" s="302"/>
      <c r="L861" s="302"/>
      <c r="M861" s="236"/>
    </row>
    <row r="862" spans="1:13" x14ac:dyDescent="0.2">
      <c r="A862" s="237"/>
      <c r="B862" s="302"/>
      <c r="C862" s="302"/>
      <c r="D862" s="302"/>
      <c r="E862" s="303"/>
      <c r="F862" s="302"/>
      <c r="G862" s="302"/>
      <c r="H862" s="302"/>
      <c r="I862" s="303"/>
      <c r="J862" s="302"/>
      <c r="K862" s="302"/>
      <c r="L862" s="302"/>
      <c r="M862" s="236"/>
    </row>
    <row r="863" spans="1:13" x14ac:dyDescent="0.2">
      <c r="A863" s="237"/>
      <c r="B863" s="302"/>
      <c r="C863" s="302"/>
      <c r="D863" s="302"/>
      <c r="E863" s="303"/>
      <c r="F863" s="302"/>
      <c r="G863" s="302"/>
      <c r="H863" s="302"/>
      <c r="I863" s="303"/>
      <c r="J863" s="302"/>
      <c r="K863" s="302"/>
      <c r="L863" s="302"/>
      <c r="M863" s="236"/>
    </row>
    <row r="864" spans="1:13" x14ac:dyDescent="0.2">
      <c r="A864" s="237"/>
      <c r="B864" s="302"/>
      <c r="C864" s="302"/>
      <c r="D864" s="302"/>
      <c r="E864" s="303"/>
      <c r="F864" s="302"/>
      <c r="G864" s="302"/>
      <c r="H864" s="302"/>
      <c r="I864" s="303"/>
      <c r="J864" s="302"/>
      <c r="K864" s="302"/>
      <c r="L864" s="302"/>
      <c r="M864" s="236"/>
    </row>
    <row r="865" spans="1:13" x14ac:dyDescent="0.2">
      <c r="A865" s="237"/>
      <c r="B865" s="302"/>
      <c r="C865" s="302"/>
      <c r="D865" s="302"/>
      <c r="E865" s="303"/>
      <c r="F865" s="302"/>
      <c r="G865" s="302"/>
      <c r="H865" s="302"/>
      <c r="I865" s="303"/>
      <c r="J865" s="302"/>
      <c r="K865" s="302"/>
      <c r="L865" s="302"/>
      <c r="M865" s="236"/>
    </row>
    <row r="866" spans="1:13" x14ac:dyDescent="0.2">
      <c r="A866" s="237"/>
      <c r="B866" s="302"/>
      <c r="C866" s="302"/>
      <c r="D866" s="302"/>
      <c r="E866" s="303"/>
      <c r="F866" s="302"/>
      <c r="G866" s="302"/>
      <c r="H866" s="302"/>
      <c r="I866" s="303"/>
      <c r="J866" s="302"/>
      <c r="K866" s="302"/>
      <c r="L866" s="302"/>
      <c r="M866" s="236"/>
    </row>
    <row r="867" spans="1:13" x14ac:dyDescent="0.2">
      <c r="A867" s="237"/>
      <c r="B867" s="302"/>
      <c r="C867" s="302"/>
      <c r="D867" s="302"/>
      <c r="E867" s="303"/>
      <c r="F867" s="302"/>
      <c r="G867" s="302"/>
      <c r="H867" s="302"/>
      <c r="I867" s="303"/>
      <c r="J867" s="302"/>
      <c r="K867" s="302"/>
      <c r="L867" s="302"/>
      <c r="M867" s="236"/>
    </row>
    <row r="868" spans="1:13" x14ac:dyDescent="0.2">
      <c r="A868" s="237"/>
      <c r="B868" s="302"/>
      <c r="C868" s="302"/>
      <c r="D868" s="302"/>
      <c r="E868" s="303"/>
      <c r="F868" s="302"/>
      <c r="G868" s="302"/>
      <c r="H868" s="302"/>
      <c r="I868" s="303"/>
      <c r="J868" s="302"/>
      <c r="K868" s="302"/>
      <c r="L868" s="302"/>
      <c r="M868" s="236"/>
    </row>
    <row r="869" spans="1:13" x14ac:dyDescent="0.2">
      <c r="A869" s="237"/>
      <c r="B869" s="303"/>
      <c r="C869" s="303"/>
      <c r="D869" s="303"/>
      <c r="E869" s="303"/>
      <c r="F869" s="303"/>
      <c r="G869" s="303"/>
      <c r="H869" s="303"/>
      <c r="I869" s="303"/>
      <c r="J869" s="303"/>
      <c r="K869" s="303"/>
      <c r="L869" s="303"/>
      <c r="M869" s="236"/>
    </row>
    <row r="870" spans="1:13" x14ac:dyDescent="0.2">
      <c r="A870" s="237"/>
      <c r="B870" s="237"/>
      <c r="C870" s="237"/>
      <c r="D870" s="237"/>
      <c r="E870" s="237"/>
      <c r="F870" s="237"/>
      <c r="G870" s="237"/>
      <c r="H870" s="237"/>
      <c r="I870" s="237"/>
      <c r="J870" s="237"/>
      <c r="K870" s="237"/>
      <c r="L870" s="240"/>
      <c r="M870" s="236"/>
    </row>
    <row r="871" spans="1:13" x14ac:dyDescent="0.2">
      <c r="A871" s="237"/>
      <c r="B871" s="237"/>
      <c r="C871" s="237"/>
      <c r="D871" s="237"/>
      <c r="E871" s="237"/>
      <c r="F871" s="237"/>
      <c r="G871" s="237"/>
      <c r="H871" s="237"/>
      <c r="I871" s="237"/>
      <c r="J871" s="237"/>
      <c r="K871" s="237"/>
      <c r="L871" s="284"/>
      <c r="M871" s="236"/>
    </row>
    <row r="872" spans="1:13" x14ac:dyDescent="0.2">
      <c r="A872" s="258"/>
      <c r="B872" s="241"/>
      <c r="C872" s="241"/>
      <c r="D872" s="241"/>
      <c r="E872" s="241"/>
      <c r="F872" s="241"/>
      <c r="G872" s="241"/>
      <c r="H872" s="241"/>
      <c r="I872" s="241"/>
      <c r="J872" s="241"/>
      <c r="K872" s="241"/>
      <c r="L872" s="236"/>
      <c r="M872" s="236"/>
    </row>
    <row r="873" spans="1:13" x14ac:dyDescent="0.2">
      <c r="A873" s="241"/>
      <c r="B873" s="375"/>
      <c r="C873" s="375"/>
      <c r="D873" s="375"/>
      <c r="E873" s="253"/>
      <c r="F873" s="375"/>
      <c r="G873" s="375"/>
      <c r="H873" s="375"/>
      <c r="I873" s="253"/>
      <c r="J873" s="375"/>
      <c r="K873" s="375"/>
      <c r="L873" s="375"/>
      <c r="M873" s="236"/>
    </row>
    <row r="874" spans="1:13" x14ac:dyDescent="0.2">
      <c r="A874" s="258"/>
      <c r="B874" s="259"/>
      <c r="C874" s="259"/>
      <c r="D874" s="259"/>
      <c r="E874" s="259"/>
      <c r="F874" s="259"/>
      <c r="G874" s="259"/>
      <c r="H874" s="259"/>
      <c r="I874" s="259"/>
      <c r="J874" s="259"/>
      <c r="K874" s="259"/>
      <c r="L874" s="259"/>
      <c r="M874" s="236"/>
    </row>
    <row r="875" spans="1:13" x14ac:dyDescent="0.2">
      <c r="A875" s="258"/>
      <c r="B875" s="259"/>
      <c r="C875" s="259"/>
      <c r="D875" s="259"/>
      <c r="E875" s="259"/>
      <c r="F875" s="259"/>
      <c r="G875" s="259"/>
      <c r="H875" s="259"/>
      <c r="I875" s="259"/>
      <c r="J875" s="259"/>
      <c r="K875" s="259"/>
      <c r="L875" s="259"/>
      <c r="M875" s="236"/>
    </row>
    <row r="876" spans="1:13" x14ac:dyDescent="0.2">
      <c r="A876" s="237"/>
      <c r="B876" s="302"/>
      <c r="C876" s="302"/>
      <c r="D876" s="302"/>
      <c r="E876" s="303"/>
      <c r="F876" s="302"/>
      <c r="G876" s="302"/>
      <c r="H876" s="302"/>
      <c r="I876" s="303"/>
      <c r="J876" s="302"/>
      <c r="K876" s="302"/>
      <c r="L876" s="302"/>
      <c r="M876" s="236"/>
    </row>
    <row r="877" spans="1:13" x14ac:dyDescent="0.2">
      <c r="A877" s="237"/>
      <c r="B877" s="302"/>
      <c r="C877" s="302"/>
      <c r="D877" s="302"/>
      <c r="E877" s="303"/>
      <c r="F877" s="302"/>
      <c r="G877" s="302"/>
      <c r="H877" s="302"/>
      <c r="I877" s="303"/>
      <c r="J877" s="302"/>
      <c r="K877" s="302"/>
      <c r="L877" s="302"/>
      <c r="M877" s="236"/>
    </row>
    <row r="878" spans="1:13" x14ac:dyDescent="0.2">
      <c r="A878" s="237"/>
      <c r="B878" s="302"/>
      <c r="C878" s="302"/>
      <c r="D878" s="302"/>
      <c r="E878" s="303"/>
      <c r="F878" s="302"/>
      <c r="G878" s="302"/>
      <c r="H878" s="302"/>
      <c r="I878" s="303"/>
      <c r="J878" s="302"/>
      <c r="K878" s="302"/>
      <c r="L878" s="302"/>
      <c r="M878" s="236"/>
    </row>
    <row r="879" spans="1:13" x14ac:dyDescent="0.2">
      <c r="A879" s="237"/>
      <c r="B879" s="302"/>
      <c r="C879" s="302"/>
      <c r="D879" s="302"/>
      <c r="E879" s="303"/>
      <c r="F879" s="302"/>
      <c r="G879" s="302"/>
      <c r="H879" s="302"/>
      <c r="I879" s="303"/>
      <c r="J879" s="302"/>
      <c r="K879" s="302"/>
      <c r="L879" s="302"/>
      <c r="M879" s="236"/>
    </row>
    <row r="880" spans="1:13" x14ac:dyDescent="0.2">
      <c r="A880" s="237"/>
      <c r="B880" s="302"/>
      <c r="C880" s="302"/>
      <c r="D880" s="302"/>
      <c r="E880" s="303"/>
      <c r="F880" s="302"/>
      <c r="G880" s="302"/>
      <c r="H880" s="302"/>
      <c r="I880" s="303"/>
      <c r="J880" s="302"/>
      <c r="K880" s="302"/>
      <c r="L880" s="302"/>
      <c r="M880" s="236"/>
    </row>
    <row r="881" spans="1:13" x14ac:dyDescent="0.2">
      <c r="A881" s="237"/>
      <c r="B881" s="302"/>
      <c r="C881" s="302"/>
      <c r="D881" s="302"/>
      <c r="E881" s="303"/>
      <c r="F881" s="302"/>
      <c r="G881" s="302"/>
      <c r="H881" s="302"/>
      <c r="I881" s="303"/>
      <c r="J881" s="302"/>
      <c r="K881" s="302"/>
      <c r="L881" s="302"/>
      <c r="M881" s="236"/>
    </row>
    <row r="882" spans="1:13" x14ac:dyDescent="0.2">
      <c r="A882" s="237"/>
      <c r="B882" s="302"/>
      <c r="C882" s="302"/>
      <c r="D882" s="302"/>
      <c r="E882" s="303"/>
      <c r="F882" s="302"/>
      <c r="G882" s="302"/>
      <c r="H882" s="302"/>
      <c r="I882" s="303"/>
      <c r="J882" s="302"/>
      <c r="K882" s="302"/>
      <c r="L882" s="302"/>
      <c r="M882" s="236"/>
    </row>
    <row r="883" spans="1:13" x14ac:dyDescent="0.2">
      <c r="A883" s="237"/>
      <c r="B883" s="302"/>
      <c r="C883" s="302"/>
      <c r="D883" s="302"/>
      <c r="E883" s="303"/>
      <c r="F883" s="302"/>
      <c r="G883" s="302"/>
      <c r="H883" s="302"/>
      <c r="I883" s="303"/>
      <c r="J883" s="302"/>
      <c r="K883" s="302"/>
      <c r="L883" s="302"/>
      <c r="M883" s="236"/>
    </row>
    <row r="884" spans="1:13" x14ac:dyDescent="0.2">
      <c r="A884" s="237"/>
      <c r="B884" s="302"/>
      <c r="C884" s="302"/>
      <c r="D884" s="302"/>
      <c r="E884" s="303"/>
      <c r="F884" s="302"/>
      <c r="G884" s="302"/>
      <c r="H884" s="302"/>
      <c r="I884" s="303"/>
      <c r="J884" s="302"/>
      <c r="K884" s="302"/>
      <c r="L884" s="302"/>
      <c r="M884" s="236"/>
    </row>
    <row r="885" spans="1:13" x14ac:dyDescent="0.2">
      <c r="A885" s="237"/>
      <c r="B885" s="302"/>
      <c r="C885" s="302"/>
      <c r="D885" s="302"/>
      <c r="E885" s="303"/>
      <c r="F885" s="302"/>
      <c r="G885" s="302"/>
      <c r="H885" s="302"/>
      <c r="I885" s="303"/>
      <c r="J885" s="302"/>
      <c r="K885" s="302"/>
      <c r="L885" s="302"/>
      <c r="M885" s="236"/>
    </row>
    <row r="886" spans="1:13" x14ac:dyDescent="0.2">
      <c r="A886" s="237"/>
      <c r="B886" s="303"/>
      <c r="C886" s="303"/>
      <c r="D886" s="303"/>
      <c r="E886" s="303"/>
      <c r="F886" s="303"/>
      <c r="G886" s="303"/>
      <c r="H886" s="303"/>
      <c r="I886" s="303"/>
      <c r="J886" s="303"/>
      <c r="K886" s="303"/>
      <c r="L886" s="303"/>
      <c r="M886" s="236"/>
    </row>
    <row r="887" spans="1:13" x14ac:dyDescent="0.2">
      <c r="A887" s="237"/>
      <c r="B887" s="237"/>
      <c r="C887" s="237"/>
      <c r="D887" s="237"/>
      <c r="E887" s="237"/>
      <c r="F887" s="237"/>
      <c r="G887" s="237"/>
      <c r="H887" s="237"/>
      <c r="I887" s="237"/>
      <c r="J887" s="237"/>
      <c r="K887" s="237"/>
      <c r="L887" s="240"/>
      <c r="M887" s="236"/>
    </row>
    <row r="888" spans="1:13" x14ac:dyDescent="0.2">
      <c r="A888" s="237"/>
      <c r="B888" s="237"/>
      <c r="C888" s="237"/>
      <c r="D888" s="237"/>
      <c r="E888" s="237"/>
      <c r="F888" s="237"/>
      <c r="G888" s="237"/>
      <c r="H888" s="237"/>
      <c r="I888" s="237"/>
      <c r="J888" s="237"/>
      <c r="K888" s="237"/>
      <c r="L888" s="284"/>
      <c r="M888" s="236"/>
    </row>
    <row r="889" spans="1:13" x14ac:dyDescent="0.2">
      <c r="A889" s="258"/>
      <c r="B889" s="241"/>
      <c r="C889" s="241"/>
      <c r="D889" s="241"/>
      <c r="E889" s="241"/>
      <c r="F889" s="241"/>
      <c r="G889" s="241"/>
      <c r="H889" s="241"/>
      <c r="I889" s="241"/>
      <c r="J889" s="241"/>
      <c r="K889" s="241"/>
      <c r="L889" s="236"/>
      <c r="M889" s="236"/>
    </row>
    <row r="890" spans="1:13" x14ac:dyDescent="0.2">
      <c r="A890" s="241"/>
      <c r="B890" s="375"/>
      <c r="C890" s="375"/>
      <c r="D890" s="375"/>
      <c r="E890" s="253"/>
      <c r="F890" s="375"/>
      <c r="G890" s="375"/>
      <c r="H890" s="375"/>
      <c r="I890" s="253"/>
      <c r="J890" s="375"/>
      <c r="K890" s="375"/>
      <c r="L890" s="375"/>
      <c r="M890" s="236"/>
    </row>
    <row r="891" spans="1:13" x14ac:dyDescent="0.2">
      <c r="A891" s="258"/>
      <c r="B891" s="259"/>
      <c r="C891" s="259"/>
      <c r="D891" s="259"/>
      <c r="E891" s="259"/>
      <c r="F891" s="259"/>
      <c r="G891" s="259"/>
      <c r="H891" s="259"/>
      <c r="I891" s="259"/>
      <c r="J891" s="259"/>
      <c r="K891" s="259"/>
      <c r="L891" s="259"/>
      <c r="M891" s="236"/>
    </row>
    <row r="892" spans="1:13" x14ac:dyDescent="0.2">
      <c r="A892" s="258"/>
      <c r="B892" s="259"/>
      <c r="C892" s="259"/>
      <c r="D892" s="259"/>
      <c r="E892" s="259"/>
      <c r="F892" s="259"/>
      <c r="G892" s="259"/>
      <c r="H892" s="259"/>
      <c r="I892" s="259"/>
      <c r="J892" s="259"/>
      <c r="K892" s="259"/>
      <c r="L892" s="259"/>
      <c r="M892" s="236"/>
    </row>
    <row r="893" spans="1:13" x14ac:dyDescent="0.2">
      <c r="A893" s="237"/>
      <c r="B893" s="302"/>
      <c r="C893" s="302"/>
      <c r="D893" s="302"/>
      <c r="E893" s="303"/>
      <c r="F893" s="302"/>
      <c r="G893" s="302"/>
      <c r="H893" s="302"/>
      <c r="I893" s="303"/>
      <c r="J893" s="302"/>
      <c r="K893" s="302"/>
      <c r="L893" s="302"/>
      <c r="M893" s="236"/>
    </row>
    <row r="894" spans="1:13" x14ac:dyDescent="0.2">
      <c r="A894" s="237"/>
      <c r="B894" s="302"/>
      <c r="C894" s="302"/>
      <c r="D894" s="302"/>
      <c r="E894" s="303"/>
      <c r="F894" s="302"/>
      <c r="G894" s="302"/>
      <c r="H894" s="302"/>
      <c r="I894" s="303"/>
      <c r="J894" s="302"/>
      <c r="K894" s="302"/>
      <c r="L894" s="302"/>
      <c r="M894" s="236"/>
    </row>
    <row r="895" spans="1:13" x14ac:dyDescent="0.2">
      <c r="A895" s="237"/>
      <c r="B895" s="302"/>
      <c r="C895" s="302"/>
      <c r="D895" s="302"/>
      <c r="E895" s="303"/>
      <c r="F895" s="302"/>
      <c r="G895" s="302"/>
      <c r="H895" s="302"/>
      <c r="I895" s="303"/>
      <c r="J895" s="302"/>
      <c r="K895" s="302"/>
      <c r="L895" s="302"/>
      <c r="M895" s="236"/>
    </row>
    <row r="896" spans="1:13" x14ac:dyDescent="0.2">
      <c r="A896" s="237"/>
      <c r="B896" s="302"/>
      <c r="C896" s="302"/>
      <c r="D896" s="302"/>
      <c r="E896" s="303"/>
      <c r="F896" s="302"/>
      <c r="G896" s="302"/>
      <c r="H896" s="302"/>
      <c r="I896" s="303"/>
      <c r="J896" s="302"/>
      <c r="K896" s="302"/>
      <c r="L896" s="302"/>
      <c r="M896" s="236"/>
    </row>
    <row r="897" spans="1:13" x14ac:dyDescent="0.2">
      <c r="A897" s="237"/>
      <c r="B897" s="302"/>
      <c r="C897" s="302"/>
      <c r="D897" s="302"/>
      <c r="E897" s="303"/>
      <c r="F897" s="302"/>
      <c r="G897" s="302"/>
      <c r="H897" s="302"/>
      <c r="I897" s="303"/>
      <c r="J897" s="302"/>
      <c r="K897" s="302"/>
      <c r="L897" s="302"/>
      <c r="M897" s="236"/>
    </row>
    <row r="898" spans="1:13" x14ac:dyDescent="0.2">
      <c r="A898" s="237"/>
      <c r="B898" s="302"/>
      <c r="C898" s="302"/>
      <c r="D898" s="302"/>
      <c r="E898" s="303"/>
      <c r="F898" s="302"/>
      <c r="G898" s="302"/>
      <c r="H898" s="302"/>
      <c r="I898" s="303"/>
      <c r="J898" s="302"/>
      <c r="K898" s="302"/>
      <c r="L898" s="302"/>
      <c r="M898" s="236"/>
    </row>
    <row r="899" spans="1:13" x14ac:dyDescent="0.2">
      <c r="A899" s="237"/>
      <c r="B899" s="302"/>
      <c r="C899" s="302"/>
      <c r="D899" s="302"/>
      <c r="E899" s="303"/>
      <c r="F899" s="302"/>
      <c r="G899" s="302"/>
      <c r="H899" s="302"/>
      <c r="I899" s="303"/>
      <c r="J899" s="302"/>
      <c r="K899" s="302"/>
      <c r="L899" s="302"/>
      <c r="M899" s="236"/>
    </row>
    <row r="900" spans="1:13" x14ac:dyDescent="0.2">
      <c r="A900" s="237"/>
      <c r="B900" s="302"/>
      <c r="C900" s="302"/>
      <c r="D900" s="302"/>
      <c r="E900" s="303"/>
      <c r="F900" s="302"/>
      <c r="G900" s="302"/>
      <c r="H900" s="302"/>
      <c r="I900" s="303"/>
      <c r="J900" s="302"/>
      <c r="K900" s="302"/>
      <c r="L900" s="302"/>
      <c r="M900" s="236"/>
    </row>
    <row r="901" spans="1:13" x14ac:dyDescent="0.2">
      <c r="A901" s="237"/>
      <c r="B901" s="302"/>
      <c r="C901" s="302"/>
      <c r="D901" s="302"/>
      <c r="E901" s="303"/>
      <c r="F901" s="302"/>
      <c r="G901" s="302"/>
      <c r="H901" s="302"/>
      <c r="I901" s="303"/>
      <c r="J901" s="302"/>
      <c r="K901" s="302"/>
      <c r="L901" s="302"/>
      <c r="M901" s="236"/>
    </row>
    <row r="902" spans="1:13" x14ac:dyDescent="0.2">
      <c r="A902" s="237"/>
      <c r="B902" s="302"/>
      <c r="C902" s="302"/>
      <c r="D902" s="302"/>
      <c r="E902" s="303"/>
      <c r="F902" s="302"/>
      <c r="G902" s="302"/>
      <c r="H902" s="302"/>
      <c r="I902" s="303"/>
      <c r="J902" s="302"/>
      <c r="K902" s="302"/>
      <c r="L902" s="302"/>
      <c r="M902" s="236"/>
    </row>
    <row r="903" spans="1:13" x14ac:dyDescent="0.2">
      <c r="A903" s="237"/>
      <c r="B903" s="303"/>
      <c r="C903" s="303"/>
      <c r="D903" s="303"/>
      <c r="E903" s="303"/>
      <c r="F903" s="303"/>
      <c r="G903" s="303"/>
      <c r="H903" s="303"/>
      <c r="I903" s="303"/>
      <c r="J903" s="303"/>
      <c r="K903" s="303"/>
      <c r="L903" s="303"/>
      <c r="M903" s="236"/>
    </row>
    <row r="904" spans="1:13" x14ac:dyDescent="0.2">
      <c r="A904" s="237"/>
      <c r="B904" s="237"/>
      <c r="C904" s="237"/>
      <c r="D904" s="237"/>
      <c r="E904" s="237"/>
      <c r="F904" s="237"/>
      <c r="G904" s="237"/>
      <c r="H904" s="237"/>
      <c r="I904" s="237"/>
      <c r="J904" s="237"/>
      <c r="K904" s="237"/>
      <c r="L904" s="240"/>
      <c r="M904" s="236"/>
    </row>
    <row r="905" spans="1:13" x14ac:dyDescent="0.2">
      <c r="A905" s="237"/>
      <c r="B905" s="237"/>
      <c r="C905" s="237"/>
      <c r="D905" s="237"/>
      <c r="E905" s="237"/>
      <c r="F905" s="237"/>
      <c r="G905" s="237"/>
      <c r="H905" s="237"/>
      <c r="I905" s="237"/>
      <c r="J905" s="237"/>
      <c r="K905" s="237"/>
      <c r="L905" s="284"/>
      <c r="M905" s="236"/>
    </row>
    <row r="906" spans="1:13" x14ac:dyDescent="0.2">
      <c r="A906" s="258"/>
      <c r="B906" s="241"/>
      <c r="C906" s="241"/>
      <c r="D906" s="241"/>
      <c r="E906" s="241"/>
      <c r="F906" s="241"/>
      <c r="G906" s="241"/>
      <c r="H906" s="241"/>
      <c r="I906" s="241"/>
      <c r="J906" s="241"/>
      <c r="K906" s="241"/>
      <c r="L906" s="236"/>
      <c r="M906" s="236"/>
    </row>
    <row r="907" spans="1:13" x14ac:dyDescent="0.2">
      <c r="A907" s="241"/>
      <c r="B907" s="375"/>
      <c r="C907" s="375"/>
      <c r="D907" s="375"/>
      <c r="E907" s="253"/>
      <c r="F907" s="375"/>
      <c r="G907" s="375"/>
      <c r="H907" s="375"/>
      <c r="I907" s="253"/>
      <c r="J907" s="375"/>
      <c r="K907" s="375"/>
      <c r="L907" s="375"/>
      <c r="M907" s="236"/>
    </row>
    <row r="908" spans="1:13" x14ac:dyDescent="0.2">
      <c r="A908" s="258"/>
      <c r="B908" s="259"/>
      <c r="C908" s="259"/>
      <c r="D908" s="259"/>
      <c r="E908" s="259"/>
      <c r="F908" s="259"/>
      <c r="G908" s="259"/>
      <c r="H908" s="259"/>
      <c r="I908" s="259"/>
      <c r="J908" s="259"/>
      <c r="K908" s="259"/>
      <c r="L908" s="259"/>
      <c r="M908" s="236"/>
    </row>
    <row r="909" spans="1:13" x14ac:dyDescent="0.2">
      <c r="A909" s="258"/>
      <c r="B909" s="259"/>
      <c r="C909" s="259"/>
      <c r="D909" s="259"/>
      <c r="E909" s="259"/>
      <c r="F909" s="259"/>
      <c r="G909" s="259"/>
      <c r="H909" s="259"/>
      <c r="I909" s="259"/>
      <c r="J909" s="259"/>
      <c r="K909" s="259"/>
      <c r="L909" s="259"/>
      <c r="M909" s="236"/>
    </row>
    <row r="910" spans="1:13" x14ac:dyDescent="0.2">
      <c r="A910" s="237"/>
      <c r="B910" s="302"/>
      <c r="C910" s="302"/>
      <c r="D910" s="302"/>
      <c r="E910" s="303"/>
      <c r="F910" s="302"/>
      <c r="G910" s="302"/>
      <c r="H910" s="302"/>
      <c r="I910" s="303"/>
      <c r="J910" s="302"/>
      <c r="K910" s="302"/>
      <c r="L910" s="302"/>
      <c r="M910" s="236"/>
    </row>
    <row r="911" spans="1:13" x14ac:dyDescent="0.2">
      <c r="A911" s="237"/>
      <c r="B911" s="302"/>
      <c r="C911" s="302"/>
      <c r="D911" s="302"/>
      <c r="E911" s="303"/>
      <c r="F911" s="302"/>
      <c r="G911" s="302"/>
      <c r="H911" s="302"/>
      <c r="I911" s="303"/>
      <c r="J911" s="302"/>
      <c r="K911" s="302"/>
      <c r="L911" s="302"/>
      <c r="M911" s="236"/>
    </row>
    <row r="912" spans="1:13" x14ac:dyDescent="0.2">
      <c r="A912" s="237"/>
      <c r="B912" s="302"/>
      <c r="C912" s="302"/>
      <c r="D912" s="302"/>
      <c r="E912" s="303"/>
      <c r="F912" s="302"/>
      <c r="G912" s="302"/>
      <c r="H912" s="302"/>
      <c r="I912" s="303"/>
      <c r="J912" s="302"/>
      <c r="K912" s="302"/>
      <c r="L912" s="302"/>
      <c r="M912" s="236"/>
    </row>
    <row r="913" spans="1:13" x14ac:dyDescent="0.2">
      <c r="A913" s="237"/>
      <c r="B913" s="302"/>
      <c r="C913" s="302"/>
      <c r="D913" s="302"/>
      <c r="E913" s="303"/>
      <c r="F913" s="302"/>
      <c r="G913" s="302"/>
      <c r="H913" s="302"/>
      <c r="I913" s="303"/>
      <c r="J913" s="302"/>
      <c r="K913" s="302"/>
      <c r="L913" s="302"/>
      <c r="M913" s="236"/>
    </row>
    <row r="914" spans="1:13" x14ac:dyDescent="0.2">
      <c r="A914" s="237"/>
      <c r="B914" s="302"/>
      <c r="C914" s="302"/>
      <c r="D914" s="302"/>
      <c r="E914" s="303"/>
      <c r="F914" s="302"/>
      <c r="G914" s="302"/>
      <c r="H914" s="302"/>
      <c r="I914" s="303"/>
      <c r="J914" s="302"/>
      <c r="K914" s="302"/>
      <c r="L914" s="302"/>
      <c r="M914" s="236"/>
    </row>
    <row r="915" spans="1:13" x14ac:dyDescent="0.2">
      <c r="A915" s="237"/>
      <c r="B915" s="302"/>
      <c r="C915" s="302"/>
      <c r="D915" s="302"/>
      <c r="E915" s="303"/>
      <c r="F915" s="302"/>
      <c r="G915" s="302"/>
      <c r="H915" s="302"/>
      <c r="I915" s="303"/>
      <c r="J915" s="302"/>
      <c r="K915" s="302"/>
      <c r="L915" s="302"/>
      <c r="M915" s="236"/>
    </row>
    <row r="916" spans="1:13" x14ac:dyDescent="0.2">
      <c r="A916" s="237"/>
      <c r="B916" s="302"/>
      <c r="C916" s="302"/>
      <c r="D916" s="302"/>
      <c r="E916" s="303"/>
      <c r="F916" s="302"/>
      <c r="G916" s="302"/>
      <c r="H916" s="302"/>
      <c r="I916" s="303"/>
      <c r="J916" s="302"/>
      <c r="K916" s="302"/>
      <c r="L916" s="302"/>
      <c r="M916" s="236"/>
    </row>
    <row r="917" spans="1:13" x14ac:dyDescent="0.2">
      <c r="A917" s="237"/>
      <c r="B917" s="302"/>
      <c r="C917" s="302"/>
      <c r="D917" s="302"/>
      <c r="E917" s="303"/>
      <c r="F917" s="302"/>
      <c r="G917" s="302"/>
      <c r="H917" s="302"/>
      <c r="I917" s="303"/>
      <c r="J917" s="302"/>
      <c r="K917" s="302"/>
      <c r="L917" s="302"/>
      <c r="M917" s="236"/>
    </row>
    <row r="918" spans="1:13" x14ac:dyDescent="0.2">
      <c r="A918" s="237"/>
      <c r="B918" s="302"/>
      <c r="C918" s="302"/>
      <c r="D918" s="302"/>
      <c r="E918" s="303"/>
      <c r="F918" s="302"/>
      <c r="G918" s="302"/>
      <c r="H918" s="302"/>
      <c r="I918" s="303"/>
      <c r="J918" s="302"/>
      <c r="K918" s="302"/>
      <c r="L918" s="302"/>
      <c r="M918" s="236"/>
    </row>
    <row r="919" spans="1:13" x14ac:dyDescent="0.2">
      <c r="A919" s="237"/>
      <c r="B919" s="302"/>
      <c r="C919" s="302"/>
      <c r="D919" s="302"/>
      <c r="E919" s="303"/>
      <c r="F919" s="302"/>
      <c r="G919" s="302"/>
      <c r="H919" s="302"/>
      <c r="I919" s="303"/>
      <c r="J919" s="302"/>
      <c r="K919" s="302"/>
      <c r="L919" s="302"/>
      <c r="M919" s="236"/>
    </row>
    <row r="920" spans="1:13" x14ac:dyDescent="0.2">
      <c r="A920" s="237"/>
      <c r="B920" s="303"/>
      <c r="C920" s="303"/>
      <c r="D920" s="303"/>
      <c r="E920" s="303"/>
      <c r="F920" s="303"/>
      <c r="G920" s="303"/>
      <c r="H920" s="303"/>
      <c r="I920" s="303"/>
      <c r="J920" s="303"/>
      <c r="K920" s="303"/>
      <c r="L920" s="303"/>
      <c r="M920" s="236"/>
    </row>
    <row r="921" spans="1:13" x14ac:dyDescent="0.2">
      <c r="A921" s="237"/>
      <c r="B921" s="237"/>
      <c r="C921" s="237"/>
      <c r="D921" s="237"/>
      <c r="E921" s="237"/>
      <c r="F921" s="237"/>
      <c r="G921" s="237"/>
      <c r="H921" s="237"/>
      <c r="I921" s="237"/>
      <c r="J921" s="237"/>
      <c r="K921" s="237"/>
      <c r="L921" s="240"/>
      <c r="M921" s="236"/>
    </row>
    <row r="922" spans="1:13" x14ac:dyDescent="0.2">
      <c r="A922" s="237"/>
      <c r="B922" s="237"/>
      <c r="C922" s="237"/>
      <c r="D922" s="237"/>
      <c r="E922" s="237"/>
      <c r="F922" s="237"/>
      <c r="G922" s="237"/>
      <c r="H922" s="237"/>
      <c r="I922" s="237"/>
      <c r="J922" s="237"/>
      <c r="K922" s="237"/>
      <c r="L922" s="284"/>
      <c r="M922" s="236"/>
    </row>
    <row r="923" spans="1:13" x14ac:dyDescent="0.2">
      <c r="A923" s="258"/>
      <c r="B923" s="241"/>
      <c r="C923" s="241"/>
      <c r="D923" s="241"/>
      <c r="E923" s="241"/>
      <c r="F923" s="241"/>
      <c r="G923" s="241"/>
      <c r="H923" s="241"/>
      <c r="I923" s="241"/>
      <c r="J923" s="241"/>
      <c r="K923" s="241"/>
      <c r="L923" s="236"/>
      <c r="M923" s="236"/>
    </row>
    <row r="924" spans="1:13" x14ac:dyDescent="0.2">
      <c r="A924" s="241"/>
      <c r="B924" s="375"/>
      <c r="C924" s="375"/>
      <c r="D924" s="375"/>
      <c r="E924" s="253"/>
      <c r="F924" s="375"/>
      <c r="G924" s="375"/>
      <c r="H924" s="375"/>
      <c r="I924" s="253"/>
      <c r="J924" s="375"/>
      <c r="K924" s="375"/>
      <c r="L924" s="375"/>
      <c r="M924" s="236"/>
    </row>
    <row r="925" spans="1:13" x14ac:dyDescent="0.2">
      <c r="A925" s="258"/>
      <c r="B925" s="259"/>
      <c r="C925" s="259"/>
      <c r="D925" s="259"/>
      <c r="E925" s="259"/>
      <c r="F925" s="259"/>
      <c r="G925" s="259"/>
      <c r="H925" s="259"/>
      <c r="I925" s="259"/>
      <c r="J925" s="259"/>
      <c r="K925" s="259"/>
      <c r="L925" s="259"/>
      <c r="M925" s="236"/>
    </row>
    <row r="926" spans="1:13" x14ac:dyDescent="0.2">
      <c r="A926" s="258"/>
      <c r="B926" s="259"/>
      <c r="C926" s="259"/>
      <c r="D926" s="259"/>
      <c r="E926" s="259"/>
      <c r="F926" s="259"/>
      <c r="G926" s="259"/>
      <c r="H926" s="259"/>
      <c r="I926" s="259"/>
      <c r="J926" s="259"/>
      <c r="K926" s="259"/>
      <c r="L926" s="259"/>
      <c r="M926" s="236"/>
    </row>
    <row r="927" spans="1:13" x14ac:dyDescent="0.2">
      <c r="A927" s="237"/>
      <c r="B927" s="302"/>
      <c r="C927" s="302"/>
      <c r="D927" s="302"/>
      <c r="E927" s="303"/>
      <c r="F927" s="302"/>
      <c r="G927" s="302"/>
      <c r="H927" s="302"/>
      <c r="I927" s="303"/>
      <c r="J927" s="302"/>
      <c r="K927" s="302"/>
      <c r="L927" s="302"/>
      <c r="M927" s="236"/>
    </row>
    <row r="928" spans="1:13" x14ac:dyDescent="0.2">
      <c r="A928" s="237"/>
      <c r="B928" s="302"/>
      <c r="C928" s="302"/>
      <c r="D928" s="302"/>
      <c r="E928" s="303"/>
      <c r="F928" s="302"/>
      <c r="G928" s="302"/>
      <c r="H928" s="302"/>
      <c r="I928" s="303"/>
      <c r="J928" s="302"/>
      <c r="K928" s="302"/>
      <c r="L928" s="302"/>
      <c r="M928" s="236"/>
    </row>
    <row r="929" spans="1:13" x14ac:dyDescent="0.2">
      <c r="A929" s="237"/>
      <c r="B929" s="302"/>
      <c r="C929" s="302"/>
      <c r="D929" s="302"/>
      <c r="E929" s="303"/>
      <c r="F929" s="302"/>
      <c r="G929" s="302"/>
      <c r="H929" s="302"/>
      <c r="I929" s="303"/>
      <c r="J929" s="302"/>
      <c r="K929" s="302"/>
      <c r="L929" s="302"/>
      <c r="M929" s="236"/>
    </row>
    <row r="930" spans="1:13" x14ac:dyDescent="0.2">
      <c r="A930" s="237"/>
      <c r="B930" s="302"/>
      <c r="C930" s="302"/>
      <c r="D930" s="302"/>
      <c r="E930" s="303"/>
      <c r="F930" s="302"/>
      <c r="G930" s="302"/>
      <c r="H930" s="302"/>
      <c r="I930" s="303"/>
      <c r="J930" s="302"/>
      <c r="K930" s="302"/>
      <c r="L930" s="302"/>
      <c r="M930" s="236"/>
    </row>
    <row r="931" spans="1:13" x14ac:dyDescent="0.2">
      <c r="A931" s="237"/>
      <c r="B931" s="302"/>
      <c r="C931" s="302"/>
      <c r="D931" s="302"/>
      <c r="E931" s="303"/>
      <c r="F931" s="302"/>
      <c r="G931" s="302"/>
      <c r="H931" s="302"/>
      <c r="I931" s="303"/>
      <c r="J931" s="302"/>
      <c r="K931" s="302"/>
      <c r="L931" s="302"/>
      <c r="M931" s="236"/>
    </row>
    <row r="932" spans="1:13" x14ac:dyDescent="0.2">
      <c r="A932" s="237"/>
      <c r="B932" s="302"/>
      <c r="C932" s="302"/>
      <c r="D932" s="302"/>
      <c r="E932" s="303"/>
      <c r="F932" s="302"/>
      <c r="G932" s="302"/>
      <c r="H932" s="302"/>
      <c r="I932" s="303"/>
      <c r="J932" s="302"/>
      <c r="K932" s="302"/>
      <c r="L932" s="302"/>
      <c r="M932" s="236"/>
    </row>
    <row r="933" spans="1:13" x14ac:dyDescent="0.2">
      <c r="A933" s="237"/>
      <c r="B933" s="302"/>
      <c r="C933" s="302"/>
      <c r="D933" s="302"/>
      <c r="E933" s="303"/>
      <c r="F933" s="302"/>
      <c r="G933" s="302"/>
      <c r="H933" s="302"/>
      <c r="I933" s="303"/>
      <c r="J933" s="302"/>
      <c r="K933" s="302"/>
      <c r="L933" s="302"/>
      <c r="M933" s="236"/>
    </row>
    <row r="934" spans="1:13" x14ac:dyDescent="0.2">
      <c r="A934" s="237"/>
      <c r="B934" s="302"/>
      <c r="C934" s="302"/>
      <c r="D934" s="302"/>
      <c r="E934" s="303"/>
      <c r="F934" s="302"/>
      <c r="G934" s="302"/>
      <c r="H934" s="302"/>
      <c r="I934" s="303"/>
      <c r="J934" s="302"/>
      <c r="K934" s="302"/>
      <c r="L934" s="302"/>
      <c r="M934" s="236"/>
    </row>
    <row r="935" spans="1:13" x14ac:dyDescent="0.2">
      <c r="A935" s="237"/>
      <c r="B935" s="302"/>
      <c r="C935" s="302"/>
      <c r="D935" s="302"/>
      <c r="E935" s="303"/>
      <c r="F935" s="302"/>
      <c r="G935" s="302"/>
      <c r="H935" s="302"/>
      <c r="I935" s="303"/>
      <c r="J935" s="302"/>
      <c r="K935" s="302"/>
      <c r="L935" s="302"/>
      <c r="M935" s="236"/>
    </row>
    <row r="936" spans="1:13" x14ac:dyDescent="0.2">
      <c r="A936" s="237"/>
      <c r="B936" s="302"/>
      <c r="C936" s="302"/>
      <c r="D936" s="302"/>
      <c r="E936" s="303"/>
      <c r="F936" s="302"/>
      <c r="G936" s="302"/>
      <c r="H936" s="302"/>
      <c r="I936" s="303"/>
      <c r="J936" s="302"/>
      <c r="K936" s="302"/>
      <c r="L936" s="302"/>
      <c r="M936" s="236"/>
    </row>
    <row r="937" spans="1:13" x14ac:dyDescent="0.2">
      <c r="A937" s="237"/>
      <c r="B937" s="303"/>
      <c r="C937" s="303"/>
      <c r="D937" s="303"/>
      <c r="E937" s="303"/>
      <c r="F937" s="303"/>
      <c r="G937" s="303"/>
      <c r="H937" s="303"/>
      <c r="I937" s="303"/>
      <c r="J937" s="303"/>
      <c r="K937" s="303"/>
      <c r="L937" s="303"/>
      <c r="M937" s="236"/>
    </row>
    <row r="938" spans="1:13" x14ac:dyDescent="0.2">
      <c r="A938" s="237"/>
      <c r="B938" s="237"/>
      <c r="C938" s="237"/>
      <c r="D938" s="237"/>
      <c r="E938" s="237"/>
      <c r="F938" s="237"/>
      <c r="G938" s="237"/>
      <c r="H938" s="237"/>
      <c r="I938" s="237"/>
      <c r="J938" s="237"/>
      <c r="K938" s="237"/>
      <c r="L938" s="240"/>
      <c r="M938" s="236"/>
    </row>
    <row r="939" spans="1:13" x14ac:dyDescent="0.2">
      <c r="A939" s="237"/>
      <c r="B939" s="237"/>
      <c r="C939" s="237"/>
      <c r="D939" s="237"/>
      <c r="E939" s="237"/>
      <c r="F939" s="237"/>
      <c r="G939" s="237"/>
      <c r="H939" s="237"/>
      <c r="I939" s="237"/>
      <c r="J939" s="237"/>
      <c r="K939" s="237"/>
      <c r="L939" s="284"/>
      <c r="M939" s="236"/>
    </row>
    <row r="940" spans="1:13" x14ac:dyDescent="0.2">
      <c r="A940" s="258"/>
      <c r="B940" s="241"/>
      <c r="C940" s="241"/>
      <c r="D940" s="241"/>
      <c r="E940" s="241"/>
      <c r="F940" s="241"/>
      <c r="G940" s="241"/>
      <c r="H940" s="241"/>
      <c r="I940" s="241"/>
      <c r="J940" s="241"/>
      <c r="K940" s="241"/>
      <c r="L940" s="236"/>
      <c r="M940" s="236"/>
    </row>
    <row r="941" spans="1:13" x14ac:dyDescent="0.2">
      <c r="A941" s="241"/>
      <c r="B941" s="375"/>
      <c r="C941" s="375"/>
      <c r="D941" s="375"/>
      <c r="E941" s="253"/>
      <c r="F941" s="375"/>
      <c r="G941" s="375"/>
      <c r="H941" s="375"/>
      <c r="I941" s="253"/>
      <c r="J941" s="375"/>
      <c r="K941" s="375"/>
      <c r="L941" s="375"/>
      <c r="M941" s="236"/>
    </row>
    <row r="942" spans="1:13" x14ac:dyDescent="0.2">
      <c r="A942" s="258"/>
      <c r="B942" s="259"/>
      <c r="C942" s="259"/>
      <c r="D942" s="259"/>
      <c r="E942" s="259"/>
      <c r="F942" s="259"/>
      <c r="G942" s="259"/>
      <c r="H942" s="259"/>
      <c r="I942" s="259"/>
      <c r="J942" s="259"/>
      <c r="K942" s="259"/>
      <c r="L942" s="259"/>
      <c r="M942" s="236"/>
    </row>
    <row r="943" spans="1:13" x14ac:dyDescent="0.2">
      <c r="A943" s="258"/>
      <c r="B943" s="259"/>
      <c r="C943" s="259"/>
      <c r="D943" s="259"/>
      <c r="E943" s="259"/>
      <c r="F943" s="259"/>
      <c r="G943" s="259"/>
      <c r="H943" s="259"/>
      <c r="I943" s="259"/>
      <c r="J943" s="259"/>
      <c r="K943" s="259"/>
      <c r="L943" s="259"/>
      <c r="M943" s="236"/>
    </row>
    <row r="944" spans="1:13" x14ac:dyDescent="0.2">
      <c r="A944" s="237"/>
      <c r="B944" s="302"/>
      <c r="C944" s="302"/>
      <c r="D944" s="302"/>
      <c r="E944" s="303"/>
      <c r="F944" s="302"/>
      <c r="G944" s="302"/>
      <c r="H944" s="302"/>
      <c r="I944" s="303"/>
      <c r="J944" s="302"/>
      <c r="K944" s="302"/>
      <c r="L944" s="302"/>
      <c r="M944" s="236"/>
    </row>
    <row r="945" spans="1:13" x14ac:dyDescent="0.2">
      <c r="A945" s="237"/>
      <c r="B945" s="302"/>
      <c r="C945" s="302"/>
      <c r="D945" s="302"/>
      <c r="E945" s="303"/>
      <c r="F945" s="302"/>
      <c r="G945" s="302"/>
      <c r="H945" s="302"/>
      <c r="I945" s="303"/>
      <c r="J945" s="302"/>
      <c r="K945" s="302"/>
      <c r="L945" s="302"/>
      <c r="M945" s="236"/>
    </row>
    <row r="946" spans="1:13" x14ac:dyDescent="0.2">
      <c r="A946" s="237"/>
      <c r="B946" s="302"/>
      <c r="C946" s="302"/>
      <c r="D946" s="302"/>
      <c r="E946" s="303"/>
      <c r="F946" s="302"/>
      <c r="G946" s="302"/>
      <c r="H946" s="302"/>
      <c r="I946" s="303"/>
      <c r="J946" s="302"/>
      <c r="K946" s="302"/>
      <c r="L946" s="302"/>
      <c r="M946" s="236"/>
    </row>
    <row r="947" spans="1:13" x14ac:dyDescent="0.2">
      <c r="A947" s="237"/>
      <c r="B947" s="302"/>
      <c r="C947" s="302"/>
      <c r="D947" s="302"/>
      <c r="E947" s="303"/>
      <c r="F947" s="302"/>
      <c r="G947" s="302"/>
      <c r="H947" s="302"/>
      <c r="I947" s="303"/>
      <c r="J947" s="302"/>
      <c r="K947" s="302"/>
      <c r="L947" s="302"/>
      <c r="M947" s="236"/>
    </row>
    <row r="948" spans="1:13" x14ac:dyDescent="0.2">
      <c r="A948" s="237"/>
      <c r="B948" s="302"/>
      <c r="C948" s="302"/>
      <c r="D948" s="302"/>
      <c r="E948" s="303"/>
      <c r="F948" s="302"/>
      <c r="G948" s="302"/>
      <c r="H948" s="302"/>
      <c r="I948" s="303"/>
      <c r="J948" s="302"/>
      <c r="K948" s="302"/>
      <c r="L948" s="302"/>
      <c r="M948" s="236"/>
    </row>
    <row r="949" spans="1:13" x14ac:dyDescent="0.2">
      <c r="A949" s="237"/>
      <c r="B949" s="302"/>
      <c r="C949" s="302"/>
      <c r="D949" s="302"/>
      <c r="E949" s="303"/>
      <c r="F949" s="302"/>
      <c r="G949" s="302"/>
      <c r="H949" s="302"/>
      <c r="I949" s="303"/>
      <c r="J949" s="302"/>
      <c r="K949" s="302"/>
      <c r="L949" s="302"/>
      <c r="M949" s="236"/>
    </row>
    <row r="950" spans="1:13" x14ac:dyDescent="0.2">
      <c r="A950" s="237"/>
      <c r="B950" s="302"/>
      <c r="C950" s="302"/>
      <c r="D950" s="302"/>
      <c r="E950" s="303"/>
      <c r="F950" s="302"/>
      <c r="G950" s="302"/>
      <c r="H950" s="302"/>
      <c r="I950" s="303"/>
      <c r="J950" s="302"/>
      <c r="K950" s="302"/>
      <c r="L950" s="302"/>
      <c r="M950" s="236"/>
    </row>
    <row r="951" spans="1:13" x14ac:dyDescent="0.2">
      <c r="A951" s="237"/>
      <c r="B951" s="302"/>
      <c r="C951" s="302"/>
      <c r="D951" s="302"/>
      <c r="E951" s="303"/>
      <c r="F951" s="302"/>
      <c r="G951" s="302"/>
      <c r="H951" s="302"/>
      <c r="I951" s="303"/>
      <c r="J951" s="302"/>
      <c r="K951" s="302"/>
      <c r="L951" s="302"/>
      <c r="M951" s="236"/>
    </row>
    <row r="952" spans="1:13" x14ac:dyDescent="0.2">
      <c r="A952" s="237"/>
      <c r="B952" s="302"/>
      <c r="C952" s="302"/>
      <c r="D952" s="302"/>
      <c r="E952" s="303"/>
      <c r="F952" s="302"/>
      <c r="G952" s="302"/>
      <c r="H952" s="302"/>
      <c r="I952" s="303"/>
      <c r="J952" s="302"/>
      <c r="K952" s="302"/>
      <c r="L952" s="302"/>
      <c r="M952" s="236"/>
    </row>
    <row r="953" spans="1:13" x14ac:dyDescent="0.2">
      <c r="A953" s="237"/>
      <c r="B953" s="302"/>
      <c r="C953" s="302"/>
      <c r="D953" s="302"/>
      <c r="E953" s="303"/>
      <c r="F953" s="302"/>
      <c r="G953" s="302"/>
      <c r="H953" s="302"/>
      <c r="I953" s="303"/>
      <c r="J953" s="302"/>
      <c r="K953" s="302"/>
      <c r="L953" s="302"/>
      <c r="M953" s="236"/>
    </row>
    <row r="954" spans="1:13" x14ac:dyDescent="0.2">
      <c r="A954" s="237"/>
      <c r="B954" s="303"/>
      <c r="C954" s="303"/>
      <c r="D954" s="303"/>
      <c r="E954" s="303"/>
      <c r="F954" s="303"/>
      <c r="G954" s="303"/>
      <c r="H954" s="303"/>
      <c r="I954" s="303"/>
      <c r="J954" s="303"/>
      <c r="K954" s="303"/>
      <c r="L954" s="303"/>
      <c r="M954" s="236"/>
    </row>
    <row r="955" spans="1:13" x14ac:dyDescent="0.2">
      <c r="A955" s="237"/>
      <c r="B955" s="237"/>
      <c r="C955" s="237"/>
      <c r="D955" s="237"/>
      <c r="E955" s="237"/>
      <c r="F955" s="237"/>
      <c r="G955" s="237"/>
      <c r="H955" s="237"/>
      <c r="I955" s="237"/>
      <c r="J955" s="237"/>
      <c r="K955" s="237"/>
      <c r="L955" s="240"/>
      <c r="M955" s="236"/>
    </row>
    <row r="956" spans="1:13" x14ac:dyDescent="0.2">
      <c r="A956" s="237"/>
      <c r="B956" s="237"/>
      <c r="C956" s="237"/>
      <c r="D956" s="237"/>
      <c r="E956" s="237"/>
      <c r="F956" s="237"/>
      <c r="G956" s="237"/>
      <c r="H956" s="237"/>
      <c r="I956" s="237"/>
      <c r="J956" s="237"/>
      <c r="K956" s="237"/>
      <c r="L956" s="284"/>
      <c r="M956" s="236"/>
    </row>
    <row r="957" spans="1:13" x14ac:dyDescent="0.2">
      <c r="A957" s="258"/>
      <c r="B957" s="241"/>
      <c r="C957" s="241"/>
      <c r="D957" s="241"/>
      <c r="E957" s="241"/>
      <c r="F957" s="241"/>
      <c r="G957" s="241"/>
      <c r="H957" s="241"/>
      <c r="I957" s="241"/>
      <c r="J957" s="241"/>
      <c r="K957" s="241"/>
      <c r="L957" s="236"/>
      <c r="M957" s="236"/>
    </row>
    <row r="958" spans="1:13" x14ac:dyDescent="0.2">
      <c r="A958" s="241"/>
      <c r="B958" s="375"/>
      <c r="C958" s="375"/>
      <c r="D958" s="375"/>
      <c r="E958" s="253"/>
      <c r="F958" s="375"/>
      <c r="G958" s="375"/>
      <c r="H958" s="375"/>
      <c r="I958" s="253"/>
      <c r="J958" s="375"/>
      <c r="K958" s="375"/>
      <c r="L958" s="375"/>
      <c r="M958" s="236"/>
    </row>
    <row r="959" spans="1:13" x14ac:dyDescent="0.2">
      <c r="A959" s="258"/>
      <c r="B959" s="259"/>
      <c r="C959" s="259"/>
      <c r="D959" s="259"/>
      <c r="E959" s="259"/>
      <c r="F959" s="259"/>
      <c r="G959" s="259"/>
      <c r="H959" s="259"/>
      <c r="I959" s="259"/>
      <c r="J959" s="259"/>
      <c r="K959" s="259"/>
      <c r="L959" s="259"/>
      <c r="M959" s="236"/>
    </row>
    <row r="960" spans="1:13" x14ac:dyDescent="0.2">
      <c r="A960" s="258"/>
      <c r="B960" s="259"/>
      <c r="C960" s="259"/>
      <c r="D960" s="259"/>
      <c r="E960" s="259"/>
      <c r="F960" s="259"/>
      <c r="G960" s="259"/>
      <c r="H960" s="259"/>
      <c r="I960" s="259"/>
      <c r="J960" s="259"/>
      <c r="K960" s="259"/>
      <c r="L960" s="259"/>
      <c r="M960" s="236"/>
    </row>
    <row r="961" spans="1:13" x14ac:dyDescent="0.2">
      <c r="A961" s="237"/>
      <c r="B961" s="302"/>
      <c r="C961" s="302"/>
      <c r="D961" s="302"/>
      <c r="E961" s="303"/>
      <c r="F961" s="302"/>
      <c r="G961" s="302"/>
      <c r="H961" s="302"/>
      <c r="I961" s="303"/>
      <c r="J961" s="302"/>
      <c r="K961" s="302"/>
      <c r="L961" s="302"/>
      <c r="M961" s="236"/>
    </row>
    <row r="962" spans="1:13" x14ac:dyDescent="0.2">
      <c r="A962" s="237"/>
      <c r="B962" s="302"/>
      <c r="C962" s="302"/>
      <c r="D962" s="302"/>
      <c r="E962" s="303"/>
      <c r="F962" s="302"/>
      <c r="G962" s="302"/>
      <c r="H962" s="302"/>
      <c r="I962" s="303"/>
      <c r="J962" s="302"/>
      <c r="K962" s="302"/>
      <c r="L962" s="302"/>
      <c r="M962" s="236"/>
    </row>
    <row r="963" spans="1:13" x14ac:dyDescent="0.2">
      <c r="A963" s="237"/>
      <c r="B963" s="302"/>
      <c r="C963" s="302"/>
      <c r="D963" s="302"/>
      <c r="E963" s="303"/>
      <c r="F963" s="302"/>
      <c r="G963" s="302"/>
      <c r="H963" s="302"/>
      <c r="I963" s="303"/>
      <c r="J963" s="302"/>
      <c r="K963" s="302"/>
      <c r="L963" s="302"/>
      <c r="M963" s="236"/>
    </row>
    <row r="964" spans="1:13" x14ac:dyDescent="0.2">
      <c r="A964" s="237"/>
      <c r="B964" s="302"/>
      <c r="C964" s="302"/>
      <c r="D964" s="302"/>
      <c r="E964" s="303"/>
      <c r="F964" s="302"/>
      <c r="G964" s="302"/>
      <c r="H964" s="302"/>
      <c r="I964" s="303"/>
      <c r="J964" s="302"/>
      <c r="K964" s="302"/>
      <c r="L964" s="302"/>
      <c r="M964" s="236"/>
    </row>
    <row r="965" spans="1:13" x14ac:dyDescent="0.2">
      <c r="A965" s="237"/>
      <c r="B965" s="302"/>
      <c r="C965" s="302"/>
      <c r="D965" s="302"/>
      <c r="E965" s="303"/>
      <c r="F965" s="302"/>
      <c r="G965" s="302"/>
      <c r="H965" s="302"/>
      <c r="I965" s="303"/>
      <c r="J965" s="302"/>
      <c r="K965" s="302"/>
      <c r="L965" s="302"/>
      <c r="M965" s="236"/>
    </row>
    <row r="966" spans="1:13" x14ac:dyDescent="0.2">
      <c r="A966" s="237"/>
      <c r="B966" s="302"/>
      <c r="C966" s="302"/>
      <c r="D966" s="302"/>
      <c r="E966" s="303"/>
      <c r="F966" s="302"/>
      <c r="G966" s="302"/>
      <c r="H966" s="302"/>
      <c r="I966" s="303"/>
      <c r="J966" s="302"/>
      <c r="K966" s="302"/>
      <c r="L966" s="302"/>
      <c r="M966" s="236"/>
    </row>
    <row r="967" spans="1:13" x14ac:dyDescent="0.2">
      <c r="A967" s="237"/>
      <c r="B967" s="302"/>
      <c r="C967" s="302"/>
      <c r="D967" s="302"/>
      <c r="E967" s="303"/>
      <c r="F967" s="302"/>
      <c r="G967" s="302"/>
      <c r="H967" s="302"/>
      <c r="I967" s="303"/>
      <c r="J967" s="302"/>
      <c r="K967" s="302"/>
      <c r="L967" s="302"/>
      <c r="M967" s="236"/>
    </row>
    <row r="968" spans="1:13" x14ac:dyDescent="0.2">
      <c r="A968" s="237"/>
      <c r="B968" s="302"/>
      <c r="C968" s="302"/>
      <c r="D968" s="302"/>
      <c r="E968" s="303"/>
      <c r="F968" s="302"/>
      <c r="G968" s="302"/>
      <c r="H968" s="302"/>
      <c r="I968" s="303"/>
      <c r="J968" s="302"/>
      <c r="K968" s="302"/>
      <c r="L968" s="302"/>
      <c r="M968" s="236"/>
    </row>
    <row r="969" spans="1:13" x14ac:dyDescent="0.2">
      <c r="A969" s="237"/>
      <c r="B969" s="302"/>
      <c r="C969" s="302"/>
      <c r="D969" s="302"/>
      <c r="E969" s="303"/>
      <c r="F969" s="302"/>
      <c r="G969" s="302"/>
      <c r="H969" s="302"/>
      <c r="I969" s="303"/>
      <c r="J969" s="302"/>
      <c r="K969" s="302"/>
      <c r="L969" s="302"/>
      <c r="M969" s="236"/>
    </row>
    <row r="970" spans="1:13" x14ac:dyDescent="0.2">
      <c r="A970" s="237"/>
      <c r="B970" s="302"/>
      <c r="C970" s="302"/>
      <c r="D970" s="302"/>
      <c r="E970" s="303"/>
      <c r="F970" s="302"/>
      <c r="G970" s="302"/>
      <c r="H970" s="302"/>
      <c r="I970" s="303"/>
      <c r="J970" s="302"/>
      <c r="K970" s="302"/>
      <c r="L970" s="302"/>
      <c r="M970" s="236"/>
    </row>
    <row r="971" spans="1:13" x14ac:dyDescent="0.2">
      <c r="A971" s="237"/>
      <c r="B971" s="303"/>
      <c r="C971" s="303"/>
      <c r="D971" s="303"/>
      <c r="E971" s="303"/>
      <c r="F971" s="303"/>
      <c r="G971" s="303"/>
      <c r="H971" s="303"/>
      <c r="I971" s="303"/>
      <c r="J971" s="303"/>
      <c r="K971" s="303"/>
      <c r="L971" s="303"/>
      <c r="M971" s="236"/>
    </row>
    <row r="972" spans="1:13" x14ac:dyDescent="0.2">
      <c r="A972" s="237"/>
      <c r="B972" s="237"/>
      <c r="C972" s="237"/>
      <c r="D972" s="237"/>
      <c r="E972" s="237"/>
      <c r="F972" s="237"/>
      <c r="G972" s="237"/>
      <c r="H972" s="237"/>
      <c r="I972" s="237"/>
      <c r="J972" s="237"/>
      <c r="K972" s="237"/>
      <c r="L972" s="240"/>
      <c r="M972" s="236"/>
    </row>
    <row r="973" spans="1:13" x14ac:dyDescent="0.2">
      <c r="A973" s="237"/>
      <c r="B973" s="237"/>
      <c r="C973" s="237"/>
      <c r="D973" s="237"/>
      <c r="E973" s="237"/>
      <c r="F973" s="237"/>
      <c r="G973" s="237"/>
      <c r="H973" s="237"/>
      <c r="I973" s="237"/>
      <c r="J973" s="237"/>
      <c r="K973" s="237"/>
      <c r="L973" s="284"/>
      <c r="M973" s="236"/>
    </row>
    <row r="974" spans="1:13" x14ac:dyDescent="0.2">
      <c r="A974" s="258"/>
      <c r="B974" s="241"/>
      <c r="C974" s="241"/>
      <c r="D974" s="241"/>
      <c r="E974" s="241"/>
      <c r="F974" s="241"/>
      <c r="G974" s="241"/>
      <c r="H974" s="241"/>
      <c r="I974" s="241"/>
      <c r="J974" s="241"/>
      <c r="K974" s="241"/>
      <c r="L974" s="236"/>
      <c r="M974" s="236"/>
    </row>
    <row r="975" spans="1:13" x14ac:dyDescent="0.2">
      <c r="A975" s="241"/>
      <c r="B975" s="375"/>
      <c r="C975" s="375"/>
      <c r="D975" s="375"/>
      <c r="E975" s="253"/>
      <c r="F975" s="375"/>
      <c r="G975" s="375"/>
      <c r="H975" s="375"/>
      <c r="I975" s="253"/>
      <c r="J975" s="375"/>
      <c r="K975" s="375"/>
      <c r="L975" s="375"/>
      <c r="M975" s="236"/>
    </row>
    <row r="976" spans="1:13" x14ac:dyDescent="0.2">
      <c r="A976" s="258"/>
      <c r="B976" s="259"/>
      <c r="C976" s="259"/>
      <c r="D976" s="259"/>
      <c r="E976" s="259"/>
      <c r="F976" s="259"/>
      <c r="G976" s="259"/>
      <c r="H976" s="259"/>
      <c r="I976" s="259"/>
      <c r="J976" s="259"/>
      <c r="K976" s="259"/>
      <c r="L976" s="259"/>
      <c r="M976" s="236"/>
    </row>
    <row r="977" spans="1:13" x14ac:dyDescent="0.2">
      <c r="A977" s="258"/>
      <c r="B977" s="259"/>
      <c r="C977" s="259"/>
      <c r="D977" s="259"/>
      <c r="E977" s="259"/>
      <c r="F977" s="259"/>
      <c r="G977" s="259"/>
      <c r="H977" s="259"/>
      <c r="I977" s="259"/>
      <c r="J977" s="259"/>
      <c r="K977" s="259"/>
      <c r="L977" s="259"/>
      <c r="M977" s="236"/>
    </row>
    <row r="978" spans="1:13" x14ac:dyDescent="0.2">
      <c r="A978" s="237"/>
      <c r="B978" s="302"/>
      <c r="C978" s="302"/>
      <c r="D978" s="302"/>
      <c r="E978" s="303"/>
      <c r="F978" s="302"/>
      <c r="G978" s="302"/>
      <c r="H978" s="302"/>
      <c r="I978" s="303"/>
      <c r="J978" s="302"/>
      <c r="K978" s="302"/>
      <c r="L978" s="302"/>
      <c r="M978" s="236"/>
    </row>
    <row r="979" spans="1:13" x14ac:dyDescent="0.2">
      <c r="A979" s="237"/>
      <c r="B979" s="302"/>
      <c r="C979" s="302"/>
      <c r="D979" s="302"/>
      <c r="E979" s="303"/>
      <c r="F979" s="302"/>
      <c r="G979" s="302"/>
      <c r="H979" s="302"/>
      <c r="I979" s="303"/>
      <c r="J979" s="302"/>
      <c r="K979" s="302"/>
      <c r="L979" s="302"/>
      <c r="M979" s="236"/>
    </row>
    <row r="980" spans="1:13" x14ac:dyDescent="0.2">
      <c r="A980" s="237"/>
      <c r="B980" s="302"/>
      <c r="C980" s="302"/>
      <c r="D980" s="302"/>
      <c r="E980" s="303"/>
      <c r="F980" s="302"/>
      <c r="G980" s="302"/>
      <c r="H980" s="302"/>
      <c r="I980" s="303"/>
      <c r="J980" s="302"/>
      <c r="K980" s="302"/>
      <c r="L980" s="302"/>
      <c r="M980" s="236"/>
    </row>
    <row r="981" spans="1:13" x14ac:dyDescent="0.2">
      <c r="A981" s="237"/>
      <c r="B981" s="302"/>
      <c r="C981" s="302"/>
      <c r="D981" s="302"/>
      <c r="E981" s="303"/>
      <c r="F981" s="302"/>
      <c r="G981" s="302"/>
      <c r="H981" s="302"/>
      <c r="I981" s="303"/>
      <c r="J981" s="302"/>
      <c r="K981" s="302"/>
      <c r="L981" s="302"/>
      <c r="M981" s="236"/>
    </row>
    <row r="982" spans="1:13" x14ac:dyDescent="0.2">
      <c r="A982" s="237"/>
      <c r="B982" s="302"/>
      <c r="C982" s="302"/>
      <c r="D982" s="302"/>
      <c r="E982" s="303"/>
      <c r="F982" s="302"/>
      <c r="G982" s="302"/>
      <c r="H982" s="302"/>
      <c r="I982" s="303"/>
      <c r="J982" s="302"/>
      <c r="K982" s="302"/>
      <c r="L982" s="302"/>
      <c r="M982" s="236"/>
    </row>
    <row r="983" spans="1:13" x14ac:dyDescent="0.2">
      <c r="A983" s="237"/>
      <c r="B983" s="302"/>
      <c r="C983" s="302"/>
      <c r="D983" s="302"/>
      <c r="E983" s="303"/>
      <c r="F983" s="302"/>
      <c r="G983" s="302"/>
      <c r="H983" s="302"/>
      <c r="I983" s="303"/>
      <c r="J983" s="302"/>
      <c r="K983" s="302"/>
      <c r="L983" s="302"/>
      <c r="M983" s="236"/>
    </row>
    <row r="984" spans="1:13" x14ac:dyDescent="0.2">
      <c r="A984" s="237"/>
      <c r="B984" s="302"/>
      <c r="C984" s="302"/>
      <c r="D984" s="302"/>
      <c r="E984" s="303"/>
      <c r="F984" s="302"/>
      <c r="G984" s="302"/>
      <c r="H984" s="302"/>
      <c r="I984" s="303"/>
      <c r="J984" s="302"/>
      <c r="K984" s="302"/>
      <c r="L984" s="302"/>
      <c r="M984" s="236"/>
    </row>
    <row r="985" spans="1:13" x14ac:dyDescent="0.2">
      <c r="A985" s="237"/>
      <c r="B985" s="302"/>
      <c r="C985" s="302"/>
      <c r="D985" s="302"/>
      <c r="E985" s="303"/>
      <c r="F985" s="302"/>
      <c r="G985" s="302"/>
      <c r="H985" s="302"/>
      <c r="I985" s="303"/>
      <c r="J985" s="302"/>
      <c r="K985" s="302"/>
      <c r="L985" s="302"/>
      <c r="M985" s="236"/>
    </row>
    <row r="986" spans="1:13" x14ac:dyDescent="0.2">
      <c r="A986" s="237"/>
      <c r="B986" s="302"/>
      <c r="C986" s="302"/>
      <c r="D986" s="302"/>
      <c r="E986" s="303"/>
      <c r="F986" s="302"/>
      <c r="G986" s="302"/>
      <c r="H986" s="302"/>
      <c r="I986" s="303"/>
      <c r="J986" s="302"/>
      <c r="K986" s="302"/>
      <c r="L986" s="302"/>
      <c r="M986" s="236"/>
    </row>
    <row r="987" spans="1:13" x14ac:dyDescent="0.2">
      <c r="A987" s="237"/>
      <c r="B987" s="302"/>
      <c r="C987" s="302"/>
      <c r="D987" s="302"/>
      <c r="E987" s="303"/>
      <c r="F987" s="302"/>
      <c r="G987" s="302"/>
      <c r="H987" s="302"/>
      <c r="I987" s="303"/>
      <c r="J987" s="302"/>
      <c r="K987" s="302"/>
      <c r="L987" s="302"/>
      <c r="M987" s="236"/>
    </row>
    <row r="988" spans="1:13" x14ac:dyDescent="0.2">
      <c r="A988" s="237"/>
      <c r="B988" s="303"/>
      <c r="C988" s="303"/>
      <c r="D988" s="303"/>
      <c r="E988" s="303"/>
      <c r="F988" s="303"/>
      <c r="G988" s="303"/>
      <c r="H988" s="303"/>
      <c r="I988" s="303"/>
      <c r="J988" s="303"/>
      <c r="K988" s="303"/>
      <c r="L988" s="303"/>
      <c r="M988" s="236"/>
    </row>
    <row r="989" spans="1:13" x14ac:dyDescent="0.2">
      <c r="A989" s="237"/>
      <c r="B989" s="237"/>
      <c r="C989" s="237"/>
      <c r="D989" s="237"/>
      <c r="E989" s="237"/>
      <c r="F989" s="237"/>
      <c r="G989" s="237"/>
      <c r="H989" s="237"/>
      <c r="I989" s="237"/>
      <c r="J989" s="237"/>
      <c r="K989" s="237"/>
      <c r="L989" s="240"/>
      <c r="M989" s="236"/>
    </row>
    <row r="990" spans="1:13" x14ac:dyDescent="0.2">
      <c r="A990" s="237"/>
      <c r="B990" s="237"/>
      <c r="C990" s="237"/>
      <c r="D990" s="237"/>
      <c r="E990" s="237"/>
      <c r="F990" s="237"/>
      <c r="G990" s="237"/>
      <c r="H990" s="237"/>
      <c r="I990" s="237"/>
      <c r="J990" s="237"/>
      <c r="K990" s="237"/>
      <c r="L990" s="284"/>
      <c r="M990" s="236"/>
    </row>
    <row r="991" spans="1:13" x14ac:dyDescent="0.2">
      <c r="A991" s="258"/>
      <c r="B991" s="241"/>
      <c r="C991" s="241"/>
      <c r="D991" s="241"/>
      <c r="E991" s="241"/>
      <c r="F991" s="241"/>
      <c r="G991" s="241"/>
      <c r="H991" s="241"/>
      <c r="I991" s="241"/>
      <c r="J991" s="241"/>
      <c r="K991" s="241"/>
      <c r="L991" s="236"/>
      <c r="M991" s="236"/>
    </row>
    <row r="992" spans="1:13" x14ac:dyDescent="0.2">
      <c r="A992" s="241"/>
      <c r="B992" s="375"/>
      <c r="C992" s="375"/>
      <c r="D992" s="375"/>
      <c r="E992" s="253"/>
      <c r="F992" s="375"/>
      <c r="G992" s="375"/>
      <c r="H992" s="375"/>
      <c r="I992" s="253"/>
      <c r="J992" s="375"/>
      <c r="K992" s="375"/>
      <c r="L992" s="375"/>
      <c r="M992" s="236"/>
    </row>
    <row r="993" spans="1:13" x14ac:dyDescent="0.2">
      <c r="A993" s="258"/>
      <c r="B993" s="259"/>
      <c r="C993" s="259"/>
      <c r="D993" s="259"/>
      <c r="E993" s="259"/>
      <c r="F993" s="259"/>
      <c r="G993" s="259"/>
      <c r="H993" s="259"/>
      <c r="I993" s="259"/>
      <c r="J993" s="259"/>
      <c r="K993" s="259"/>
      <c r="L993" s="259"/>
      <c r="M993" s="236"/>
    </row>
    <row r="994" spans="1:13" x14ac:dyDescent="0.2">
      <c r="A994" s="258"/>
      <c r="B994" s="259"/>
      <c r="C994" s="259"/>
      <c r="D994" s="259"/>
      <c r="E994" s="259"/>
      <c r="F994" s="259"/>
      <c r="G994" s="259"/>
      <c r="H994" s="259"/>
      <c r="I994" s="259"/>
      <c r="J994" s="259"/>
      <c r="K994" s="259"/>
      <c r="L994" s="259"/>
      <c r="M994" s="236"/>
    </row>
    <row r="995" spans="1:13" x14ac:dyDescent="0.2">
      <c r="A995" s="237"/>
      <c r="B995" s="302"/>
      <c r="C995" s="302"/>
      <c r="D995" s="302"/>
      <c r="E995" s="303"/>
      <c r="F995" s="302"/>
      <c r="G995" s="302"/>
      <c r="H995" s="302"/>
      <c r="I995" s="303"/>
      <c r="J995" s="302"/>
      <c r="K995" s="302"/>
      <c r="L995" s="302"/>
      <c r="M995" s="236"/>
    </row>
    <row r="996" spans="1:13" x14ac:dyDescent="0.2">
      <c r="A996" s="237"/>
      <c r="B996" s="302"/>
      <c r="C996" s="302"/>
      <c r="D996" s="302"/>
      <c r="E996" s="303"/>
      <c r="F996" s="302"/>
      <c r="G996" s="302"/>
      <c r="H996" s="302"/>
      <c r="I996" s="303"/>
      <c r="J996" s="302"/>
      <c r="K996" s="302"/>
      <c r="L996" s="302"/>
      <c r="M996" s="236"/>
    </row>
    <row r="997" spans="1:13" x14ac:dyDescent="0.2">
      <c r="A997" s="237"/>
      <c r="B997" s="302"/>
      <c r="C997" s="302"/>
      <c r="D997" s="302"/>
      <c r="E997" s="303"/>
      <c r="F997" s="302"/>
      <c r="G997" s="302"/>
      <c r="H997" s="302"/>
      <c r="I997" s="303"/>
      <c r="J997" s="302"/>
      <c r="K997" s="302"/>
      <c r="L997" s="302"/>
      <c r="M997" s="236"/>
    </row>
    <row r="998" spans="1:13" x14ac:dyDescent="0.2">
      <c r="A998" s="237"/>
      <c r="B998" s="302"/>
      <c r="C998" s="302"/>
      <c r="D998" s="302"/>
      <c r="E998" s="303"/>
      <c r="F998" s="302"/>
      <c r="G998" s="302"/>
      <c r="H998" s="302"/>
      <c r="I998" s="303"/>
      <c r="J998" s="302"/>
      <c r="K998" s="302"/>
      <c r="L998" s="302"/>
      <c r="M998" s="236"/>
    </row>
    <row r="999" spans="1:13" x14ac:dyDescent="0.2">
      <c r="A999" s="237"/>
      <c r="B999" s="302"/>
      <c r="C999" s="302"/>
      <c r="D999" s="302"/>
      <c r="E999" s="303"/>
      <c r="F999" s="302"/>
      <c r="G999" s="302"/>
      <c r="H999" s="302"/>
      <c r="I999" s="303"/>
      <c r="J999" s="302"/>
      <c r="K999" s="302"/>
      <c r="L999" s="302"/>
      <c r="M999" s="236"/>
    </row>
    <row r="1000" spans="1:13" x14ac:dyDescent="0.2">
      <c r="A1000" s="237"/>
      <c r="B1000" s="302"/>
      <c r="C1000" s="302"/>
      <c r="D1000" s="302"/>
      <c r="E1000" s="303"/>
      <c r="F1000" s="302"/>
      <c r="G1000" s="302"/>
      <c r="H1000" s="302"/>
      <c r="I1000" s="303"/>
      <c r="J1000" s="302"/>
      <c r="K1000" s="302"/>
      <c r="L1000" s="302"/>
      <c r="M1000" s="236"/>
    </row>
    <row r="1001" spans="1:13" x14ac:dyDescent="0.2">
      <c r="A1001" s="237"/>
      <c r="B1001" s="302"/>
      <c r="C1001" s="302"/>
      <c r="D1001" s="302"/>
      <c r="E1001" s="303"/>
      <c r="F1001" s="302"/>
      <c r="G1001" s="302"/>
      <c r="H1001" s="302"/>
      <c r="I1001" s="303"/>
      <c r="J1001" s="302"/>
      <c r="K1001" s="302"/>
      <c r="L1001" s="302"/>
      <c r="M1001" s="236"/>
    </row>
    <row r="1002" spans="1:13" x14ac:dyDescent="0.2">
      <c r="A1002" s="237"/>
      <c r="B1002" s="302"/>
      <c r="C1002" s="302"/>
      <c r="D1002" s="302"/>
      <c r="E1002" s="303"/>
      <c r="F1002" s="302"/>
      <c r="G1002" s="302"/>
      <c r="H1002" s="302"/>
      <c r="I1002" s="303"/>
      <c r="J1002" s="302"/>
      <c r="K1002" s="302"/>
      <c r="L1002" s="302"/>
      <c r="M1002" s="236"/>
    </row>
    <row r="1003" spans="1:13" x14ac:dyDescent="0.2">
      <c r="A1003" s="237"/>
      <c r="B1003" s="302"/>
      <c r="C1003" s="302"/>
      <c r="D1003" s="302"/>
      <c r="E1003" s="303"/>
      <c r="F1003" s="302"/>
      <c r="G1003" s="302"/>
      <c r="H1003" s="302"/>
      <c r="I1003" s="303"/>
      <c r="J1003" s="302"/>
      <c r="K1003" s="302"/>
      <c r="L1003" s="302"/>
      <c r="M1003" s="236"/>
    </row>
    <row r="1004" spans="1:13" x14ac:dyDescent="0.2">
      <c r="A1004" s="237"/>
      <c r="B1004" s="302"/>
      <c r="C1004" s="302"/>
      <c r="D1004" s="302"/>
      <c r="E1004" s="303"/>
      <c r="F1004" s="302"/>
      <c r="G1004" s="302"/>
      <c r="H1004" s="302"/>
      <c r="I1004" s="303"/>
      <c r="J1004" s="302"/>
      <c r="K1004" s="302"/>
      <c r="L1004" s="302"/>
      <c r="M1004" s="236"/>
    </row>
    <row r="1005" spans="1:13" x14ac:dyDescent="0.2">
      <c r="A1005" s="237"/>
      <c r="B1005" s="303"/>
      <c r="C1005" s="303"/>
      <c r="D1005" s="303"/>
      <c r="E1005" s="303"/>
      <c r="F1005" s="303"/>
      <c r="G1005" s="303"/>
      <c r="H1005" s="303"/>
      <c r="I1005" s="303"/>
      <c r="J1005" s="303"/>
      <c r="K1005" s="303"/>
      <c r="L1005" s="303"/>
      <c r="M1005" s="236"/>
    </row>
    <row r="1006" spans="1:13" x14ac:dyDescent="0.2">
      <c r="A1006" s="237"/>
      <c r="B1006" s="237"/>
      <c r="C1006" s="237"/>
      <c r="D1006" s="237"/>
      <c r="E1006" s="237"/>
      <c r="F1006" s="237"/>
      <c r="G1006" s="237"/>
      <c r="H1006" s="237"/>
      <c r="I1006" s="237"/>
      <c r="J1006" s="237"/>
      <c r="K1006" s="237"/>
      <c r="L1006" s="240"/>
      <c r="M1006" s="236"/>
    </row>
    <row r="1007" spans="1:13" x14ac:dyDescent="0.2">
      <c r="A1007" s="237"/>
      <c r="B1007" s="237"/>
      <c r="C1007" s="237"/>
      <c r="D1007" s="237"/>
      <c r="E1007" s="237"/>
      <c r="F1007" s="237"/>
      <c r="G1007" s="237"/>
      <c r="H1007" s="237"/>
      <c r="I1007" s="237"/>
      <c r="J1007" s="237"/>
      <c r="K1007" s="237"/>
      <c r="L1007" s="284"/>
      <c r="M1007" s="236"/>
    </row>
    <row r="1008" spans="1:13" x14ac:dyDescent="0.2">
      <c r="A1008" s="258"/>
      <c r="B1008" s="241"/>
      <c r="C1008" s="241"/>
      <c r="D1008" s="241"/>
      <c r="E1008" s="241"/>
      <c r="F1008" s="241"/>
      <c r="G1008" s="241"/>
      <c r="H1008" s="241"/>
      <c r="I1008" s="241"/>
      <c r="J1008" s="241"/>
      <c r="K1008" s="241"/>
      <c r="L1008" s="236"/>
      <c r="M1008" s="236"/>
    </row>
    <row r="1009" spans="1:13" x14ac:dyDescent="0.2">
      <c r="A1009" s="241"/>
      <c r="B1009" s="375"/>
      <c r="C1009" s="375"/>
      <c r="D1009" s="375"/>
      <c r="E1009" s="253"/>
      <c r="F1009" s="375"/>
      <c r="G1009" s="375"/>
      <c r="H1009" s="375"/>
      <c r="I1009" s="253"/>
      <c r="J1009" s="375"/>
      <c r="K1009" s="375"/>
      <c r="L1009" s="375"/>
      <c r="M1009" s="236"/>
    </row>
    <row r="1010" spans="1:13" x14ac:dyDescent="0.2">
      <c r="A1010" s="258"/>
      <c r="B1010" s="259"/>
      <c r="C1010" s="259"/>
      <c r="D1010" s="259"/>
      <c r="E1010" s="259"/>
      <c r="F1010" s="259"/>
      <c r="G1010" s="259"/>
      <c r="H1010" s="259"/>
      <c r="I1010" s="259"/>
      <c r="J1010" s="259"/>
      <c r="K1010" s="259"/>
      <c r="L1010" s="259"/>
      <c r="M1010" s="236"/>
    </row>
    <row r="1011" spans="1:13" x14ac:dyDescent="0.2">
      <c r="A1011" s="258"/>
      <c r="B1011" s="259"/>
      <c r="C1011" s="259"/>
      <c r="D1011" s="259"/>
      <c r="E1011" s="259"/>
      <c r="F1011" s="259"/>
      <c r="G1011" s="259"/>
      <c r="H1011" s="259"/>
      <c r="I1011" s="259"/>
      <c r="J1011" s="259"/>
      <c r="K1011" s="259"/>
      <c r="L1011" s="259"/>
      <c r="M1011" s="236"/>
    </row>
    <row r="1012" spans="1:13" x14ac:dyDescent="0.2">
      <c r="A1012" s="237"/>
      <c r="B1012" s="302"/>
      <c r="C1012" s="302"/>
      <c r="D1012" s="302"/>
      <c r="E1012" s="303"/>
      <c r="F1012" s="302"/>
      <c r="G1012" s="302"/>
      <c r="H1012" s="302"/>
      <c r="I1012" s="303"/>
      <c r="J1012" s="302"/>
      <c r="K1012" s="302"/>
      <c r="L1012" s="302"/>
      <c r="M1012" s="236"/>
    </row>
    <row r="1013" spans="1:13" x14ac:dyDescent="0.2">
      <c r="A1013" s="237"/>
      <c r="B1013" s="302"/>
      <c r="C1013" s="302"/>
      <c r="D1013" s="302"/>
      <c r="E1013" s="303"/>
      <c r="F1013" s="302"/>
      <c r="G1013" s="302"/>
      <c r="H1013" s="302"/>
      <c r="I1013" s="303"/>
      <c r="J1013" s="302"/>
      <c r="K1013" s="302"/>
      <c r="L1013" s="302"/>
      <c r="M1013" s="236"/>
    </row>
    <row r="1014" spans="1:13" x14ac:dyDescent="0.2">
      <c r="A1014" s="237"/>
      <c r="B1014" s="302"/>
      <c r="C1014" s="302"/>
      <c r="D1014" s="302"/>
      <c r="E1014" s="303"/>
      <c r="F1014" s="302"/>
      <c r="G1014" s="302"/>
      <c r="H1014" s="302"/>
      <c r="I1014" s="303"/>
      <c r="J1014" s="302"/>
      <c r="K1014" s="302"/>
      <c r="L1014" s="302"/>
      <c r="M1014" s="236"/>
    </row>
    <row r="1015" spans="1:13" x14ac:dyDescent="0.2">
      <c r="A1015" s="237"/>
      <c r="B1015" s="302"/>
      <c r="C1015" s="302"/>
      <c r="D1015" s="302"/>
      <c r="E1015" s="303"/>
      <c r="F1015" s="302"/>
      <c r="G1015" s="302"/>
      <c r="H1015" s="302"/>
      <c r="I1015" s="303"/>
      <c r="J1015" s="302"/>
      <c r="K1015" s="302"/>
      <c r="L1015" s="302"/>
      <c r="M1015" s="236"/>
    </row>
    <row r="1016" spans="1:13" x14ac:dyDescent="0.2">
      <c r="A1016" s="237"/>
      <c r="B1016" s="302"/>
      <c r="C1016" s="302"/>
      <c r="D1016" s="302"/>
      <c r="E1016" s="303"/>
      <c r="F1016" s="302"/>
      <c r="G1016" s="302"/>
      <c r="H1016" s="302"/>
      <c r="I1016" s="303"/>
      <c r="J1016" s="302"/>
      <c r="K1016" s="302"/>
      <c r="L1016" s="302"/>
      <c r="M1016" s="236"/>
    </row>
    <row r="1017" spans="1:13" x14ac:dyDescent="0.2">
      <c r="A1017" s="237"/>
      <c r="B1017" s="302"/>
      <c r="C1017" s="302"/>
      <c r="D1017" s="302"/>
      <c r="E1017" s="303"/>
      <c r="F1017" s="302"/>
      <c r="G1017" s="302"/>
      <c r="H1017" s="302"/>
      <c r="I1017" s="303"/>
      <c r="J1017" s="302"/>
      <c r="K1017" s="302"/>
      <c r="L1017" s="302"/>
      <c r="M1017" s="236"/>
    </row>
    <row r="1018" spans="1:13" x14ac:dyDescent="0.2">
      <c r="A1018" s="237"/>
      <c r="B1018" s="302"/>
      <c r="C1018" s="302"/>
      <c r="D1018" s="302"/>
      <c r="E1018" s="303"/>
      <c r="F1018" s="302"/>
      <c r="G1018" s="302"/>
      <c r="H1018" s="302"/>
      <c r="I1018" s="303"/>
      <c r="J1018" s="302"/>
      <c r="K1018" s="302"/>
      <c r="L1018" s="302"/>
      <c r="M1018" s="236"/>
    </row>
    <row r="1019" spans="1:13" x14ac:dyDescent="0.2">
      <c r="A1019" s="237"/>
      <c r="B1019" s="302"/>
      <c r="C1019" s="302"/>
      <c r="D1019" s="302"/>
      <c r="E1019" s="303"/>
      <c r="F1019" s="302"/>
      <c r="G1019" s="302"/>
      <c r="H1019" s="302"/>
      <c r="I1019" s="303"/>
      <c r="J1019" s="302"/>
      <c r="K1019" s="302"/>
      <c r="L1019" s="302"/>
      <c r="M1019" s="236"/>
    </row>
    <row r="1020" spans="1:13" x14ac:dyDescent="0.2">
      <c r="A1020" s="237"/>
      <c r="B1020" s="302"/>
      <c r="C1020" s="302"/>
      <c r="D1020" s="302"/>
      <c r="E1020" s="303"/>
      <c r="F1020" s="302"/>
      <c r="G1020" s="302"/>
      <c r="H1020" s="302"/>
      <c r="I1020" s="303"/>
      <c r="J1020" s="302"/>
      <c r="K1020" s="302"/>
      <c r="L1020" s="302"/>
      <c r="M1020" s="236"/>
    </row>
    <row r="1021" spans="1:13" x14ac:dyDescent="0.2">
      <c r="A1021" s="237"/>
      <c r="B1021" s="302"/>
      <c r="C1021" s="302"/>
      <c r="D1021" s="302"/>
      <c r="E1021" s="303"/>
      <c r="F1021" s="302"/>
      <c r="G1021" s="302"/>
      <c r="H1021" s="302"/>
      <c r="I1021" s="303"/>
      <c r="J1021" s="302"/>
      <c r="K1021" s="302"/>
      <c r="L1021" s="302"/>
      <c r="M1021" s="236"/>
    </row>
    <row r="1022" spans="1:13" x14ac:dyDescent="0.2">
      <c r="A1022" s="237"/>
      <c r="B1022" s="303"/>
      <c r="C1022" s="303"/>
      <c r="D1022" s="303"/>
      <c r="E1022" s="303"/>
      <c r="F1022" s="303"/>
      <c r="G1022" s="303"/>
      <c r="H1022" s="303"/>
      <c r="I1022" s="303"/>
      <c r="J1022" s="303"/>
      <c r="K1022" s="303"/>
      <c r="L1022" s="303"/>
      <c r="M1022" s="236"/>
    </row>
    <row r="1023" spans="1:13" x14ac:dyDescent="0.2">
      <c r="A1023" s="237"/>
      <c r="B1023" s="237"/>
      <c r="C1023" s="237"/>
      <c r="D1023" s="237"/>
      <c r="E1023" s="237"/>
      <c r="F1023" s="237"/>
      <c r="G1023" s="237"/>
      <c r="H1023" s="237"/>
      <c r="I1023" s="237"/>
      <c r="J1023" s="237"/>
      <c r="K1023" s="237"/>
      <c r="L1023" s="240"/>
      <c r="M1023" s="236"/>
    </row>
    <row r="1024" spans="1:13" x14ac:dyDescent="0.2">
      <c r="A1024" s="237"/>
      <c r="B1024" s="237"/>
      <c r="C1024" s="237"/>
      <c r="D1024" s="237"/>
      <c r="E1024" s="237"/>
      <c r="F1024" s="237"/>
      <c r="G1024" s="237"/>
      <c r="H1024" s="237"/>
      <c r="I1024" s="237"/>
      <c r="J1024" s="237"/>
      <c r="K1024" s="237"/>
      <c r="L1024" s="284"/>
      <c r="M1024" s="236"/>
    </row>
    <row r="1025" spans="1:13" x14ac:dyDescent="0.2">
      <c r="A1025" s="258"/>
      <c r="B1025" s="241"/>
      <c r="C1025" s="241"/>
      <c r="D1025" s="241"/>
      <c r="E1025" s="241"/>
      <c r="F1025" s="241"/>
      <c r="G1025" s="241"/>
      <c r="H1025" s="241"/>
      <c r="I1025" s="241"/>
      <c r="J1025" s="241"/>
      <c r="K1025" s="241"/>
      <c r="L1025" s="236"/>
      <c r="M1025" s="236"/>
    </row>
    <row r="1026" spans="1:13" x14ac:dyDescent="0.2">
      <c r="A1026" s="241"/>
      <c r="B1026" s="375"/>
      <c r="C1026" s="375"/>
      <c r="D1026" s="375"/>
      <c r="E1026" s="253"/>
      <c r="F1026" s="375"/>
      <c r="G1026" s="375"/>
      <c r="H1026" s="375"/>
      <c r="I1026" s="253"/>
      <c r="J1026" s="375"/>
      <c r="K1026" s="375"/>
      <c r="L1026" s="375"/>
      <c r="M1026" s="236"/>
    </row>
    <row r="1027" spans="1:13" x14ac:dyDescent="0.2">
      <c r="A1027" s="258"/>
      <c r="B1027" s="259"/>
      <c r="C1027" s="259"/>
      <c r="D1027" s="259"/>
      <c r="E1027" s="259"/>
      <c r="F1027" s="259"/>
      <c r="G1027" s="259"/>
      <c r="H1027" s="259"/>
      <c r="I1027" s="259"/>
      <c r="J1027" s="259"/>
      <c r="K1027" s="259"/>
      <c r="L1027" s="259"/>
      <c r="M1027" s="236"/>
    </row>
    <row r="1028" spans="1:13" x14ac:dyDescent="0.2">
      <c r="A1028" s="258"/>
      <c r="B1028" s="259"/>
      <c r="C1028" s="259"/>
      <c r="D1028" s="259"/>
      <c r="E1028" s="259"/>
      <c r="F1028" s="259"/>
      <c r="G1028" s="259"/>
      <c r="H1028" s="259"/>
      <c r="I1028" s="259"/>
      <c r="J1028" s="259"/>
      <c r="K1028" s="259"/>
      <c r="L1028" s="259"/>
      <c r="M1028" s="236"/>
    </row>
    <row r="1029" spans="1:13" x14ac:dyDescent="0.2">
      <c r="A1029" s="237"/>
      <c r="B1029" s="302"/>
      <c r="C1029" s="302"/>
      <c r="D1029" s="302"/>
      <c r="E1029" s="303"/>
      <c r="F1029" s="302"/>
      <c r="G1029" s="302"/>
      <c r="H1029" s="302"/>
      <c r="I1029" s="303"/>
      <c r="J1029" s="302"/>
      <c r="K1029" s="302"/>
      <c r="L1029" s="302"/>
      <c r="M1029" s="236"/>
    </row>
    <row r="1030" spans="1:13" x14ac:dyDescent="0.2">
      <c r="A1030" s="237"/>
      <c r="B1030" s="302"/>
      <c r="C1030" s="302"/>
      <c r="D1030" s="302"/>
      <c r="E1030" s="303"/>
      <c r="F1030" s="302"/>
      <c r="G1030" s="302"/>
      <c r="H1030" s="302"/>
      <c r="I1030" s="303"/>
      <c r="J1030" s="302"/>
      <c r="K1030" s="302"/>
      <c r="L1030" s="302"/>
      <c r="M1030" s="236"/>
    </row>
    <row r="1031" spans="1:13" x14ac:dyDescent="0.2">
      <c r="A1031" s="237"/>
      <c r="B1031" s="302"/>
      <c r="C1031" s="302"/>
      <c r="D1031" s="302"/>
      <c r="E1031" s="303"/>
      <c r="F1031" s="302"/>
      <c r="G1031" s="302"/>
      <c r="H1031" s="302"/>
      <c r="I1031" s="303"/>
      <c r="J1031" s="302"/>
      <c r="K1031" s="302"/>
      <c r="L1031" s="302"/>
      <c r="M1031" s="236"/>
    </row>
    <row r="1032" spans="1:13" x14ac:dyDescent="0.2">
      <c r="A1032" s="237"/>
      <c r="B1032" s="302"/>
      <c r="C1032" s="302"/>
      <c r="D1032" s="302"/>
      <c r="E1032" s="303"/>
      <c r="F1032" s="302"/>
      <c r="G1032" s="302"/>
      <c r="H1032" s="302"/>
      <c r="I1032" s="303"/>
      <c r="J1032" s="302"/>
      <c r="K1032" s="302"/>
      <c r="L1032" s="302"/>
      <c r="M1032" s="236"/>
    </row>
    <row r="1033" spans="1:13" x14ac:dyDescent="0.2">
      <c r="A1033" s="237"/>
      <c r="B1033" s="302"/>
      <c r="C1033" s="302"/>
      <c r="D1033" s="302"/>
      <c r="E1033" s="303"/>
      <c r="F1033" s="302"/>
      <c r="G1033" s="302"/>
      <c r="H1033" s="302"/>
      <c r="I1033" s="303"/>
      <c r="J1033" s="302"/>
      <c r="K1033" s="302"/>
      <c r="L1033" s="302"/>
      <c r="M1033" s="236"/>
    </row>
    <row r="1034" spans="1:13" x14ac:dyDescent="0.2">
      <c r="A1034" s="237"/>
      <c r="B1034" s="302"/>
      <c r="C1034" s="302"/>
      <c r="D1034" s="302"/>
      <c r="E1034" s="303"/>
      <c r="F1034" s="302"/>
      <c r="G1034" s="302"/>
      <c r="H1034" s="302"/>
      <c r="I1034" s="303"/>
      <c r="J1034" s="302"/>
      <c r="K1034" s="302"/>
      <c r="L1034" s="302"/>
      <c r="M1034" s="236"/>
    </row>
    <row r="1035" spans="1:13" x14ac:dyDescent="0.2">
      <c r="A1035" s="237"/>
      <c r="B1035" s="302"/>
      <c r="C1035" s="302"/>
      <c r="D1035" s="302"/>
      <c r="E1035" s="303"/>
      <c r="F1035" s="302"/>
      <c r="G1035" s="302"/>
      <c r="H1035" s="302"/>
      <c r="I1035" s="303"/>
      <c r="J1035" s="302"/>
      <c r="K1035" s="302"/>
      <c r="L1035" s="302"/>
      <c r="M1035" s="236"/>
    </row>
    <row r="1036" spans="1:13" x14ac:dyDescent="0.2">
      <c r="A1036" s="237"/>
      <c r="B1036" s="302"/>
      <c r="C1036" s="302"/>
      <c r="D1036" s="302"/>
      <c r="E1036" s="303"/>
      <c r="F1036" s="302"/>
      <c r="G1036" s="302"/>
      <c r="H1036" s="302"/>
      <c r="I1036" s="303"/>
      <c r="J1036" s="302"/>
      <c r="K1036" s="302"/>
      <c r="L1036" s="302"/>
      <c r="M1036" s="236"/>
    </row>
    <row r="1037" spans="1:13" ht="13.5" customHeight="1" x14ac:dyDescent="0.2">
      <c r="A1037" s="237"/>
      <c r="B1037" s="302"/>
      <c r="C1037" s="302"/>
      <c r="D1037" s="302"/>
      <c r="E1037" s="303"/>
      <c r="F1037" s="302"/>
      <c r="G1037" s="302"/>
      <c r="H1037" s="302"/>
      <c r="I1037" s="303"/>
      <c r="J1037" s="302"/>
      <c r="K1037" s="302"/>
      <c r="L1037" s="302"/>
      <c r="M1037" s="236"/>
    </row>
    <row r="1038" spans="1:13" ht="13.5" customHeight="1" x14ac:dyDescent="0.2">
      <c r="A1038" s="237"/>
      <c r="B1038" s="302"/>
      <c r="C1038" s="302"/>
      <c r="D1038" s="302"/>
      <c r="E1038" s="303"/>
      <c r="F1038" s="302"/>
      <c r="G1038" s="302"/>
      <c r="H1038" s="302"/>
      <c r="I1038" s="303"/>
      <c r="J1038" s="302"/>
      <c r="K1038" s="302"/>
      <c r="L1038" s="302"/>
      <c r="M1038" s="236"/>
    </row>
    <row r="1039" spans="1:13" x14ac:dyDescent="0.2">
      <c r="A1039" s="237"/>
      <c r="B1039" s="303"/>
      <c r="C1039" s="303"/>
      <c r="D1039" s="303"/>
      <c r="E1039" s="303"/>
      <c r="F1039" s="303"/>
      <c r="G1039" s="303"/>
      <c r="H1039" s="303"/>
      <c r="I1039" s="303"/>
      <c r="J1039" s="303"/>
      <c r="K1039" s="303"/>
      <c r="L1039" s="303"/>
      <c r="M1039" s="236"/>
    </row>
    <row r="1040" spans="1:13" x14ac:dyDescent="0.2">
      <c r="A1040" s="237"/>
      <c r="B1040" s="237"/>
      <c r="C1040" s="237"/>
      <c r="D1040" s="237"/>
      <c r="E1040" s="237"/>
      <c r="F1040" s="237"/>
      <c r="G1040" s="237"/>
      <c r="H1040" s="237"/>
      <c r="I1040" s="237"/>
      <c r="J1040" s="237"/>
      <c r="K1040" s="237"/>
      <c r="L1040" s="240"/>
      <c r="M1040" s="236"/>
    </row>
    <row r="1041" spans="1:13" x14ac:dyDescent="0.2">
      <c r="A1041" s="237"/>
      <c r="B1041" s="237"/>
      <c r="C1041" s="237"/>
      <c r="D1041" s="237"/>
      <c r="E1041" s="237"/>
      <c r="F1041" s="237"/>
      <c r="G1041" s="237"/>
      <c r="H1041" s="237"/>
      <c r="I1041" s="237"/>
      <c r="J1041" s="237"/>
      <c r="K1041" s="237"/>
      <c r="L1041" s="284"/>
      <c r="M1041" s="236"/>
    </row>
    <row r="1042" spans="1:13" x14ac:dyDescent="0.2">
      <c r="A1042" s="258"/>
      <c r="B1042" s="241"/>
      <c r="C1042" s="241"/>
      <c r="D1042" s="241"/>
      <c r="E1042" s="241"/>
      <c r="F1042" s="241"/>
      <c r="G1042" s="241"/>
      <c r="H1042" s="241"/>
      <c r="I1042" s="241"/>
      <c r="J1042" s="241"/>
      <c r="K1042" s="241"/>
      <c r="L1042" s="236"/>
      <c r="M1042" s="236"/>
    </row>
    <row r="1043" spans="1:13" x14ac:dyDescent="0.2">
      <c r="A1043" s="241"/>
      <c r="B1043" s="375"/>
      <c r="C1043" s="375"/>
      <c r="D1043" s="375"/>
      <c r="E1043" s="253"/>
      <c r="F1043" s="375"/>
      <c r="G1043" s="375"/>
      <c r="H1043" s="375"/>
      <c r="I1043" s="253"/>
      <c r="J1043" s="375"/>
      <c r="K1043" s="375"/>
      <c r="L1043" s="375"/>
      <c r="M1043" s="236"/>
    </row>
    <row r="1044" spans="1:13" x14ac:dyDescent="0.2">
      <c r="A1044" s="258"/>
      <c r="B1044" s="259"/>
      <c r="C1044" s="259"/>
      <c r="D1044" s="259"/>
      <c r="E1044" s="259"/>
      <c r="F1044" s="259"/>
      <c r="G1044" s="259"/>
      <c r="H1044" s="259"/>
      <c r="I1044" s="259"/>
      <c r="J1044" s="259"/>
      <c r="K1044" s="259"/>
      <c r="L1044" s="259"/>
      <c r="M1044" s="236"/>
    </row>
    <row r="1045" spans="1:13" x14ac:dyDescent="0.2">
      <c r="A1045" s="258"/>
      <c r="B1045" s="259"/>
      <c r="C1045" s="259"/>
      <c r="D1045" s="259"/>
      <c r="E1045" s="259"/>
      <c r="F1045" s="259"/>
      <c r="G1045" s="259"/>
      <c r="H1045" s="259"/>
      <c r="I1045" s="259"/>
      <c r="J1045" s="259"/>
      <c r="K1045" s="259"/>
      <c r="L1045" s="259"/>
      <c r="M1045" s="236"/>
    </row>
    <row r="1046" spans="1:13" x14ac:dyDescent="0.2">
      <c r="A1046" s="237"/>
      <c r="B1046" s="302"/>
      <c r="C1046" s="302"/>
      <c r="D1046" s="302"/>
      <c r="E1046" s="303"/>
      <c r="F1046" s="302"/>
      <c r="G1046" s="302"/>
      <c r="H1046" s="302"/>
      <c r="I1046" s="303"/>
      <c r="J1046" s="302"/>
      <c r="K1046" s="302"/>
      <c r="L1046" s="302"/>
      <c r="M1046" s="236"/>
    </row>
    <row r="1047" spans="1:13" x14ac:dyDescent="0.2">
      <c r="A1047" s="237"/>
      <c r="B1047" s="302"/>
      <c r="C1047" s="302"/>
      <c r="D1047" s="302"/>
      <c r="E1047" s="303"/>
      <c r="F1047" s="302"/>
      <c r="G1047" s="302"/>
      <c r="H1047" s="302"/>
      <c r="I1047" s="303"/>
      <c r="J1047" s="302"/>
      <c r="K1047" s="302"/>
      <c r="L1047" s="302"/>
      <c r="M1047" s="236"/>
    </row>
    <row r="1048" spans="1:13" x14ac:dyDescent="0.2">
      <c r="A1048" s="237"/>
      <c r="B1048" s="302"/>
      <c r="C1048" s="302"/>
      <c r="D1048" s="302"/>
      <c r="E1048" s="303"/>
      <c r="F1048" s="302"/>
      <c r="G1048" s="302"/>
      <c r="H1048" s="302"/>
      <c r="I1048" s="303"/>
      <c r="J1048" s="302"/>
      <c r="K1048" s="302"/>
      <c r="L1048" s="302"/>
      <c r="M1048" s="236"/>
    </row>
    <row r="1049" spans="1:13" x14ac:dyDescent="0.2">
      <c r="A1049" s="237"/>
      <c r="B1049" s="302"/>
      <c r="C1049" s="302"/>
      <c r="D1049" s="302"/>
      <c r="E1049" s="303"/>
      <c r="F1049" s="302"/>
      <c r="G1049" s="302"/>
      <c r="H1049" s="302"/>
      <c r="I1049" s="303"/>
      <c r="J1049" s="302"/>
      <c r="K1049" s="302"/>
      <c r="L1049" s="302"/>
      <c r="M1049" s="236"/>
    </row>
    <row r="1050" spans="1:13" x14ac:dyDescent="0.2">
      <c r="A1050" s="237"/>
      <c r="B1050" s="302"/>
      <c r="C1050" s="302"/>
      <c r="D1050" s="302"/>
      <c r="E1050" s="303"/>
      <c r="F1050" s="302"/>
      <c r="G1050" s="302"/>
      <c r="H1050" s="302"/>
      <c r="I1050" s="303"/>
      <c r="J1050" s="302"/>
      <c r="K1050" s="302"/>
      <c r="L1050" s="302"/>
      <c r="M1050" s="236"/>
    </row>
    <row r="1051" spans="1:13" x14ac:dyDescent="0.2">
      <c r="A1051" s="237"/>
      <c r="B1051" s="302"/>
      <c r="C1051" s="302"/>
      <c r="D1051" s="302"/>
      <c r="E1051" s="303"/>
      <c r="F1051" s="302"/>
      <c r="G1051" s="302"/>
      <c r="H1051" s="302"/>
      <c r="I1051" s="303"/>
      <c r="J1051" s="302"/>
      <c r="K1051" s="302"/>
      <c r="L1051" s="302"/>
      <c r="M1051" s="236"/>
    </row>
    <row r="1052" spans="1:13" x14ac:dyDescent="0.2">
      <c r="A1052" s="237"/>
      <c r="B1052" s="302"/>
      <c r="C1052" s="302"/>
      <c r="D1052" s="302"/>
      <c r="E1052" s="303"/>
      <c r="F1052" s="302"/>
      <c r="G1052" s="302"/>
      <c r="H1052" s="302"/>
      <c r="I1052" s="303"/>
      <c r="J1052" s="302"/>
      <c r="K1052" s="302"/>
      <c r="L1052" s="302"/>
      <c r="M1052" s="236"/>
    </row>
    <row r="1053" spans="1:13" x14ac:dyDescent="0.2">
      <c r="A1053" s="237"/>
      <c r="B1053" s="302"/>
      <c r="C1053" s="302"/>
      <c r="D1053" s="302"/>
      <c r="E1053" s="303"/>
      <c r="F1053" s="302"/>
      <c r="G1053" s="302"/>
      <c r="H1053" s="302"/>
      <c r="I1053" s="303"/>
      <c r="J1053" s="302"/>
      <c r="K1053" s="302"/>
      <c r="L1053" s="302"/>
      <c r="M1053" s="236"/>
    </row>
    <row r="1054" spans="1:13" x14ac:dyDescent="0.2">
      <c r="A1054" s="237"/>
      <c r="B1054" s="302"/>
      <c r="C1054" s="302"/>
      <c r="D1054" s="302"/>
      <c r="E1054" s="303"/>
      <c r="F1054" s="302"/>
      <c r="G1054" s="302"/>
      <c r="H1054" s="302"/>
      <c r="I1054" s="303"/>
      <c r="J1054" s="302"/>
      <c r="K1054" s="302"/>
      <c r="L1054" s="302"/>
      <c r="M1054" s="236"/>
    </row>
    <row r="1055" spans="1:13" x14ac:dyDescent="0.2">
      <c r="A1055" s="237"/>
      <c r="B1055" s="302"/>
      <c r="C1055" s="302"/>
      <c r="D1055" s="302"/>
      <c r="E1055" s="303"/>
      <c r="F1055" s="302"/>
      <c r="G1055" s="302"/>
      <c r="H1055" s="302"/>
      <c r="I1055" s="303"/>
      <c r="J1055" s="302"/>
      <c r="K1055" s="302"/>
      <c r="L1055" s="302"/>
      <c r="M1055" s="236"/>
    </row>
    <row r="1056" spans="1:13" x14ac:dyDescent="0.2">
      <c r="A1056" s="237"/>
      <c r="B1056" s="303"/>
      <c r="C1056" s="303"/>
      <c r="D1056" s="303"/>
      <c r="E1056" s="303"/>
      <c r="F1056" s="303"/>
      <c r="G1056" s="303"/>
      <c r="H1056" s="303"/>
      <c r="I1056" s="303"/>
      <c r="J1056" s="303"/>
      <c r="K1056" s="303"/>
      <c r="L1056" s="303"/>
      <c r="M1056" s="236"/>
    </row>
    <row r="1057" spans="1:13" x14ac:dyDescent="0.2">
      <c r="A1057" s="237"/>
      <c r="B1057" s="237"/>
      <c r="C1057" s="237"/>
      <c r="D1057" s="237"/>
      <c r="E1057" s="237"/>
      <c r="F1057" s="237"/>
      <c r="G1057" s="237"/>
      <c r="H1057" s="237"/>
      <c r="I1057" s="237"/>
      <c r="J1057" s="237"/>
      <c r="K1057" s="237"/>
      <c r="L1057" s="240"/>
      <c r="M1057" s="236"/>
    </row>
    <row r="1058" spans="1:13" x14ac:dyDescent="0.2">
      <c r="A1058" s="237"/>
      <c r="B1058" s="237"/>
      <c r="C1058" s="237"/>
      <c r="D1058" s="237"/>
      <c r="E1058" s="237"/>
      <c r="F1058" s="237"/>
      <c r="G1058" s="237"/>
      <c r="H1058" s="237"/>
      <c r="I1058" s="237"/>
      <c r="J1058" s="237"/>
      <c r="K1058" s="237"/>
      <c r="L1058" s="284"/>
      <c r="M1058" s="236"/>
    </row>
    <row r="1059" spans="1:13" x14ac:dyDescent="0.2">
      <c r="A1059" s="258"/>
      <c r="B1059" s="241"/>
      <c r="C1059" s="241"/>
      <c r="D1059" s="241"/>
      <c r="E1059" s="241"/>
      <c r="F1059" s="241"/>
      <c r="G1059" s="241"/>
      <c r="H1059" s="241"/>
      <c r="I1059" s="241"/>
      <c r="J1059" s="241"/>
      <c r="K1059" s="241"/>
      <c r="L1059" s="236"/>
      <c r="M1059" s="236"/>
    </row>
    <row r="1060" spans="1:13" x14ac:dyDescent="0.2">
      <c r="A1060" s="241"/>
      <c r="B1060" s="375"/>
      <c r="C1060" s="375"/>
      <c r="D1060" s="375"/>
      <c r="E1060" s="253"/>
      <c r="F1060" s="375"/>
      <c r="G1060" s="375"/>
      <c r="H1060" s="375"/>
      <c r="I1060" s="253"/>
      <c r="J1060" s="375"/>
      <c r="K1060" s="375"/>
      <c r="L1060" s="375"/>
      <c r="M1060" s="236"/>
    </row>
    <row r="1061" spans="1:13" x14ac:dyDescent="0.2">
      <c r="A1061" s="258"/>
      <c r="B1061" s="259"/>
      <c r="C1061" s="259"/>
      <c r="D1061" s="259"/>
      <c r="E1061" s="259"/>
      <c r="F1061" s="259"/>
      <c r="G1061" s="259"/>
      <c r="H1061" s="259"/>
      <c r="I1061" s="259"/>
      <c r="J1061" s="259"/>
      <c r="K1061" s="259"/>
      <c r="L1061" s="259"/>
      <c r="M1061" s="236"/>
    </row>
    <row r="1062" spans="1:13" x14ac:dyDescent="0.2">
      <c r="A1062" s="258"/>
      <c r="B1062" s="259"/>
      <c r="C1062" s="259"/>
      <c r="D1062" s="259"/>
      <c r="E1062" s="259"/>
      <c r="F1062" s="259"/>
      <c r="G1062" s="259"/>
      <c r="H1062" s="259"/>
      <c r="I1062" s="259"/>
      <c r="J1062" s="259"/>
      <c r="K1062" s="259"/>
      <c r="L1062" s="259"/>
      <c r="M1062" s="236"/>
    </row>
    <row r="1063" spans="1:13" x14ac:dyDescent="0.2">
      <c r="A1063" s="237"/>
      <c r="B1063" s="302"/>
      <c r="C1063" s="302"/>
      <c r="D1063" s="302"/>
      <c r="E1063" s="303"/>
      <c r="F1063" s="302"/>
      <c r="G1063" s="302"/>
      <c r="H1063" s="302"/>
      <c r="I1063" s="303"/>
      <c r="J1063" s="302"/>
      <c r="K1063" s="302"/>
      <c r="L1063" s="302"/>
      <c r="M1063" s="236"/>
    </row>
    <row r="1064" spans="1:13" x14ac:dyDescent="0.2">
      <c r="A1064" s="237"/>
      <c r="B1064" s="302"/>
      <c r="C1064" s="302"/>
      <c r="D1064" s="302"/>
      <c r="E1064" s="303"/>
      <c r="F1064" s="302"/>
      <c r="G1064" s="302"/>
      <c r="H1064" s="302"/>
      <c r="I1064" s="303"/>
      <c r="J1064" s="302"/>
      <c r="K1064" s="302"/>
      <c r="L1064" s="302"/>
      <c r="M1064" s="236"/>
    </row>
    <row r="1065" spans="1:13" x14ac:dyDescent="0.2">
      <c r="A1065" s="237"/>
      <c r="B1065" s="302"/>
      <c r="C1065" s="302"/>
      <c r="D1065" s="302"/>
      <c r="E1065" s="303"/>
      <c r="F1065" s="302"/>
      <c r="G1065" s="302"/>
      <c r="H1065" s="302"/>
      <c r="I1065" s="303"/>
      <c r="J1065" s="302"/>
      <c r="K1065" s="302"/>
      <c r="L1065" s="302"/>
      <c r="M1065" s="236"/>
    </row>
    <row r="1066" spans="1:13" x14ac:dyDescent="0.2">
      <c r="A1066" s="237"/>
      <c r="B1066" s="302"/>
      <c r="C1066" s="302"/>
      <c r="D1066" s="302"/>
      <c r="E1066" s="303"/>
      <c r="F1066" s="302"/>
      <c r="G1066" s="302"/>
      <c r="H1066" s="302"/>
      <c r="I1066" s="303"/>
      <c r="J1066" s="302"/>
      <c r="K1066" s="302"/>
      <c r="L1066" s="302"/>
      <c r="M1066" s="236"/>
    </row>
    <row r="1067" spans="1:13" x14ac:dyDescent="0.2">
      <c r="A1067" s="237"/>
      <c r="B1067" s="302"/>
      <c r="C1067" s="302"/>
      <c r="D1067" s="302"/>
      <c r="E1067" s="303"/>
      <c r="F1067" s="302"/>
      <c r="G1067" s="302"/>
      <c r="H1067" s="302"/>
      <c r="I1067" s="303"/>
      <c r="J1067" s="302"/>
      <c r="K1067" s="302"/>
      <c r="L1067" s="302"/>
      <c r="M1067" s="236"/>
    </row>
    <row r="1068" spans="1:13" x14ac:dyDescent="0.2">
      <c r="A1068" s="237"/>
      <c r="B1068" s="302"/>
      <c r="C1068" s="302"/>
      <c r="D1068" s="302"/>
      <c r="E1068" s="303"/>
      <c r="F1068" s="302"/>
      <c r="G1068" s="302"/>
      <c r="H1068" s="302"/>
      <c r="I1068" s="303"/>
      <c r="J1068" s="302"/>
      <c r="K1068" s="302"/>
      <c r="L1068" s="302"/>
      <c r="M1068" s="236"/>
    </row>
    <row r="1069" spans="1:13" x14ac:dyDescent="0.2">
      <c r="A1069" s="237"/>
      <c r="B1069" s="302"/>
      <c r="C1069" s="302"/>
      <c r="D1069" s="302"/>
      <c r="E1069" s="303"/>
      <c r="F1069" s="302"/>
      <c r="G1069" s="302"/>
      <c r="H1069" s="302"/>
      <c r="I1069" s="303"/>
      <c r="J1069" s="302"/>
      <c r="K1069" s="302"/>
      <c r="L1069" s="302"/>
      <c r="M1069" s="236"/>
    </row>
    <row r="1070" spans="1:13" x14ac:dyDescent="0.2">
      <c r="A1070" s="237"/>
      <c r="B1070" s="302"/>
      <c r="C1070" s="302"/>
      <c r="D1070" s="302"/>
      <c r="E1070" s="303"/>
      <c r="F1070" s="302"/>
      <c r="G1070" s="302"/>
      <c r="H1070" s="302"/>
      <c r="I1070" s="303"/>
      <c r="J1070" s="302"/>
      <c r="K1070" s="302"/>
      <c r="L1070" s="302"/>
      <c r="M1070" s="236"/>
    </row>
    <row r="1071" spans="1:13" x14ac:dyDescent="0.2">
      <c r="A1071" s="237"/>
      <c r="B1071" s="302"/>
      <c r="C1071" s="302"/>
      <c r="D1071" s="302"/>
      <c r="E1071" s="303"/>
      <c r="F1071" s="302"/>
      <c r="G1071" s="302"/>
      <c r="H1071" s="302"/>
      <c r="I1071" s="303"/>
      <c r="J1071" s="302"/>
      <c r="K1071" s="302"/>
      <c r="L1071" s="302"/>
      <c r="M1071" s="236"/>
    </row>
    <row r="1072" spans="1:13" x14ac:dyDescent="0.2">
      <c r="A1072" s="237"/>
      <c r="B1072" s="302"/>
      <c r="C1072" s="302"/>
      <c r="D1072" s="302"/>
      <c r="E1072" s="303"/>
      <c r="F1072" s="302"/>
      <c r="G1072" s="302"/>
      <c r="H1072" s="302"/>
      <c r="I1072" s="303"/>
      <c r="J1072" s="302"/>
      <c r="K1072" s="302"/>
      <c r="L1072" s="302"/>
      <c r="M1072" s="236"/>
    </row>
    <row r="1073" spans="1:13" x14ac:dyDescent="0.2">
      <c r="A1073" s="237"/>
      <c r="B1073" s="303"/>
      <c r="C1073" s="303"/>
      <c r="D1073" s="303"/>
      <c r="E1073" s="303"/>
      <c r="F1073" s="303"/>
      <c r="G1073" s="303"/>
      <c r="H1073" s="303"/>
      <c r="I1073" s="303"/>
      <c r="J1073" s="303"/>
      <c r="K1073" s="303"/>
      <c r="L1073" s="303"/>
      <c r="M1073" s="236"/>
    </row>
    <row r="1074" spans="1:13" x14ac:dyDescent="0.2">
      <c r="A1074" s="237"/>
      <c r="B1074" s="237"/>
      <c r="C1074" s="237"/>
      <c r="D1074" s="237"/>
      <c r="E1074" s="237"/>
      <c r="F1074" s="237"/>
      <c r="G1074" s="237"/>
      <c r="H1074" s="237"/>
      <c r="I1074" s="237"/>
      <c r="J1074" s="237"/>
      <c r="K1074" s="237"/>
      <c r="L1074" s="240"/>
      <c r="M1074" s="236"/>
    </row>
    <row r="1075" spans="1:13" x14ac:dyDescent="0.2">
      <c r="A1075" s="237"/>
      <c r="B1075" s="237"/>
      <c r="C1075" s="237"/>
      <c r="D1075" s="237"/>
      <c r="E1075" s="237"/>
      <c r="F1075" s="237"/>
      <c r="G1075" s="237"/>
      <c r="H1075" s="237"/>
      <c r="I1075" s="237"/>
      <c r="J1075" s="237"/>
      <c r="K1075" s="237"/>
      <c r="L1075" s="284"/>
      <c r="M1075" s="236"/>
    </row>
    <row r="1076" spans="1:13" x14ac:dyDescent="0.2">
      <c r="A1076" s="258"/>
      <c r="B1076" s="241"/>
      <c r="C1076" s="241"/>
      <c r="D1076" s="241"/>
      <c r="E1076" s="241"/>
      <c r="F1076" s="241"/>
      <c r="G1076" s="241"/>
      <c r="H1076" s="241"/>
      <c r="I1076" s="241"/>
      <c r="J1076" s="241"/>
      <c r="K1076" s="241"/>
      <c r="L1076" s="236"/>
      <c r="M1076" s="236"/>
    </row>
    <row r="1077" spans="1:13" x14ac:dyDescent="0.2">
      <c r="A1077" s="241"/>
      <c r="B1077" s="375"/>
      <c r="C1077" s="375"/>
      <c r="D1077" s="375"/>
      <c r="E1077" s="253"/>
      <c r="F1077" s="375"/>
      <c r="G1077" s="375"/>
      <c r="H1077" s="375"/>
      <c r="I1077" s="253"/>
      <c r="J1077" s="375"/>
      <c r="K1077" s="375"/>
      <c r="L1077" s="375"/>
      <c r="M1077" s="236"/>
    </row>
    <row r="1078" spans="1:13" x14ac:dyDescent="0.2">
      <c r="A1078" s="258"/>
      <c r="B1078" s="259"/>
      <c r="C1078" s="259"/>
      <c r="D1078" s="259"/>
      <c r="E1078" s="259"/>
      <c r="F1078" s="259"/>
      <c r="G1078" s="259"/>
      <c r="H1078" s="259"/>
      <c r="I1078" s="259"/>
      <c r="J1078" s="259"/>
      <c r="K1078" s="259"/>
      <c r="L1078" s="259"/>
      <c r="M1078" s="236"/>
    </row>
    <row r="1079" spans="1:13" x14ac:dyDescent="0.2">
      <c r="A1079" s="258"/>
      <c r="B1079" s="259"/>
      <c r="C1079" s="259"/>
      <c r="D1079" s="259"/>
      <c r="E1079" s="259"/>
      <c r="F1079" s="259"/>
      <c r="G1079" s="259"/>
      <c r="H1079" s="259"/>
      <c r="I1079" s="259"/>
      <c r="J1079" s="259"/>
      <c r="K1079" s="259"/>
      <c r="L1079" s="259"/>
      <c r="M1079" s="236"/>
    </row>
    <row r="1080" spans="1:13" x14ac:dyDescent="0.2">
      <c r="A1080" s="237"/>
      <c r="B1080" s="302"/>
      <c r="C1080" s="302"/>
      <c r="D1080" s="302"/>
      <c r="E1080" s="303"/>
      <c r="F1080" s="302"/>
      <c r="G1080" s="302"/>
      <c r="H1080" s="302"/>
      <c r="I1080" s="303"/>
      <c r="J1080" s="302"/>
      <c r="K1080" s="302"/>
      <c r="L1080" s="302"/>
      <c r="M1080" s="236"/>
    </row>
    <row r="1081" spans="1:13" x14ac:dyDescent="0.2">
      <c r="A1081" s="237"/>
      <c r="B1081" s="302"/>
      <c r="C1081" s="302"/>
      <c r="D1081" s="302"/>
      <c r="E1081" s="303"/>
      <c r="F1081" s="302"/>
      <c r="G1081" s="302"/>
      <c r="H1081" s="302"/>
      <c r="I1081" s="303"/>
      <c r="J1081" s="302"/>
      <c r="K1081" s="302"/>
      <c r="L1081" s="302"/>
      <c r="M1081" s="236"/>
    </row>
    <row r="1082" spans="1:13" x14ac:dyDescent="0.2">
      <c r="A1082" s="237"/>
      <c r="B1082" s="302"/>
      <c r="C1082" s="302"/>
      <c r="D1082" s="302"/>
      <c r="E1082" s="303"/>
      <c r="F1082" s="302"/>
      <c r="G1082" s="302"/>
      <c r="H1082" s="302"/>
      <c r="I1082" s="303"/>
      <c r="J1082" s="302"/>
      <c r="K1082" s="302"/>
      <c r="L1082" s="302"/>
      <c r="M1082" s="236"/>
    </row>
    <row r="1083" spans="1:13" x14ac:dyDescent="0.2">
      <c r="A1083" s="237"/>
      <c r="B1083" s="302"/>
      <c r="C1083" s="302"/>
      <c r="D1083" s="302"/>
      <c r="E1083" s="303"/>
      <c r="F1083" s="302"/>
      <c r="G1083" s="302"/>
      <c r="H1083" s="302"/>
      <c r="I1083" s="303"/>
      <c r="J1083" s="302"/>
      <c r="K1083" s="302"/>
      <c r="L1083" s="302"/>
      <c r="M1083" s="236"/>
    </row>
    <row r="1084" spans="1:13" x14ac:dyDescent="0.2">
      <c r="A1084" s="237"/>
      <c r="B1084" s="302"/>
      <c r="C1084" s="302"/>
      <c r="D1084" s="302"/>
      <c r="E1084" s="303"/>
      <c r="F1084" s="302"/>
      <c r="G1084" s="302"/>
      <c r="H1084" s="302"/>
      <c r="I1084" s="303"/>
      <c r="J1084" s="302"/>
      <c r="K1084" s="302"/>
      <c r="L1084" s="302"/>
      <c r="M1084" s="236"/>
    </row>
    <row r="1085" spans="1:13" x14ac:dyDescent="0.2">
      <c r="A1085" s="237"/>
      <c r="B1085" s="302"/>
      <c r="C1085" s="302"/>
      <c r="D1085" s="302"/>
      <c r="E1085" s="303"/>
      <c r="F1085" s="302"/>
      <c r="G1085" s="302"/>
      <c r="H1085" s="302"/>
      <c r="I1085" s="303"/>
      <c r="J1085" s="302"/>
      <c r="K1085" s="302"/>
      <c r="L1085" s="302"/>
      <c r="M1085" s="236"/>
    </row>
    <row r="1086" spans="1:13" x14ac:dyDescent="0.2">
      <c r="A1086" s="237"/>
      <c r="B1086" s="302"/>
      <c r="C1086" s="302"/>
      <c r="D1086" s="302"/>
      <c r="E1086" s="303"/>
      <c r="F1086" s="302"/>
      <c r="G1086" s="302"/>
      <c r="H1086" s="302"/>
      <c r="I1086" s="303"/>
      <c r="J1086" s="302"/>
      <c r="K1086" s="302"/>
      <c r="L1086" s="302"/>
      <c r="M1086" s="236"/>
    </row>
    <row r="1087" spans="1:13" x14ac:dyDescent="0.2">
      <c r="A1087" s="237"/>
      <c r="B1087" s="302"/>
      <c r="C1087" s="302"/>
      <c r="D1087" s="302"/>
      <c r="E1087" s="303"/>
      <c r="F1087" s="302"/>
      <c r="G1087" s="302"/>
      <c r="H1087" s="302"/>
      <c r="I1087" s="303"/>
      <c r="J1087" s="302"/>
      <c r="K1087" s="302"/>
      <c r="L1087" s="302"/>
      <c r="M1087" s="236"/>
    </row>
    <row r="1088" spans="1:13" x14ac:dyDescent="0.2">
      <c r="A1088" s="237"/>
      <c r="B1088" s="302"/>
      <c r="C1088" s="302"/>
      <c r="D1088" s="302"/>
      <c r="E1088" s="303"/>
      <c r="F1088" s="302"/>
      <c r="G1088" s="302"/>
      <c r="H1088" s="302"/>
      <c r="I1088" s="303"/>
      <c r="J1088" s="302"/>
      <c r="K1088" s="302"/>
      <c r="L1088" s="302"/>
      <c r="M1088" s="236"/>
    </row>
    <row r="1089" spans="1:13" x14ac:dyDescent="0.2">
      <c r="A1089" s="237"/>
      <c r="B1089" s="302"/>
      <c r="C1089" s="302"/>
      <c r="D1089" s="302"/>
      <c r="E1089" s="303"/>
      <c r="F1089" s="302"/>
      <c r="G1089" s="302"/>
      <c r="H1089" s="302"/>
      <c r="I1089" s="303"/>
      <c r="J1089" s="302"/>
      <c r="K1089" s="302"/>
      <c r="L1089" s="302"/>
      <c r="M1089" s="236"/>
    </row>
    <row r="1090" spans="1:13" x14ac:dyDescent="0.2">
      <c r="A1090" s="237"/>
      <c r="B1090" s="303"/>
      <c r="C1090" s="303"/>
      <c r="D1090" s="303"/>
      <c r="E1090" s="303"/>
      <c r="F1090" s="303"/>
      <c r="G1090" s="303"/>
      <c r="H1090" s="303"/>
      <c r="I1090" s="303"/>
      <c r="J1090" s="303"/>
      <c r="K1090" s="303"/>
      <c r="L1090" s="303"/>
      <c r="M1090" s="236"/>
    </row>
    <row r="1091" spans="1:13" x14ac:dyDescent="0.2">
      <c r="A1091" s="237"/>
      <c r="B1091" s="237"/>
      <c r="C1091" s="237"/>
      <c r="D1091" s="237"/>
      <c r="E1091" s="237"/>
      <c r="F1091" s="237"/>
      <c r="G1091" s="237"/>
      <c r="H1091" s="237"/>
      <c r="I1091" s="237"/>
      <c r="J1091" s="237"/>
      <c r="K1091" s="237"/>
      <c r="L1091" s="240"/>
      <c r="M1091" s="236"/>
    </row>
    <row r="1092" spans="1:13" x14ac:dyDescent="0.2">
      <c r="A1092" s="237"/>
      <c r="B1092" s="237"/>
      <c r="C1092" s="237"/>
      <c r="D1092" s="237"/>
      <c r="E1092" s="237"/>
      <c r="F1092" s="237"/>
      <c r="G1092" s="237"/>
      <c r="H1092" s="237"/>
      <c r="I1092" s="237"/>
      <c r="J1092" s="237"/>
      <c r="K1092" s="237"/>
      <c r="L1092" s="284"/>
      <c r="M1092" s="236"/>
    </row>
    <row r="1093" spans="1:13" x14ac:dyDescent="0.2">
      <c r="A1093" s="258"/>
      <c r="B1093" s="241"/>
      <c r="C1093" s="241"/>
      <c r="D1093" s="241"/>
      <c r="E1093" s="241"/>
      <c r="F1093" s="241"/>
      <c r="G1093" s="241"/>
      <c r="H1093" s="241"/>
      <c r="I1093" s="241"/>
      <c r="J1093" s="241"/>
      <c r="K1093" s="241"/>
      <c r="L1093" s="236"/>
      <c r="M1093" s="236"/>
    </row>
    <row r="1094" spans="1:13" x14ac:dyDescent="0.2">
      <c r="A1094" s="241"/>
      <c r="B1094" s="375"/>
      <c r="C1094" s="375"/>
      <c r="D1094" s="375"/>
      <c r="E1094" s="253"/>
      <c r="F1094" s="375"/>
      <c r="G1094" s="375"/>
      <c r="H1094" s="375"/>
      <c r="I1094" s="253"/>
      <c r="J1094" s="375"/>
      <c r="K1094" s="375"/>
      <c r="L1094" s="375"/>
      <c r="M1094" s="236"/>
    </row>
    <row r="1095" spans="1:13" x14ac:dyDescent="0.2">
      <c r="A1095" s="258"/>
      <c r="B1095" s="259"/>
      <c r="C1095" s="259"/>
      <c r="D1095" s="259"/>
      <c r="E1095" s="259"/>
      <c r="F1095" s="259"/>
      <c r="G1095" s="259"/>
      <c r="H1095" s="259"/>
      <c r="I1095" s="259"/>
      <c r="J1095" s="259"/>
      <c r="K1095" s="259"/>
      <c r="L1095" s="259"/>
      <c r="M1095" s="236"/>
    </row>
    <row r="1096" spans="1:13" x14ac:dyDescent="0.2">
      <c r="A1096" s="258"/>
      <c r="B1096" s="259"/>
      <c r="C1096" s="259"/>
      <c r="D1096" s="259"/>
      <c r="E1096" s="259"/>
      <c r="F1096" s="259"/>
      <c r="G1096" s="259"/>
      <c r="H1096" s="259"/>
      <c r="I1096" s="259"/>
      <c r="J1096" s="259"/>
      <c r="K1096" s="259"/>
      <c r="L1096" s="259"/>
      <c r="M1096" s="236"/>
    </row>
    <row r="1097" spans="1:13" x14ac:dyDescent="0.2">
      <c r="A1097" s="237"/>
      <c r="B1097" s="302"/>
      <c r="C1097" s="302"/>
      <c r="D1097" s="302"/>
      <c r="E1097" s="303"/>
      <c r="F1097" s="302"/>
      <c r="G1097" s="302"/>
      <c r="H1097" s="302"/>
      <c r="I1097" s="303"/>
      <c r="J1097" s="302"/>
      <c r="K1097" s="302"/>
      <c r="L1097" s="302"/>
      <c r="M1097" s="236"/>
    </row>
    <row r="1098" spans="1:13" x14ac:dyDescent="0.2">
      <c r="A1098" s="237"/>
      <c r="B1098" s="302"/>
      <c r="C1098" s="302"/>
      <c r="D1098" s="302"/>
      <c r="E1098" s="303"/>
      <c r="F1098" s="302"/>
      <c r="G1098" s="302"/>
      <c r="H1098" s="302"/>
      <c r="I1098" s="303"/>
      <c r="J1098" s="302"/>
      <c r="K1098" s="302"/>
      <c r="L1098" s="302"/>
      <c r="M1098" s="236"/>
    </row>
    <row r="1099" spans="1:13" x14ac:dyDescent="0.2">
      <c r="A1099" s="237"/>
      <c r="B1099" s="302"/>
      <c r="C1099" s="302"/>
      <c r="D1099" s="302"/>
      <c r="E1099" s="303"/>
      <c r="F1099" s="302"/>
      <c r="G1099" s="302"/>
      <c r="H1099" s="302"/>
      <c r="I1099" s="303"/>
      <c r="J1099" s="302"/>
      <c r="K1099" s="302"/>
      <c r="L1099" s="302"/>
      <c r="M1099" s="236"/>
    </row>
    <row r="1100" spans="1:13" x14ac:dyDescent="0.2">
      <c r="A1100" s="237"/>
      <c r="B1100" s="302"/>
      <c r="C1100" s="302"/>
      <c r="D1100" s="302"/>
      <c r="E1100" s="303"/>
      <c r="F1100" s="302"/>
      <c r="G1100" s="302"/>
      <c r="H1100" s="302"/>
      <c r="I1100" s="303"/>
      <c r="J1100" s="302"/>
      <c r="K1100" s="302"/>
      <c r="L1100" s="302"/>
      <c r="M1100" s="236"/>
    </row>
    <row r="1101" spans="1:13" x14ac:dyDescent="0.2">
      <c r="A1101" s="237"/>
      <c r="B1101" s="302"/>
      <c r="C1101" s="302"/>
      <c r="D1101" s="302"/>
      <c r="E1101" s="303"/>
      <c r="F1101" s="302"/>
      <c r="G1101" s="302"/>
      <c r="H1101" s="302"/>
      <c r="I1101" s="303"/>
      <c r="J1101" s="302"/>
      <c r="K1101" s="302"/>
      <c r="L1101" s="302"/>
      <c r="M1101" s="236"/>
    </row>
    <row r="1102" spans="1:13" x14ac:dyDescent="0.2">
      <c r="A1102" s="237"/>
      <c r="B1102" s="302"/>
      <c r="C1102" s="302"/>
      <c r="D1102" s="302"/>
      <c r="E1102" s="303"/>
      <c r="F1102" s="302"/>
      <c r="G1102" s="302"/>
      <c r="H1102" s="302"/>
      <c r="I1102" s="303"/>
      <c r="J1102" s="302"/>
      <c r="K1102" s="302"/>
      <c r="L1102" s="302"/>
      <c r="M1102" s="236"/>
    </row>
    <row r="1103" spans="1:13" x14ac:dyDescent="0.2">
      <c r="A1103" s="237"/>
      <c r="B1103" s="302"/>
      <c r="C1103" s="302"/>
      <c r="D1103" s="302"/>
      <c r="E1103" s="303"/>
      <c r="F1103" s="302"/>
      <c r="G1103" s="302"/>
      <c r="H1103" s="302"/>
      <c r="I1103" s="303"/>
      <c r="J1103" s="302"/>
      <c r="K1103" s="302"/>
      <c r="L1103" s="302"/>
      <c r="M1103" s="236"/>
    </row>
    <row r="1104" spans="1:13" x14ac:dyDescent="0.2">
      <c r="A1104" s="237"/>
      <c r="B1104" s="302"/>
      <c r="C1104" s="302"/>
      <c r="D1104" s="302"/>
      <c r="E1104" s="303"/>
      <c r="F1104" s="302"/>
      <c r="G1104" s="302"/>
      <c r="H1104" s="302"/>
      <c r="I1104" s="303"/>
      <c r="J1104" s="302"/>
      <c r="K1104" s="302"/>
      <c r="L1104" s="302"/>
      <c r="M1104" s="236"/>
    </row>
    <row r="1105" spans="1:13" x14ac:dyDescent="0.2">
      <c r="A1105" s="237"/>
      <c r="B1105" s="302"/>
      <c r="C1105" s="302"/>
      <c r="D1105" s="302"/>
      <c r="E1105" s="303"/>
      <c r="F1105" s="302"/>
      <c r="G1105" s="302"/>
      <c r="H1105" s="302"/>
      <c r="I1105" s="303"/>
      <c r="J1105" s="302"/>
      <c r="K1105" s="302"/>
      <c r="L1105" s="302"/>
      <c r="M1105" s="236"/>
    </row>
    <row r="1106" spans="1:13" x14ac:dyDescent="0.2">
      <c r="A1106" s="237"/>
      <c r="B1106" s="302"/>
      <c r="C1106" s="302"/>
      <c r="D1106" s="302"/>
      <c r="E1106" s="303"/>
      <c r="F1106" s="302"/>
      <c r="G1106" s="302"/>
      <c r="H1106" s="302"/>
      <c r="I1106" s="303"/>
      <c r="J1106" s="302"/>
      <c r="K1106" s="302"/>
      <c r="L1106" s="302"/>
      <c r="M1106" s="236"/>
    </row>
    <row r="1107" spans="1:13" x14ac:dyDescent="0.2">
      <c r="A1107" s="237"/>
      <c r="B1107" s="303"/>
      <c r="C1107" s="303"/>
      <c r="D1107" s="303"/>
      <c r="E1107" s="303"/>
      <c r="F1107" s="303"/>
      <c r="G1107" s="303"/>
      <c r="H1107" s="303"/>
      <c r="I1107" s="303"/>
      <c r="J1107" s="303"/>
      <c r="K1107" s="303"/>
      <c r="L1107" s="303"/>
      <c r="M1107" s="236"/>
    </row>
    <row r="1108" spans="1:13" x14ac:dyDescent="0.2">
      <c r="A1108" s="237"/>
      <c r="B1108" s="237"/>
      <c r="C1108" s="237"/>
      <c r="D1108" s="237"/>
      <c r="E1108" s="237"/>
      <c r="F1108" s="237"/>
      <c r="G1108" s="237"/>
      <c r="H1108" s="237"/>
      <c r="I1108" s="237"/>
      <c r="J1108" s="237"/>
      <c r="K1108" s="237"/>
      <c r="L1108" s="240"/>
      <c r="M1108" s="236"/>
    </row>
    <row r="1109" spans="1:13" x14ac:dyDescent="0.2">
      <c r="A1109" s="237"/>
      <c r="B1109" s="237"/>
      <c r="C1109" s="237"/>
      <c r="D1109" s="237"/>
      <c r="E1109" s="237"/>
      <c r="F1109" s="237"/>
      <c r="G1109" s="237"/>
      <c r="H1109" s="237"/>
      <c r="I1109" s="237"/>
      <c r="J1109" s="237"/>
      <c r="K1109" s="237"/>
      <c r="L1109" s="284"/>
      <c r="M1109" s="236"/>
    </row>
    <row r="1110" spans="1:13" x14ac:dyDescent="0.2">
      <c r="A1110" s="258"/>
      <c r="B1110" s="241"/>
      <c r="C1110" s="241"/>
      <c r="D1110" s="241"/>
      <c r="E1110" s="241"/>
      <c r="F1110" s="241"/>
      <c r="G1110" s="241"/>
      <c r="H1110" s="241"/>
      <c r="I1110" s="241"/>
      <c r="J1110" s="241"/>
      <c r="K1110" s="241"/>
      <c r="L1110" s="236"/>
      <c r="M1110" s="236"/>
    </row>
    <row r="1111" spans="1:13" x14ac:dyDescent="0.2">
      <c r="A1111" s="241"/>
      <c r="B1111" s="375"/>
      <c r="C1111" s="375"/>
      <c r="D1111" s="375"/>
      <c r="E1111" s="253"/>
      <c r="F1111" s="375"/>
      <c r="G1111" s="375"/>
      <c r="H1111" s="375"/>
      <c r="I1111" s="253"/>
      <c r="J1111" s="375"/>
      <c r="K1111" s="375"/>
      <c r="L1111" s="375"/>
      <c r="M1111" s="236"/>
    </row>
    <row r="1112" spans="1:13" x14ac:dyDescent="0.2">
      <c r="A1112" s="258"/>
      <c r="B1112" s="259"/>
      <c r="C1112" s="259"/>
      <c r="D1112" s="259"/>
      <c r="E1112" s="259"/>
      <c r="F1112" s="259"/>
      <c r="G1112" s="259"/>
      <c r="H1112" s="259"/>
      <c r="I1112" s="259"/>
      <c r="J1112" s="259"/>
      <c r="K1112" s="259"/>
      <c r="L1112" s="259"/>
      <c r="M1112" s="236"/>
    </row>
    <row r="1113" spans="1:13" x14ac:dyDescent="0.2">
      <c r="A1113" s="258"/>
      <c r="B1113" s="259"/>
      <c r="C1113" s="259"/>
      <c r="D1113" s="259"/>
      <c r="E1113" s="259"/>
      <c r="F1113" s="259"/>
      <c r="G1113" s="259"/>
      <c r="H1113" s="259"/>
      <c r="I1113" s="259"/>
      <c r="J1113" s="259"/>
      <c r="K1113" s="259"/>
      <c r="L1113" s="259"/>
      <c r="M1113" s="236"/>
    </row>
    <row r="1114" spans="1:13" x14ac:dyDescent="0.2">
      <c r="A1114" s="237"/>
      <c r="B1114" s="302"/>
      <c r="C1114" s="302"/>
      <c r="D1114" s="302"/>
      <c r="E1114" s="303"/>
      <c r="F1114" s="302"/>
      <c r="G1114" s="302"/>
      <c r="H1114" s="302"/>
      <c r="I1114" s="303"/>
      <c r="J1114" s="302"/>
      <c r="K1114" s="302"/>
      <c r="L1114" s="302"/>
      <c r="M1114" s="236"/>
    </row>
    <row r="1115" spans="1:13" x14ac:dyDescent="0.2">
      <c r="A1115" s="237"/>
      <c r="B1115" s="302"/>
      <c r="C1115" s="302"/>
      <c r="D1115" s="302"/>
      <c r="E1115" s="303"/>
      <c r="F1115" s="302"/>
      <c r="G1115" s="302"/>
      <c r="H1115" s="302"/>
      <c r="I1115" s="303"/>
      <c r="J1115" s="302"/>
      <c r="K1115" s="302"/>
      <c r="L1115" s="302"/>
      <c r="M1115" s="236"/>
    </row>
    <row r="1116" spans="1:13" x14ac:dyDescent="0.2">
      <c r="A1116" s="237"/>
      <c r="B1116" s="302"/>
      <c r="C1116" s="302"/>
      <c r="D1116" s="302"/>
      <c r="E1116" s="303"/>
      <c r="F1116" s="302"/>
      <c r="G1116" s="302"/>
      <c r="H1116" s="302"/>
      <c r="I1116" s="303"/>
      <c r="J1116" s="302"/>
      <c r="K1116" s="302"/>
      <c r="L1116" s="302"/>
      <c r="M1116" s="236"/>
    </row>
    <row r="1117" spans="1:13" x14ac:dyDescent="0.2">
      <c r="A1117" s="237"/>
      <c r="B1117" s="302"/>
      <c r="C1117" s="302"/>
      <c r="D1117" s="302"/>
      <c r="E1117" s="303"/>
      <c r="F1117" s="302"/>
      <c r="G1117" s="302"/>
      <c r="H1117" s="302"/>
      <c r="I1117" s="303"/>
      <c r="J1117" s="302"/>
      <c r="K1117" s="302"/>
      <c r="L1117" s="302"/>
      <c r="M1117" s="236"/>
    </row>
    <row r="1118" spans="1:13" x14ac:dyDescent="0.2">
      <c r="A1118" s="237"/>
      <c r="B1118" s="302"/>
      <c r="C1118" s="302"/>
      <c r="D1118" s="302"/>
      <c r="E1118" s="303"/>
      <c r="F1118" s="302"/>
      <c r="G1118" s="302"/>
      <c r="H1118" s="302"/>
      <c r="I1118" s="303"/>
      <c r="J1118" s="302"/>
      <c r="K1118" s="302"/>
      <c r="L1118" s="302"/>
      <c r="M1118" s="236"/>
    </row>
    <row r="1119" spans="1:13" x14ac:dyDescent="0.2">
      <c r="A1119" s="237"/>
      <c r="B1119" s="302"/>
      <c r="C1119" s="302"/>
      <c r="D1119" s="302"/>
      <c r="E1119" s="303"/>
      <c r="F1119" s="302"/>
      <c r="G1119" s="302"/>
      <c r="H1119" s="302"/>
      <c r="I1119" s="303"/>
      <c r="J1119" s="302"/>
      <c r="K1119" s="302"/>
      <c r="L1119" s="302"/>
      <c r="M1119" s="236"/>
    </row>
    <row r="1120" spans="1:13" x14ac:dyDescent="0.2">
      <c r="A1120" s="237"/>
      <c r="B1120" s="302"/>
      <c r="C1120" s="302"/>
      <c r="D1120" s="302"/>
      <c r="E1120" s="303"/>
      <c r="F1120" s="302"/>
      <c r="G1120" s="302"/>
      <c r="H1120" s="302"/>
      <c r="I1120" s="303"/>
      <c r="J1120" s="302"/>
      <c r="K1120" s="302"/>
      <c r="L1120" s="302"/>
      <c r="M1120" s="236"/>
    </row>
    <row r="1121" spans="1:13" x14ac:dyDescent="0.2">
      <c r="A1121" s="237"/>
      <c r="B1121" s="302"/>
      <c r="C1121" s="302"/>
      <c r="D1121" s="302"/>
      <c r="E1121" s="303"/>
      <c r="F1121" s="302"/>
      <c r="G1121" s="302"/>
      <c r="H1121" s="302"/>
      <c r="I1121" s="303"/>
      <c r="J1121" s="302"/>
      <c r="K1121" s="302"/>
      <c r="L1121" s="302"/>
      <c r="M1121" s="236"/>
    </row>
    <row r="1122" spans="1:13" x14ac:dyDescent="0.2">
      <c r="A1122" s="237"/>
      <c r="B1122" s="302"/>
      <c r="C1122" s="302"/>
      <c r="D1122" s="302"/>
      <c r="E1122" s="303"/>
      <c r="F1122" s="302"/>
      <c r="G1122" s="302"/>
      <c r="H1122" s="302"/>
      <c r="I1122" s="303"/>
      <c r="J1122" s="302"/>
      <c r="K1122" s="302"/>
      <c r="L1122" s="302"/>
      <c r="M1122" s="236"/>
    </row>
    <row r="1123" spans="1:13" x14ac:dyDescent="0.2">
      <c r="A1123" s="237"/>
      <c r="B1123" s="302"/>
      <c r="C1123" s="302"/>
      <c r="D1123" s="302"/>
      <c r="E1123" s="303"/>
      <c r="F1123" s="302"/>
      <c r="G1123" s="302"/>
      <c r="H1123" s="302"/>
      <c r="I1123" s="303"/>
      <c r="J1123" s="302"/>
      <c r="K1123" s="302"/>
      <c r="L1123" s="302"/>
      <c r="M1123" s="236"/>
    </row>
    <row r="1124" spans="1:13" x14ac:dyDescent="0.2">
      <c r="A1124" s="237"/>
      <c r="B1124" s="303"/>
      <c r="C1124" s="303"/>
      <c r="D1124" s="303"/>
      <c r="E1124" s="303"/>
      <c r="F1124" s="303"/>
      <c r="G1124" s="303"/>
      <c r="H1124" s="303"/>
      <c r="I1124" s="303"/>
      <c r="J1124" s="303"/>
      <c r="K1124" s="303"/>
      <c r="L1124" s="303"/>
      <c r="M1124" s="236"/>
    </row>
    <row r="1125" spans="1:13" x14ac:dyDescent="0.2">
      <c r="A1125" s="237"/>
      <c r="B1125" s="237"/>
      <c r="C1125" s="237"/>
      <c r="D1125" s="237"/>
      <c r="E1125" s="237"/>
      <c r="F1125" s="237"/>
      <c r="G1125" s="237"/>
      <c r="H1125" s="237"/>
      <c r="I1125" s="237"/>
      <c r="J1125" s="237"/>
      <c r="K1125" s="237"/>
      <c r="L1125" s="240"/>
      <c r="M1125" s="236"/>
    </row>
    <row r="1126" spans="1:13" x14ac:dyDescent="0.2">
      <c r="A1126" s="237"/>
      <c r="B1126" s="237"/>
      <c r="C1126" s="237"/>
      <c r="D1126" s="237"/>
      <c r="E1126" s="237"/>
      <c r="F1126" s="237"/>
      <c r="G1126" s="237"/>
      <c r="H1126" s="237"/>
      <c r="I1126" s="237"/>
      <c r="J1126" s="237"/>
      <c r="K1126" s="237"/>
      <c r="L1126" s="284"/>
      <c r="M1126" s="236"/>
    </row>
    <row r="1127" spans="1:13" x14ac:dyDescent="0.2">
      <c r="A1127" s="258"/>
      <c r="B1127" s="241"/>
      <c r="C1127" s="241"/>
      <c r="D1127" s="241"/>
      <c r="E1127" s="241"/>
      <c r="F1127" s="241"/>
      <c r="G1127" s="241"/>
      <c r="H1127" s="241"/>
      <c r="I1127" s="241"/>
      <c r="J1127" s="241"/>
      <c r="K1127" s="241"/>
      <c r="L1127" s="236"/>
      <c r="M1127" s="236"/>
    </row>
    <row r="1128" spans="1:13" x14ac:dyDescent="0.2">
      <c r="A1128" s="241"/>
      <c r="B1128" s="375"/>
      <c r="C1128" s="375"/>
      <c r="D1128" s="375"/>
      <c r="E1128" s="253"/>
      <c r="F1128" s="375"/>
      <c r="G1128" s="375"/>
      <c r="H1128" s="375"/>
      <c r="I1128" s="253"/>
      <c r="J1128" s="375"/>
      <c r="K1128" s="375"/>
      <c r="L1128" s="375"/>
      <c r="M1128" s="236"/>
    </row>
    <row r="1129" spans="1:13" x14ac:dyDescent="0.2">
      <c r="A1129" s="258"/>
      <c r="B1129" s="259"/>
      <c r="C1129" s="259"/>
      <c r="D1129" s="259"/>
      <c r="E1129" s="259"/>
      <c r="F1129" s="259"/>
      <c r="G1129" s="259"/>
      <c r="H1129" s="259"/>
      <c r="I1129" s="259"/>
      <c r="J1129" s="259"/>
      <c r="K1129" s="259"/>
      <c r="L1129" s="259"/>
      <c r="M1129" s="236"/>
    </row>
    <row r="1130" spans="1:13" x14ac:dyDescent="0.2">
      <c r="A1130" s="258"/>
      <c r="B1130" s="259"/>
      <c r="C1130" s="259"/>
      <c r="D1130" s="259"/>
      <c r="E1130" s="259"/>
      <c r="F1130" s="259"/>
      <c r="G1130" s="259"/>
      <c r="H1130" s="259"/>
      <c r="I1130" s="259"/>
      <c r="J1130" s="259"/>
      <c r="K1130" s="259"/>
      <c r="L1130" s="259"/>
      <c r="M1130" s="236"/>
    </row>
    <row r="1131" spans="1:13" x14ac:dyDescent="0.2">
      <c r="A1131" s="237"/>
      <c r="B1131" s="302"/>
      <c r="C1131" s="302"/>
      <c r="D1131" s="302"/>
      <c r="E1131" s="303"/>
      <c r="F1131" s="302"/>
      <c r="G1131" s="302"/>
      <c r="H1131" s="302"/>
      <c r="I1131" s="303"/>
      <c r="J1131" s="302"/>
      <c r="K1131" s="302"/>
      <c r="L1131" s="302"/>
      <c r="M1131" s="236"/>
    </row>
    <row r="1132" spans="1:13" x14ac:dyDescent="0.2">
      <c r="A1132" s="237"/>
      <c r="B1132" s="302"/>
      <c r="C1132" s="302"/>
      <c r="D1132" s="302"/>
      <c r="E1132" s="303"/>
      <c r="F1132" s="302"/>
      <c r="G1132" s="302"/>
      <c r="H1132" s="302"/>
      <c r="I1132" s="303"/>
      <c r="J1132" s="302"/>
      <c r="K1132" s="302"/>
      <c r="L1132" s="302"/>
      <c r="M1132" s="236"/>
    </row>
    <row r="1133" spans="1:13" x14ac:dyDescent="0.2">
      <c r="A1133" s="237"/>
      <c r="B1133" s="302"/>
      <c r="C1133" s="302"/>
      <c r="D1133" s="302"/>
      <c r="E1133" s="303"/>
      <c r="F1133" s="302"/>
      <c r="G1133" s="302"/>
      <c r="H1133" s="302"/>
      <c r="I1133" s="303"/>
      <c r="J1133" s="302"/>
      <c r="K1133" s="302"/>
      <c r="L1133" s="302"/>
      <c r="M1133" s="236"/>
    </row>
    <row r="1134" spans="1:13" x14ac:dyDescent="0.2">
      <c r="A1134" s="237"/>
      <c r="B1134" s="302"/>
      <c r="C1134" s="302"/>
      <c r="D1134" s="302"/>
      <c r="E1134" s="303"/>
      <c r="F1134" s="302"/>
      <c r="G1134" s="302"/>
      <c r="H1134" s="302"/>
      <c r="I1134" s="303"/>
      <c r="J1134" s="302"/>
      <c r="K1134" s="302"/>
      <c r="L1134" s="302"/>
      <c r="M1134" s="236"/>
    </row>
    <row r="1135" spans="1:13" x14ac:dyDescent="0.2">
      <c r="A1135" s="237"/>
      <c r="B1135" s="302"/>
      <c r="C1135" s="302"/>
      <c r="D1135" s="302"/>
      <c r="E1135" s="303"/>
      <c r="F1135" s="302"/>
      <c r="G1135" s="302"/>
      <c r="H1135" s="302"/>
      <c r="I1135" s="303"/>
      <c r="J1135" s="302"/>
      <c r="K1135" s="302"/>
      <c r="L1135" s="302"/>
      <c r="M1135" s="236"/>
    </row>
    <row r="1136" spans="1:13" x14ac:dyDescent="0.2">
      <c r="A1136" s="237"/>
      <c r="B1136" s="302"/>
      <c r="C1136" s="302"/>
      <c r="D1136" s="302"/>
      <c r="E1136" s="303"/>
      <c r="F1136" s="302"/>
      <c r="G1136" s="302"/>
      <c r="H1136" s="302"/>
      <c r="I1136" s="303"/>
      <c r="J1136" s="302"/>
      <c r="K1136" s="302"/>
      <c r="L1136" s="302"/>
      <c r="M1136" s="236"/>
    </row>
    <row r="1137" spans="1:13" x14ac:dyDescent="0.2">
      <c r="A1137" s="237"/>
      <c r="B1137" s="302"/>
      <c r="C1137" s="302"/>
      <c r="D1137" s="302"/>
      <c r="E1137" s="303"/>
      <c r="F1137" s="302"/>
      <c r="G1137" s="302"/>
      <c r="H1137" s="302"/>
      <c r="I1137" s="303"/>
      <c r="J1137" s="302"/>
      <c r="K1137" s="302"/>
      <c r="L1137" s="302"/>
      <c r="M1137" s="236"/>
    </row>
    <row r="1138" spans="1:13" x14ac:dyDescent="0.2">
      <c r="A1138" s="237"/>
      <c r="B1138" s="302"/>
      <c r="C1138" s="302"/>
      <c r="D1138" s="302"/>
      <c r="E1138" s="303"/>
      <c r="F1138" s="302"/>
      <c r="G1138" s="302"/>
      <c r="H1138" s="302"/>
      <c r="I1138" s="303"/>
      <c r="J1138" s="302"/>
      <c r="K1138" s="302"/>
      <c r="L1138" s="302"/>
      <c r="M1138" s="236"/>
    </row>
    <row r="1139" spans="1:13" x14ac:dyDescent="0.2">
      <c r="A1139" s="237"/>
      <c r="B1139" s="302"/>
      <c r="C1139" s="302"/>
      <c r="D1139" s="302"/>
      <c r="E1139" s="303"/>
      <c r="F1139" s="302"/>
      <c r="G1139" s="302"/>
      <c r="H1139" s="302"/>
      <c r="I1139" s="303"/>
      <c r="J1139" s="302"/>
      <c r="K1139" s="302"/>
      <c r="L1139" s="302"/>
      <c r="M1139" s="236"/>
    </row>
    <row r="1140" spans="1:13" x14ac:dyDescent="0.2">
      <c r="A1140" s="237"/>
      <c r="B1140" s="302"/>
      <c r="C1140" s="302"/>
      <c r="D1140" s="302"/>
      <c r="E1140" s="303"/>
      <c r="F1140" s="302"/>
      <c r="G1140" s="302"/>
      <c r="H1140" s="302"/>
      <c r="I1140" s="303"/>
      <c r="J1140" s="302"/>
      <c r="K1140" s="302"/>
      <c r="L1140" s="302"/>
      <c r="M1140" s="236"/>
    </row>
    <row r="1141" spans="1:13" x14ac:dyDescent="0.2">
      <c r="A1141" s="237"/>
      <c r="B1141" s="303"/>
      <c r="C1141" s="303"/>
      <c r="D1141" s="303"/>
      <c r="E1141" s="303"/>
      <c r="F1141" s="303"/>
      <c r="G1141" s="303"/>
      <c r="H1141" s="303"/>
      <c r="I1141" s="303"/>
      <c r="J1141" s="303"/>
      <c r="K1141" s="303"/>
      <c r="L1141" s="303"/>
      <c r="M1141" s="236"/>
    </row>
    <row r="1142" spans="1:13" x14ac:dyDescent="0.2">
      <c r="A1142" s="237"/>
      <c r="B1142" s="237"/>
      <c r="C1142" s="237"/>
      <c r="D1142" s="237"/>
      <c r="E1142" s="237"/>
      <c r="F1142" s="237"/>
      <c r="G1142" s="237"/>
      <c r="H1142" s="237"/>
      <c r="I1142" s="237"/>
      <c r="J1142" s="237"/>
      <c r="K1142" s="237"/>
      <c r="L1142" s="240"/>
      <c r="M1142" s="236"/>
    </row>
    <row r="1143" spans="1:13" x14ac:dyDescent="0.2">
      <c r="A1143" s="237"/>
      <c r="B1143" s="237"/>
      <c r="C1143" s="237"/>
      <c r="D1143" s="237"/>
      <c r="E1143" s="237"/>
      <c r="F1143" s="237"/>
      <c r="G1143" s="237"/>
      <c r="H1143" s="237"/>
      <c r="I1143" s="237"/>
      <c r="J1143" s="237"/>
      <c r="K1143" s="237"/>
      <c r="L1143" s="284"/>
      <c r="M1143" s="236"/>
    </row>
    <row r="1144" spans="1:13" x14ac:dyDescent="0.2">
      <c r="A1144" s="258"/>
      <c r="B1144" s="241"/>
      <c r="C1144" s="241"/>
      <c r="D1144" s="241"/>
      <c r="E1144" s="241"/>
      <c r="F1144" s="241"/>
      <c r="G1144" s="241"/>
      <c r="H1144" s="241"/>
      <c r="I1144" s="241"/>
      <c r="J1144" s="241"/>
      <c r="K1144" s="241"/>
      <c r="L1144" s="236"/>
      <c r="M1144" s="236"/>
    </row>
    <row r="1145" spans="1:13" x14ac:dyDescent="0.2">
      <c r="A1145" s="241"/>
      <c r="B1145" s="375"/>
      <c r="C1145" s="375"/>
      <c r="D1145" s="375"/>
      <c r="E1145" s="253"/>
      <c r="F1145" s="375"/>
      <c r="G1145" s="375"/>
      <c r="H1145" s="375"/>
      <c r="I1145" s="253"/>
      <c r="J1145" s="375"/>
      <c r="K1145" s="375"/>
      <c r="L1145" s="375"/>
      <c r="M1145" s="236"/>
    </row>
    <row r="1146" spans="1:13" x14ac:dyDescent="0.2">
      <c r="A1146" s="258"/>
      <c r="B1146" s="259"/>
      <c r="C1146" s="259"/>
      <c r="D1146" s="259"/>
      <c r="E1146" s="259"/>
      <c r="F1146" s="259"/>
      <c r="G1146" s="259"/>
      <c r="H1146" s="259"/>
      <c r="I1146" s="259"/>
      <c r="J1146" s="259"/>
      <c r="K1146" s="259"/>
      <c r="L1146" s="259"/>
      <c r="M1146" s="236"/>
    </row>
    <row r="1147" spans="1:13" x14ac:dyDescent="0.2">
      <c r="A1147" s="258"/>
      <c r="B1147" s="259"/>
      <c r="C1147" s="259"/>
      <c r="D1147" s="259"/>
      <c r="E1147" s="259"/>
      <c r="F1147" s="259"/>
      <c r="G1147" s="259"/>
      <c r="H1147" s="259"/>
      <c r="I1147" s="259"/>
      <c r="J1147" s="259"/>
      <c r="K1147" s="259"/>
      <c r="L1147" s="259"/>
      <c r="M1147" s="236"/>
    </row>
    <row r="1148" spans="1:13" x14ac:dyDescent="0.2">
      <c r="A1148" s="237"/>
      <c r="B1148" s="302"/>
      <c r="C1148" s="302"/>
      <c r="D1148" s="302"/>
      <c r="E1148" s="303"/>
      <c r="F1148" s="302"/>
      <c r="G1148" s="302"/>
      <c r="H1148" s="302"/>
      <c r="I1148" s="303"/>
      <c r="J1148" s="302"/>
      <c r="K1148" s="302"/>
      <c r="L1148" s="302"/>
      <c r="M1148" s="236"/>
    </row>
    <row r="1149" spans="1:13" x14ac:dyDescent="0.2">
      <c r="A1149" s="237"/>
      <c r="B1149" s="302"/>
      <c r="C1149" s="302"/>
      <c r="D1149" s="302"/>
      <c r="E1149" s="303"/>
      <c r="F1149" s="302"/>
      <c r="G1149" s="302"/>
      <c r="H1149" s="302"/>
      <c r="I1149" s="303"/>
      <c r="J1149" s="302"/>
      <c r="K1149" s="302"/>
      <c r="L1149" s="302"/>
      <c r="M1149" s="236"/>
    </row>
    <row r="1150" spans="1:13" x14ac:dyDescent="0.2">
      <c r="A1150" s="237"/>
      <c r="B1150" s="302"/>
      <c r="C1150" s="302"/>
      <c r="D1150" s="302"/>
      <c r="E1150" s="303"/>
      <c r="F1150" s="302"/>
      <c r="G1150" s="302"/>
      <c r="H1150" s="302"/>
      <c r="I1150" s="303"/>
      <c r="J1150" s="302"/>
      <c r="K1150" s="302"/>
      <c r="L1150" s="302"/>
      <c r="M1150" s="236"/>
    </row>
    <row r="1151" spans="1:13" x14ac:dyDescent="0.2">
      <c r="A1151" s="237"/>
      <c r="B1151" s="302"/>
      <c r="C1151" s="302"/>
      <c r="D1151" s="302"/>
      <c r="E1151" s="303"/>
      <c r="F1151" s="302"/>
      <c r="G1151" s="302"/>
      <c r="H1151" s="302"/>
      <c r="I1151" s="303"/>
      <c r="J1151" s="302"/>
      <c r="K1151" s="302"/>
      <c r="L1151" s="302"/>
      <c r="M1151" s="236"/>
    </row>
    <row r="1152" spans="1:13" x14ac:dyDescent="0.2">
      <c r="A1152" s="237"/>
      <c r="B1152" s="302"/>
      <c r="C1152" s="302"/>
      <c r="D1152" s="302"/>
      <c r="E1152" s="303"/>
      <c r="F1152" s="302"/>
      <c r="G1152" s="302"/>
      <c r="H1152" s="302"/>
      <c r="I1152" s="303"/>
      <c r="J1152" s="302"/>
      <c r="K1152" s="302"/>
      <c r="L1152" s="302"/>
      <c r="M1152" s="236"/>
    </row>
    <row r="1153" spans="1:13" x14ac:dyDescent="0.2">
      <c r="A1153" s="237"/>
      <c r="B1153" s="302"/>
      <c r="C1153" s="302"/>
      <c r="D1153" s="302"/>
      <c r="E1153" s="303"/>
      <c r="F1153" s="302"/>
      <c r="G1153" s="302"/>
      <c r="H1153" s="302"/>
      <c r="I1153" s="303"/>
      <c r="J1153" s="302"/>
      <c r="K1153" s="302"/>
      <c r="L1153" s="302"/>
      <c r="M1153" s="236"/>
    </row>
    <row r="1154" spans="1:13" x14ac:dyDescent="0.2">
      <c r="A1154" s="237"/>
      <c r="B1154" s="302"/>
      <c r="C1154" s="302"/>
      <c r="D1154" s="302"/>
      <c r="E1154" s="303"/>
      <c r="F1154" s="302"/>
      <c r="G1154" s="302"/>
      <c r="H1154" s="302"/>
      <c r="I1154" s="303"/>
      <c r="J1154" s="302"/>
      <c r="K1154" s="302"/>
      <c r="L1154" s="302"/>
      <c r="M1154" s="236"/>
    </row>
    <row r="1155" spans="1:13" x14ac:dyDescent="0.2">
      <c r="A1155" s="237"/>
      <c r="B1155" s="302"/>
      <c r="C1155" s="302"/>
      <c r="D1155" s="302"/>
      <c r="E1155" s="303"/>
      <c r="F1155" s="302"/>
      <c r="G1155" s="302"/>
      <c r="H1155" s="302"/>
      <c r="I1155" s="303"/>
      <c r="J1155" s="302"/>
      <c r="K1155" s="302"/>
      <c r="L1155" s="302"/>
      <c r="M1155" s="236"/>
    </row>
    <row r="1156" spans="1:13" x14ac:dyDescent="0.2">
      <c r="A1156" s="237"/>
      <c r="B1156" s="302"/>
      <c r="C1156" s="302"/>
      <c r="D1156" s="302"/>
      <c r="E1156" s="303"/>
      <c r="F1156" s="302"/>
      <c r="G1156" s="302"/>
      <c r="H1156" s="302"/>
      <c r="I1156" s="303"/>
      <c r="J1156" s="302"/>
      <c r="K1156" s="302"/>
      <c r="L1156" s="302"/>
      <c r="M1156" s="236"/>
    </row>
    <row r="1157" spans="1:13" x14ac:dyDescent="0.2">
      <c r="A1157" s="237"/>
      <c r="B1157" s="302"/>
      <c r="C1157" s="302"/>
      <c r="D1157" s="302"/>
      <c r="E1157" s="303"/>
      <c r="F1157" s="302"/>
      <c r="G1157" s="302"/>
      <c r="H1157" s="302"/>
      <c r="I1157" s="303"/>
      <c r="J1157" s="302"/>
      <c r="K1157" s="302"/>
      <c r="L1157" s="302"/>
      <c r="M1157" s="236"/>
    </row>
    <row r="1158" spans="1:13" x14ac:dyDescent="0.2">
      <c r="A1158" s="237"/>
      <c r="B1158" s="303"/>
      <c r="C1158" s="303"/>
      <c r="D1158" s="303"/>
      <c r="E1158" s="303"/>
      <c r="F1158" s="303"/>
      <c r="G1158" s="303"/>
      <c r="H1158" s="303"/>
      <c r="I1158" s="303"/>
      <c r="J1158" s="303"/>
      <c r="K1158" s="303"/>
      <c r="L1158" s="303"/>
      <c r="M1158" s="236"/>
    </row>
    <row r="1159" spans="1:13" x14ac:dyDescent="0.2">
      <c r="A1159" s="237"/>
      <c r="B1159" s="237"/>
      <c r="C1159" s="237"/>
      <c r="D1159" s="237"/>
      <c r="E1159" s="237"/>
      <c r="F1159" s="237"/>
      <c r="G1159" s="237"/>
      <c r="H1159" s="237"/>
      <c r="I1159" s="237"/>
      <c r="J1159" s="237"/>
      <c r="K1159" s="237"/>
      <c r="L1159" s="240"/>
      <c r="M1159" s="236"/>
    </row>
    <row r="1160" spans="1:13" x14ac:dyDescent="0.2">
      <c r="A1160" s="237"/>
      <c r="B1160" s="237"/>
      <c r="C1160" s="237"/>
      <c r="D1160" s="237"/>
      <c r="E1160" s="237"/>
      <c r="F1160" s="237"/>
      <c r="G1160" s="237"/>
      <c r="H1160" s="237"/>
      <c r="I1160" s="237"/>
      <c r="J1160" s="237"/>
      <c r="K1160" s="237"/>
      <c r="L1160" s="284"/>
      <c r="M1160" s="236"/>
    </row>
    <row r="1161" spans="1:13" x14ac:dyDescent="0.2">
      <c r="A1161" s="258"/>
      <c r="B1161" s="241"/>
      <c r="C1161" s="241"/>
      <c r="D1161" s="241"/>
      <c r="E1161" s="241"/>
      <c r="F1161" s="241"/>
      <c r="G1161" s="241"/>
      <c r="H1161" s="241"/>
      <c r="I1161" s="241"/>
      <c r="J1161" s="241"/>
      <c r="K1161" s="241"/>
      <c r="L1161" s="236"/>
      <c r="M1161" s="236"/>
    </row>
    <row r="1162" spans="1:13" x14ac:dyDescent="0.2">
      <c r="A1162" s="241"/>
      <c r="B1162" s="375"/>
      <c r="C1162" s="375"/>
      <c r="D1162" s="375"/>
      <c r="E1162" s="253"/>
      <c r="F1162" s="375"/>
      <c r="G1162" s="375"/>
      <c r="H1162" s="375"/>
      <c r="I1162" s="253"/>
      <c r="J1162" s="375"/>
      <c r="K1162" s="375"/>
      <c r="L1162" s="375"/>
      <c r="M1162" s="236"/>
    </row>
    <row r="1163" spans="1:13" x14ac:dyDescent="0.2">
      <c r="A1163" s="258"/>
      <c r="B1163" s="259"/>
      <c r="C1163" s="259"/>
      <c r="D1163" s="259"/>
      <c r="E1163" s="259"/>
      <c r="F1163" s="259"/>
      <c r="G1163" s="259"/>
      <c r="H1163" s="259"/>
      <c r="I1163" s="259"/>
      <c r="J1163" s="259"/>
      <c r="K1163" s="259"/>
      <c r="L1163" s="259"/>
      <c r="M1163" s="236"/>
    </row>
    <row r="1164" spans="1:13" x14ac:dyDescent="0.2">
      <c r="A1164" s="258"/>
      <c r="B1164" s="259"/>
      <c r="C1164" s="259"/>
      <c r="D1164" s="259"/>
      <c r="E1164" s="259"/>
      <c r="F1164" s="259"/>
      <c r="G1164" s="259"/>
      <c r="H1164" s="259"/>
      <c r="I1164" s="259"/>
      <c r="J1164" s="259"/>
      <c r="K1164" s="259"/>
      <c r="L1164" s="259"/>
      <c r="M1164" s="236"/>
    </row>
    <row r="1165" spans="1:13" x14ac:dyDescent="0.2">
      <c r="A1165" s="237"/>
      <c r="B1165" s="302"/>
      <c r="C1165" s="302"/>
      <c r="D1165" s="302"/>
      <c r="E1165" s="303"/>
      <c r="F1165" s="302"/>
      <c r="G1165" s="302"/>
      <c r="H1165" s="302"/>
      <c r="I1165" s="303"/>
      <c r="J1165" s="302"/>
      <c r="K1165" s="302"/>
      <c r="L1165" s="302"/>
      <c r="M1165" s="236"/>
    </row>
    <row r="1166" spans="1:13" x14ac:dyDescent="0.2">
      <c r="A1166" s="237"/>
      <c r="B1166" s="302"/>
      <c r="C1166" s="302"/>
      <c r="D1166" s="302"/>
      <c r="E1166" s="303"/>
      <c r="F1166" s="302"/>
      <c r="G1166" s="302"/>
      <c r="H1166" s="302"/>
      <c r="I1166" s="303"/>
      <c r="J1166" s="302"/>
      <c r="K1166" s="302"/>
      <c r="L1166" s="302"/>
      <c r="M1166" s="236"/>
    </row>
    <row r="1167" spans="1:13" x14ac:dyDescent="0.2">
      <c r="A1167" s="237"/>
      <c r="B1167" s="302"/>
      <c r="C1167" s="302"/>
      <c r="D1167" s="302"/>
      <c r="E1167" s="303"/>
      <c r="F1167" s="302"/>
      <c r="G1167" s="302"/>
      <c r="H1167" s="302"/>
      <c r="I1167" s="303"/>
      <c r="J1167" s="302"/>
      <c r="K1167" s="302"/>
      <c r="L1167" s="302"/>
      <c r="M1167" s="236"/>
    </row>
    <row r="1168" spans="1:13" x14ac:dyDescent="0.2">
      <c r="A1168" s="237"/>
      <c r="B1168" s="302"/>
      <c r="C1168" s="302"/>
      <c r="D1168" s="302"/>
      <c r="E1168" s="303"/>
      <c r="F1168" s="302"/>
      <c r="G1168" s="302"/>
      <c r="H1168" s="302"/>
      <c r="I1168" s="303"/>
      <c r="J1168" s="302"/>
      <c r="K1168" s="302"/>
      <c r="L1168" s="302"/>
      <c r="M1168" s="236"/>
    </row>
    <row r="1169" spans="1:13" x14ac:dyDescent="0.2">
      <c r="A1169" s="237"/>
      <c r="B1169" s="302"/>
      <c r="C1169" s="302"/>
      <c r="D1169" s="302"/>
      <c r="E1169" s="303"/>
      <c r="F1169" s="302"/>
      <c r="G1169" s="302"/>
      <c r="H1169" s="302"/>
      <c r="I1169" s="303"/>
      <c r="J1169" s="302"/>
      <c r="K1169" s="302"/>
      <c r="L1169" s="302"/>
      <c r="M1169" s="236"/>
    </row>
    <row r="1170" spans="1:13" x14ac:dyDescent="0.2">
      <c r="A1170" s="237"/>
      <c r="B1170" s="302"/>
      <c r="C1170" s="302"/>
      <c r="D1170" s="302"/>
      <c r="E1170" s="303"/>
      <c r="F1170" s="302"/>
      <c r="G1170" s="302"/>
      <c r="H1170" s="302"/>
      <c r="I1170" s="303"/>
      <c r="J1170" s="302"/>
      <c r="K1170" s="302"/>
      <c r="L1170" s="302"/>
      <c r="M1170" s="236"/>
    </row>
    <row r="1171" spans="1:13" x14ac:dyDescent="0.2">
      <c r="A1171" s="237"/>
      <c r="B1171" s="302"/>
      <c r="C1171" s="302"/>
      <c r="D1171" s="302"/>
      <c r="E1171" s="303"/>
      <c r="F1171" s="302"/>
      <c r="G1171" s="302"/>
      <c r="H1171" s="302"/>
      <c r="I1171" s="303"/>
      <c r="J1171" s="302"/>
      <c r="K1171" s="302"/>
      <c r="L1171" s="302"/>
      <c r="M1171" s="236"/>
    </row>
    <row r="1172" spans="1:13" x14ac:dyDescent="0.2">
      <c r="A1172" s="237"/>
      <c r="B1172" s="302"/>
      <c r="C1172" s="302"/>
      <c r="D1172" s="302"/>
      <c r="E1172" s="303"/>
      <c r="F1172" s="302"/>
      <c r="G1172" s="302"/>
      <c r="H1172" s="302"/>
      <c r="I1172" s="303"/>
      <c r="J1172" s="302"/>
      <c r="K1172" s="302"/>
      <c r="L1172" s="302"/>
      <c r="M1172" s="236"/>
    </row>
    <row r="1173" spans="1:13" x14ac:dyDescent="0.2">
      <c r="A1173" s="237"/>
      <c r="B1173" s="302"/>
      <c r="C1173" s="302"/>
      <c r="D1173" s="302"/>
      <c r="E1173" s="303"/>
      <c r="F1173" s="302"/>
      <c r="G1173" s="302"/>
      <c r="H1173" s="302"/>
      <c r="I1173" s="303"/>
      <c r="J1173" s="302"/>
      <c r="K1173" s="302"/>
      <c r="L1173" s="302"/>
      <c r="M1173" s="236"/>
    </row>
    <row r="1174" spans="1:13" x14ac:dyDescent="0.2">
      <c r="A1174" s="237"/>
      <c r="B1174" s="302"/>
      <c r="C1174" s="302"/>
      <c r="D1174" s="302"/>
      <c r="E1174" s="303"/>
      <c r="F1174" s="302"/>
      <c r="G1174" s="302"/>
      <c r="H1174" s="302"/>
      <c r="I1174" s="303"/>
      <c r="J1174" s="302"/>
      <c r="K1174" s="302"/>
      <c r="L1174" s="302"/>
      <c r="M1174" s="236"/>
    </row>
    <row r="1175" spans="1:13" x14ac:dyDescent="0.2">
      <c r="A1175" s="237"/>
      <c r="B1175" s="303"/>
      <c r="C1175" s="303"/>
      <c r="D1175" s="303"/>
      <c r="E1175" s="303"/>
      <c r="F1175" s="303"/>
      <c r="G1175" s="303"/>
      <c r="H1175" s="303"/>
      <c r="I1175" s="303"/>
      <c r="J1175" s="303"/>
      <c r="K1175" s="303"/>
      <c r="L1175" s="303"/>
      <c r="M1175" s="236"/>
    </row>
    <row r="1176" spans="1:13" x14ac:dyDescent="0.2">
      <c r="A1176" s="237"/>
      <c r="B1176" s="237"/>
      <c r="C1176" s="237"/>
      <c r="D1176" s="237"/>
      <c r="E1176" s="237"/>
      <c r="F1176" s="237"/>
      <c r="G1176" s="237"/>
      <c r="H1176" s="237"/>
      <c r="I1176" s="237"/>
      <c r="J1176" s="237"/>
      <c r="K1176" s="237"/>
      <c r="L1176" s="240"/>
      <c r="M1176" s="236"/>
    </row>
    <row r="1177" spans="1:13" x14ac:dyDescent="0.2">
      <c r="A1177" s="237"/>
      <c r="B1177" s="237"/>
      <c r="C1177" s="237"/>
      <c r="D1177" s="237"/>
      <c r="E1177" s="237"/>
      <c r="F1177" s="237"/>
      <c r="G1177" s="237"/>
      <c r="H1177" s="237"/>
      <c r="I1177" s="237"/>
      <c r="J1177" s="237"/>
      <c r="K1177" s="237"/>
      <c r="L1177" s="284"/>
      <c r="M1177" s="236"/>
    </row>
    <row r="1178" spans="1:13" x14ac:dyDescent="0.2">
      <c r="A1178" s="258"/>
      <c r="B1178" s="241"/>
      <c r="C1178" s="241"/>
      <c r="D1178" s="241"/>
      <c r="E1178" s="241"/>
      <c r="F1178" s="241"/>
      <c r="G1178" s="241"/>
      <c r="H1178" s="241"/>
      <c r="I1178" s="241"/>
      <c r="J1178" s="241"/>
      <c r="K1178" s="241"/>
      <c r="L1178" s="236"/>
      <c r="M1178" s="236"/>
    </row>
    <row r="1179" spans="1:13" x14ac:dyDescent="0.2">
      <c r="A1179" s="241"/>
      <c r="B1179" s="375"/>
      <c r="C1179" s="375"/>
      <c r="D1179" s="375"/>
      <c r="E1179" s="253"/>
      <c r="F1179" s="375"/>
      <c r="G1179" s="375"/>
      <c r="H1179" s="375"/>
      <c r="I1179" s="253"/>
      <c r="J1179" s="375"/>
      <c r="K1179" s="375"/>
      <c r="L1179" s="375"/>
      <c r="M1179" s="236"/>
    </row>
    <row r="1180" spans="1:13" x14ac:dyDescent="0.2">
      <c r="A1180" s="258"/>
      <c r="B1180" s="259"/>
      <c r="C1180" s="259"/>
      <c r="D1180" s="259"/>
      <c r="E1180" s="259"/>
      <c r="F1180" s="259"/>
      <c r="G1180" s="259"/>
      <c r="H1180" s="259"/>
      <c r="I1180" s="259"/>
      <c r="J1180" s="259"/>
      <c r="K1180" s="259"/>
      <c r="L1180" s="259"/>
      <c r="M1180" s="236"/>
    </row>
    <row r="1181" spans="1:13" x14ac:dyDescent="0.2">
      <c r="A1181" s="258"/>
      <c r="B1181" s="259"/>
      <c r="C1181" s="259"/>
      <c r="D1181" s="259"/>
      <c r="E1181" s="259"/>
      <c r="F1181" s="259"/>
      <c r="G1181" s="259"/>
      <c r="H1181" s="259"/>
      <c r="I1181" s="259"/>
      <c r="J1181" s="259"/>
      <c r="K1181" s="259"/>
      <c r="L1181" s="259"/>
      <c r="M1181" s="236"/>
    </row>
    <row r="1182" spans="1:13" x14ac:dyDescent="0.2">
      <c r="A1182" s="237"/>
      <c r="B1182" s="302"/>
      <c r="C1182" s="302"/>
      <c r="D1182" s="302"/>
      <c r="E1182" s="303"/>
      <c r="F1182" s="302"/>
      <c r="G1182" s="302"/>
      <c r="H1182" s="302"/>
      <c r="I1182" s="303"/>
      <c r="J1182" s="302"/>
      <c r="K1182" s="302"/>
      <c r="L1182" s="302"/>
      <c r="M1182" s="236"/>
    </row>
    <row r="1183" spans="1:13" x14ac:dyDescent="0.2">
      <c r="A1183" s="237"/>
      <c r="B1183" s="302"/>
      <c r="C1183" s="302"/>
      <c r="D1183" s="302"/>
      <c r="E1183" s="303"/>
      <c r="F1183" s="302"/>
      <c r="G1183" s="302"/>
      <c r="H1183" s="302"/>
      <c r="I1183" s="303"/>
      <c r="J1183" s="302"/>
      <c r="K1183" s="302"/>
      <c r="L1183" s="302"/>
      <c r="M1183" s="236"/>
    </row>
    <row r="1184" spans="1:13" x14ac:dyDescent="0.2">
      <c r="A1184" s="237"/>
      <c r="B1184" s="302"/>
      <c r="C1184" s="302"/>
      <c r="D1184" s="302"/>
      <c r="E1184" s="303"/>
      <c r="F1184" s="302"/>
      <c r="G1184" s="302"/>
      <c r="H1184" s="302"/>
      <c r="I1184" s="303"/>
      <c r="J1184" s="302"/>
      <c r="K1184" s="302"/>
      <c r="L1184" s="302"/>
      <c r="M1184" s="236"/>
    </row>
    <row r="1185" spans="1:13" x14ac:dyDescent="0.2">
      <c r="A1185" s="237"/>
      <c r="B1185" s="302"/>
      <c r="C1185" s="302"/>
      <c r="D1185" s="302"/>
      <c r="E1185" s="303"/>
      <c r="F1185" s="302"/>
      <c r="G1185" s="302"/>
      <c r="H1185" s="302"/>
      <c r="I1185" s="303"/>
      <c r="J1185" s="302"/>
      <c r="K1185" s="302"/>
      <c r="L1185" s="302"/>
      <c r="M1185" s="236"/>
    </row>
    <row r="1186" spans="1:13" x14ac:dyDescent="0.2">
      <c r="A1186" s="237"/>
      <c r="B1186" s="302"/>
      <c r="C1186" s="302"/>
      <c r="D1186" s="302"/>
      <c r="E1186" s="303"/>
      <c r="F1186" s="302"/>
      <c r="G1186" s="302"/>
      <c r="H1186" s="302"/>
      <c r="I1186" s="303"/>
      <c r="J1186" s="302"/>
      <c r="K1186" s="302"/>
      <c r="L1186" s="302"/>
      <c r="M1186" s="236"/>
    </row>
    <row r="1187" spans="1:13" x14ac:dyDescent="0.2">
      <c r="A1187" s="237"/>
      <c r="B1187" s="302"/>
      <c r="C1187" s="302"/>
      <c r="D1187" s="302"/>
      <c r="E1187" s="303"/>
      <c r="F1187" s="302"/>
      <c r="G1187" s="302"/>
      <c r="H1187" s="302"/>
      <c r="I1187" s="303"/>
      <c r="J1187" s="302"/>
      <c r="K1187" s="302"/>
      <c r="L1187" s="302"/>
      <c r="M1187" s="236"/>
    </row>
    <row r="1188" spans="1:13" x14ac:dyDescent="0.2">
      <c r="A1188" s="237"/>
      <c r="B1188" s="302"/>
      <c r="C1188" s="302"/>
      <c r="D1188" s="302"/>
      <c r="E1188" s="303"/>
      <c r="F1188" s="302"/>
      <c r="G1188" s="302"/>
      <c r="H1188" s="302"/>
      <c r="I1188" s="303"/>
      <c r="J1188" s="302"/>
      <c r="K1188" s="302"/>
      <c r="L1188" s="302"/>
      <c r="M1188" s="236"/>
    </row>
    <row r="1189" spans="1:13" x14ac:dyDescent="0.2">
      <c r="A1189" s="237"/>
      <c r="B1189" s="302"/>
      <c r="C1189" s="302"/>
      <c r="D1189" s="302"/>
      <c r="E1189" s="303"/>
      <c r="F1189" s="302"/>
      <c r="G1189" s="302"/>
      <c r="H1189" s="302"/>
      <c r="I1189" s="303"/>
      <c r="J1189" s="302"/>
      <c r="K1189" s="302"/>
      <c r="L1189" s="302"/>
      <c r="M1189" s="236"/>
    </row>
    <row r="1190" spans="1:13" x14ac:dyDescent="0.2">
      <c r="A1190" s="237"/>
      <c r="B1190" s="302"/>
      <c r="C1190" s="302"/>
      <c r="D1190" s="302"/>
      <c r="E1190" s="303"/>
      <c r="F1190" s="302"/>
      <c r="G1190" s="302"/>
      <c r="H1190" s="302"/>
      <c r="I1190" s="303"/>
      <c r="J1190" s="302"/>
      <c r="K1190" s="302"/>
      <c r="L1190" s="302"/>
      <c r="M1190" s="236"/>
    </row>
    <row r="1191" spans="1:13" x14ac:dyDescent="0.2">
      <c r="A1191" s="237"/>
      <c r="B1191" s="302"/>
      <c r="C1191" s="302"/>
      <c r="D1191" s="302"/>
      <c r="E1191" s="303"/>
      <c r="F1191" s="302"/>
      <c r="G1191" s="302"/>
      <c r="H1191" s="302"/>
      <c r="I1191" s="303"/>
      <c r="J1191" s="302"/>
      <c r="K1191" s="302"/>
      <c r="L1191" s="302"/>
      <c r="M1191" s="236"/>
    </row>
    <row r="1192" spans="1:13" x14ac:dyDescent="0.2">
      <c r="A1192" s="237"/>
      <c r="B1192" s="303"/>
      <c r="C1192" s="303"/>
      <c r="D1192" s="303"/>
      <c r="E1192" s="303"/>
      <c r="F1192" s="303"/>
      <c r="G1192" s="303"/>
      <c r="H1192" s="303"/>
      <c r="I1192" s="303"/>
      <c r="J1192" s="303"/>
      <c r="K1192" s="303"/>
      <c r="L1192" s="303"/>
      <c r="M1192" s="236"/>
    </row>
    <row r="1193" spans="1:13" x14ac:dyDescent="0.2">
      <c r="A1193" s="237"/>
      <c r="B1193" s="237"/>
      <c r="C1193" s="237"/>
      <c r="D1193" s="237"/>
      <c r="E1193" s="237"/>
      <c r="F1193" s="237"/>
      <c r="G1193" s="237"/>
      <c r="H1193" s="237"/>
      <c r="I1193" s="237"/>
      <c r="J1193" s="237"/>
      <c r="K1193" s="237"/>
      <c r="L1193" s="240"/>
      <c r="M1193" s="236"/>
    </row>
    <row r="1194" spans="1:13" x14ac:dyDescent="0.2">
      <c r="A1194" s="237"/>
      <c r="B1194" s="237"/>
      <c r="C1194" s="237"/>
      <c r="D1194" s="237"/>
      <c r="E1194" s="237"/>
      <c r="F1194" s="237"/>
      <c r="G1194" s="237"/>
      <c r="H1194" s="237"/>
      <c r="I1194" s="237"/>
      <c r="J1194" s="237"/>
      <c r="K1194" s="237"/>
      <c r="L1194" s="284"/>
      <c r="M1194" s="236"/>
    </row>
    <row r="1195" spans="1:13" x14ac:dyDescent="0.2">
      <c r="A1195" s="258"/>
      <c r="B1195" s="241"/>
      <c r="C1195" s="241"/>
      <c r="D1195" s="241"/>
      <c r="E1195" s="241"/>
      <c r="F1195" s="241"/>
      <c r="G1195" s="241"/>
      <c r="H1195" s="241"/>
      <c r="I1195" s="241"/>
      <c r="J1195" s="241"/>
      <c r="K1195" s="241"/>
      <c r="L1195" s="236"/>
      <c r="M1195" s="236"/>
    </row>
    <row r="1196" spans="1:13" x14ac:dyDescent="0.2">
      <c r="A1196" s="241"/>
      <c r="B1196" s="375"/>
      <c r="C1196" s="375"/>
      <c r="D1196" s="375"/>
      <c r="E1196" s="253"/>
      <c r="F1196" s="375"/>
      <c r="G1196" s="375"/>
      <c r="H1196" s="375"/>
      <c r="I1196" s="253"/>
      <c r="J1196" s="375"/>
      <c r="K1196" s="375"/>
      <c r="L1196" s="375"/>
      <c r="M1196" s="236"/>
    </row>
    <row r="1197" spans="1:13" x14ac:dyDescent="0.2">
      <c r="A1197" s="258"/>
      <c r="B1197" s="259"/>
      <c r="C1197" s="259"/>
      <c r="D1197" s="259"/>
      <c r="E1197" s="259"/>
      <c r="F1197" s="259"/>
      <c r="G1197" s="259"/>
      <c r="H1197" s="259"/>
      <c r="I1197" s="259"/>
      <c r="J1197" s="259"/>
      <c r="K1197" s="259"/>
      <c r="L1197" s="259"/>
      <c r="M1197" s="236"/>
    </row>
    <row r="1198" spans="1:13" x14ac:dyDescent="0.2">
      <c r="A1198" s="258"/>
      <c r="B1198" s="259"/>
      <c r="C1198" s="259"/>
      <c r="D1198" s="259"/>
      <c r="E1198" s="259"/>
      <c r="F1198" s="259"/>
      <c r="G1198" s="259"/>
      <c r="H1198" s="259"/>
      <c r="I1198" s="259"/>
      <c r="J1198" s="259"/>
      <c r="K1198" s="259"/>
      <c r="L1198" s="259"/>
      <c r="M1198" s="236"/>
    </row>
    <row r="1199" spans="1:13" x14ac:dyDescent="0.2">
      <c r="A1199" s="237"/>
      <c r="B1199" s="302"/>
      <c r="C1199" s="302"/>
      <c r="D1199" s="302"/>
      <c r="E1199" s="303"/>
      <c r="F1199" s="302"/>
      <c r="G1199" s="302"/>
      <c r="H1199" s="302"/>
      <c r="I1199" s="303"/>
      <c r="J1199" s="302"/>
      <c r="K1199" s="302"/>
      <c r="L1199" s="302"/>
      <c r="M1199" s="236"/>
    </row>
    <row r="1200" spans="1:13" x14ac:dyDescent="0.2">
      <c r="A1200" s="237"/>
      <c r="B1200" s="302"/>
      <c r="C1200" s="302"/>
      <c r="D1200" s="302"/>
      <c r="E1200" s="303"/>
      <c r="F1200" s="302"/>
      <c r="G1200" s="302"/>
      <c r="H1200" s="302"/>
      <c r="I1200" s="303"/>
      <c r="J1200" s="302"/>
      <c r="K1200" s="302"/>
      <c r="L1200" s="302"/>
      <c r="M1200" s="236"/>
    </row>
    <row r="1201" spans="1:13" x14ac:dyDescent="0.2">
      <c r="A1201" s="237"/>
      <c r="B1201" s="302"/>
      <c r="C1201" s="302"/>
      <c r="D1201" s="302"/>
      <c r="E1201" s="303"/>
      <c r="F1201" s="302"/>
      <c r="G1201" s="302"/>
      <c r="H1201" s="302"/>
      <c r="I1201" s="303"/>
      <c r="J1201" s="302"/>
      <c r="K1201" s="302"/>
      <c r="L1201" s="302"/>
      <c r="M1201" s="236"/>
    </row>
    <row r="1202" spans="1:13" x14ac:dyDescent="0.2">
      <c r="A1202" s="237"/>
      <c r="B1202" s="302"/>
      <c r="C1202" s="302"/>
      <c r="D1202" s="302"/>
      <c r="E1202" s="303"/>
      <c r="F1202" s="302"/>
      <c r="G1202" s="302"/>
      <c r="H1202" s="302"/>
      <c r="I1202" s="303"/>
      <c r="J1202" s="302"/>
      <c r="K1202" s="302"/>
      <c r="L1202" s="302"/>
      <c r="M1202" s="236"/>
    </row>
    <row r="1203" spans="1:13" x14ac:dyDescent="0.2">
      <c r="A1203" s="237"/>
      <c r="B1203" s="302"/>
      <c r="C1203" s="302"/>
      <c r="D1203" s="302"/>
      <c r="E1203" s="303"/>
      <c r="F1203" s="302"/>
      <c r="G1203" s="302"/>
      <c r="H1203" s="302"/>
      <c r="I1203" s="303"/>
      <c r="J1203" s="302"/>
      <c r="K1203" s="302"/>
      <c r="L1203" s="302"/>
      <c r="M1203" s="236"/>
    </row>
    <row r="1204" spans="1:13" x14ac:dyDescent="0.2">
      <c r="A1204" s="237"/>
      <c r="B1204" s="302"/>
      <c r="C1204" s="302"/>
      <c r="D1204" s="302"/>
      <c r="E1204" s="303"/>
      <c r="F1204" s="302"/>
      <c r="G1204" s="302"/>
      <c r="H1204" s="302"/>
      <c r="I1204" s="303"/>
      <c r="J1204" s="302"/>
      <c r="K1204" s="302"/>
      <c r="L1204" s="302"/>
      <c r="M1204" s="236"/>
    </row>
    <row r="1205" spans="1:13" x14ac:dyDescent="0.2">
      <c r="A1205" s="237"/>
      <c r="B1205" s="302"/>
      <c r="C1205" s="302"/>
      <c r="D1205" s="302"/>
      <c r="E1205" s="303"/>
      <c r="F1205" s="302"/>
      <c r="G1205" s="302"/>
      <c r="H1205" s="302"/>
      <c r="I1205" s="303"/>
      <c r="J1205" s="302"/>
      <c r="K1205" s="302"/>
      <c r="L1205" s="302"/>
      <c r="M1205" s="236"/>
    </row>
    <row r="1206" spans="1:13" x14ac:dyDescent="0.2">
      <c r="A1206" s="237"/>
      <c r="B1206" s="302"/>
      <c r="C1206" s="302"/>
      <c r="D1206" s="302"/>
      <c r="E1206" s="303"/>
      <c r="F1206" s="302"/>
      <c r="G1206" s="302"/>
      <c r="H1206" s="302"/>
      <c r="I1206" s="303"/>
      <c r="J1206" s="302"/>
      <c r="K1206" s="302"/>
      <c r="L1206" s="302"/>
      <c r="M1206" s="236"/>
    </row>
    <row r="1207" spans="1:13" x14ac:dyDescent="0.2">
      <c r="A1207" s="237"/>
      <c r="B1207" s="302"/>
      <c r="C1207" s="302"/>
      <c r="D1207" s="302"/>
      <c r="E1207" s="303"/>
      <c r="F1207" s="302"/>
      <c r="G1207" s="302"/>
      <c r="H1207" s="302"/>
      <c r="I1207" s="303"/>
      <c r="J1207" s="302"/>
      <c r="K1207" s="302"/>
      <c r="L1207" s="302"/>
      <c r="M1207" s="236"/>
    </row>
    <row r="1208" spans="1:13" x14ac:dyDescent="0.2">
      <c r="A1208" s="237"/>
      <c r="B1208" s="302"/>
      <c r="C1208" s="302"/>
      <c r="D1208" s="302"/>
      <c r="E1208" s="303"/>
      <c r="F1208" s="302"/>
      <c r="G1208" s="302"/>
      <c r="H1208" s="302"/>
      <c r="I1208" s="303"/>
      <c r="J1208" s="302"/>
      <c r="K1208" s="302"/>
      <c r="L1208" s="302"/>
      <c r="M1208" s="236"/>
    </row>
    <row r="1209" spans="1:13" x14ac:dyDescent="0.2">
      <c r="A1209" s="237"/>
      <c r="B1209" s="303"/>
      <c r="C1209" s="303"/>
      <c r="D1209" s="303"/>
      <c r="E1209" s="303"/>
      <c r="F1209" s="303"/>
      <c r="G1209" s="303"/>
      <c r="H1209" s="303"/>
      <c r="I1209" s="303"/>
      <c r="J1209" s="303"/>
      <c r="K1209" s="303"/>
      <c r="L1209" s="303"/>
      <c r="M1209" s="236"/>
    </row>
    <row r="1210" spans="1:13" x14ac:dyDescent="0.2">
      <c r="A1210" s="237"/>
      <c r="B1210" s="237"/>
      <c r="C1210" s="237"/>
      <c r="D1210" s="237"/>
      <c r="E1210" s="237"/>
      <c r="F1210" s="237"/>
      <c r="G1210" s="237"/>
      <c r="H1210" s="237"/>
      <c r="I1210" s="237"/>
      <c r="J1210" s="237"/>
      <c r="K1210" s="237"/>
      <c r="L1210" s="240"/>
      <c r="M1210" s="236"/>
    </row>
    <row r="1211" spans="1:13" x14ac:dyDescent="0.2">
      <c r="A1211" s="237"/>
      <c r="B1211" s="237"/>
      <c r="C1211" s="237"/>
      <c r="D1211" s="237"/>
      <c r="E1211" s="237"/>
      <c r="F1211" s="237"/>
      <c r="G1211" s="237"/>
      <c r="H1211" s="237"/>
      <c r="I1211" s="237"/>
      <c r="J1211" s="237"/>
      <c r="K1211" s="237"/>
      <c r="L1211" s="284"/>
      <c r="M1211" s="236"/>
    </row>
    <row r="1212" spans="1:13" x14ac:dyDescent="0.2">
      <c r="A1212" s="258"/>
      <c r="B1212" s="241"/>
      <c r="C1212" s="241"/>
      <c r="D1212" s="241"/>
      <c r="E1212" s="241"/>
      <c r="F1212" s="241"/>
      <c r="G1212" s="241"/>
      <c r="H1212" s="241"/>
      <c r="I1212" s="241"/>
      <c r="J1212" s="241"/>
      <c r="K1212" s="241"/>
      <c r="L1212" s="236"/>
      <c r="M1212" s="236"/>
    </row>
    <row r="1213" spans="1:13" x14ac:dyDescent="0.2">
      <c r="A1213" s="241"/>
      <c r="B1213" s="375"/>
      <c r="C1213" s="375"/>
      <c r="D1213" s="375"/>
      <c r="E1213" s="253"/>
      <c r="F1213" s="375"/>
      <c r="G1213" s="375"/>
      <c r="H1213" s="375"/>
      <c r="I1213" s="253"/>
      <c r="J1213" s="375"/>
      <c r="K1213" s="375"/>
      <c r="L1213" s="375"/>
      <c r="M1213" s="236"/>
    </row>
    <row r="1214" spans="1:13" x14ac:dyDescent="0.2">
      <c r="A1214" s="258"/>
      <c r="B1214" s="259"/>
      <c r="C1214" s="259"/>
      <c r="D1214" s="259"/>
      <c r="E1214" s="259"/>
      <c r="F1214" s="259"/>
      <c r="G1214" s="259"/>
      <c r="H1214" s="259"/>
      <c r="I1214" s="259"/>
      <c r="J1214" s="259"/>
      <c r="K1214" s="259"/>
      <c r="L1214" s="259"/>
      <c r="M1214" s="236"/>
    </row>
    <row r="1215" spans="1:13" x14ac:dyDescent="0.2">
      <c r="A1215" s="258"/>
      <c r="B1215" s="259"/>
      <c r="C1215" s="259"/>
      <c r="D1215" s="259"/>
      <c r="E1215" s="259"/>
      <c r="F1215" s="259"/>
      <c r="G1215" s="259"/>
      <c r="H1215" s="259"/>
      <c r="I1215" s="259"/>
      <c r="J1215" s="259"/>
      <c r="K1215" s="259"/>
      <c r="L1215" s="259"/>
      <c r="M1215" s="236"/>
    </row>
    <row r="1216" spans="1:13" x14ac:dyDescent="0.2">
      <c r="A1216" s="237"/>
      <c r="B1216" s="302"/>
      <c r="C1216" s="302"/>
      <c r="D1216" s="302"/>
      <c r="E1216" s="303"/>
      <c r="F1216" s="302"/>
      <c r="G1216" s="302"/>
      <c r="H1216" s="302"/>
      <c r="I1216" s="303"/>
      <c r="J1216" s="302"/>
      <c r="K1216" s="302"/>
      <c r="L1216" s="302"/>
      <c r="M1216" s="236"/>
    </row>
    <row r="1217" spans="1:13" x14ac:dyDescent="0.2">
      <c r="A1217" s="237"/>
      <c r="B1217" s="302"/>
      <c r="C1217" s="302"/>
      <c r="D1217" s="302"/>
      <c r="E1217" s="303"/>
      <c r="F1217" s="302"/>
      <c r="G1217" s="302"/>
      <c r="H1217" s="302"/>
      <c r="I1217" s="303"/>
      <c r="J1217" s="302"/>
      <c r="K1217" s="302"/>
      <c r="L1217" s="302"/>
      <c r="M1217" s="236"/>
    </row>
    <row r="1218" spans="1:13" x14ac:dyDescent="0.2">
      <c r="A1218" s="237"/>
      <c r="B1218" s="302"/>
      <c r="C1218" s="302"/>
      <c r="D1218" s="302"/>
      <c r="E1218" s="303"/>
      <c r="F1218" s="302"/>
      <c r="G1218" s="302"/>
      <c r="H1218" s="302"/>
      <c r="I1218" s="303"/>
      <c r="J1218" s="302"/>
      <c r="K1218" s="302"/>
      <c r="L1218" s="302"/>
      <c r="M1218" s="236"/>
    </row>
    <row r="1219" spans="1:13" x14ac:dyDescent="0.2">
      <c r="A1219" s="237"/>
      <c r="B1219" s="302"/>
      <c r="C1219" s="302"/>
      <c r="D1219" s="302"/>
      <c r="E1219" s="303"/>
      <c r="F1219" s="302"/>
      <c r="G1219" s="302"/>
      <c r="H1219" s="302"/>
      <c r="I1219" s="303"/>
      <c r="J1219" s="302"/>
      <c r="K1219" s="302"/>
      <c r="L1219" s="302"/>
      <c r="M1219" s="236"/>
    </row>
    <row r="1220" spans="1:13" x14ac:dyDescent="0.2">
      <c r="A1220" s="237"/>
      <c r="B1220" s="302"/>
      <c r="C1220" s="302"/>
      <c r="D1220" s="302"/>
      <c r="E1220" s="303"/>
      <c r="F1220" s="302"/>
      <c r="G1220" s="302"/>
      <c r="H1220" s="302"/>
      <c r="I1220" s="303"/>
      <c r="J1220" s="302"/>
      <c r="K1220" s="302"/>
      <c r="L1220" s="302"/>
      <c r="M1220" s="236"/>
    </row>
    <row r="1221" spans="1:13" x14ac:dyDescent="0.2">
      <c r="A1221" s="237"/>
      <c r="B1221" s="302"/>
      <c r="C1221" s="302"/>
      <c r="D1221" s="302"/>
      <c r="E1221" s="303"/>
      <c r="F1221" s="302"/>
      <c r="G1221" s="302"/>
      <c r="H1221" s="302"/>
      <c r="I1221" s="303"/>
      <c r="J1221" s="302"/>
      <c r="K1221" s="302"/>
      <c r="L1221" s="302"/>
      <c r="M1221" s="236"/>
    </row>
    <row r="1222" spans="1:13" x14ac:dyDescent="0.2">
      <c r="A1222" s="237"/>
      <c r="B1222" s="302"/>
      <c r="C1222" s="302"/>
      <c r="D1222" s="302"/>
      <c r="E1222" s="303"/>
      <c r="F1222" s="302"/>
      <c r="G1222" s="302"/>
      <c r="H1222" s="302"/>
      <c r="I1222" s="303"/>
      <c r="J1222" s="302"/>
      <c r="K1222" s="302"/>
      <c r="L1222" s="302"/>
      <c r="M1222" s="236"/>
    </row>
    <row r="1223" spans="1:13" x14ac:dyDescent="0.2">
      <c r="A1223" s="237"/>
      <c r="B1223" s="302"/>
      <c r="C1223" s="302"/>
      <c r="D1223" s="302"/>
      <c r="E1223" s="303"/>
      <c r="F1223" s="302"/>
      <c r="G1223" s="302"/>
      <c r="H1223" s="302"/>
      <c r="I1223" s="303"/>
      <c r="J1223" s="302"/>
      <c r="K1223" s="302"/>
      <c r="L1223" s="302"/>
      <c r="M1223" s="236"/>
    </row>
    <row r="1224" spans="1:13" ht="13.5" customHeight="1" x14ac:dyDescent="0.2">
      <c r="A1224" s="237"/>
      <c r="B1224" s="302"/>
      <c r="C1224" s="302"/>
      <c r="D1224" s="302"/>
      <c r="E1224" s="303"/>
      <c r="F1224" s="302"/>
      <c r="G1224" s="302"/>
      <c r="H1224" s="302"/>
      <c r="I1224" s="303"/>
      <c r="J1224" s="302"/>
      <c r="K1224" s="302"/>
      <c r="L1224" s="302"/>
      <c r="M1224" s="236"/>
    </row>
    <row r="1225" spans="1:13" ht="13.5" customHeight="1" x14ac:dyDescent="0.2">
      <c r="A1225" s="237"/>
      <c r="B1225" s="302"/>
      <c r="C1225" s="302"/>
      <c r="D1225" s="302"/>
      <c r="E1225" s="303"/>
      <c r="F1225" s="302"/>
      <c r="G1225" s="302"/>
      <c r="H1225" s="302"/>
      <c r="I1225" s="303"/>
      <c r="J1225" s="302"/>
      <c r="K1225" s="302"/>
      <c r="L1225" s="302"/>
      <c r="M1225" s="236"/>
    </row>
    <row r="1226" spans="1:13" x14ac:dyDescent="0.2">
      <c r="A1226" s="237"/>
      <c r="B1226" s="303"/>
      <c r="C1226" s="303"/>
      <c r="D1226" s="303"/>
      <c r="E1226" s="303"/>
      <c r="F1226" s="303"/>
      <c r="G1226" s="303"/>
      <c r="H1226" s="303"/>
      <c r="I1226" s="303"/>
      <c r="J1226" s="303"/>
      <c r="K1226" s="303"/>
      <c r="L1226" s="303"/>
      <c r="M1226" s="236"/>
    </row>
    <row r="1227" spans="1:13" x14ac:dyDescent="0.2">
      <c r="A1227" s="237"/>
      <c r="B1227" s="237"/>
      <c r="C1227" s="237"/>
      <c r="D1227" s="237"/>
      <c r="E1227" s="237"/>
      <c r="F1227" s="237"/>
      <c r="G1227" s="237"/>
      <c r="H1227" s="237"/>
      <c r="I1227" s="237"/>
      <c r="J1227" s="237"/>
      <c r="K1227" s="237"/>
      <c r="L1227" s="240"/>
      <c r="M1227" s="236"/>
    </row>
    <row r="1228" spans="1:13" x14ac:dyDescent="0.2">
      <c r="A1228" s="237"/>
      <c r="B1228" s="237"/>
      <c r="C1228" s="237"/>
      <c r="D1228" s="237"/>
      <c r="E1228" s="237"/>
      <c r="F1228" s="237"/>
      <c r="G1228" s="237"/>
      <c r="H1228" s="237"/>
      <c r="I1228" s="237"/>
      <c r="J1228" s="237"/>
      <c r="K1228" s="237"/>
      <c r="L1228" s="284"/>
      <c r="M1228" s="236"/>
    </row>
    <row r="1229" spans="1:13" x14ac:dyDescent="0.2">
      <c r="A1229" s="258"/>
      <c r="B1229" s="241"/>
      <c r="C1229" s="241"/>
      <c r="D1229" s="241"/>
      <c r="E1229" s="241"/>
      <c r="F1229" s="241"/>
      <c r="G1229" s="241"/>
      <c r="H1229" s="241"/>
      <c r="I1229" s="241"/>
      <c r="J1229" s="241"/>
      <c r="K1229" s="241"/>
      <c r="L1229" s="236"/>
      <c r="M1229" s="236"/>
    </row>
    <row r="1230" spans="1:13" x14ac:dyDescent="0.2">
      <c r="A1230" s="241"/>
      <c r="B1230" s="375"/>
      <c r="C1230" s="375"/>
      <c r="D1230" s="375"/>
      <c r="E1230" s="253"/>
      <c r="F1230" s="375"/>
      <c r="G1230" s="375"/>
      <c r="H1230" s="375"/>
      <c r="I1230" s="253"/>
      <c r="J1230" s="375"/>
      <c r="K1230" s="375"/>
      <c r="L1230" s="375"/>
      <c r="M1230" s="236"/>
    </row>
    <row r="1231" spans="1:13" x14ac:dyDescent="0.2">
      <c r="A1231" s="258"/>
      <c r="B1231" s="259"/>
      <c r="C1231" s="259"/>
      <c r="D1231" s="259"/>
      <c r="E1231" s="259"/>
      <c r="F1231" s="259"/>
      <c r="G1231" s="259"/>
      <c r="H1231" s="259"/>
      <c r="I1231" s="259"/>
      <c r="J1231" s="259"/>
      <c r="K1231" s="259"/>
      <c r="L1231" s="259"/>
      <c r="M1231" s="236"/>
    </row>
    <row r="1232" spans="1:13" x14ac:dyDescent="0.2">
      <c r="A1232" s="258"/>
      <c r="B1232" s="259"/>
      <c r="C1232" s="259"/>
      <c r="D1232" s="259"/>
      <c r="E1232" s="259"/>
      <c r="F1232" s="259"/>
      <c r="G1232" s="259"/>
      <c r="H1232" s="259"/>
      <c r="I1232" s="259"/>
      <c r="J1232" s="259"/>
      <c r="K1232" s="259"/>
      <c r="L1232" s="259"/>
      <c r="M1232" s="236"/>
    </row>
    <row r="1233" spans="1:13" x14ac:dyDescent="0.2">
      <c r="A1233" s="237"/>
      <c r="B1233" s="302"/>
      <c r="C1233" s="302"/>
      <c r="D1233" s="302"/>
      <c r="E1233" s="303"/>
      <c r="F1233" s="302"/>
      <c r="G1233" s="302"/>
      <c r="H1233" s="302"/>
      <c r="I1233" s="303"/>
      <c r="J1233" s="302"/>
      <c r="K1233" s="302"/>
      <c r="L1233" s="302"/>
      <c r="M1233" s="236"/>
    </row>
    <row r="1234" spans="1:13" x14ac:dyDescent="0.2">
      <c r="A1234" s="237"/>
      <c r="B1234" s="302"/>
      <c r="C1234" s="302"/>
      <c r="D1234" s="302"/>
      <c r="E1234" s="303"/>
      <c r="F1234" s="302"/>
      <c r="G1234" s="302"/>
      <c r="H1234" s="302"/>
      <c r="I1234" s="303"/>
      <c r="J1234" s="302"/>
      <c r="K1234" s="302"/>
      <c r="L1234" s="302"/>
      <c r="M1234" s="236"/>
    </row>
    <row r="1235" spans="1:13" x14ac:dyDescent="0.2">
      <c r="A1235" s="237"/>
      <c r="B1235" s="302"/>
      <c r="C1235" s="302"/>
      <c r="D1235" s="302"/>
      <c r="E1235" s="303"/>
      <c r="F1235" s="302"/>
      <c r="G1235" s="302"/>
      <c r="H1235" s="302"/>
      <c r="I1235" s="303"/>
      <c r="J1235" s="302"/>
      <c r="K1235" s="302"/>
      <c r="L1235" s="302"/>
      <c r="M1235" s="236"/>
    </row>
    <row r="1236" spans="1:13" x14ac:dyDescent="0.2">
      <c r="A1236" s="237"/>
      <c r="B1236" s="302"/>
      <c r="C1236" s="302"/>
      <c r="D1236" s="302"/>
      <c r="E1236" s="303"/>
      <c r="F1236" s="302"/>
      <c r="G1236" s="302"/>
      <c r="H1236" s="302"/>
      <c r="I1236" s="303"/>
      <c r="J1236" s="302"/>
      <c r="K1236" s="302"/>
      <c r="L1236" s="302"/>
      <c r="M1236" s="236"/>
    </row>
    <row r="1237" spans="1:13" x14ac:dyDescent="0.2">
      <c r="A1237" s="237"/>
      <c r="B1237" s="302"/>
      <c r="C1237" s="302"/>
      <c r="D1237" s="302"/>
      <c r="E1237" s="303"/>
      <c r="F1237" s="302"/>
      <c r="G1237" s="302"/>
      <c r="H1237" s="302"/>
      <c r="I1237" s="303"/>
      <c r="J1237" s="302"/>
      <c r="K1237" s="302"/>
      <c r="L1237" s="302"/>
      <c r="M1237" s="236"/>
    </row>
    <row r="1238" spans="1:13" x14ac:dyDescent="0.2">
      <c r="A1238" s="237"/>
      <c r="B1238" s="302"/>
      <c r="C1238" s="302"/>
      <c r="D1238" s="302"/>
      <c r="E1238" s="303"/>
      <c r="F1238" s="302"/>
      <c r="G1238" s="302"/>
      <c r="H1238" s="302"/>
      <c r="I1238" s="303"/>
      <c r="J1238" s="302"/>
      <c r="K1238" s="302"/>
      <c r="L1238" s="302"/>
      <c r="M1238" s="236"/>
    </row>
    <row r="1239" spans="1:13" x14ac:dyDescent="0.2">
      <c r="A1239" s="237"/>
      <c r="B1239" s="302"/>
      <c r="C1239" s="302"/>
      <c r="D1239" s="302"/>
      <c r="E1239" s="303"/>
      <c r="F1239" s="302"/>
      <c r="G1239" s="302"/>
      <c r="H1239" s="302"/>
      <c r="I1239" s="303"/>
      <c r="J1239" s="302"/>
      <c r="K1239" s="302"/>
      <c r="L1239" s="302"/>
      <c r="M1239" s="236"/>
    </row>
    <row r="1240" spans="1:13" x14ac:dyDescent="0.2">
      <c r="A1240" s="237"/>
      <c r="B1240" s="302"/>
      <c r="C1240" s="302"/>
      <c r="D1240" s="302"/>
      <c r="E1240" s="303"/>
      <c r="F1240" s="302"/>
      <c r="G1240" s="302"/>
      <c r="H1240" s="302"/>
      <c r="I1240" s="303"/>
      <c r="J1240" s="302"/>
      <c r="K1240" s="302"/>
      <c r="L1240" s="302"/>
      <c r="M1240" s="236"/>
    </row>
    <row r="1241" spans="1:13" x14ac:dyDescent="0.2">
      <c r="A1241" s="237"/>
      <c r="B1241" s="302"/>
      <c r="C1241" s="302"/>
      <c r="D1241" s="302"/>
      <c r="E1241" s="303"/>
      <c r="F1241" s="302"/>
      <c r="G1241" s="302"/>
      <c r="H1241" s="302"/>
      <c r="I1241" s="303"/>
      <c r="J1241" s="302"/>
      <c r="K1241" s="302"/>
      <c r="L1241" s="302"/>
      <c r="M1241" s="236"/>
    </row>
    <row r="1242" spans="1:13" x14ac:dyDescent="0.2">
      <c r="A1242" s="237"/>
      <c r="B1242" s="302"/>
      <c r="C1242" s="302"/>
      <c r="D1242" s="302"/>
      <c r="E1242" s="303"/>
      <c r="F1242" s="302"/>
      <c r="G1242" s="302"/>
      <c r="H1242" s="302"/>
      <c r="I1242" s="303"/>
      <c r="J1242" s="302"/>
      <c r="K1242" s="302"/>
      <c r="L1242" s="302"/>
      <c r="M1242" s="236"/>
    </row>
    <row r="1243" spans="1:13" x14ac:dyDescent="0.2">
      <c r="A1243" s="237"/>
      <c r="B1243" s="303"/>
      <c r="C1243" s="303"/>
      <c r="D1243" s="303"/>
      <c r="E1243" s="303"/>
      <c r="F1243" s="303"/>
      <c r="G1243" s="303"/>
      <c r="H1243" s="303"/>
      <c r="I1243" s="303"/>
      <c r="J1243" s="303"/>
      <c r="K1243" s="303"/>
      <c r="L1243" s="303"/>
      <c r="M1243" s="236"/>
    </row>
    <row r="1244" spans="1:13" x14ac:dyDescent="0.2">
      <c r="A1244" s="237"/>
      <c r="B1244" s="237"/>
      <c r="C1244" s="237"/>
      <c r="D1244" s="237"/>
      <c r="E1244" s="237"/>
      <c r="F1244" s="237"/>
      <c r="G1244" s="237"/>
      <c r="H1244" s="237"/>
      <c r="I1244" s="237"/>
      <c r="J1244" s="237"/>
      <c r="K1244" s="237"/>
      <c r="L1244" s="240"/>
      <c r="M1244" s="236"/>
    </row>
    <row r="1245" spans="1:13" x14ac:dyDescent="0.2">
      <c r="A1245" s="237"/>
      <c r="B1245" s="237"/>
      <c r="C1245" s="237"/>
      <c r="D1245" s="237"/>
      <c r="E1245" s="237"/>
      <c r="F1245" s="237"/>
      <c r="G1245" s="237"/>
      <c r="H1245" s="237"/>
      <c r="I1245" s="237"/>
      <c r="J1245" s="237"/>
      <c r="K1245" s="237"/>
      <c r="L1245" s="284"/>
      <c r="M1245" s="236"/>
    </row>
    <row r="1246" spans="1:13" x14ac:dyDescent="0.2">
      <c r="A1246" s="258"/>
      <c r="B1246" s="241"/>
      <c r="C1246" s="241"/>
      <c r="D1246" s="241"/>
      <c r="E1246" s="241"/>
      <c r="F1246" s="241"/>
      <c r="G1246" s="241"/>
      <c r="H1246" s="241"/>
      <c r="I1246" s="241"/>
      <c r="J1246" s="241"/>
      <c r="K1246" s="241"/>
      <c r="L1246" s="236"/>
      <c r="M1246" s="236"/>
    </row>
    <row r="1247" spans="1:13" x14ac:dyDescent="0.2">
      <c r="A1247" s="241"/>
      <c r="B1247" s="375"/>
      <c r="C1247" s="375"/>
      <c r="D1247" s="375"/>
      <c r="E1247" s="253"/>
      <c r="F1247" s="375"/>
      <c r="G1247" s="375"/>
      <c r="H1247" s="375"/>
      <c r="I1247" s="253"/>
      <c r="J1247" s="375"/>
      <c r="K1247" s="375"/>
      <c r="L1247" s="375"/>
      <c r="M1247" s="236"/>
    </row>
    <row r="1248" spans="1:13" x14ac:dyDescent="0.2">
      <c r="A1248" s="258"/>
      <c r="B1248" s="259"/>
      <c r="C1248" s="259"/>
      <c r="D1248" s="259"/>
      <c r="E1248" s="259"/>
      <c r="F1248" s="259"/>
      <c r="G1248" s="259"/>
      <c r="H1248" s="259"/>
      <c r="I1248" s="259"/>
      <c r="J1248" s="259"/>
      <c r="K1248" s="259"/>
      <c r="L1248" s="259"/>
      <c r="M1248" s="236"/>
    </row>
    <row r="1249" spans="1:13" x14ac:dyDescent="0.2">
      <c r="A1249" s="258"/>
      <c r="B1249" s="259"/>
      <c r="C1249" s="259"/>
      <c r="D1249" s="259"/>
      <c r="E1249" s="259"/>
      <c r="F1249" s="259"/>
      <c r="G1249" s="259"/>
      <c r="H1249" s="259"/>
      <c r="I1249" s="259"/>
      <c r="J1249" s="259"/>
      <c r="K1249" s="259"/>
      <c r="L1249" s="259"/>
      <c r="M1249" s="236"/>
    </row>
    <row r="1250" spans="1:13" x14ac:dyDescent="0.2">
      <c r="A1250" s="237"/>
      <c r="B1250" s="302"/>
      <c r="C1250" s="302"/>
      <c r="D1250" s="302"/>
      <c r="E1250" s="303"/>
      <c r="F1250" s="302"/>
      <c r="G1250" s="302"/>
      <c r="H1250" s="302"/>
      <c r="I1250" s="303"/>
      <c r="J1250" s="302"/>
      <c r="K1250" s="302"/>
      <c r="L1250" s="302"/>
      <c r="M1250" s="236"/>
    </row>
    <row r="1251" spans="1:13" x14ac:dyDescent="0.2">
      <c r="A1251" s="237"/>
      <c r="B1251" s="302"/>
      <c r="C1251" s="302"/>
      <c r="D1251" s="302"/>
      <c r="E1251" s="303"/>
      <c r="F1251" s="302"/>
      <c r="G1251" s="302"/>
      <c r="H1251" s="302"/>
      <c r="I1251" s="303"/>
      <c r="J1251" s="302"/>
      <c r="K1251" s="302"/>
      <c r="L1251" s="302"/>
      <c r="M1251" s="236"/>
    </row>
    <row r="1252" spans="1:13" x14ac:dyDescent="0.2">
      <c r="A1252" s="237"/>
      <c r="B1252" s="302"/>
      <c r="C1252" s="302"/>
      <c r="D1252" s="302"/>
      <c r="E1252" s="303"/>
      <c r="F1252" s="302"/>
      <c r="G1252" s="302"/>
      <c r="H1252" s="302"/>
      <c r="I1252" s="303"/>
      <c r="J1252" s="302"/>
      <c r="K1252" s="302"/>
      <c r="L1252" s="302"/>
      <c r="M1252" s="236"/>
    </row>
    <row r="1253" spans="1:13" x14ac:dyDescent="0.2">
      <c r="A1253" s="237"/>
      <c r="B1253" s="302"/>
      <c r="C1253" s="302"/>
      <c r="D1253" s="302"/>
      <c r="E1253" s="303"/>
      <c r="F1253" s="302"/>
      <c r="G1253" s="302"/>
      <c r="H1253" s="302"/>
      <c r="I1253" s="303"/>
      <c r="J1253" s="302"/>
      <c r="K1253" s="302"/>
      <c r="L1253" s="302"/>
      <c r="M1253" s="236"/>
    </row>
    <row r="1254" spans="1:13" x14ac:dyDescent="0.2">
      <c r="A1254" s="237"/>
      <c r="B1254" s="302"/>
      <c r="C1254" s="302"/>
      <c r="D1254" s="302"/>
      <c r="E1254" s="303"/>
      <c r="F1254" s="302"/>
      <c r="G1254" s="302"/>
      <c r="H1254" s="302"/>
      <c r="I1254" s="303"/>
      <c r="J1254" s="302"/>
      <c r="K1254" s="302"/>
      <c r="L1254" s="302"/>
      <c r="M1254" s="236"/>
    </row>
    <row r="1255" spans="1:13" x14ac:dyDescent="0.2">
      <c r="A1255" s="237"/>
      <c r="B1255" s="302"/>
      <c r="C1255" s="302"/>
      <c r="D1255" s="302"/>
      <c r="E1255" s="303"/>
      <c r="F1255" s="302"/>
      <c r="G1255" s="302"/>
      <c r="H1255" s="302"/>
      <c r="I1255" s="303"/>
      <c r="J1255" s="302"/>
      <c r="K1255" s="302"/>
      <c r="L1255" s="302"/>
      <c r="M1255" s="236"/>
    </row>
    <row r="1256" spans="1:13" x14ac:dyDescent="0.2">
      <c r="A1256" s="237"/>
      <c r="B1256" s="302"/>
      <c r="C1256" s="302"/>
      <c r="D1256" s="302"/>
      <c r="E1256" s="303"/>
      <c r="F1256" s="302"/>
      <c r="G1256" s="302"/>
      <c r="H1256" s="302"/>
      <c r="I1256" s="303"/>
      <c r="J1256" s="302"/>
      <c r="K1256" s="302"/>
      <c r="L1256" s="302"/>
      <c r="M1256" s="236"/>
    </row>
    <row r="1257" spans="1:13" x14ac:dyDescent="0.2">
      <c r="A1257" s="237"/>
      <c r="B1257" s="302"/>
      <c r="C1257" s="302"/>
      <c r="D1257" s="302"/>
      <c r="E1257" s="303"/>
      <c r="F1257" s="302"/>
      <c r="G1257" s="302"/>
      <c r="H1257" s="302"/>
      <c r="I1257" s="303"/>
      <c r="J1257" s="302"/>
      <c r="K1257" s="302"/>
      <c r="L1257" s="302"/>
      <c r="M1257" s="236"/>
    </row>
    <row r="1258" spans="1:13" x14ac:dyDescent="0.2">
      <c r="A1258" s="237"/>
      <c r="B1258" s="302"/>
      <c r="C1258" s="302"/>
      <c r="D1258" s="302"/>
      <c r="E1258" s="303"/>
      <c r="F1258" s="302"/>
      <c r="G1258" s="302"/>
      <c r="H1258" s="302"/>
      <c r="I1258" s="303"/>
      <c r="J1258" s="302"/>
      <c r="K1258" s="302"/>
      <c r="L1258" s="302"/>
      <c r="M1258" s="236"/>
    </row>
    <row r="1259" spans="1:13" x14ac:dyDescent="0.2">
      <c r="A1259" s="237"/>
      <c r="B1259" s="302"/>
      <c r="C1259" s="302"/>
      <c r="D1259" s="302"/>
      <c r="E1259" s="303"/>
      <c r="F1259" s="302"/>
      <c r="G1259" s="302"/>
      <c r="H1259" s="302"/>
      <c r="I1259" s="303"/>
      <c r="J1259" s="302"/>
      <c r="K1259" s="302"/>
      <c r="L1259" s="302"/>
      <c r="M1259" s="236"/>
    </row>
    <row r="1260" spans="1:13" x14ac:dyDescent="0.2">
      <c r="A1260" s="237"/>
      <c r="B1260" s="303"/>
      <c r="C1260" s="303"/>
      <c r="D1260" s="303"/>
      <c r="E1260" s="303"/>
      <c r="F1260" s="303"/>
      <c r="G1260" s="303"/>
      <c r="H1260" s="303"/>
      <c r="I1260" s="303"/>
      <c r="J1260" s="303"/>
      <c r="K1260" s="303"/>
      <c r="L1260" s="303"/>
      <c r="M1260" s="236"/>
    </row>
    <row r="1261" spans="1:13" x14ac:dyDescent="0.2">
      <c r="A1261" s="237"/>
      <c r="B1261" s="237"/>
      <c r="C1261" s="237"/>
      <c r="D1261" s="237"/>
      <c r="E1261" s="237"/>
      <c r="F1261" s="237"/>
      <c r="G1261" s="237"/>
      <c r="H1261" s="237"/>
      <c r="I1261" s="237"/>
      <c r="J1261" s="237"/>
      <c r="K1261" s="237"/>
      <c r="L1261" s="240"/>
      <c r="M1261" s="236"/>
    </row>
    <row r="1262" spans="1:13" x14ac:dyDescent="0.2">
      <c r="A1262" s="237"/>
      <c r="B1262" s="237"/>
      <c r="C1262" s="237"/>
      <c r="D1262" s="237"/>
      <c r="E1262" s="237"/>
      <c r="F1262" s="237"/>
      <c r="G1262" s="237"/>
      <c r="H1262" s="237"/>
      <c r="I1262" s="237"/>
      <c r="J1262" s="237"/>
      <c r="K1262" s="237"/>
      <c r="L1262" s="284"/>
      <c r="M1262" s="236"/>
    </row>
    <row r="1263" spans="1:13" x14ac:dyDescent="0.2">
      <c r="A1263" s="258"/>
      <c r="B1263" s="241"/>
      <c r="C1263" s="241"/>
      <c r="D1263" s="241"/>
      <c r="E1263" s="241"/>
      <c r="F1263" s="241"/>
      <c r="G1263" s="241"/>
      <c r="H1263" s="241"/>
      <c r="I1263" s="241"/>
      <c r="J1263" s="241"/>
      <c r="K1263" s="241"/>
      <c r="L1263" s="236"/>
      <c r="M1263" s="236"/>
    </row>
    <row r="1264" spans="1:13" x14ac:dyDescent="0.2">
      <c r="A1264" s="241"/>
      <c r="B1264" s="375"/>
      <c r="C1264" s="375"/>
      <c r="D1264" s="375"/>
      <c r="E1264" s="253"/>
      <c r="F1264" s="375"/>
      <c r="G1264" s="375"/>
      <c r="H1264" s="375"/>
      <c r="I1264" s="253"/>
      <c r="J1264" s="375"/>
      <c r="K1264" s="375"/>
      <c r="L1264" s="375"/>
      <c r="M1264" s="236"/>
    </row>
    <row r="1265" spans="1:13" x14ac:dyDescent="0.2">
      <c r="A1265" s="258"/>
      <c r="B1265" s="259"/>
      <c r="C1265" s="259"/>
      <c r="D1265" s="259"/>
      <c r="E1265" s="259"/>
      <c r="F1265" s="259"/>
      <c r="G1265" s="259"/>
      <c r="H1265" s="259"/>
      <c r="I1265" s="259"/>
      <c r="J1265" s="259"/>
      <c r="K1265" s="259"/>
      <c r="L1265" s="259"/>
      <c r="M1265" s="236"/>
    </row>
    <row r="1266" spans="1:13" x14ac:dyDescent="0.2">
      <c r="A1266" s="258"/>
      <c r="B1266" s="259"/>
      <c r="C1266" s="259"/>
      <c r="D1266" s="259"/>
      <c r="E1266" s="259"/>
      <c r="F1266" s="259"/>
      <c r="G1266" s="259"/>
      <c r="H1266" s="259"/>
      <c r="I1266" s="259"/>
      <c r="J1266" s="259"/>
      <c r="K1266" s="259"/>
      <c r="L1266" s="259"/>
      <c r="M1266" s="236"/>
    </row>
    <row r="1267" spans="1:13" x14ac:dyDescent="0.2">
      <c r="A1267" s="237"/>
      <c r="B1267" s="302"/>
      <c r="C1267" s="302"/>
      <c r="D1267" s="302"/>
      <c r="E1267" s="303"/>
      <c r="F1267" s="302"/>
      <c r="G1267" s="302"/>
      <c r="H1267" s="302"/>
      <c r="I1267" s="303"/>
      <c r="J1267" s="302"/>
      <c r="K1267" s="302"/>
      <c r="L1267" s="302"/>
      <c r="M1267" s="236"/>
    </row>
    <row r="1268" spans="1:13" x14ac:dyDescent="0.2">
      <c r="A1268" s="237"/>
      <c r="B1268" s="302"/>
      <c r="C1268" s="302"/>
      <c r="D1268" s="302"/>
      <c r="E1268" s="303"/>
      <c r="F1268" s="302"/>
      <c r="G1268" s="302"/>
      <c r="H1268" s="302"/>
      <c r="I1268" s="303"/>
      <c r="J1268" s="302"/>
      <c r="K1268" s="302"/>
      <c r="L1268" s="302"/>
      <c r="M1268" s="236"/>
    </row>
    <row r="1269" spans="1:13" x14ac:dyDescent="0.2">
      <c r="A1269" s="237"/>
      <c r="B1269" s="302"/>
      <c r="C1269" s="302"/>
      <c r="D1269" s="302"/>
      <c r="E1269" s="303"/>
      <c r="F1269" s="302"/>
      <c r="G1269" s="302"/>
      <c r="H1269" s="302"/>
      <c r="I1269" s="303"/>
      <c r="J1269" s="302"/>
      <c r="K1269" s="302"/>
      <c r="L1269" s="302"/>
      <c r="M1269" s="236"/>
    </row>
    <row r="1270" spans="1:13" x14ac:dyDescent="0.2">
      <c r="A1270" s="237"/>
      <c r="B1270" s="302"/>
      <c r="C1270" s="302"/>
      <c r="D1270" s="302"/>
      <c r="E1270" s="303"/>
      <c r="F1270" s="302"/>
      <c r="G1270" s="302"/>
      <c r="H1270" s="302"/>
      <c r="I1270" s="303"/>
      <c r="J1270" s="302"/>
      <c r="K1270" s="302"/>
      <c r="L1270" s="302"/>
      <c r="M1270" s="236"/>
    </row>
    <row r="1271" spans="1:13" x14ac:dyDescent="0.2">
      <c r="A1271" s="237"/>
      <c r="B1271" s="302"/>
      <c r="C1271" s="302"/>
      <c r="D1271" s="302"/>
      <c r="E1271" s="303"/>
      <c r="F1271" s="302"/>
      <c r="G1271" s="302"/>
      <c r="H1271" s="302"/>
      <c r="I1271" s="303"/>
      <c r="J1271" s="302"/>
      <c r="K1271" s="302"/>
      <c r="L1271" s="302"/>
      <c r="M1271" s="236"/>
    </row>
    <row r="1272" spans="1:13" x14ac:dyDescent="0.2">
      <c r="A1272" s="237"/>
      <c r="B1272" s="302"/>
      <c r="C1272" s="302"/>
      <c r="D1272" s="302"/>
      <c r="E1272" s="303"/>
      <c r="F1272" s="302"/>
      <c r="G1272" s="302"/>
      <c r="H1272" s="302"/>
      <c r="I1272" s="303"/>
      <c r="J1272" s="302"/>
      <c r="K1272" s="302"/>
      <c r="L1272" s="302"/>
      <c r="M1272" s="236"/>
    </row>
    <row r="1273" spans="1:13" x14ac:dyDescent="0.2">
      <c r="A1273" s="237"/>
      <c r="B1273" s="302"/>
      <c r="C1273" s="302"/>
      <c r="D1273" s="302"/>
      <c r="E1273" s="303"/>
      <c r="F1273" s="302"/>
      <c r="G1273" s="302"/>
      <c r="H1273" s="302"/>
      <c r="I1273" s="303"/>
      <c r="J1273" s="302"/>
      <c r="K1273" s="302"/>
      <c r="L1273" s="302"/>
      <c r="M1273" s="236"/>
    </row>
    <row r="1274" spans="1:13" x14ac:dyDescent="0.2">
      <c r="A1274" s="237"/>
      <c r="B1274" s="302"/>
      <c r="C1274" s="302"/>
      <c r="D1274" s="302"/>
      <c r="E1274" s="303"/>
      <c r="F1274" s="302"/>
      <c r="G1274" s="302"/>
      <c r="H1274" s="302"/>
      <c r="I1274" s="303"/>
      <c r="J1274" s="302"/>
      <c r="K1274" s="302"/>
      <c r="L1274" s="302"/>
      <c r="M1274" s="236"/>
    </row>
    <row r="1275" spans="1:13" x14ac:dyDescent="0.2">
      <c r="A1275" s="237"/>
      <c r="B1275" s="302"/>
      <c r="C1275" s="302"/>
      <c r="D1275" s="302"/>
      <c r="E1275" s="303"/>
      <c r="F1275" s="302"/>
      <c r="G1275" s="302"/>
      <c r="H1275" s="302"/>
      <c r="I1275" s="303"/>
      <c r="J1275" s="302"/>
      <c r="K1275" s="302"/>
      <c r="L1275" s="302"/>
      <c r="M1275" s="236"/>
    </row>
    <row r="1276" spans="1:13" x14ac:dyDescent="0.2">
      <c r="A1276" s="237"/>
      <c r="B1276" s="302"/>
      <c r="C1276" s="302"/>
      <c r="D1276" s="302"/>
      <c r="E1276" s="303"/>
      <c r="F1276" s="302"/>
      <c r="G1276" s="302"/>
      <c r="H1276" s="302"/>
      <c r="I1276" s="303"/>
      <c r="J1276" s="302"/>
      <c r="K1276" s="302"/>
      <c r="L1276" s="302"/>
      <c r="M1276" s="236"/>
    </row>
    <row r="1277" spans="1:13" x14ac:dyDescent="0.2">
      <c r="A1277" s="237"/>
      <c r="B1277" s="303"/>
      <c r="C1277" s="303"/>
      <c r="D1277" s="303"/>
      <c r="E1277" s="303"/>
      <c r="F1277" s="303"/>
      <c r="G1277" s="303"/>
      <c r="H1277" s="303"/>
      <c r="I1277" s="303"/>
      <c r="J1277" s="303"/>
      <c r="K1277" s="303"/>
      <c r="L1277" s="303"/>
      <c r="M1277" s="236"/>
    </row>
    <row r="1278" spans="1:13" x14ac:dyDescent="0.2">
      <c r="A1278" s="237"/>
      <c r="B1278" s="237"/>
      <c r="C1278" s="237"/>
      <c r="D1278" s="237"/>
      <c r="E1278" s="237"/>
      <c r="F1278" s="237"/>
      <c r="G1278" s="237"/>
      <c r="H1278" s="237"/>
      <c r="I1278" s="237"/>
      <c r="J1278" s="237"/>
      <c r="K1278" s="237"/>
      <c r="L1278" s="240"/>
      <c r="M1278" s="236"/>
    </row>
    <row r="1279" spans="1:13" x14ac:dyDescent="0.2">
      <c r="A1279" s="237"/>
      <c r="B1279" s="237"/>
      <c r="C1279" s="237"/>
      <c r="D1279" s="237"/>
      <c r="E1279" s="237"/>
      <c r="F1279" s="237"/>
      <c r="G1279" s="237"/>
      <c r="H1279" s="237"/>
      <c r="I1279" s="237"/>
      <c r="J1279" s="237"/>
      <c r="K1279" s="237"/>
      <c r="L1279" s="284"/>
      <c r="M1279" s="236"/>
    </row>
    <row r="1280" spans="1:13" x14ac:dyDescent="0.2">
      <c r="A1280" s="258"/>
      <c r="B1280" s="241"/>
      <c r="C1280" s="241"/>
      <c r="D1280" s="241"/>
      <c r="E1280" s="241"/>
      <c r="F1280" s="241"/>
      <c r="G1280" s="241"/>
      <c r="H1280" s="241"/>
      <c r="I1280" s="241"/>
      <c r="J1280" s="241"/>
      <c r="K1280" s="241"/>
      <c r="L1280" s="236"/>
      <c r="M1280" s="236"/>
    </row>
    <row r="1281" spans="1:13" x14ac:dyDescent="0.2">
      <c r="A1281" s="241"/>
      <c r="B1281" s="375"/>
      <c r="C1281" s="375"/>
      <c r="D1281" s="375"/>
      <c r="E1281" s="253"/>
      <c r="F1281" s="375"/>
      <c r="G1281" s="375"/>
      <c r="H1281" s="375"/>
      <c r="I1281" s="253"/>
      <c r="J1281" s="375"/>
      <c r="K1281" s="375"/>
      <c r="L1281" s="375"/>
      <c r="M1281" s="236"/>
    </row>
    <row r="1282" spans="1:13" x14ac:dyDescent="0.2">
      <c r="A1282" s="258"/>
      <c r="B1282" s="259"/>
      <c r="C1282" s="259"/>
      <c r="D1282" s="259"/>
      <c r="E1282" s="259"/>
      <c r="F1282" s="259"/>
      <c r="G1282" s="259"/>
      <c r="H1282" s="259"/>
      <c r="I1282" s="259"/>
      <c r="J1282" s="259"/>
      <c r="K1282" s="259"/>
      <c r="L1282" s="259"/>
      <c r="M1282" s="236"/>
    </row>
    <row r="1283" spans="1:13" x14ac:dyDescent="0.2">
      <c r="A1283" s="258"/>
      <c r="B1283" s="259"/>
      <c r="C1283" s="259"/>
      <c r="D1283" s="259"/>
      <c r="E1283" s="259"/>
      <c r="F1283" s="259"/>
      <c r="G1283" s="259"/>
      <c r="H1283" s="259"/>
      <c r="I1283" s="259"/>
      <c r="J1283" s="259"/>
      <c r="K1283" s="259"/>
      <c r="L1283" s="259"/>
      <c r="M1283" s="236"/>
    </row>
    <row r="1284" spans="1:13" x14ac:dyDescent="0.2">
      <c r="A1284" s="237"/>
      <c r="B1284" s="302"/>
      <c r="C1284" s="302"/>
      <c r="D1284" s="302"/>
      <c r="E1284" s="303"/>
      <c r="F1284" s="302"/>
      <c r="G1284" s="302"/>
      <c r="H1284" s="302"/>
      <c r="I1284" s="303"/>
      <c r="J1284" s="302"/>
      <c r="K1284" s="302"/>
      <c r="L1284" s="302"/>
      <c r="M1284" s="236"/>
    </row>
    <row r="1285" spans="1:13" x14ac:dyDescent="0.2">
      <c r="A1285" s="237"/>
      <c r="B1285" s="302"/>
      <c r="C1285" s="302"/>
      <c r="D1285" s="302"/>
      <c r="E1285" s="303"/>
      <c r="F1285" s="302"/>
      <c r="G1285" s="302"/>
      <c r="H1285" s="302"/>
      <c r="I1285" s="303"/>
      <c r="J1285" s="302"/>
      <c r="K1285" s="302"/>
      <c r="L1285" s="302"/>
      <c r="M1285" s="236"/>
    </row>
    <row r="1286" spans="1:13" x14ac:dyDescent="0.2">
      <c r="A1286" s="237"/>
      <c r="B1286" s="302"/>
      <c r="C1286" s="302"/>
      <c r="D1286" s="302"/>
      <c r="E1286" s="303"/>
      <c r="F1286" s="302"/>
      <c r="G1286" s="302"/>
      <c r="H1286" s="302"/>
      <c r="I1286" s="303"/>
      <c r="J1286" s="302"/>
      <c r="K1286" s="302"/>
      <c r="L1286" s="302"/>
      <c r="M1286" s="236"/>
    </row>
    <row r="1287" spans="1:13" x14ac:dyDescent="0.2">
      <c r="A1287" s="237"/>
      <c r="B1287" s="302"/>
      <c r="C1287" s="302"/>
      <c r="D1287" s="302"/>
      <c r="E1287" s="303"/>
      <c r="F1287" s="302"/>
      <c r="G1287" s="302"/>
      <c r="H1287" s="302"/>
      <c r="I1287" s="303"/>
      <c r="J1287" s="302"/>
      <c r="K1287" s="302"/>
      <c r="L1287" s="302"/>
      <c r="M1287" s="236"/>
    </row>
    <row r="1288" spans="1:13" x14ac:dyDescent="0.2">
      <c r="A1288" s="237"/>
      <c r="B1288" s="302"/>
      <c r="C1288" s="302"/>
      <c r="D1288" s="302"/>
      <c r="E1288" s="303"/>
      <c r="F1288" s="302"/>
      <c r="G1288" s="302"/>
      <c r="H1288" s="302"/>
      <c r="I1288" s="303"/>
      <c r="J1288" s="302"/>
      <c r="K1288" s="302"/>
      <c r="L1288" s="302"/>
      <c r="M1288" s="236"/>
    </row>
    <row r="1289" spans="1:13" x14ac:dyDescent="0.2">
      <c r="A1289" s="237"/>
      <c r="B1289" s="302"/>
      <c r="C1289" s="302"/>
      <c r="D1289" s="302"/>
      <c r="E1289" s="303"/>
      <c r="F1289" s="302"/>
      <c r="G1289" s="302"/>
      <c r="H1289" s="302"/>
      <c r="I1289" s="303"/>
      <c r="J1289" s="302"/>
      <c r="K1289" s="302"/>
      <c r="L1289" s="302"/>
      <c r="M1289" s="236"/>
    </row>
    <row r="1290" spans="1:13" x14ac:dyDescent="0.2">
      <c r="A1290" s="237"/>
      <c r="B1290" s="302"/>
      <c r="C1290" s="302"/>
      <c r="D1290" s="302"/>
      <c r="E1290" s="303"/>
      <c r="F1290" s="302"/>
      <c r="G1290" s="302"/>
      <c r="H1290" s="302"/>
      <c r="I1290" s="303"/>
      <c r="J1290" s="302"/>
      <c r="K1290" s="302"/>
      <c r="L1290" s="302"/>
      <c r="M1290" s="236"/>
    </row>
    <row r="1291" spans="1:13" x14ac:dyDescent="0.2">
      <c r="A1291" s="237"/>
      <c r="B1291" s="302"/>
      <c r="C1291" s="302"/>
      <c r="D1291" s="302"/>
      <c r="E1291" s="303"/>
      <c r="F1291" s="302"/>
      <c r="G1291" s="302"/>
      <c r="H1291" s="302"/>
      <c r="I1291" s="303"/>
      <c r="J1291" s="302"/>
      <c r="K1291" s="302"/>
      <c r="L1291" s="302"/>
      <c r="M1291" s="236"/>
    </row>
    <row r="1292" spans="1:13" x14ac:dyDescent="0.2">
      <c r="A1292" s="237"/>
      <c r="B1292" s="302"/>
      <c r="C1292" s="302"/>
      <c r="D1292" s="302"/>
      <c r="E1292" s="303"/>
      <c r="F1292" s="302"/>
      <c r="G1292" s="302"/>
      <c r="H1292" s="302"/>
      <c r="I1292" s="303"/>
      <c r="J1292" s="302"/>
      <c r="K1292" s="302"/>
      <c r="L1292" s="302"/>
      <c r="M1292" s="236"/>
    </row>
    <row r="1293" spans="1:13" x14ac:dyDescent="0.2">
      <c r="A1293" s="237"/>
      <c r="B1293" s="302"/>
      <c r="C1293" s="302"/>
      <c r="D1293" s="302"/>
      <c r="E1293" s="303"/>
      <c r="F1293" s="302"/>
      <c r="G1293" s="302"/>
      <c r="H1293" s="302"/>
      <c r="I1293" s="303"/>
      <c r="J1293" s="302"/>
      <c r="K1293" s="302"/>
      <c r="L1293" s="302"/>
      <c r="M1293" s="236"/>
    </row>
    <row r="1294" spans="1:13" x14ac:dyDescent="0.2">
      <c r="A1294" s="237"/>
      <c r="B1294" s="303"/>
      <c r="C1294" s="303"/>
      <c r="D1294" s="303"/>
      <c r="E1294" s="303"/>
      <c r="F1294" s="303"/>
      <c r="G1294" s="303"/>
      <c r="H1294" s="303"/>
      <c r="I1294" s="303"/>
      <c r="J1294" s="303"/>
      <c r="K1294" s="303"/>
      <c r="L1294" s="303"/>
      <c r="M1294" s="236"/>
    </row>
    <row r="1295" spans="1:13" x14ac:dyDescent="0.2">
      <c r="A1295" s="237"/>
      <c r="B1295" s="237"/>
      <c r="C1295" s="237"/>
      <c r="D1295" s="237"/>
      <c r="E1295" s="237"/>
      <c r="F1295" s="237"/>
      <c r="G1295" s="237"/>
      <c r="H1295" s="237"/>
      <c r="I1295" s="237"/>
      <c r="J1295" s="237"/>
      <c r="K1295" s="237"/>
      <c r="L1295" s="240"/>
      <c r="M1295" s="236"/>
    </row>
    <row r="1296" spans="1:13" x14ac:dyDescent="0.2">
      <c r="A1296" s="237"/>
      <c r="B1296" s="237"/>
      <c r="C1296" s="237"/>
      <c r="D1296" s="237"/>
      <c r="E1296" s="237"/>
      <c r="F1296" s="237"/>
      <c r="G1296" s="237"/>
      <c r="H1296" s="237"/>
      <c r="I1296" s="237"/>
      <c r="J1296" s="237"/>
      <c r="K1296" s="237"/>
      <c r="L1296" s="284"/>
      <c r="M1296" s="236"/>
    </row>
    <row r="1297" spans="1:13" x14ac:dyDescent="0.2">
      <c r="A1297" s="258"/>
      <c r="B1297" s="241"/>
      <c r="C1297" s="241"/>
      <c r="D1297" s="241"/>
      <c r="E1297" s="241"/>
      <c r="F1297" s="241"/>
      <c r="G1297" s="241"/>
      <c r="H1297" s="241"/>
      <c r="I1297" s="241"/>
      <c r="J1297" s="241"/>
      <c r="K1297" s="241"/>
      <c r="L1297" s="236"/>
      <c r="M1297" s="236"/>
    </row>
    <row r="1298" spans="1:13" x14ac:dyDescent="0.2">
      <c r="A1298" s="241"/>
      <c r="B1298" s="375"/>
      <c r="C1298" s="375"/>
      <c r="D1298" s="375"/>
      <c r="E1298" s="253"/>
      <c r="F1298" s="375"/>
      <c r="G1298" s="375"/>
      <c r="H1298" s="375"/>
      <c r="I1298" s="253"/>
      <c r="J1298" s="375"/>
      <c r="K1298" s="375"/>
      <c r="L1298" s="375"/>
      <c r="M1298" s="236"/>
    </row>
    <row r="1299" spans="1:13" x14ac:dyDescent="0.2">
      <c r="A1299" s="258"/>
      <c r="B1299" s="259"/>
      <c r="C1299" s="259"/>
      <c r="D1299" s="259"/>
      <c r="E1299" s="259"/>
      <c r="F1299" s="259"/>
      <c r="G1299" s="259"/>
      <c r="H1299" s="259"/>
      <c r="I1299" s="259"/>
      <c r="J1299" s="259"/>
      <c r="K1299" s="259"/>
      <c r="L1299" s="259"/>
      <c r="M1299" s="236"/>
    </row>
    <row r="1300" spans="1:13" x14ac:dyDescent="0.2">
      <c r="A1300" s="258"/>
      <c r="B1300" s="259"/>
      <c r="C1300" s="259"/>
      <c r="D1300" s="259"/>
      <c r="E1300" s="259"/>
      <c r="F1300" s="259"/>
      <c r="G1300" s="259"/>
      <c r="H1300" s="259"/>
      <c r="I1300" s="259"/>
      <c r="J1300" s="259"/>
      <c r="K1300" s="259"/>
      <c r="L1300" s="259"/>
      <c r="M1300" s="236"/>
    </row>
    <row r="1301" spans="1:13" x14ac:dyDescent="0.2">
      <c r="A1301" s="237"/>
      <c r="B1301" s="302"/>
      <c r="C1301" s="302"/>
      <c r="D1301" s="302"/>
      <c r="E1301" s="303"/>
      <c r="F1301" s="302"/>
      <c r="G1301" s="302"/>
      <c r="H1301" s="302"/>
      <c r="I1301" s="303"/>
      <c r="J1301" s="302"/>
      <c r="K1301" s="302"/>
      <c r="L1301" s="302"/>
      <c r="M1301" s="236"/>
    </row>
    <row r="1302" spans="1:13" x14ac:dyDescent="0.2">
      <c r="A1302" s="237"/>
      <c r="B1302" s="302"/>
      <c r="C1302" s="302"/>
      <c r="D1302" s="302"/>
      <c r="E1302" s="303"/>
      <c r="F1302" s="302"/>
      <c r="G1302" s="302"/>
      <c r="H1302" s="302"/>
      <c r="I1302" s="303"/>
      <c r="J1302" s="302"/>
      <c r="K1302" s="302"/>
      <c r="L1302" s="302"/>
      <c r="M1302" s="236"/>
    </row>
    <row r="1303" spans="1:13" x14ac:dyDescent="0.2">
      <c r="A1303" s="237"/>
      <c r="B1303" s="302"/>
      <c r="C1303" s="302"/>
      <c r="D1303" s="302"/>
      <c r="E1303" s="303"/>
      <c r="F1303" s="302"/>
      <c r="G1303" s="302"/>
      <c r="H1303" s="302"/>
      <c r="I1303" s="303"/>
      <c r="J1303" s="302"/>
      <c r="K1303" s="302"/>
      <c r="L1303" s="302"/>
      <c r="M1303" s="236"/>
    </row>
    <row r="1304" spans="1:13" x14ac:dyDescent="0.2">
      <c r="A1304" s="237"/>
      <c r="B1304" s="302"/>
      <c r="C1304" s="302"/>
      <c r="D1304" s="302"/>
      <c r="E1304" s="303"/>
      <c r="F1304" s="302"/>
      <c r="G1304" s="302"/>
      <c r="H1304" s="302"/>
      <c r="I1304" s="303"/>
      <c r="J1304" s="302"/>
      <c r="K1304" s="302"/>
      <c r="L1304" s="302"/>
      <c r="M1304" s="236"/>
    </row>
    <row r="1305" spans="1:13" x14ac:dyDescent="0.2">
      <c r="A1305" s="237"/>
      <c r="B1305" s="302"/>
      <c r="C1305" s="302"/>
      <c r="D1305" s="302"/>
      <c r="E1305" s="303"/>
      <c r="F1305" s="302"/>
      <c r="G1305" s="302"/>
      <c r="H1305" s="302"/>
      <c r="I1305" s="303"/>
      <c r="J1305" s="302"/>
      <c r="K1305" s="302"/>
      <c r="L1305" s="302"/>
      <c r="M1305" s="236"/>
    </row>
    <row r="1306" spans="1:13" x14ac:dyDescent="0.2">
      <c r="A1306" s="237"/>
      <c r="B1306" s="302"/>
      <c r="C1306" s="302"/>
      <c r="D1306" s="302"/>
      <c r="E1306" s="303"/>
      <c r="F1306" s="302"/>
      <c r="G1306" s="302"/>
      <c r="H1306" s="302"/>
      <c r="I1306" s="303"/>
      <c r="J1306" s="302"/>
      <c r="K1306" s="302"/>
      <c r="L1306" s="302"/>
      <c r="M1306" s="236"/>
    </row>
    <row r="1307" spans="1:13" x14ac:dyDescent="0.2">
      <c r="A1307" s="237"/>
      <c r="B1307" s="302"/>
      <c r="C1307" s="302"/>
      <c r="D1307" s="302"/>
      <c r="E1307" s="303"/>
      <c r="F1307" s="302"/>
      <c r="G1307" s="302"/>
      <c r="H1307" s="302"/>
      <c r="I1307" s="303"/>
      <c r="J1307" s="302"/>
      <c r="K1307" s="302"/>
      <c r="L1307" s="302"/>
      <c r="M1307" s="236"/>
    </row>
    <row r="1308" spans="1:13" x14ac:dyDescent="0.2">
      <c r="A1308" s="237"/>
      <c r="B1308" s="302"/>
      <c r="C1308" s="302"/>
      <c r="D1308" s="302"/>
      <c r="E1308" s="303"/>
      <c r="F1308" s="302"/>
      <c r="G1308" s="302"/>
      <c r="H1308" s="302"/>
      <c r="I1308" s="303"/>
      <c r="J1308" s="302"/>
      <c r="K1308" s="302"/>
      <c r="L1308" s="302"/>
      <c r="M1308" s="236"/>
    </row>
    <row r="1309" spans="1:13" x14ac:dyDescent="0.2">
      <c r="A1309" s="237"/>
      <c r="B1309" s="302"/>
      <c r="C1309" s="302"/>
      <c r="D1309" s="302"/>
      <c r="E1309" s="303"/>
      <c r="F1309" s="302"/>
      <c r="G1309" s="302"/>
      <c r="H1309" s="302"/>
      <c r="I1309" s="303"/>
      <c r="J1309" s="302"/>
      <c r="K1309" s="302"/>
      <c r="L1309" s="302"/>
      <c r="M1309" s="236"/>
    </row>
    <row r="1310" spans="1:13" x14ac:dyDescent="0.2">
      <c r="A1310" s="237"/>
      <c r="B1310" s="302"/>
      <c r="C1310" s="302"/>
      <c r="D1310" s="302"/>
      <c r="E1310" s="303"/>
      <c r="F1310" s="302"/>
      <c r="G1310" s="302"/>
      <c r="H1310" s="302"/>
      <c r="I1310" s="303"/>
      <c r="J1310" s="302"/>
      <c r="K1310" s="302"/>
      <c r="L1310" s="302"/>
      <c r="M1310" s="236"/>
    </row>
    <row r="1311" spans="1:13" x14ac:dyDescent="0.2">
      <c r="A1311" s="237"/>
      <c r="B1311" s="303"/>
      <c r="C1311" s="303"/>
      <c r="D1311" s="303"/>
      <c r="E1311" s="303"/>
      <c r="F1311" s="303"/>
      <c r="G1311" s="303"/>
      <c r="H1311" s="303"/>
      <c r="I1311" s="303"/>
      <c r="J1311" s="303"/>
      <c r="K1311" s="303"/>
      <c r="L1311" s="303"/>
      <c r="M1311" s="236"/>
    </row>
    <row r="1312" spans="1:13" x14ac:dyDescent="0.2">
      <c r="A1312" s="237"/>
      <c r="B1312" s="237"/>
      <c r="C1312" s="237"/>
      <c r="D1312" s="237"/>
      <c r="E1312" s="237"/>
      <c r="F1312" s="237"/>
      <c r="G1312" s="237"/>
      <c r="H1312" s="237"/>
      <c r="I1312" s="237"/>
      <c r="J1312" s="237"/>
      <c r="K1312" s="237"/>
      <c r="L1312" s="240"/>
      <c r="M1312" s="236"/>
    </row>
  </sheetData>
  <mergeCells count="231">
    <mergeCell ref="B1298:D1298"/>
    <mergeCell ref="F1298:H1298"/>
    <mergeCell ref="J1298:L1298"/>
    <mergeCell ref="B1264:D1264"/>
    <mergeCell ref="F1264:H1264"/>
    <mergeCell ref="J1264:L1264"/>
    <mergeCell ref="B1281:D1281"/>
    <mergeCell ref="F1281:H1281"/>
    <mergeCell ref="J1281:L1281"/>
    <mergeCell ref="B1230:D1230"/>
    <mergeCell ref="F1230:H1230"/>
    <mergeCell ref="J1230:L1230"/>
    <mergeCell ref="B1247:D1247"/>
    <mergeCell ref="F1247:H1247"/>
    <mergeCell ref="J1247:L1247"/>
    <mergeCell ref="B1196:D1196"/>
    <mergeCell ref="F1196:H1196"/>
    <mergeCell ref="J1196:L1196"/>
    <mergeCell ref="B1213:D1213"/>
    <mergeCell ref="F1213:H1213"/>
    <mergeCell ref="J1213:L1213"/>
    <mergeCell ref="B1162:D1162"/>
    <mergeCell ref="F1162:H1162"/>
    <mergeCell ref="J1162:L1162"/>
    <mergeCell ref="B1179:D1179"/>
    <mergeCell ref="F1179:H1179"/>
    <mergeCell ref="J1179:L1179"/>
    <mergeCell ref="B1128:D1128"/>
    <mergeCell ref="F1128:H1128"/>
    <mergeCell ref="J1128:L1128"/>
    <mergeCell ref="B1145:D1145"/>
    <mergeCell ref="F1145:H1145"/>
    <mergeCell ref="J1145:L1145"/>
    <mergeCell ref="B1094:D1094"/>
    <mergeCell ref="F1094:H1094"/>
    <mergeCell ref="J1094:L1094"/>
    <mergeCell ref="B1111:D1111"/>
    <mergeCell ref="F1111:H1111"/>
    <mergeCell ref="J1111:L1111"/>
    <mergeCell ref="B1060:D1060"/>
    <mergeCell ref="F1060:H1060"/>
    <mergeCell ref="J1060:L1060"/>
    <mergeCell ref="B1077:D1077"/>
    <mergeCell ref="F1077:H1077"/>
    <mergeCell ref="J1077:L1077"/>
    <mergeCell ref="B1026:D1026"/>
    <mergeCell ref="F1026:H1026"/>
    <mergeCell ref="J1026:L1026"/>
    <mergeCell ref="B1043:D1043"/>
    <mergeCell ref="F1043:H1043"/>
    <mergeCell ref="J1043:L1043"/>
    <mergeCell ref="B992:D992"/>
    <mergeCell ref="F992:H992"/>
    <mergeCell ref="J992:L992"/>
    <mergeCell ref="B1009:D1009"/>
    <mergeCell ref="F1009:H1009"/>
    <mergeCell ref="J1009:L1009"/>
    <mergeCell ref="B958:D958"/>
    <mergeCell ref="F958:H958"/>
    <mergeCell ref="J958:L958"/>
    <mergeCell ref="B975:D975"/>
    <mergeCell ref="F975:H975"/>
    <mergeCell ref="J975:L975"/>
    <mergeCell ref="B924:D924"/>
    <mergeCell ref="F924:H924"/>
    <mergeCell ref="J924:L924"/>
    <mergeCell ref="B941:D941"/>
    <mergeCell ref="F941:H941"/>
    <mergeCell ref="J941:L941"/>
    <mergeCell ref="B890:D890"/>
    <mergeCell ref="F890:H890"/>
    <mergeCell ref="J890:L890"/>
    <mergeCell ref="B907:D907"/>
    <mergeCell ref="F907:H907"/>
    <mergeCell ref="J907:L907"/>
    <mergeCell ref="B856:D856"/>
    <mergeCell ref="F856:H856"/>
    <mergeCell ref="J856:L856"/>
    <mergeCell ref="B873:D873"/>
    <mergeCell ref="F873:H873"/>
    <mergeCell ref="J873:L873"/>
    <mergeCell ref="B822:D822"/>
    <mergeCell ref="F822:H822"/>
    <mergeCell ref="J822:L822"/>
    <mergeCell ref="B839:D839"/>
    <mergeCell ref="F839:H839"/>
    <mergeCell ref="J839:L839"/>
    <mergeCell ref="B788:D788"/>
    <mergeCell ref="F788:H788"/>
    <mergeCell ref="J788:L788"/>
    <mergeCell ref="B805:D805"/>
    <mergeCell ref="F805:H805"/>
    <mergeCell ref="J805:L805"/>
    <mergeCell ref="B754:D754"/>
    <mergeCell ref="F754:H754"/>
    <mergeCell ref="J754:L754"/>
    <mergeCell ref="B771:D771"/>
    <mergeCell ref="F771:H771"/>
    <mergeCell ref="J771:L771"/>
    <mergeCell ref="B720:D720"/>
    <mergeCell ref="F720:H720"/>
    <mergeCell ref="J720:L720"/>
    <mergeCell ref="B737:D737"/>
    <mergeCell ref="F737:H737"/>
    <mergeCell ref="J737:L737"/>
    <mergeCell ref="B686:D686"/>
    <mergeCell ref="F686:H686"/>
    <mergeCell ref="J686:L686"/>
    <mergeCell ref="B703:D703"/>
    <mergeCell ref="F703:H703"/>
    <mergeCell ref="J703:L703"/>
    <mergeCell ref="B652:D652"/>
    <mergeCell ref="F652:H652"/>
    <mergeCell ref="J652:L652"/>
    <mergeCell ref="B669:D669"/>
    <mergeCell ref="F669:H669"/>
    <mergeCell ref="J669:L669"/>
    <mergeCell ref="B618:D618"/>
    <mergeCell ref="F618:H618"/>
    <mergeCell ref="J618:L618"/>
    <mergeCell ref="B635:D635"/>
    <mergeCell ref="F635:H635"/>
    <mergeCell ref="J635:L635"/>
    <mergeCell ref="B584:D584"/>
    <mergeCell ref="F584:H584"/>
    <mergeCell ref="J584:L584"/>
    <mergeCell ref="B601:D601"/>
    <mergeCell ref="F601:H601"/>
    <mergeCell ref="J601:L601"/>
    <mergeCell ref="B550:D550"/>
    <mergeCell ref="F550:H550"/>
    <mergeCell ref="J550:L550"/>
    <mergeCell ref="B567:D567"/>
    <mergeCell ref="F567:H567"/>
    <mergeCell ref="J567:L567"/>
    <mergeCell ref="B516:D516"/>
    <mergeCell ref="F516:H516"/>
    <mergeCell ref="J516:L516"/>
    <mergeCell ref="B533:D533"/>
    <mergeCell ref="F533:H533"/>
    <mergeCell ref="J533:L533"/>
    <mergeCell ref="B482:D482"/>
    <mergeCell ref="F482:H482"/>
    <mergeCell ref="J482:L482"/>
    <mergeCell ref="B499:D499"/>
    <mergeCell ref="F499:H499"/>
    <mergeCell ref="J499:L499"/>
    <mergeCell ref="B448:D448"/>
    <mergeCell ref="F448:H448"/>
    <mergeCell ref="J448:L448"/>
    <mergeCell ref="B465:D465"/>
    <mergeCell ref="F465:H465"/>
    <mergeCell ref="J465:L465"/>
    <mergeCell ref="B414:D414"/>
    <mergeCell ref="F414:H414"/>
    <mergeCell ref="J414:L414"/>
    <mergeCell ref="B431:D431"/>
    <mergeCell ref="F431:H431"/>
    <mergeCell ref="J431:L431"/>
    <mergeCell ref="B380:D380"/>
    <mergeCell ref="F380:H380"/>
    <mergeCell ref="J380:L380"/>
    <mergeCell ref="B397:D397"/>
    <mergeCell ref="F397:H397"/>
    <mergeCell ref="J397:L397"/>
    <mergeCell ref="B346:D346"/>
    <mergeCell ref="F346:H346"/>
    <mergeCell ref="J346:L346"/>
    <mergeCell ref="B363:D363"/>
    <mergeCell ref="F363:H363"/>
    <mergeCell ref="J363:L363"/>
    <mergeCell ref="B312:D312"/>
    <mergeCell ref="F312:H312"/>
    <mergeCell ref="J312:L312"/>
    <mergeCell ref="B329:D329"/>
    <mergeCell ref="F329:H329"/>
    <mergeCell ref="J329:L329"/>
    <mergeCell ref="B278:D278"/>
    <mergeCell ref="F278:H278"/>
    <mergeCell ref="J278:L278"/>
    <mergeCell ref="B295:D295"/>
    <mergeCell ref="F295:H295"/>
    <mergeCell ref="J295:L295"/>
    <mergeCell ref="B244:D244"/>
    <mergeCell ref="F244:H244"/>
    <mergeCell ref="J244:L244"/>
    <mergeCell ref="B261:D261"/>
    <mergeCell ref="F261:H261"/>
    <mergeCell ref="J261:L261"/>
    <mergeCell ref="B210:D210"/>
    <mergeCell ref="F210:H210"/>
    <mergeCell ref="J210:L210"/>
    <mergeCell ref="B227:D227"/>
    <mergeCell ref="F227:H227"/>
    <mergeCell ref="J227:L227"/>
    <mergeCell ref="B176:D176"/>
    <mergeCell ref="F176:H176"/>
    <mergeCell ref="J176:L176"/>
    <mergeCell ref="B193:D193"/>
    <mergeCell ref="F193:H193"/>
    <mergeCell ref="J193:L193"/>
    <mergeCell ref="B142:D142"/>
    <mergeCell ref="F142:H142"/>
    <mergeCell ref="J142:L142"/>
    <mergeCell ref="B159:D159"/>
    <mergeCell ref="F159:H159"/>
    <mergeCell ref="J159:L159"/>
    <mergeCell ref="B108:D108"/>
    <mergeCell ref="F108:H108"/>
    <mergeCell ref="J108:L108"/>
    <mergeCell ref="B125:D125"/>
    <mergeCell ref="F125:H125"/>
    <mergeCell ref="J125:L125"/>
    <mergeCell ref="B91:D91"/>
    <mergeCell ref="F91:H91"/>
    <mergeCell ref="J91:L91"/>
    <mergeCell ref="B40:D40"/>
    <mergeCell ref="F40:H40"/>
    <mergeCell ref="J40:L40"/>
    <mergeCell ref="B57:D57"/>
    <mergeCell ref="F57:H57"/>
    <mergeCell ref="J57:L57"/>
    <mergeCell ref="B6:D6"/>
    <mergeCell ref="F6:H6"/>
    <mergeCell ref="J6:L6"/>
    <mergeCell ref="N6:O6"/>
    <mergeCell ref="Q6:R6"/>
    <mergeCell ref="T6:U6"/>
    <mergeCell ref="B74:D74"/>
    <mergeCell ref="F74:H74"/>
    <mergeCell ref="J74:L74"/>
  </mergeCells>
  <pageMargins left="0.7" right="0.7" top="0.75" bottom="0.75" header="0.3" footer="0.3"/>
  <pageSetup paperSize="9" scale="78" orientation="landscape" r:id="rId1"/>
  <rowBreaks count="1" manualBreakCount="1">
    <brk id="37" max="20" man="1"/>
  </rowBreaks>
  <colBreaks count="1" manualBreakCount="1">
    <brk id="21" max="1048575" man="1"/>
  </colBreaks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63"/>
  <dimension ref="A1:AU54"/>
  <sheetViews>
    <sheetView showGridLines="0" zoomScale="85" zoomScaleNormal="85" workbookViewId="0"/>
  </sheetViews>
  <sheetFormatPr defaultColWidth="9.140625" defaultRowHeight="12.75" x14ac:dyDescent="0.2"/>
  <cols>
    <col min="1" max="1" width="39.28515625" customWidth="1"/>
    <col min="2" max="16" width="6.7109375" customWidth="1"/>
    <col min="17" max="17" width="39.28515625" customWidth="1"/>
    <col min="18" max="18" width="6.7109375" customWidth="1"/>
    <col min="19" max="20" width="5.7109375" customWidth="1"/>
    <col min="21" max="21" width="6.7109375" customWidth="1"/>
    <col min="22" max="22" width="2.85546875" customWidth="1"/>
    <col min="23" max="23" width="6.7109375" customWidth="1"/>
    <col min="24" max="25" width="5.7109375" customWidth="1"/>
    <col min="26" max="26" width="6.7109375" customWidth="1"/>
    <col min="27" max="27" width="2.85546875" customWidth="1"/>
    <col min="28" max="29" width="6.7109375" customWidth="1"/>
    <col min="30" max="30" width="5.7109375" customWidth="1"/>
    <col min="31" max="31" width="6.7109375" customWidth="1"/>
    <col min="32" max="32" width="6.85546875" customWidth="1"/>
    <col min="33" max="33" width="39.28515625" customWidth="1"/>
    <col min="34" max="34" width="6.7109375" customWidth="1"/>
    <col min="35" max="36" width="5.7109375" customWidth="1"/>
    <col min="37" max="37" width="6.7109375" customWidth="1"/>
    <col min="38" max="38" width="2.85546875" customWidth="1"/>
    <col min="39" max="39" width="6.7109375" customWidth="1"/>
    <col min="40" max="41" width="5.7109375" customWidth="1"/>
    <col min="42" max="42" width="6.7109375" customWidth="1"/>
    <col min="43" max="43" width="2.85546875" customWidth="1"/>
    <col min="44" max="45" width="6.7109375" customWidth="1"/>
    <col min="46" max="46" width="5.7109375" customWidth="1"/>
    <col min="47" max="47" width="6.7109375" customWidth="1"/>
  </cols>
  <sheetData>
    <row r="1" spans="1:47" ht="15.75" x14ac:dyDescent="0.25">
      <c r="A1" s="19" t="str">
        <f>CONCATENATE("Occupation Table 5  Employment Change by Status (SOC 2020), ",B$5,"-",L$5,", ",Info!B5)</f>
        <v>Occupation Table 5  Employment Change by Status (SOC 2020), 2015-2035, North East</v>
      </c>
      <c r="Q1" s="19" t="str">
        <f>CONCATENATE("Occupation Table 5.1  Males: Employment Change by Status (SOC 2020), ",B$5,"-",L$5,", ",Info!B5)</f>
        <v>Occupation Table 5.1  Males: Employment Change by Status (SOC 2020), 2015-2035, North East</v>
      </c>
      <c r="AG1" s="19" t="str">
        <f>CONCATENATE("Occupation Table 5.2  Females: Employment Change by Status (SOC 2020), ",R$5,"-",AB$5,", ",Info!B5)</f>
        <v>Occupation Table 5.2  Females: Employment Change by Status (SOC 2020), 2015-2035, North East</v>
      </c>
    </row>
    <row r="2" spans="1:47" x14ac:dyDescent="0.2">
      <c r="A2" s="1" t="s">
        <v>517</v>
      </c>
    </row>
    <row r="3" spans="1:47" x14ac:dyDescent="0.2">
      <c r="O3" s="16" t="s">
        <v>36</v>
      </c>
      <c r="AE3" s="16" t="s">
        <v>36</v>
      </c>
      <c r="AU3" s="16" t="s">
        <v>36</v>
      </c>
    </row>
    <row r="4" spans="1:47" x14ac:dyDescent="0.2">
      <c r="A4" s="36"/>
      <c r="B4" s="36"/>
      <c r="C4" s="36"/>
      <c r="D4" s="36"/>
      <c r="E4" s="36"/>
      <c r="F4" s="36"/>
      <c r="G4" s="36"/>
      <c r="H4" s="36"/>
      <c r="I4" s="36"/>
      <c r="J4" s="36"/>
      <c r="K4" s="36"/>
      <c r="L4" s="36"/>
      <c r="M4" s="36"/>
      <c r="N4" s="36"/>
      <c r="O4" s="36"/>
      <c r="Q4" s="36"/>
      <c r="R4" s="36"/>
      <c r="S4" s="36"/>
      <c r="T4" s="36"/>
      <c r="U4" s="36"/>
      <c r="V4" s="36"/>
      <c r="W4" s="36"/>
      <c r="X4" s="36"/>
      <c r="Y4" s="36"/>
      <c r="Z4" s="36"/>
      <c r="AA4" s="36"/>
      <c r="AB4" s="36"/>
      <c r="AC4" s="36"/>
      <c r="AD4" s="36"/>
      <c r="AE4" s="36"/>
      <c r="AG4" s="36"/>
      <c r="AH4" s="36"/>
      <c r="AI4" s="36"/>
      <c r="AJ4" s="36"/>
      <c r="AK4" s="36"/>
      <c r="AL4" s="36"/>
      <c r="AM4" s="36"/>
      <c r="AN4" s="36"/>
      <c r="AO4" s="36"/>
      <c r="AP4" s="36"/>
      <c r="AQ4" s="36"/>
      <c r="AR4" s="36"/>
      <c r="AS4" s="36"/>
      <c r="AT4" s="36"/>
      <c r="AU4" s="36"/>
    </row>
    <row r="5" spans="1:47" x14ac:dyDescent="0.2">
      <c r="B5" s="378">
        <v>2015</v>
      </c>
      <c r="C5" s="378"/>
      <c r="D5" s="378"/>
      <c r="E5" s="378"/>
      <c r="F5" s="1"/>
      <c r="G5" s="378">
        <v>2020</v>
      </c>
      <c r="H5" s="378"/>
      <c r="I5" s="378"/>
      <c r="J5" s="378"/>
      <c r="K5" s="1"/>
      <c r="L5" s="378">
        <v>2035</v>
      </c>
      <c r="M5" s="378"/>
      <c r="N5" s="378"/>
      <c r="O5" s="378"/>
      <c r="R5" s="378">
        <f>B5</f>
        <v>2015</v>
      </c>
      <c r="S5" s="378"/>
      <c r="T5" s="378"/>
      <c r="U5" s="378"/>
      <c r="V5" s="1"/>
      <c r="W5" s="378">
        <f>G5</f>
        <v>2020</v>
      </c>
      <c r="X5" s="378"/>
      <c r="Y5" s="378"/>
      <c r="Z5" s="378"/>
      <c r="AA5" s="1"/>
      <c r="AB5" s="378">
        <f>L5</f>
        <v>2035</v>
      </c>
      <c r="AC5" s="378"/>
      <c r="AD5" s="378"/>
      <c r="AE5" s="378"/>
      <c r="AH5" s="378">
        <f>B5</f>
        <v>2015</v>
      </c>
      <c r="AI5" s="378"/>
      <c r="AJ5" s="378"/>
      <c r="AK5" s="378"/>
      <c r="AL5" s="1"/>
      <c r="AM5" s="378">
        <f>G5</f>
        <v>2020</v>
      </c>
      <c r="AN5" s="378"/>
      <c r="AO5" s="378"/>
      <c r="AP5" s="378"/>
      <c r="AQ5" s="1"/>
      <c r="AR5" s="378">
        <f>L5</f>
        <v>2035</v>
      </c>
      <c r="AS5" s="378"/>
      <c r="AT5" s="378"/>
      <c r="AU5" s="378"/>
    </row>
    <row r="6" spans="1:47" x14ac:dyDescent="0.2">
      <c r="A6" s="41" t="s">
        <v>13</v>
      </c>
      <c r="B6" s="338" t="s">
        <v>345</v>
      </c>
      <c r="C6" s="338" t="s">
        <v>347</v>
      </c>
      <c r="D6" s="338" t="s">
        <v>343</v>
      </c>
      <c r="E6" s="338" t="s">
        <v>33</v>
      </c>
      <c r="F6" s="339"/>
      <c r="G6" s="338" t="s">
        <v>345</v>
      </c>
      <c r="H6" s="338" t="s">
        <v>347</v>
      </c>
      <c r="I6" s="338" t="s">
        <v>343</v>
      </c>
      <c r="J6" s="338" t="s">
        <v>33</v>
      </c>
      <c r="K6" s="339"/>
      <c r="L6" s="338" t="s">
        <v>345</v>
      </c>
      <c r="M6" s="338" t="s">
        <v>347</v>
      </c>
      <c r="N6" s="338" t="s">
        <v>343</v>
      </c>
      <c r="O6" s="338" t="s">
        <v>33</v>
      </c>
      <c r="Q6" s="41" t="s">
        <v>13</v>
      </c>
      <c r="R6" s="338" t="s">
        <v>345</v>
      </c>
      <c r="S6" s="338" t="s">
        <v>347</v>
      </c>
      <c r="T6" s="338" t="s">
        <v>343</v>
      </c>
      <c r="U6" s="338" t="s">
        <v>33</v>
      </c>
      <c r="V6" s="339"/>
      <c r="W6" s="338" t="s">
        <v>345</v>
      </c>
      <c r="X6" s="338" t="s">
        <v>347</v>
      </c>
      <c r="Y6" s="338" t="s">
        <v>343</v>
      </c>
      <c r="Z6" s="338" t="s">
        <v>33</v>
      </c>
      <c r="AA6" s="339"/>
      <c r="AB6" s="338" t="s">
        <v>345</v>
      </c>
      <c r="AC6" s="338" t="s">
        <v>347</v>
      </c>
      <c r="AD6" s="338" t="s">
        <v>343</v>
      </c>
      <c r="AE6" s="338" t="s">
        <v>33</v>
      </c>
      <c r="AG6" s="41" t="s">
        <v>13</v>
      </c>
      <c r="AH6" s="338" t="s">
        <v>345</v>
      </c>
      <c r="AI6" s="338" t="s">
        <v>347</v>
      </c>
      <c r="AJ6" s="338" t="s">
        <v>343</v>
      </c>
      <c r="AK6" s="338" t="s">
        <v>33</v>
      </c>
      <c r="AL6" s="339"/>
      <c r="AM6" s="338" t="s">
        <v>345</v>
      </c>
      <c r="AN6" s="338" t="s">
        <v>347</v>
      </c>
      <c r="AO6" s="338" t="s">
        <v>343</v>
      </c>
      <c r="AP6" s="338" t="s">
        <v>33</v>
      </c>
      <c r="AQ6" s="339"/>
      <c r="AR6" s="338" t="s">
        <v>345</v>
      </c>
      <c r="AS6" s="338" t="s">
        <v>347</v>
      </c>
      <c r="AT6" s="338" t="s">
        <v>343</v>
      </c>
      <c r="AU6" s="338" t="s">
        <v>33</v>
      </c>
    </row>
    <row r="7" spans="1:47" x14ac:dyDescent="0.2">
      <c r="C7" s="10"/>
      <c r="D7" s="10"/>
      <c r="E7" s="10"/>
      <c r="F7" s="10"/>
      <c r="G7" s="10"/>
      <c r="H7" s="10"/>
      <c r="I7" s="10"/>
      <c r="J7" s="10"/>
      <c r="K7" s="10"/>
      <c r="L7" s="10"/>
      <c r="M7" s="10"/>
      <c r="N7" s="10"/>
      <c r="O7" s="10"/>
      <c r="S7" s="10"/>
      <c r="T7" s="10"/>
      <c r="U7" s="10"/>
      <c r="V7" s="10"/>
      <c r="W7" s="10"/>
      <c r="X7" s="10"/>
      <c r="Y7" s="10"/>
      <c r="Z7" s="10"/>
      <c r="AA7" s="10"/>
      <c r="AB7" s="10"/>
      <c r="AC7" s="10"/>
      <c r="AD7" s="10"/>
      <c r="AE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</row>
    <row r="8" spans="1:47" x14ac:dyDescent="0.2">
      <c r="A8" t="str">
        <f>name!E4</f>
        <v>Managers, directors and senior officials</v>
      </c>
      <c r="B8" s="11">
        <v>24.540461071855841</v>
      </c>
      <c r="C8" s="11">
        <v>3.1682116252601258</v>
      </c>
      <c r="D8" s="11">
        <v>8.2975332651512108</v>
      </c>
      <c r="E8" s="11">
        <f>SUM(B8:D8)</f>
        <v>36.006205962267174</v>
      </c>
      <c r="F8" s="11"/>
      <c r="G8" s="11">
        <v>27.996505456815981</v>
      </c>
      <c r="H8" s="11">
        <v>4.5655591754447515</v>
      </c>
      <c r="I8" s="11">
        <v>7.6830140925004127</v>
      </c>
      <c r="J8" s="11">
        <f>SUM(G8:I8)</f>
        <v>40.24507872476115</v>
      </c>
      <c r="K8" s="11"/>
      <c r="L8" s="11">
        <v>31.582203795146011</v>
      </c>
      <c r="M8" s="11">
        <v>5.8640761301918785</v>
      </c>
      <c r="N8" s="11">
        <v>8.242857890578037</v>
      </c>
      <c r="O8" s="11">
        <f>SUM(L8:N8)</f>
        <v>45.689137815915927</v>
      </c>
      <c r="Q8" s="10" t="str">
        <f>name!E4</f>
        <v>Managers, directors and senior officials</v>
      </c>
      <c r="R8" s="11">
        <v>17.510720962345644</v>
      </c>
      <c r="S8" s="11">
        <v>1.0554885635841156</v>
      </c>
      <c r="T8" s="11">
        <v>5.2108711882793122</v>
      </c>
      <c r="U8" s="11">
        <f>SUM(R8:T8)</f>
        <v>23.777080714209074</v>
      </c>
      <c r="V8" s="11"/>
      <c r="W8" s="11">
        <v>19.7639043533025</v>
      </c>
      <c r="X8" s="11">
        <v>1.6047475067173615</v>
      </c>
      <c r="Y8" s="11">
        <v>3.9123051788009851</v>
      </c>
      <c r="Z8" s="11">
        <f>SUM(W8:Y8)</f>
        <v>25.280957038820848</v>
      </c>
      <c r="AA8" s="11"/>
      <c r="AB8" s="11">
        <v>20.779886627025967</v>
      </c>
      <c r="AC8" s="11">
        <v>2.2482326455301744</v>
      </c>
      <c r="AD8" s="11">
        <v>4.5991977950351375</v>
      </c>
      <c r="AE8" s="11">
        <f>SUM(AB8:AD8)</f>
        <v>27.627317067591278</v>
      </c>
      <c r="AG8" s="10" t="str">
        <f>name!E4</f>
        <v>Managers, directors and senior officials</v>
      </c>
      <c r="AH8" s="11">
        <v>7.0297401095102039</v>
      </c>
      <c r="AI8" s="11">
        <v>2.11272306167601</v>
      </c>
      <c r="AJ8" s="11">
        <v>3.086662076871904</v>
      </c>
      <c r="AK8" s="11">
        <f>SUM(AH8:AJ8)</f>
        <v>12.229125248058118</v>
      </c>
      <c r="AL8" s="11"/>
      <c r="AM8" s="11">
        <v>8.232601103513506</v>
      </c>
      <c r="AN8" s="11">
        <v>2.9608116687273904</v>
      </c>
      <c r="AO8" s="11">
        <v>3.7707089136994281</v>
      </c>
      <c r="AP8" s="11">
        <f>SUM(AM8:AO8)</f>
        <v>14.964121685940325</v>
      </c>
      <c r="AQ8" s="11"/>
      <c r="AR8" s="11">
        <v>10.802317168120069</v>
      </c>
      <c r="AS8" s="11">
        <v>3.6158434846617027</v>
      </c>
      <c r="AT8" s="11">
        <v>3.6436600955428911</v>
      </c>
      <c r="AU8" s="11">
        <f>SUM(AR8:AT8)</f>
        <v>18.061820748324664</v>
      </c>
    </row>
    <row r="9" spans="1:47" x14ac:dyDescent="0.2">
      <c r="A9" t="str">
        <f>name!E5</f>
        <v>Professional occupations</v>
      </c>
      <c r="B9" s="11">
        <v>65.643671698198389</v>
      </c>
      <c r="C9" s="11">
        <v>16.50243590542312</v>
      </c>
      <c r="D9" s="11">
        <v>7.9791690316991026</v>
      </c>
      <c r="E9" s="11">
        <f t="shared" ref="E9:E18" si="0">SUM(B9:D9)</f>
        <v>90.125276635320617</v>
      </c>
      <c r="F9" s="11"/>
      <c r="G9" s="11">
        <v>72.580413233289306</v>
      </c>
      <c r="H9" s="11">
        <v>19.805167002485433</v>
      </c>
      <c r="I9" s="11">
        <v>6.6819507226864099</v>
      </c>
      <c r="J9" s="11">
        <f t="shared" ref="J9:J16" si="1">SUM(G9:I9)</f>
        <v>99.067530958461148</v>
      </c>
      <c r="K9" s="11"/>
      <c r="L9" s="11">
        <v>86.397679112451058</v>
      </c>
      <c r="M9" s="11">
        <v>24.713860927836787</v>
      </c>
      <c r="N9" s="11">
        <v>5.6923610924128694</v>
      </c>
      <c r="O9" s="11">
        <f t="shared" ref="O9:O16" si="2">SUM(L9:N9)</f>
        <v>116.80390113270072</v>
      </c>
      <c r="Q9" s="10" t="str">
        <f>name!E5</f>
        <v>Professional occupations</v>
      </c>
      <c r="R9" s="11">
        <v>37.132159534475996</v>
      </c>
      <c r="S9" s="11">
        <v>2.4990865224099856</v>
      </c>
      <c r="T9" s="11">
        <v>4.9539552205103838</v>
      </c>
      <c r="U9" s="11">
        <f t="shared" ref="U9:U16" si="3">SUM(R9:T9)</f>
        <v>44.585201277396365</v>
      </c>
      <c r="V9" s="11"/>
      <c r="W9" s="11">
        <v>39.828441618535955</v>
      </c>
      <c r="X9" s="11">
        <v>3.458929332102691</v>
      </c>
      <c r="Y9" s="11">
        <v>3.0355418075100533</v>
      </c>
      <c r="Z9" s="11">
        <f t="shared" ref="Z9:Z16" si="4">SUM(W9:Y9)</f>
        <v>46.322912758148696</v>
      </c>
      <c r="AA9" s="11"/>
      <c r="AB9" s="11">
        <v>45.370609905831074</v>
      </c>
      <c r="AC9" s="11">
        <v>4.467877327833814</v>
      </c>
      <c r="AD9" s="11">
        <v>2.6154169862861099</v>
      </c>
      <c r="AE9" s="11">
        <f t="shared" ref="AE9:AE16" si="5">SUM(AB9:AD9)</f>
        <v>52.453904219950992</v>
      </c>
      <c r="AG9" s="10" t="str">
        <f>name!E5</f>
        <v>Professional occupations</v>
      </c>
      <c r="AH9" s="11">
        <v>28.511512163722401</v>
      </c>
      <c r="AI9" s="11">
        <v>14.003349383013136</v>
      </c>
      <c r="AJ9" s="11">
        <v>3.0252138111887197</v>
      </c>
      <c r="AK9" s="11">
        <f t="shared" ref="AK9:AK18" si="6">SUM(AH9:AJ9)</f>
        <v>45.540075357924259</v>
      </c>
      <c r="AL9" s="11"/>
      <c r="AM9" s="11">
        <v>32.751971614753344</v>
      </c>
      <c r="AN9" s="11">
        <v>16.346237670382738</v>
      </c>
      <c r="AO9" s="11">
        <v>3.6464089151763557</v>
      </c>
      <c r="AP9" s="11">
        <f t="shared" ref="AP9:AP18" si="7">SUM(AM9:AO9)</f>
        <v>52.744618200312438</v>
      </c>
      <c r="AQ9" s="11"/>
      <c r="AR9" s="11">
        <v>41.027069206619984</v>
      </c>
      <c r="AS9" s="11">
        <v>20.245983600002969</v>
      </c>
      <c r="AT9" s="11">
        <v>3.0769441061267617</v>
      </c>
      <c r="AU9" s="11">
        <f t="shared" ref="AU9:AU18" si="8">SUM(AR9:AT9)</f>
        <v>64.349996912749717</v>
      </c>
    </row>
    <row r="10" spans="1:47" x14ac:dyDescent="0.2">
      <c r="A10" t="str">
        <f>name!E6</f>
        <v>Associate professional occupations</v>
      </c>
      <c r="B10" s="11">
        <v>35.449971399396894</v>
      </c>
      <c r="C10" s="11">
        <v>9.704730585696435</v>
      </c>
      <c r="D10" s="11">
        <v>6.3922229392886099</v>
      </c>
      <c r="E10" s="11">
        <f t="shared" si="0"/>
        <v>51.546924924381933</v>
      </c>
      <c r="F10" s="11"/>
      <c r="G10" s="11">
        <v>39.478327797852032</v>
      </c>
      <c r="H10" s="11">
        <v>11.162282376459485</v>
      </c>
      <c r="I10" s="11">
        <v>5.4364460586088326</v>
      </c>
      <c r="J10" s="11">
        <f t="shared" si="1"/>
        <v>56.077056232920349</v>
      </c>
      <c r="K10" s="11"/>
      <c r="L10" s="11">
        <v>40.207711227964452</v>
      </c>
      <c r="M10" s="11">
        <v>11.963600134465029</v>
      </c>
      <c r="N10" s="11">
        <v>5.2477614282959362</v>
      </c>
      <c r="O10" s="11">
        <f t="shared" si="2"/>
        <v>57.419072790725416</v>
      </c>
      <c r="Q10" s="10" t="str">
        <f>name!E6</f>
        <v>Associate professional occupations</v>
      </c>
      <c r="R10" s="11">
        <v>22.37643535932698</v>
      </c>
      <c r="S10" s="11">
        <v>1.7628262865708721</v>
      </c>
      <c r="T10" s="11">
        <v>3.1736839723709287</v>
      </c>
      <c r="U10" s="11">
        <f t="shared" si="3"/>
        <v>27.312945618268778</v>
      </c>
      <c r="V10" s="11"/>
      <c r="W10" s="11">
        <v>24.731003594423449</v>
      </c>
      <c r="X10" s="11">
        <v>2.4044282240526331</v>
      </c>
      <c r="Y10" s="11">
        <v>2.5040678024198728</v>
      </c>
      <c r="Z10" s="11">
        <f t="shared" si="4"/>
        <v>29.639499620895954</v>
      </c>
      <c r="AA10" s="11"/>
      <c r="AB10" s="11">
        <v>22.8103383052601</v>
      </c>
      <c r="AC10" s="11">
        <v>2.1579490517889091</v>
      </c>
      <c r="AD10" s="11">
        <v>2.4623567924400116</v>
      </c>
      <c r="AE10" s="11">
        <f t="shared" si="5"/>
        <v>27.430644149489019</v>
      </c>
      <c r="AG10" s="10" t="str">
        <f>name!E6</f>
        <v>Associate professional occupations</v>
      </c>
      <c r="AH10" s="11">
        <v>13.073536040069918</v>
      </c>
      <c r="AI10" s="11">
        <v>7.9419042991255626</v>
      </c>
      <c r="AJ10" s="11">
        <v>3.218538966917678</v>
      </c>
      <c r="AK10" s="11">
        <f t="shared" si="6"/>
        <v>24.233979306113156</v>
      </c>
      <c r="AL10" s="11"/>
      <c r="AM10" s="11">
        <v>14.747324203428589</v>
      </c>
      <c r="AN10" s="11">
        <v>8.7578541524068534</v>
      </c>
      <c r="AO10" s="11">
        <v>2.9323782561889633</v>
      </c>
      <c r="AP10" s="11">
        <f t="shared" si="7"/>
        <v>26.437556612024402</v>
      </c>
      <c r="AQ10" s="11"/>
      <c r="AR10" s="11">
        <v>17.397372922704342</v>
      </c>
      <c r="AS10" s="11">
        <v>9.8056510826761265</v>
      </c>
      <c r="AT10" s="11">
        <v>2.7854046358559246</v>
      </c>
      <c r="AU10" s="11">
        <f t="shared" si="8"/>
        <v>29.988428641236396</v>
      </c>
    </row>
    <row r="11" spans="1:47" x14ac:dyDescent="0.2">
      <c r="A11" t="str">
        <f>name!E7</f>
        <v>Administrative and secretarial occupations</v>
      </c>
      <c r="B11" s="11">
        <v>31.780227216891276</v>
      </c>
      <c r="C11" s="11">
        <v>21.20702016729501</v>
      </c>
      <c r="D11" s="11">
        <v>2.298378810993793</v>
      </c>
      <c r="E11" s="11">
        <f t="shared" si="0"/>
        <v>55.285626195180086</v>
      </c>
      <c r="F11" s="11"/>
      <c r="G11" s="11">
        <v>30.496606790057136</v>
      </c>
      <c r="H11" s="11">
        <v>20.152048536108914</v>
      </c>
      <c r="I11" s="11">
        <v>1.8544404888863997</v>
      </c>
      <c r="J11" s="11">
        <f t="shared" si="1"/>
        <v>52.503095815052447</v>
      </c>
      <c r="K11" s="11"/>
      <c r="L11" s="11">
        <v>26.410641389027273</v>
      </c>
      <c r="M11" s="11">
        <v>17.057691568874862</v>
      </c>
      <c r="N11" s="11">
        <v>2.4002630588575062</v>
      </c>
      <c r="O11" s="11">
        <f t="shared" si="2"/>
        <v>45.868596016759639</v>
      </c>
      <c r="Q11" s="10" t="str">
        <f>name!E7</f>
        <v>Administrative and secretarial occupations</v>
      </c>
      <c r="R11" s="11">
        <v>11.162452622854131</v>
      </c>
      <c r="S11" s="11">
        <v>2.3315213190062432</v>
      </c>
      <c r="T11" s="11">
        <v>0.75347757649999814</v>
      </c>
      <c r="U11" s="11">
        <f t="shared" si="3"/>
        <v>14.247451518360373</v>
      </c>
      <c r="V11" s="11"/>
      <c r="W11" s="11">
        <v>11.893269982084746</v>
      </c>
      <c r="X11" s="11">
        <v>2.7113615376146631</v>
      </c>
      <c r="Y11" s="11">
        <v>0.44979406277609785</v>
      </c>
      <c r="Z11" s="11">
        <f t="shared" si="4"/>
        <v>15.054425582475508</v>
      </c>
      <c r="AA11" s="11"/>
      <c r="AB11" s="11">
        <v>12.467033538691437</v>
      </c>
      <c r="AC11" s="11">
        <v>2.7059395841477505</v>
      </c>
      <c r="AD11" s="11">
        <v>0.67480996964786688</v>
      </c>
      <c r="AE11" s="11">
        <f t="shared" si="5"/>
        <v>15.847783092487056</v>
      </c>
      <c r="AG11" s="10" t="str">
        <f>name!E7</f>
        <v>Administrative and secretarial occupations</v>
      </c>
      <c r="AH11" s="11">
        <v>20.617774594037137</v>
      </c>
      <c r="AI11" s="11">
        <v>18.875498848288764</v>
      </c>
      <c r="AJ11" s="11">
        <v>1.544901234493796</v>
      </c>
      <c r="AK11" s="11">
        <f t="shared" si="6"/>
        <v>41.038174676819693</v>
      </c>
      <c r="AL11" s="11"/>
      <c r="AM11" s="11">
        <v>18.60333680797239</v>
      </c>
      <c r="AN11" s="11">
        <v>17.440686998494254</v>
      </c>
      <c r="AO11" s="11">
        <v>1.4046464261103015</v>
      </c>
      <c r="AP11" s="11">
        <f t="shared" si="7"/>
        <v>37.448670232576944</v>
      </c>
      <c r="AQ11" s="11"/>
      <c r="AR11" s="11">
        <v>13.943607850335816</v>
      </c>
      <c r="AS11" s="11">
        <v>14.35175198472712</v>
      </c>
      <c r="AT11" s="11">
        <v>1.7254530892096391</v>
      </c>
      <c r="AU11" s="11">
        <f t="shared" si="8"/>
        <v>30.020812924272576</v>
      </c>
    </row>
    <row r="12" spans="1:47" x14ac:dyDescent="0.2">
      <c r="A12" t="str">
        <f>name!E8</f>
        <v>Skilled trades occupations</v>
      </c>
      <c r="B12" s="11">
        <v>39.62132584938098</v>
      </c>
      <c r="C12" s="11">
        <v>4.3456129448680043</v>
      </c>
      <c r="D12" s="11">
        <v>13.055343084123692</v>
      </c>
      <c r="E12" s="11">
        <f t="shared" si="0"/>
        <v>57.022281878372674</v>
      </c>
      <c r="F12" s="11"/>
      <c r="G12" s="11">
        <v>32.743336645478323</v>
      </c>
      <c r="H12" s="11">
        <v>3.5032012514430888</v>
      </c>
      <c r="I12" s="11">
        <v>11.999174652410812</v>
      </c>
      <c r="J12" s="11">
        <f t="shared" si="1"/>
        <v>48.245712549332225</v>
      </c>
      <c r="K12" s="11"/>
      <c r="L12" s="11">
        <v>27.091238969198042</v>
      </c>
      <c r="M12" s="11">
        <v>3.7988103709908412</v>
      </c>
      <c r="N12" s="11">
        <v>12.286438179015876</v>
      </c>
      <c r="O12" s="11">
        <f t="shared" si="2"/>
        <v>43.176487519204755</v>
      </c>
      <c r="Q12" s="10" t="str">
        <f>name!E8</f>
        <v>Skilled trades occupations</v>
      </c>
      <c r="R12" s="11">
        <v>37.574030181311208</v>
      </c>
      <c r="S12" s="11">
        <v>2.681068223305092</v>
      </c>
      <c r="T12" s="11">
        <v>11.244447805123484</v>
      </c>
      <c r="U12" s="11">
        <f t="shared" si="3"/>
        <v>51.499546209739783</v>
      </c>
      <c r="V12" s="11"/>
      <c r="W12" s="11">
        <v>30.512932524442597</v>
      </c>
      <c r="X12" s="11">
        <v>2.0950435923722468</v>
      </c>
      <c r="Y12" s="11">
        <v>10.189064912629465</v>
      </c>
      <c r="Z12" s="11">
        <f t="shared" si="4"/>
        <v>42.797041029444316</v>
      </c>
      <c r="AA12" s="11"/>
      <c r="AB12" s="11">
        <v>24.702549364335145</v>
      </c>
      <c r="AC12" s="11">
        <v>2.3407903350527977</v>
      </c>
      <c r="AD12" s="11">
        <v>10.02347922508636</v>
      </c>
      <c r="AE12" s="11">
        <f t="shared" si="5"/>
        <v>37.066818924474305</v>
      </c>
      <c r="AG12" s="10" t="str">
        <f>name!E8</f>
        <v>Skilled trades occupations</v>
      </c>
      <c r="AH12" s="11">
        <v>2.0472956680697418</v>
      </c>
      <c r="AI12" s="11">
        <v>1.664544721562911</v>
      </c>
      <c r="AJ12" s="11">
        <v>1.8108952790002129</v>
      </c>
      <c r="AK12" s="11">
        <f t="shared" si="6"/>
        <v>5.5227356686328655</v>
      </c>
      <c r="AL12" s="11"/>
      <c r="AM12" s="11">
        <v>2.2304041210357193</v>
      </c>
      <c r="AN12" s="11">
        <v>1.408157659070842</v>
      </c>
      <c r="AO12" s="11">
        <v>1.8101097397813461</v>
      </c>
      <c r="AP12" s="11">
        <f t="shared" si="7"/>
        <v>5.4486715198879079</v>
      </c>
      <c r="AQ12" s="11"/>
      <c r="AR12" s="11">
        <v>2.3886896048629045</v>
      </c>
      <c r="AS12" s="11">
        <v>1.4580200359380431</v>
      </c>
      <c r="AT12" s="11">
        <v>2.2629589539295147</v>
      </c>
      <c r="AU12" s="11">
        <f t="shared" si="8"/>
        <v>6.1096685947304623</v>
      </c>
    </row>
    <row r="13" spans="1:47" x14ac:dyDescent="0.2">
      <c r="A13" t="str">
        <f>name!E9</f>
        <v>Caring, leisure and other service occupations</v>
      </c>
      <c r="B13" s="11">
        <v>22.305209603863247</v>
      </c>
      <c r="C13" s="11">
        <v>18.765721702019139</v>
      </c>
      <c r="D13" s="11">
        <v>3.8176127940375677</v>
      </c>
      <c r="E13" s="11">
        <f t="shared" si="0"/>
        <v>44.888544099919947</v>
      </c>
      <c r="F13" s="11"/>
      <c r="G13" s="11">
        <v>20.725523481080323</v>
      </c>
      <c r="H13" s="11">
        <v>18.111935358550923</v>
      </c>
      <c r="I13" s="11">
        <v>4.0046629013740702</v>
      </c>
      <c r="J13" s="11">
        <f t="shared" si="1"/>
        <v>42.842121741005315</v>
      </c>
      <c r="K13" s="11"/>
      <c r="L13" s="11">
        <v>22.732336929690728</v>
      </c>
      <c r="M13" s="11">
        <v>18.97159543710168</v>
      </c>
      <c r="N13" s="11">
        <v>4.3465235190511864</v>
      </c>
      <c r="O13" s="11">
        <f t="shared" si="2"/>
        <v>46.050455885843597</v>
      </c>
      <c r="Q13" s="10" t="str">
        <f>name!E9</f>
        <v>Caring, leisure and other service occupations</v>
      </c>
      <c r="R13" s="11">
        <v>4.9085277615506531</v>
      </c>
      <c r="S13" s="11">
        <v>2.1641021707149544</v>
      </c>
      <c r="T13" s="11">
        <v>0.69536673165725804</v>
      </c>
      <c r="U13" s="11">
        <f t="shared" si="3"/>
        <v>7.7679966639228661</v>
      </c>
      <c r="V13" s="11"/>
      <c r="W13" s="11">
        <v>4.9599640951824551</v>
      </c>
      <c r="X13" s="11">
        <v>2.5043166409383475</v>
      </c>
      <c r="Y13" s="11">
        <v>0.44738507820415491</v>
      </c>
      <c r="Z13" s="11">
        <f t="shared" si="4"/>
        <v>7.911665814324957</v>
      </c>
      <c r="AA13" s="11"/>
      <c r="AB13" s="11">
        <v>5.7377803619495014</v>
      </c>
      <c r="AC13" s="11">
        <v>2.939357832720392</v>
      </c>
      <c r="AD13" s="11">
        <v>0.67947569819637754</v>
      </c>
      <c r="AE13" s="11">
        <f t="shared" si="5"/>
        <v>9.356613892866271</v>
      </c>
      <c r="AG13" s="10" t="str">
        <f>name!E9</f>
        <v>Caring, leisure and other service occupations</v>
      </c>
      <c r="AH13" s="11">
        <v>17.396681842312596</v>
      </c>
      <c r="AI13" s="11">
        <v>16.601619531304184</v>
      </c>
      <c r="AJ13" s="11">
        <v>3.1222460623803099</v>
      </c>
      <c r="AK13" s="11">
        <f t="shared" si="6"/>
        <v>37.120547435997096</v>
      </c>
      <c r="AL13" s="11"/>
      <c r="AM13" s="11">
        <v>15.76555938589787</v>
      </c>
      <c r="AN13" s="11">
        <v>15.607618717612574</v>
      </c>
      <c r="AO13" s="11">
        <v>3.5572778231699145</v>
      </c>
      <c r="AP13" s="11">
        <f t="shared" si="7"/>
        <v>34.930455926680359</v>
      </c>
      <c r="AQ13" s="11"/>
      <c r="AR13" s="11">
        <v>16.994556567741238</v>
      </c>
      <c r="AS13" s="11">
        <v>16.03223760438129</v>
      </c>
      <c r="AT13" s="11">
        <v>3.6670478208548083</v>
      </c>
      <c r="AU13" s="11">
        <f t="shared" si="8"/>
        <v>36.69384199297734</v>
      </c>
    </row>
    <row r="14" spans="1:47" x14ac:dyDescent="0.2">
      <c r="A14" t="str">
        <f>name!E10</f>
        <v>Sales and customer service occupations</v>
      </c>
      <c r="B14" s="11">
        <v>20.40331593713621</v>
      </c>
      <c r="C14" s="11">
        <v>32.170278594580537</v>
      </c>
      <c r="D14" s="11">
        <v>3.605655861949991</v>
      </c>
      <c r="E14" s="11">
        <f t="shared" si="0"/>
        <v>56.179250393666742</v>
      </c>
      <c r="F14" s="11"/>
      <c r="G14" s="11">
        <v>19.146772429082468</v>
      </c>
      <c r="H14" s="11">
        <v>30.347927165411551</v>
      </c>
      <c r="I14" s="11">
        <v>2.0735616286448697</v>
      </c>
      <c r="J14" s="11">
        <f t="shared" si="1"/>
        <v>51.56826122313889</v>
      </c>
      <c r="K14" s="11"/>
      <c r="L14" s="11">
        <v>19.807333235536472</v>
      </c>
      <c r="M14" s="11">
        <v>30.451944429346163</v>
      </c>
      <c r="N14" s="11">
        <v>1.6559516430524908</v>
      </c>
      <c r="O14" s="11">
        <f t="shared" si="2"/>
        <v>51.915229307935121</v>
      </c>
      <c r="Q14" s="10" t="str">
        <f>name!E10</f>
        <v>Sales and customer service occupations</v>
      </c>
      <c r="R14" s="11">
        <v>7.2089329380652947</v>
      </c>
      <c r="S14" s="11">
        <v>8.6599831124890159</v>
      </c>
      <c r="T14" s="11">
        <v>2.0335555773496004</v>
      </c>
      <c r="U14" s="11">
        <f t="shared" si="3"/>
        <v>17.90247162790391</v>
      </c>
      <c r="V14" s="11"/>
      <c r="W14" s="11">
        <v>7.744209953954738</v>
      </c>
      <c r="X14" s="11">
        <v>8.3278785069071652</v>
      </c>
      <c r="Y14" s="11">
        <v>1.1094133258447889</v>
      </c>
      <c r="Z14" s="11">
        <f t="shared" si="4"/>
        <v>17.18150178670669</v>
      </c>
      <c r="AA14" s="11"/>
      <c r="AB14" s="11">
        <v>8.885979257047012</v>
      </c>
      <c r="AC14" s="11">
        <v>8.8109725304538813</v>
      </c>
      <c r="AD14" s="11">
        <v>0.95382724750323611</v>
      </c>
      <c r="AE14" s="11">
        <f t="shared" si="5"/>
        <v>18.650779035004128</v>
      </c>
      <c r="AG14" s="10" t="str">
        <f>name!E10</f>
        <v>Sales and customer service occupations</v>
      </c>
      <c r="AH14" s="11">
        <v>13.194382999070919</v>
      </c>
      <c r="AI14" s="11">
        <v>23.510295482091536</v>
      </c>
      <c r="AJ14" s="11">
        <v>1.57210028460039</v>
      </c>
      <c r="AK14" s="11">
        <f t="shared" si="6"/>
        <v>38.276778765762842</v>
      </c>
      <c r="AL14" s="11"/>
      <c r="AM14" s="11">
        <v>11.402562475127716</v>
      </c>
      <c r="AN14" s="11">
        <v>22.02004865850439</v>
      </c>
      <c r="AO14" s="11">
        <v>0.9641483028000799</v>
      </c>
      <c r="AP14" s="11">
        <f t="shared" si="7"/>
        <v>34.386759436432186</v>
      </c>
      <c r="AQ14" s="11"/>
      <c r="AR14" s="11">
        <v>10.921353978489464</v>
      </c>
      <c r="AS14" s="11">
        <v>21.640971898892271</v>
      </c>
      <c r="AT14" s="11">
        <v>0.70212439554925343</v>
      </c>
      <c r="AU14" s="11">
        <f t="shared" si="8"/>
        <v>33.264450272930993</v>
      </c>
    </row>
    <row r="15" spans="1:47" x14ac:dyDescent="0.2">
      <c r="A15" t="str">
        <f>name!E11</f>
        <v>Process, plant and machine operatives</v>
      </c>
      <c r="B15" s="11">
        <v>30.322765309608091</v>
      </c>
      <c r="C15" s="11">
        <v>3.9815644119733102</v>
      </c>
      <c r="D15" s="11">
        <v>3.9713308317678471</v>
      </c>
      <c r="E15" s="11">
        <f t="shared" si="0"/>
        <v>38.275660553349248</v>
      </c>
      <c r="F15" s="11"/>
      <c r="G15" s="11">
        <v>26.370089892882692</v>
      </c>
      <c r="H15" s="11">
        <v>4.1674736275156397</v>
      </c>
      <c r="I15" s="11">
        <v>5.0416271693817958</v>
      </c>
      <c r="J15" s="11">
        <f t="shared" si="1"/>
        <v>35.579190689780127</v>
      </c>
      <c r="K15" s="11"/>
      <c r="L15" s="11">
        <v>25.357642641175484</v>
      </c>
      <c r="M15" s="11">
        <v>5.0969752526915801</v>
      </c>
      <c r="N15" s="11">
        <v>5.6762758862275549</v>
      </c>
      <c r="O15" s="11">
        <f t="shared" si="2"/>
        <v>36.130893780094624</v>
      </c>
      <c r="Q15" s="10" t="str">
        <f>name!E11</f>
        <v>Process, plant and machine operatives</v>
      </c>
      <c r="R15" s="11">
        <v>27.388125522017674</v>
      </c>
      <c r="S15" s="11">
        <v>3.0917551037189641</v>
      </c>
      <c r="T15" s="11">
        <v>3.6097960442819694</v>
      </c>
      <c r="U15" s="11">
        <f t="shared" si="3"/>
        <v>34.089676670018605</v>
      </c>
      <c r="V15" s="11"/>
      <c r="W15" s="11">
        <v>23.987438085308618</v>
      </c>
      <c r="X15" s="11">
        <v>3.4845919093608244</v>
      </c>
      <c r="Y15" s="11">
        <v>4.684656099932317</v>
      </c>
      <c r="Z15" s="11">
        <f t="shared" si="4"/>
        <v>32.15668609460176</v>
      </c>
      <c r="AA15" s="11"/>
      <c r="AB15" s="11">
        <v>22.899591747829081</v>
      </c>
      <c r="AC15" s="11">
        <v>4.0484432652387152</v>
      </c>
      <c r="AD15" s="11">
        <v>5.2457642691026338</v>
      </c>
      <c r="AE15" s="11">
        <f t="shared" si="5"/>
        <v>32.193799282170431</v>
      </c>
      <c r="AG15" s="10" t="str">
        <f>name!E11</f>
        <v>Process, plant and machine operatives</v>
      </c>
      <c r="AH15" s="11">
        <v>2.9346397875904047</v>
      </c>
      <c r="AI15" s="11">
        <v>0.88980930825434235</v>
      </c>
      <c r="AJ15" s="11">
        <v>0.36153478748588008</v>
      </c>
      <c r="AK15" s="11">
        <f t="shared" si="6"/>
        <v>4.1859838833306267</v>
      </c>
      <c r="AL15" s="11"/>
      <c r="AM15" s="11">
        <v>2.3826518075740606</v>
      </c>
      <c r="AN15" s="11">
        <v>0.68288171815481724</v>
      </c>
      <c r="AO15" s="11">
        <v>0.3569710694494812</v>
      </c>
      <c r="AP15" s="11">
        <f t="shared" si="7"/>
        <v>3.422504595178359</v>
      </c>
      <c r="AQ15" s="11"/>
      <c r="AR15" s="11">
        <v>2.4580508933464045</v>
      </c>
      <c r="AS15" s="11">
        <v>1.0485319874528645</v>
      </c>
      <c r="AT15" s="11">
        <v>0.4305116171249192</v>
      </c>
      <c r="AU15" s="11">
        <f t="shared" si="8"/>
        <v>3.9370944979241882</v>
      </c>
    </row>
    <row r="16" spans="1:47" x14ac:dyDescent="0.2">
      <c r="A16" t="str">
        <f>name!E12</f>
        <v>Elementary occupations</v>
      </c>
      <c r="B16" s="11">
        <v>26.40746068441894</v>
      </c>
      <c r="C16" s="11">
        <v>29.894216799614565</v>
      </c>
      <c r="D16" s="11">
        <v>4.0795518735081027</v>
      </c>
      <c r="E16" s="11">
        <f t="shared" si="0"/>
        <v>60.381229357541606</v>
      </c>
      <c r="F16" s="11"/>
      <c r="G16" s="11">
        <v>23.998416944535098</v>
      </c>
      <c r="H16" s="11">
        <v>25.854269698019262</v>
      </c>
      <c r="I16" s="11">
        <v>2.9452654229941473</v>
      </c>
      <c r="J16" s="11">
        <f t="shared" si="1"/>
        <v>52.797952065548508</v>
      </c>
      <c r="K16" s="11"/>
      <c r="L16" s="11">
        <v>23.636689305978621</v>
      </c>
      <c r="M16" s="11">
        <v>22.166376708555728</v>
      </c>
      <c r="N16" s="11">
        <v>3.921159736285885</v>
      </c>
      <c r="O16" s="11">
        <f t="shared" si="2"/>
        <v>49.724225750820239</v>
      </c>
      <c r="Q16" s="10" t="str">
        <f>name!E12</f>
        <v>Elementary occupations</v>
      </c>
      <c r="R16" s="11">
        <v>19.233553099249665</v>
      </c>
      <c r="S16" s="11">
        <v>10.859855615814423</v>
      </c>
      <c r="T16" s="11">
        <v>1.6687942269156906</v>
      </c>
      <c r="U16" s="11">
        <f t="shared" si="3"/>
        <v>31.762202941979776</v>
      </c>
      <c r="V16" s="11"/>
      <c r="W16" s="11">
        <v>17.506648512550001</v>
      </c>
      <c r="X16" s="11">
        <v>10.534345178112284</v>
      </c>
      <c r="Y16" s="11">
        <v>1.6450206989642038</v>
      </c>
      <c r="Z16" s="11">
        <f t="shared" si="4"/>
        <v>29.686014389626486</v>
      </c>
      <c r="AA16" s="11"/>
      <c r="AB16" s="11">
        <v>15.644662795608461</v>
      </c>
      <c r="AC16" s="11">
        <v>10.090491672777658</v>
      </c>
      <c r="AD16" s="11">
        <v>2.2100911711236839</v>
      </c>
      <c r="AE16" s="11">
        <f t="shared" si="5"/>
        <v>27.945245639509803</v>
      </c>
      <c r="AG16" s="10" t="str">
        <f>name!E12</f>
        <v>Elementary occupations</v>
      </c>
      <c r="AH16" s="11">
        <v>7.17390758516928</v>
      </c>
      <c r="AI16" s="11">
        <v>19.034361183800133</v>
      </c>
      <c r="AJ16" s="11">
        <v>2.4107576465924136</v>
      </c>
      <c r="AK16" s="11">
        <f t="shared" si="6"/>
        <v>28.619026415561827</v>
      </c>
      <c r="AL16" s="11"/>
      <c r="AM16" s="11">
        <v>6.4917684319851015</v>
      </c>
      <c r="AN16" s="11">
        <v>15.319924519906985</v>
      </c>
      <c r="AO16" s="11">
        <v>1.3002447240299424</v>
      </c>
      <c r="AP16" s="11">
        <f t="shared" si="7"/>
        <v>23.111937675922029</v>
      </c>
      <c r="AQ16" s="11"/>
      <c r="AR16" s="11">
        <v>7.9920265103701498</v>
      </c>
      <c r="AS16" s="11">
        <v>12.075885035778056</v>
      </c>
      <c r="AT16" s="11">
        <v>1.7110685651621984</v>
      </c>
      <c r="AU16" s="11">
        <f t="shared" si="8"/>
        <v>21.778980111310403</v>
      </c>
    </row>
    <row r="17" spans="1:47" x14ac:dyDescent="0.2">
      <c r="B17" s="11"/>
      <c r="C17" s="11"/>
      <c r="D17" s="11"/>
      <c r="E17" s="11"/>
      <c r="F17" s="11"/>
      <c r="G17" s="11"/>
      <c r="H17" s="11"/>
      <c r="I17" s="11"/>
      <c r="J17" s="11"/>
      <c r="K17" s="11"/>
      <c r="L17" s="11"/>
      <c r="M17" s="11"/>
      <c r="N17" s="11"/>
      <c r="O17" s="11"/>
      <c r="Q17" s="10"/>
      <c r="R17" s="11"/>
      <c r="S17" s="11"/>
      <c r="T17" s="11"/>
      <c r="U17" s="11"/>
      <c r="V17" s="11"/>
      <c r="W17" s="11"/>
      <c r="X17" s="11"/>
      <c r="Y17" s="11"/>
      <c r="Z17" s="11"/>
      <c r="AA17" s="11"/>
      <c r="AB17" s="11"/>
      <c r="AC17" s="11"/>
      <c r="AD17" s="11"/>
      <c r="AE17" s="11"/>
      <c r="AH17" s="11"/>
      <c r="AI17" s="11"/>
      <c r="AJ17" s="11"/>
      <c r="AK17" s="11"/>
      <c r="AL17" s="11"/>
      <c r="AM17" s="11"/>
      <c r="AN17" s="11"/>
      <c r="AO17" s="11"/>
      <c r="AP17" s="11"/>
      <c r="AQ17" s="11"/>
      <c r="AR17" s="11"/>
      <c r="AS17" s="11"/>
      <c r="AT17" s="11"/>
      <c r="AU17" s="11"/>
    </row>
    <row r="18" spans="1:47" x14ac:dyDescent="0.2">
      <c r="A18" s="24" t="str">
        <f>name!E3</f>
        <v>All occupations</v>
      </c>
      <c r="B18" s="34">
        <f>SUM(B8:B16)</f>
        <v>296.47440877074985</v>
      </c>
      <c r="C18" s="34">
        <f t="shared" ref="C18:D18" si="9">SUM(C8:C16)</f>
        <v>139.73979273673024</v>
      </c>
      <c r="D18" s="34">
        <f t="shared" si="9"/>
        <v>53.496798492519908</v>
      </c>
      <c r="E18" s="34">
        <f t="shared" si="0"/>
        <v>489.71100000000001</v>
      </c>
      <c r="F18" s="34"/>
      <c r="G18" s="34">
        <f>SUM(G8:G16)</f>
        <v>293.53599267107336</v>
      </c>
      <c r="H18" s="34">
        <f t="shared" ref="H18:I18" si="10">SUM(H8:H16)</f>
        <v>137.66986419143905</v>
      </c>
      <c r="I18" s="34">
        <f t="shared" si="10"/>
        <v>47.720143137487753</v>
      </c>
      <c r="J18" s="34">
        <f t="shared" ref="J18" si="11">SUM(G18:I18)</f>
        <v>478.92600000000016</v>
      </c>
      <c r="K18" s="34"/>
      <c r="L18" s="34">
        <f>SUM(L8:L16)</f>
        <v>303.22347660616811</v>
      </c>
      <c r="M18" s="34">
        <f t="shared" ref="M18:N18" si="12">SUM(M8:M16)</f>
        <v>140.08493096005455</v>
      </c>
      <c r="N18" s="34">
        <f t="shared" si="12"/>
        <v>49.469592433777343</v>
      </c>
      <c r="O18" s="34">
        <f>SUM(L18:N18)</f>
        <v>492.77799999999996</v>
      </c>
      <c r="Q18" s="231" t="str">
        <f>name!E3</f>
        <v>All occupations</v>
      </c>
      <c r="R18" s="34">
        <f>SUM(R8:R16)</f>
        <v>184.49493798119724</v>
      </c>
      <c r="S18" s="34">
        <f t="shared" ref="S18:T18" si="13">SUM(S8:S16)</f>
        <v>35.105686917613667</v>
      </c>
      <c r="T18" s="34">
        <f t="shared" si="13"/>
        <v>33.343948342988625</v>
      </c>
      <c r="U18" s="34">
        <f t="shared" ref="U18" si="14">SUM(R18:T18)</f>
        <v>252.94457324179953</v>
      </c>
      <c r="V18" s="34"/>
      <c r="W18" s="34">
        <f>SUM(W8:W16)</f>
        <v>180.92781271978504</v>
      </c>
      <c r="X18" s="34">
        <f t="shared" ref="X18:Y18" si="15">SUM(X8:X16)</f>
        <v>37.12564242817821</v>
      </c>
      <c r="Y18" s="34">
        <f t="shared" si="15"/>
        <v>27.977248967081934</v>
      </c>
      <c r="Z18" s="34">
        <f t="shared" ref="Z18" si="16">SUM(W18:Y18)</f>
        <v>246.03070411504518</v>
      </c>
      <c r="AA18" s="34"/>
      <c r="AB18" s="34">
        <f>SUM(AB8:AB16)</f>
        <v>179.29843190357778</v>
      </c>
      <c r="AC18" s="34">
        <f t="shared" ref="AC18:AD18" si="17">SUM(AC8:AC16)</f>
        <v>39.810054245544094</v>
      </c>
      <c r="AD18" s="34">
        <f t="shared" si="17"/>
        <v>29.464419154421414</v>
      </c>
      <c r="AE18" s="34">
        <f t="shared" ref="AE18" si="18">SUM(AB18:AD18)</f>
        <v>248.57290530354328</v>
      </c>
      <c r="AG18" s="231" t="str">
        <f>name!E3</f>
        <v>All occupations</v>
      </c>
      <c r="AH18" s="34">
        <f>SUM(AH8:AH16)</f>
        <v>111.97947078955258</v>
      </c>
      <c r="AI18" s="34">
        <f t="shared" ref="AI18:AJ18" si="19">SUM(AI8:AI16)</f>
        <v>104.63410581911657</v>
      </c>
      <c r="AJ18" s="34">
        <f t="shared" si="19"/>
        <v>20.152850149531304</v>
      </c>
      <c r="AK18" s="34">
        <f t="shared" si="6"/>
        <v>236.76642675820045</v>
      </c>
      <c r="AL18" s="34"/>
      <c r="AM18" s="34">
        <f>SUM(AM8:AM16)</f>
        <v>112.60817995128831</v>
      </c>
      <c r="AN18" s="34">
        <f t="shared" ref="AN18:AO18" si="20">SUM(AN8:AN16)</f>
        <v>100.54422176326085</v>
      </c>
      <c r="AO18" s="34">
        <f t="shared" si="20"/>
        <v>19.742894170405812</v>
      </c>
      <c r="AP18" s="34">
        <f t="shared" si="7"/>
        <v>232.89529588495498</v>
      </c>
      <c r="AQ18" s="34"/>
      <c r="AR18" s="34">
        <f>SUM(AR8:AR16)</f>
        <v>123.92504470259038</v>
      </c>
      <c r="AS18" s="34">
        <f t="shared" ref="AS18:AT18" si="21">SUM(AS8:AS16)</f>
        <v>100.27487671451044</v>
      </c>
      <c r="AT18" s="34">
        <f t="shared" si="21"/>
        <v>20.005173279355908</v>
      </c>
      <c r="AU18" s="34">
        <f t="shared" si="8"/>
        <v>244.20509469645674</v>
      </c>
    </row>
    <row r="19" spans="1:47" x14ac:dyDescent="0.2">
      <c r="B19" s="11"/>
      <c r="C19" s="11"/>
      <c r="D19" s="11"/>
      <c r="E19" s="11"/>
      <c r="F19" s="11"/>
      <c r="G19" s="11"/>
      <c r="H19" s="11"/>
      <c r="I19" s="11"/>
      <c r="J19" s="11"/>
      <c r="K19" s="11"/>
      <c r="L19" s="11"/>
      <c r="M19" s="11"/>
      <c r="N19" s="11"/>
      <c r="O19" s="11"/>
      <c r="R19" s="11"/>
      <c r="S19" s="11"/>
      <c r="T19" s="11"/>
      <c r="U19" s="11"/>
      <c r="V19" s="11"/>
      <c r="W19" s="11"/>
      <c r="X19" s="11"/>
      <c r="Y19" s="11"/>
      <c r="Z19" s="11"/>
      <c r="AA19" s="11"/>
      <c r="AB19" s="11"/>
      <c r="AC19" s="11"/>
      <c r="AD19" s="11"/>
      <c r="AE19" s="11"/>
      <c r="AH19" s="11"/>
      <c r="AI19" s="11"/>
      <c r="AJ19" s="11"/>
      <c r="AK19" s="11"/>
      <c r="AL19" s="11"/>
      <c r="AM19" s="11"/>
      <c r="AN19" s="11"/>
      <c r="AO19" s="11"/>
      <c r="AP19" s="11"/>
      <c r="AQ19" s="11"/>
      <c r="AR19" s="11"/>
      <c r="AS19" s="11"/>
      <c r="AT19" s="11"/>
      <c r="AU19" s="11"/>
    </row>
    <row r="20" spans="1:47" x14ac:dyDescent="0.2">
      <c r="B20" s="11"/>
      <c r="C20" s="11"/>
      <c r="D20" s="11"/>
      <c r="E20" s="11"/>
      <c r="F20" s="11"/>
      <c r="G20" s="11"/>
      <c r="H20" s="11"/>
      <c r="I20" s="11"/>
      <c r="J20" s="11"/>
      <c r="K20" s="11"/>
      <c r="L20" s="11"/>
      <c r="M20" s="11"/>
      <c r="N20" s="11"/>
      <c r="O20" s="11"/>
      <c r="R20" s="11"/>
      <c r="S20" s="11"/>
      <c r="T20" s="11"/>
      <c r="U20" s="11"/>
      <c r="V20" s="11"/>
      <c r="W20" s="11"/>
      <c r="X20" s="11"/>
      <c r="Y20" s="11"/>
      <c r="Z20" s="11"/>
      <c r="AA20" s="11"/>
      <c r="AB20" s="11"/>
      <c r="AC20" s="11"/>
      <c r="AD20" s="11"/>
      <c r="AE20" s="11"/>
      <c r="AH20" s="11"/>
      <c r="AI20" s="11"/>
      <c r="AJ20" s="11"/>
      <c r="AK20" s="11"/>
      <c r="AL20" s="11"/>
      <c r="AM20" s="11"/>
      <c r="AN20" s="11"/>
      <c r="AO20" s="11"/>
      <c r="AP20" s="11"/>
      <c r="AQ20" s="11"/>
      <c r="AR20" s="11"/>
      <c r="AS20" s="11"/>
      <c r="AT20" s="11"/>
      <c r="AU20" s="11"/>
    </row>
    <row r="21" spans="1:47" x14ac:dyDescent="0.2">
      <c r="B21" s="11"/>
      <c r="C21" s="11"/>
      <c r="D21" s="11"/>
      <c r="E21" s="11"/>
      <c r="F21" s="11"/>
      <c r="G21" s="11"/>
      <c r="H21" s="11"/>
      <c r="I21" s="11"/>
      <c r="J21" s="11"/>
      <c r="K21" s="11"/>
      <c r="L21" s="11"/>
      <c r="M21" s="11"/>
      <c r="N21" s="11"/>
      <c r="O21" s="16" t="s">
        <v>35</v>
      </c>
      <c r="R21" s="11"/>
      <c r="S21" s="11"/>
      <c r="T21" s="11"/>
      <c r="U21" s="11"/>
      <c r="V21" s="11"/>
      <c r="W21" s="11"/>
      <c r="X21" s="11"/>
      <c r="Y21" s="11"/>
      <c r="Z21" s="11"/>
      <c r="AA21" s="11"/>
      <c r="AB21" s="11"/>
      <c r="AC21" s="11"/>
      <c r="AD21" s="11"/>
      <c r="AE21" s="16" t="s">
        <v>35</v>
      </c>
      <c r="AH21" s="11"/>
      <c r="AI21" s="11"/>
      <c r="AJ21" s="11"/>
      <c r="AK21" s="11"/>
      <c r="AL21" s="11"/>
      <c r="AM21" s="11"/>
      <c r="AN21" s="11"/>
      <c r="AO21" s="11"/>
      <c r="AP21" s="11"/>
      <c r="AQ21" s="11"/>
      <c r="AR21" s="11"/>
      <c r="AS21" s="11"/>
      <c r="AT21" s="11"/>
      <c r="AU21" s="16" t="s">
        <v>35</v>
      </c>
    </row>
    <row r="22" spans="1:47" x14ac:dyDescent="0.2">
      <c r="A22" s="36"/>
      <c r="B22" s="65"/>
      <c r="C22" s="65"/>
      <c r="D22" s="65"/>
      <c r="E22" s="65"/>
      <c r="F22" s="65"/>
      <c r="G22" s="65"/>
      <c r="H22" s="65"/>
      <c r="I22" s="65"/>
      <c r="J22" s="65"/>
      <c r="K22" s="65"/>
      <c r="L22" s="65"/>
      <c r="M22" s="65"/>
      <c r="N22" s="65"/>
      <c r="O22" s="65"/>
      <c r="Q22" s="36"/>
      <c r="R22" s="65"/>
      <c r="S22" s="65"/>
      <c r="T22" s="65"/>
      <c r="U22" s="65"/>
      <c r="V22" s="65"/>
      <c r="W22" s="65"/>
      <c r="X22" s="65"/>
      <c r="Y22" s="65"/>
      <c r="Z22" s="65"/>
      <c r="AA22" s="65"/>
      <c r="AB22" s="65"/>
      <c r="AC22" s="65"/>
      <c r="AD22" s="65"/>
      <c r="AE22" s="65"/>
      <c r="AG22" s="36"/>
      <c r="AH22" s="65"/>
      <c r="AI22" s="65"/>
      <c r="AJ22" s="65"/>
      <c r="AK22" s="65"/>
      <c r="AL22" s="65"/>
      <c r="AM22" s="65"/>
      <c r="AN22" s="65"/>
      <c r="AO22" s="65"/>
      <c r="AP22" s="65"/>
      <c r="AQ22" s="65"/>
      <c r="AR22" s="65"/>
      <c r="AS22" s="65"/>
      <c r="AT22" s="65"/>
      <c r="AU22" s="65"/>
    </row>
    <row r="23" spans="1:47" x14ac:dyDescent="0.2">
      <c r="B23" s="378">
        <f>B5</f>
        <v>2015</v>
      </c>
      <c r="C23" s="378"/>
      <c r="D23" s="378"/>
      <c r="E23" s="378"/>
      <c r="F23" s="1"/>
      <c r="G23" s="378">
        <f>G5</f>
        <v>2020</v>
      </c>
      <c r="H23" s="378"/>
      <c r="I23" s="378"/>
      <c r="J23" s="378"/>
      <c r="K23" s="1"/>
      <c r="L23" s="378">
        <f>L5</f>
        <v>2035</v>
      </c>
      <c r="M23" s="378"/>
      <c r="N23" s="378"/>
      <c r="O23" s="378"/>
      <c r="R23" s="378">
        <f>R5</f>
        <v>2015</v>
      </c>
      <c r="S23" s="378"/>
      <c r="T23" s="378"/>
      <c r="U23" s="378"/>
      <c r="V23" s="1"/>
      <c r="W23" s="378">
        <f>W5</f>
        <v>2020</v>
      </c>
      <c r="X23" s="378"/>
      <c r="Y23" s="378"/>
      <c r="Z23" s="378"/>
      <c r="AA23" s="1"/>
      <c r="AB23" s="378">
        <f>AB5</f>
        <v>2035</v>
      </c>
      <c r="AC23" s="378"/>
      <c r="AD23" s="378"/>
      <c r="AE23" s="378"/>
      <c r="AH23" s="378">
        <f>AH5</f>
        <v>2015</v>
      </c>
      <c r="AI23" s="378"/>
      <c r="AJ23" s="378"/>
      <c r="AK23" s="378"/>
      <c r="AL23" s="1"/>
      <c r="AM23" s="378">
        <f>AM5</f>
        <v>2020</v>
      </c>
      <c r="AN23" s="378"/>
      <c r="AO23" s="378"/>
      <c r="AP23" s="378"/>
      <c r="AQ23" s="1"/>
      <c r="AR23" s="378">
        <f>AR5</f>
        <v>2035</v>
      </c>
      <c r="AS23" s="378"/>
      <c r="AT23" s="378"/>
      <c r="AU23" s="378"/>
    </row>
    <row r="24" spans="1:47" x14ac:dyDescent="0.2">
      <c r="A24" s="41" t="s">
        <v>14</v>
      </c>
      <c r="B24" s="338" t="s">
        <v>345</v>
      </c>
      <c r="C24" s="338" t="s">
        <v>347</v>
      </c>
      <c r="D24" s="338" t="s">
        <v>343</v>
      </c>
      <c r="E24" s="338" t="s">
        <v>33</v>
      </c>
      <c r="F24" s="339"/>
      <c r="G24" s="338" t="s">
        <v>345</v>
      </c>
      <c r="H24" s="338" t="s">
        <v>347</v>
      </c>
      <c r="I24" s="338" t="s">
        <v>343</v>
      </c>
      <c r="J24" s="338" t="s">
        <v>33</v>
      </c>
      <c r="K24" s="339"/>
      <c r="L24" s="338" t="s">
        <v>345</v>
      </c>
      <c r="M24" s="338" t="s">
        <v>347</v>
      </c>
      <c r="N24" s="338" t="s">
        <v>343</v>
      </c>
      <c r="O24" s="338" t="s">
        <v>33</v>
      </c>
      <c r="Q24" s="41" t="s">
        <v>14</v>
      </c>
      <c r="R24" s="338" t="s">
        <v>345</v>
      </c>
      <c r="S24" s="338" t="s">
        <v>347</v>
      </c>
      <c r="T24" s="338" t="s">
        <v>343</v>
      </c>
      <c r="U24" s="338" t="s">
        <v>33</v>
      </c>
      <c r="V24" s="339"/>
      <c r="W24" s="338" t="s">
        <v>345</v>
      </c>
      <c r="X24" s="338" t="s">
        <v>347</v>
      </c>
      <c r="Y24" s="338" t="s">
        <v>343</v>
      </c>
      <c r="Z24" s="338" t="s">
        <v>33</v>
      </c>
      <c r="AA24" s="339"/>
      <c r="AB24" s="338" t="s">
        <v>345</v>
      </c>
      <c r="AC24" s="338" t="s">
        <v>347</v>
      </c>
      <c r="AD24" s="338" t="s">
        <v>343</v>
      </c>
      <c r="AE24" s="338" t="s">
        <v>33</v>
      </c>
      <c r="AG24" s="41" t="s">
        <v>14</v>
      </c>
      <c r="AH24" s="338" t="s">
        <v>345</v>
      </c>
      <c r="AI24" s="338" t="s">
        <v>347</v>
      </c>
      <c r="AJ24" s="338" t="s">
        <v>343</v>
      </c>
      <c r="AK24" s="338" t="s">
        <v>33</v>
      </c>
      <c r="AL24" s="339"/>
      <c r="AM24" s="338" t="s">
        <v>345</v>
      </c>
      <c r="AN24" s="338" t="s">
        <v>347</v>
      </c>
      <c r="AO24" s="338" t="s">
        <v>343</v>
      </c>
      <c r="AP24" s="338" t="s">
        <v>33</v>
      </c>
      <c r="AQ24" s="339"/>
      <c r="AR24" s="338" t="s">
        <v>345</v>
      </c>
      <c r="AS24" s="338" t="s">
        <v>347</v>
      </c>
      <c r="AT24" s="338" t="s">
        <v>343</v>
      </c>
      <c r="AU24" s="338" t="s">
        <v>33</v>
      </c>
    </row>
    <row r="25" spans="1:47" x14ac:dyDescent="0.2">
      <c r="A25" s="1"/>
      <c r="B25" s="17"/>
      <c r="C25" s="17"/>
      <c r="D25" s="17"/>
      <c r="E25" s="17"/>
      <c r="F25" s="17"/>
      <c r="G25" s="17"/>
      <c r="H25" s="17"/>
      <c r="I25" s="17"/>
      <c r="J25" s="17"/>
      <c r="K25" s="17"/>
      <c r="L25" s="17"/>
      <c r="M25" s="17"/>
      <c r="N25" s="17"/>
      <c r="O25" s="17"/>
      <c r="Q25" s="1"/>
      <c r="R25" s="17"/>
      <c r="S25" s="17"/>
      <c r="T25" s="17"/>
      <c r="U25" s="17"/>
      <c r="V25" s="17"/>
      <c r="W25" s="17"/>
      <c r="X25" s="17"/>
      <c r="Y25" s="17"/>
      <c r="Z25" s="17"/>
      <c r="AA25" s="17"/>
      <c r="AB25" s="17"/>
      <c r="AC25" s="17"/>
      <c r="AD25" s="17"/>
      <c r="AE25" s="17"/>
      <c r="AG25" s="1"/>
      <c r="AH25" s="17"/>
      <c r="AI25" s="17"/>
      <c r="AJ25" s="17"/>
      <c r="AK25" s="17"/>
      <c r="AL25" s="17"/>
      <c r="AM25" s="17"/>
      <c r="AN25" s="17"/>
      <c r="AO25" s="17"/>
      <c r="AP25" s="17"/>
      <c r="AQ25" s="17"/>
      <c r="AR25" s="17"/>
      <c r="AS25" s="17"/>
      <c r="AT25" s="17"/>
      <c r="AU25" s="17"/>
    </row>
    <row r="26" spans="1:47" x14ac:dyDescent="0.2">
      <c r="A26" t="str">
        <f>$A$8</f>
        <v>Managers, directors and senior officials</v>
      </c>
      <c r="B26" s="18">
        <f>B8/B$18*100</f>
        <v>8.2774298036738347</v>
      </c>
      <c r="C26" s="18">
        <f t="shared" ref="C26:O26" si="22">C8/C$18*100</f>
        <v>2.2672222158143862</v>
      </c>
      <c r="D26" s="18">
        <f t="shared" si="22"/>
        <v>15.510336130322635</v>
      </c>
      <c r="E26" s="18">
        <f t="shared" si="22"/>
        <v>7.3525417975637</v>
      </c>
      <c r="F26" s="18"/>
      <c r="G26" s="18">
        <f t="shared" si="22"/>
        <v>9.5376737966808491</v>
      </c>
      <c r="H26" s="18">
        <f t="shared" si="22"/>
        <v>3.316309783741807</v>
      </c>
      <c r="I26" s="18">
        <f t="shared" si="22"/>
        <v>16.100148883385952</v>
      </c>
      <c r="J26" s="18">
        <f t="shared" si="22"/>
        <v>8.4031935465523144</v>
      </c>
      <c r="K26" s="18"/>
      <c r="L26" s="18">
        <f t="shared" si="22"/>
        <v>10.41548766231103</v>
      </c>
      <c r="M26" s="18">
        <f t="shared" si="22"/>
        <v>4.1860863192087585</v>
      </c>
      <c r="N26" s="18">
        <f t="shared" si="22"/>
        <v>16.662473824930679</v>
      </c>
      <c r="O26" s="18">
        <f t="shared" si="22"/>
        <v>9.271748701426592</v>
      </c>
      <c r="Q26" t="str">
        <f>$A$8</f>
        <v>Managers, directors and senior officials</v>
      </c>
      <c r="R26" s="18">
        <f>R8/R$18*100</f>
        <v>9.4911660742313941</v>
      </c>
      <c r="S26" s="18">
        <f t="shared" ref="S26:U26" si="23">S8/S$18*100</f>
        <v>3.0066027936190092</v>
      </c>
      <c r="T26" s="18">
        <f t="shared" si="23"/>
        <v>15.627636939327926</v>
      </c>
      <c r="U26" s="18">
        <f t="shared" si="23"/>
        <v>9.4001149775526684</v>
      </c>
      <c r="V26" s="18"/>
      <c r="W26" s="18">
        <f t="shared" ref="W26:Z26" si="24">W8/W$18*100</f>
        <v>10.923640791431097</v>
      </c>
      <c r="X26" s="18">
        <f t="shared" si="24"/>
        <v>4.3224774084969493</v>
      </c>
      <c r="Y26" s="18">
        <f t="shared" si="24"/>
        <v>13.9838809148255</v>
      </c>
      <c r="Z26" s="18">
        <f t="shared" si="24"/>
        <v>10.27552927987368</v>
      </c>
      <c r="AA26" s="18"/>
      <c r="AB26" s="18">
        <f t="shared" ref="AB26:AE26" si="25">AB8/AB$18*100</f>
        <v>11.589552907077778</v>
      </c>
      <c r="AC26" s="18">
        <f t="shared" si="25"/>
        <v>5.6473991008987818</v>
      </c>
      <c r="AD26" s="18">
        <f t="shared" si="25"/>
        <v>15.609327884357715</v>
      </c>
      <c r="AE26" s="18">
        <f t="shared" si="25"/>
        <v>11.114371871646409</v>
      </c>
      <c r="AG26" t="str">
        <f>$A$8</f>
        <v>Managers, directors and senior officials</v>
      </c>
      <c r="AH26" s="18">
        <f>AH8/AH$18*100</f>
        <v>6.2777043505782153</v>
      </c>
      <c r="AI26" s="18">
        <f t="shared" ref="AI26:AK26" si="26">AI8/AI$18*100</f>
        <v>2.0191533583976184</v>
      </c>
      <c r="AJ26" s="18">
        <f t="shared" si="26"/>
        <v>15.3162557850096</v>
      </c>
      <c r="AK26" s="18">
        <f t="shared" si="26"/>
        <v>5.1650588368878863</v>
      </c>
      <c r="AL26" s="18"/>
      <c r="AM26" s="18">
        <f t="shared" ref="AM26:AP26" si="27">AM8/AM$18*100</f>
        <v>7.3108375493456501</v>
      </c>
      <c r="AN26" s="18">
        <f t="shared" si="27"/>
        <v>2.9447855051271374</v>
      </c>
      <c r="AO26" s="18">
        <f t="shared" si="27"/>
        <v>19.099068663152956</v>
      </c>
      <c r="AP26" s="18">
        <f t="shared" si="27"/>
        <v>6.4252571650619625</v>
      </c>
      <c r="AQ26" s="18"/>
      <c r="AR26" s="18">
        <f t="shared" ref="AR26:AU26" si="28">AR8/AR$18*100</f>
        <v>8.7168152281443323</v>
      </c>
      <c r="AS26" s="18">
        <f t="shared" si="28"/>
        <v>3.6059316183018213</v>
      </c>
      <c r="AT26" s="18">
        <f t="shared" si="28"/>
        <v>18.213589278443898</v>
      </c>
      <c r="AU26" s="18">
        <f t="shared" si="28"/>
        <v>7.3961686879527369</v>
      </c>
    </row>
    <row r="27" spans="1:47" x14ac:dyDescent="0.2">
      <c r="A27" t="str">
        <f>$A$9</f>
        <v>Professional occupations</v>
      </c>
      <c r="B27" s="18">
        <f t="shared" ref="B27:B34" si="29">B9/B$18*100</f>
        <v>22.141429329557294</v>
      </c>
      <c r="C27" s="18">
        <f t="shared" ref="C27:O27" si="30">C9/C$18*100</f>
        <v>11.809403450679012</v>
      </c>
      <c r="D27" s="18">
        <f t="shared" si="30"/>
        <v>14.915227184697372</v>
      </c>
      <c r="E27" s="18">
        <f t="shared" si="30"/>
        <v>18.403768066333125</v>
      </c>
      <c r="F27" s="18"/>
      <c r="G27" s="18">
        <f t="shared" si="30"/>
        <v>24.726239727139866</v>
      </c>
      <c r="H27" s="18">
        <f t="shared" si="30"/>
        <v>14.385985719391019</v>
      </c>
      <c r="I27" s="18">
        <f t="shared" si="30"/>
        <v>14.002369404959383</v>
      </c>
      <c r="J27" s="18">
        <f t="shared" si="30"/>
        <v>20.685352425731974</v>
      </c>
      <c r="K27" s="18"/>
      <c r="L27" s="18">
        <f t="shared" si="30"/>
        <v>28.493070549634869</v>
      </c>
      <c r="M27" s="18">
        <f t="shared" si="30"/>
        <v>17.642055257809268</v>
      </c>
      <c r="N27" s="18">
        <f t="shared" si="30"/>
        <v>11.50678793247179</v>
      </c>
      <c r="O27" s="18">
        <f t="shared" si="30"/>
        <v>23.703148503525064</v>
      </c>
      <c r="Q27" t="str">
        <f>$A$9</f>
        <v>Professional occupations</v>
      </c>
      <c r="R27" s="18">
        <f t="shared" ref="R27:U27" si="31">R9/R$18*100</f>
        <v>20.126383921850643</v>
      </c>
      <c r="S27" s="18">
        <f t="shared" si="31"/>
        <v>7.1187512390082652</v>
      </c>
      <c r="T27" s="18">
        <f t="shared" si="31"/>
        <v>14.857134402777088</v>
      </c>
      <c r="U27" s="18">
        <f t="shared" si="31"/>
        <v>17.626470774202236</v>
      </c>
      <c r="V27" s="18"/>
      <c r="W27" s="18">
        <f t="shared" ref="W27:Z27" si="32">W9/W$18*100</f>
        <v>22.01344338375489</v>
      </c>
      <c r="X27" s="18">
        <f t="shared" si="32"/>
        <v>9.3168201433664031</v>
      </c>
      <c r="Y27" s="18">
        <f t="shared" si="32"/>
        <v>10.850036796261403</v>
      </c>
      <c r="Z27" s="18">
        <f t="shared" si="32"/>
        <v>18.828102339815224</v>
      </c>
      <c r="AA27" s="18"/>
      <c r="AB27" s="18">
        <f t="shared" ref="AB27:AE27" si="33">AB9/AB$18*100</f>
        <v>25.304521307933275</v>
      </c>
      <c r="AC27" s="18">
        <f t="shared" si="33"/>
        <v>11.222987289282329</v>
      </c>
      <c r="AD27" s="18">
        <f t="shared" si="33"/>
        <v>8.8765265406348313</v>
      </c>
      <c r="AE27" s="18">
        <f t="shared" si="33"/>
        <v>21.102020011351289</v>
      </c>
      <c r="AG27" t="str">
        <f>$A$9</f>
        <v>Professional occupations</v>
      </c>
      <c r="AH27" s="18">
        <f t="shared" ref="AH27:AK27" si="34">AH9/AH$18*100</f>
        <v>25.461374270383192</v>
      </c>
      <c r="AI27" s="18">
        <f>AI9/AI$18*100</f>
        <v>13.383159604977227</v>
      </c>
      <c r="AJ27" s="18">
        <f t="shared" si="34"/>
        <v>15.01134474152321</v>
      </c>
      <c r="AK27" s="18">
        <f t="shared" si="34"/>
        <v>19.234177742789697</v>
      </c>
      <c r="AL27" s="18"/>
      <c r="AM27" s="18">
        <f t="shared" ref="AM27:AP27" si="35">AM9/AM$18*100</f>
        <v>29.084895634509934</v>
      </c>
      <c r="AN27" s="18">
        <f t="shared" si="35"/>
        <v>16.257759405479529</v>
      </c>
      <c r="AO27" s="18">
        <f t="shared" si="35"/>
        <v>18.469475061271648</v>
      </c>
      <c r="AP27" s="18">
        <f t="shared" si="35"/>
        <v>22.647352321949469</v>
      </c>
      <c r="AQ27" s="18"/>
      <c r="AR27" s="18">
        <f t="shared" ref="AR27:AU27" si="36">AR9/AR$18*100</f>
        <v>33.106358206350848</v>
      </c>
      <c r="AS27" s="18">
        <f t="shared" si="36"/>
        <v>20.19048465912822</v>
      </c>
      <c r="AT27" s="18">
        <f t="shared" si="36"/>
        <v>15.380742086857985</v>
      </c>
      <c r="AU27" s="18">
        <f t="shared" si="36"/>
        <v>26.350800335568675</v>
      </c>
    </row>
    <row r="28" spans="1:47" x14ac:dyDescent="0.2">
      <c r="A28" t="str">
        <f>$A$10</f>
        <v>Associate professional occupations</v>
      </c>
      <c r="B28" s="18">
        <f t="shared" si="29"/>
        <v>11.957177533933036</v>
      </c>
      <c r="C28" s="18">
        <f t="shared" ref="C28:O28" si="37">C10/C$18*100</f>
        <v>6.9448582938577461</v>
      </c>
      <c r="D28" s="18">
        <f t="shared" si="37"/>
        <v>11.948795291333912</v>
      </c>
      <c r="E28" s="18">
        <f t="shared" si="37"/>
        <v>10.525988782033064</v>
      </c>
      <c r="F28" s="18"/>
      <c r="G28" s="18">
        <f t="shared" si="37"/>
        <v>13.449228981636377</v>
      </c>
      <c r="H28" s="18">
        <f t="shared" si="37"/>
        <v>8.1080071096297406</v>
      </c>
      <c r="I28" s="18">
        <f t="shared" si="37"/>
        <v>11.392350695482504</v>
      </c>
      <c r="J28" s="18">
        <f t="shared" si="37"/>
        <v>11.708918754237676</v>
      </c>
      <c r="K28" s="18"/>
      <c r="L28" s="18">
        <f t="shared" si="37"/>
        <v>13.260091757402718</v>
      </c>
      <c r="M28" s="18">
        <f t="shared" si="37"/>
        <v>8.5402477286271932</v>
      </c>
      <c r="N28" s="18">
        <f t="shared" si="37"/>
        <v>10.608054706173032</v>
      </c>
      <c r="O28" s="18">
        <f t="shared" si="37"/>
        <v>11.652117746881034</v>
      </c>
      <c r="Q28" t="str">
        <f>$A$10</f>
        <v>Associate professional occupations</v>
      </c>
      <c r="R28" s="18">
        <f t="shared" ref="R28:U28" si="38">R10/R$18*100</f>
        <v>12.128482008328852</v>
      </c>
      <c r="S28" s="18">
        <f t="shared" si="38"/>
        <v>5.021483529742313</v>
      </c>
      <c r="T28" s="18">
        <f t="shared" si="38"/>
        <v>9.5180209006000123</v>
      </c>
      <c r="U28" s="18">
        <f t="shared" si="38"/>
        <v>10.797996283620314</v>
      </c>
      <c r="V28" s="18"/>
      <c r="W28" s="18">
        <f t="shared" ref="W28:Z28" si="39">W10/W$18*100</f>
        <v>13.668989428798325</v>
      </c>
      <c r="X28" s="18">
        <f t="shared" si="39"/>
        <v>6.4764622691826661</v>
      </c>
      <c r="Y28" s="18">
        <f t="shared" si="39"/>
        <v>8.9503718016241063</v>
      </c>
      <c r="Z28" s="18">
        <f t="shared" si="39"/>
        <v>12.047073444555268</v>
      </c>
      <c r="AA28" s="18"/>
      <c r="AB28" s="18">
        <f t="shared" ref="AB28:AE28" si="40">AB10/AB$18*100</f>
        <v>12.721995425775351</v>
      </c>
      <c r="AC28" s="18">
        <f t="shared" si="40"/>
        <v>5.4206131910268534</v>
      </c>
      <c r="AD28" s="18">
        <f t="shared" si="40"/>
        <v>8.3570518717336117</v>
      </c>
      <c r="AE28" s="18">
        <f t="shared" si="40"/>
        <v>11.035251052801694</v>
      </c>
      <c r="AG28" t="str">
        <f>$A$10</f>
        <v>Associate professional occupations</v>
      </c>
      <c r="AH28" s="18">
        <f t="shared" ref="AH28:AK28" si="41">AH10/AH$18*100</f>
        <v>11.674940011673684</v>
      </c>
      <c r="AI28" s="18">
        <f t="shared" si="41"/>
        <v>7.5901678873759568</v>
      </c>
      <c r="AJ28" s="18">
        <f t="shared" si="41"/>
        <v>15.970639105816661</v>
      </c>
      <c r="AK28" s="18">
        <f t="shared" si="41"/>
        <v>10.235395126717984</v>
      </c>
      <c r="AL28" s="18"/>
      <c r="AM28" s="18">
        <f t="shared" ref="AM28:AP28" si="42">AM10/AM$18*100</f>
        <v>13.096139383309403</v>
      </c>
      <c r="AN28" s="18">
        <f t="shared" si="42"/>
        <v>8.7104499878947781</v>
      </c>
      <c r="AO28" s="18">
        <f t="shared" si="42"/>
        <v>14.852828723483396</v>
      </c>
      <c r="AP28" s="18">
        <f t="shared" si="42"/>
        <v>11.351691974527455</v>
      </c>
      <c r="AQ28" s="18"/>
      <c r="AR28" s="18">
        <f t="shared" ref="AR28:AU28" si="43">AR10/AR$18*100</f>
        <v>14.038625496933701</v>
      </c>
      <c r="AS28" s="18">
        <f t="shared" si="43"/>
        <v>9.7787715168112328</v>
      </c>
      <c r="AT28" s="18">
        <f t="shared" si="43"/>
        <v>13.92342169177954</v>
      </c>
      <c r="AU28" s="18">
        <f t="shared" si="43"/>
        <v>12.280017613273614</v>
      </c>
    </row>
    <row r="29" spans="1:47" x14ac:dyDescent="0.2">
      <c r="A29" t="str">
        <f>$A$11</f>
        <v>Administrative and secretarial occupations</v>
      </c>
      <c r="B29" s="18">
        <f t="shared" si="29"/>
        <v>10.719382947303718</v>
      </c>
      <c r="C29" s="18">
        <f t="shared" ref="C29:O29" si="44">C11/C$18*100</f>
        <v>15.176078160677564</v>
      </c>
      <c r="D29" s="18">
        <f t="shared" si="44"/>
        <v>4.2962922562836345</v>
      </c>
      <c r="E29" s="18">
        <f t="shared" si="44"/>
        <v>11.289439321391614</v>
      </c>
      <c r="F29" s="18"/>
      <c r="G29" s="18">
        <f t="shared" si="44"/>
        <v>10.389392630371777</v>
      </c>
      <c r="H29" s="18">
        <f t="shared" si="44"/>
        <v>14.637951925401888</v>
      </c>
      <c r="I29" s="18">
        <f t="shared" si="44"/>
        <v>3.8860748668408696</v>
      </c>
      <c r="J29" s="18">
        <f t="shared" si="44"/>
        <v>10.962673944419896</v>
      </c>
      <c r="K29" s="18"/>
      <c r="L29" s="18">
        <f t="shared" si="44"/>
        <v>8.7099592962354535</v>
      </c>
      <c r="M29" s="18">
        <f t="shared" si="44"/>
        <v>12.176678427845241</v>
      </c>
      <c r="N29" s="18">
        <f t="shared" si="44"/>
        <v>4.8519968343596673</v>
      </c>
      <c r="O29" s="18">
        <f t="shared" si="44"/>
        <v>9.3081663582302063</v>
      </c>
      <c r="Q29" t="str">
        <f>$A$11</f>
        <v>Administrative and secretarial occupations</v>
      </c>
      <c r="R29" s="18">
        <f t="shared" ref="R29:U29" si="45">R11/R$18*100</f>
        <v>6.0502758205711586</v>
      </c>
      <c r="S29" s="18">
        <f t="shared" si="45"/>
        <v>6.6414348321338306</v>
      </c>
      <c r="T29" s="18">
        <f t="shared" si="45"/>
        <v>2.2597131232013652</v>
      </c>
      <c r="U29" s="18">
        <f t="shared" si="45"/>
        <v>5.6326377497494997</v>
      </c>
      <c r="V29" s="18"/>
      <c r="W29" s="18">
        <f t="shared" ref="W29:Z29" si="46">W11/W$18*100</f>
        <v>6.5734890635662779</v>
      </c>
      <c r="X29" s="18">
        <f t="shared" si="46"/>
        <v>7.3032043630220143</v>
      </c>
      <c r="Y29" s="18">
        <f t="shared" si="46"/>
        <v>1.607713693742105</v>
      </c>
      <c r="Z29" s="18">
        <f t="shared" si="46"/>
        <v>6.118921472271194</v>
      </c>
      <c r="AA29" s="18"/>
      <c r="AB29" s="18">
        <f t="shared" ref="AB29:AE29" si="47">AB11/AB$18*100</f>
        <v>6.9532306592596962</v>
      </c>
      <c r="AC29" s="18">
        <f t="shared" si="47"/>
        <v>6.7971260914587273</v>
      </c>
      <c r="AD29" s="18">
        <f t="shared" si="47"/>
        <v>2.2902537671325698</v>
      </c>
      <c r="AE29" s="18">
        <f t="shared" si="47"/>
        <v>6.3755070461660468</v>
      </c>
      <c r="AG29" t="str">
        <f>$A$11</f>
        <v>Administrative and secretarial occupations</v>
      </c>
      <c r="AH29" s="18">
        <f t="shared" ref="AH29:AK29" si="48">AH11/AH$18*100</f>
        <v>18.41210219039607</v>
      </c>
      <c r="AI29" s="18">
        <f t="shared" si="48"/>
        <v>18.039528030104528</v>
      </c>
      <c r="AJ29" s="18">
        <f t="shared" si="48"/>
        <v>7.6659193266999299</v>
      </c>
      <c r="AK29" s="18">
        <f t="shared" si="48"/>
        <v>17.332767672643996</v>
      </c>
      <c r="AL29" s="18"/>
      <c r="AM29" s="18">
        <f t="shared" ref="AM29:AP29" si="49">AM11/AM$18*100</f>
        <v>16.52041336252816</v>
      </c>
      <c r="AN29" s="18">
        <f t="shared" si="49"/>
        <v>17.346284741812116</v>
      </c>
      <c r="AO29" s="18">
        <f t="shared" si="49"/>
        <v>7.1146935904455049</v>
      </c>
      <c r="AP29" s="18">
        <f t="shared" si="49"/>
        <v>16.079616417446122</v>
      </c>
      <c r="AQ29" s="18"/>
      <c r="AR29" s="18">
        <f t="shared" ref="AR29:AU29" si="50">AR11/AR$18*100</f>
        <v>11.251646415621067</v>
      </c>
      <c r="AS29" s="18">
        <f t="shared" si="50"/>
        <v>14.312410500974792</v>
      </c>
      <c r="AT29" s="18">
        <f t="shared" si="50"/>
        <v>8.6250344604122944</v>
      </c>
      <c r="AU29" s="18">
        <f t="shared" si="50"/>
        <v>12.293278713774582</v>
      </c>
    </row>
    <row r="30" spans="1:47" x14ac:dyDescent="0.2">
      <c r="A30" t="str">
        <f>$A$12</f>
        <v>Skilled trades occupations</v>
      </c>
      <c r="B30" s="18">
        <f t="shared" si="29"/>
        <v>13.36416387966165</v>
      </c>
      <c r="C30" s="18">
        <f t="shared" ref="C30:O30" si="51">C12/C$18*100</f>
        <v>3.1097891729774774</v>
      </c>
      <c r="D30" s="18">
        <f t="shared" si="51"/>
        <v>24.403970802008146</v>
      </c>
      <c r="E30" s="18">
        <f t="shared" si="51"/>
        <v>11.644068007125156</v>
      </c>
      <c r="F30" s="18"/>
      <c r="G30" s="18">
        <f t="shared" si="51"/>
        <v>11.154794458943716</v>
      </c>
      <c r="H30" s="18">
        <f t="shared" si="51"/>
        <v>2.5446391423555528</v>
      </c>
      <c r="I30" s="18">
        <f t="shared" si="51"/>
        <v>25.144884033226127</v>
      </c>
      <c r="J30" s="18">
        <f t="shared" si="51"/>
        <v>10.07373008551054</v>
      </c>
      <c r="K30" s="18"/>
      <c r="L30" s="18">
        <f t="shared" si="51"/>
        <v>8.9344134142966141</v>
      </c>
      <c r="M30" s="18">
        <f t="shared" si="51"/>
        <v>2.7117908721203414</v>
      </c>
      <c r="N30" s="18">
        <f t="shared" si="51"/>
        <v>24.836344054103868</v>
      </c>
      <c r="O30" s="18">
        <f t="shared" si="51"/>
        <v>8.7618537189575747</v>
      </c>
      <c r="Q30" t="str">
        <f>$A$12</f>
        <v>Skilled trades occupations</v>
      </c>
      <c r="R30" s="18">
        <f t="shared" ref="R30:U30" si="52">R12/R$18*100</f>
        <v>20.365886778498258</v>
      </c>
      <c r="S30" s="18">
        <f t="shared" si="52"/>
        <v>7.6371336347784524</v>
      </c>
      <c r="T30" s="18">
        <f t="shared" si="52"/>
        <v>33.722604442217779</v>
      </c>
      <c r="U30" s="18">
        <f t="shared" si="52"/>
        <v>20.36001229427815</v>
      </c>
      <c r="V30" s="18"/>
      <c r="W30" s="18">
        <f t="shared" ref="W30:Z30" si="53">W12/W$18*100</f>
        <v>16.864699830147181</v>
      </c>
      <c r="X30" s="18">
        <f t="shared" si="53"/>
        <v>5.6431174125140986</v>
      </c>
      <c r="Y30" s="18">
        <f t="shared" si="53"/>
        <v>36.419109415003355</v>
      </c>
      <c r="Z30" s="18">
        <f t="shared" si="53"/>
        <v>17.395000019766719</v>
      </c>
      <c r="AA30" s="18"/>
      <c r="AB30" s="18">
        <f t="shared" ref="AB30:AE30" si="54">AB12/AB$18*100</f>
        <v>13.777337092172429</v>
      </c>
      <c r="AC30" s="18">
        <f t="shared" si="54"/>
        <v>5.8798973762131972</v>
      </c>
      <c r="AD30" s="18">
        <f t="shared" si="54"/>
        <v>34.018926938806608</v>
      </c>
      <c r="AE30" s="18">
        <f t="shared" si="54"/>
        <v>14.911850058320066</v>
      </c>
      <c r="AG30" t="str">
        <f>$A$12</f>
        <v>Skilled trades occupations</v>
      </c>
      <c r="AH30" s="18">
        <f t="shared" ref="AH30:AK30" si="55">AH12/AH$18*100</f>
        <v>1.8282776777158602</v>
      </c>
      <c r="AI30" s="18">
        <f t="shared" si="55"/>
        <v>1.5908242427573742</v>
      </c>
      <c r="AJ30" s="18">
        <f t="shared" si="55"/>
        <v>8.9858023334844717</v>
      </c>
      <c r="AK30" s="18">
        <f t="shared" si="55"/>
        <v>2.3325670553253746</v>
      </c>
      <c r="AL30" s="18"/>
      <c r="AM30" s="18">
        <f t="shared" ref="AM30:AP30" si="56">AM12/AM$18*100</f>
        <v>1.980676822945314</v>
      </c>
      <c r="AN30" s="18">
        <f t="shared" si="56"/>
        <v>1.400535639319441</v>
      </c>
      <c r="AO30" s="18">
        <f t="shared" si="56"/>
        <v>9.1684112985555224</v>
      </c>
      <c r="AP30" s="18">
        <f t="shared" si="56"/>
        <v>2.3395369576633391</v>
      </c>
      <c r="AQ30" s="18"/>
      <c r="AR30" s="18">
        <f t="shared" ref="AR30:AU30" si="57">AR12/AR$18*100</f>
        <v>1.9275277330708713</v>
      </c>
      <c r="AS30" s="18">
        <f t="shared" si="57"/>
        <v>1.4540232645602025</v>
      </c>
      <c r="AT30" s="18">
        <f t="shared" si="57"/>
        <v>11.311868796781416</v>
      </c>
      <c r="AU30" s="18">
        <f t="shared" si="57"/>
        <v>2.5018595956504055</v>
      </c>
    </row>
    <row r="31" spans="1:47" x14ac:dyDescent="0.2">
      <c r="A31" t="str">
        <f>$A$13</f>
        <v>Caring, leisure and other service occupations</v>
      </c>
      <c r="B31" s="18">
        <f t="shared" si="29"/>
        <v>7.5234856513739938</v>
      </c>
      <c r="C31" s="18">
        <f t="shared" ref="C31:O31" si="58">C13/C$18*100</f>
        <v>13.429046468799161</v>
      </c>
      <c r="D31" s="18">
        <f t="shared" si="58"/>
        <v>7.1361518849980499</v>
      </c>
      <c r="E31" s="18">
        <f t="shared" si="58"/>
        <v>9.1663336334940304</v>
      </c>
      <c r="F31" s="18"/>
      <c r="G31" s="18">
        <f t="shared" si="58"/>
        <v>7.0606412837095078</v>
      </c>
      <c r="H31" s="18">
        <f t="shared" si="58"/>
        <v>13.156063939574372</v>
      </c>
      <c r="I31" s="18">
        <f t="shared" si="58"/>
        <v>8.3919758786894896</v>
      </c>
      <c r="J31" s="18">
        <f t="shared" si="58"/>
        <v>8.9454574905111226</v>
      </c>
      <c r="K31" s="18"/>
      <c r="L31" s="18">
        <f t="shared" si="58"/>
        <v>7.4968921219829827</v>
      </c>
      <c r="M31" s="18">
        <f t="shared" si="58"/>
        <v>13.54292378707847</v>
      </c>
      <c r="N31" s="18">
        <f t="shared" si="58"/>
        <v>8.7862529388526429</v>
      </c>
      <c r="O31" s="18">
        <f t="shared" si="58"/>
        <v>9.3450713883013439</v>
      </c>
      <c r="Q31" t="str">
        <f>$A$13</f>
        <v>Caring, leisure and other service occupations</v>
      </c>
      <c r="R31" s="18">
        <f t="shared" ref="R31:U31" si="59">R13/R$18*100</f>
        <v>2.6605216464263668</v>
      </c>
      <c r="S31" s="18">
        <f t="shared" si="59"/>
        <v>6.1645344692832484</v>
      </c>
      <c r="T31" s="18">
        <f t="shared" si="59"/>
        <v>2.0854360872457258</v>
      </c>
      <c r="U31" s="18">
        <f t="shared" si="59"/>
        <v>3.0710272074100349</v>
      </c>
      <c r="V31" s="18"/>
      <c r="W31" s="18">
        <f t="shared" ref="W31:Z31" si="60">W13/W$18*100</f>
        <v>2.7414049949657446</v>
      </c>
      <c r="X31" s="18">
        <f t="shared" si="60"/>
        <v>6.7455173221126046</v>
      </c>
      <c r="Y31" s="18">
        <f t="shared" si="60"/>
        <v>1.5991031810545373</v>
      </c>
      <c r="Z31" s="18">
        <f t="shared" si="60"/>
        <v>3.215722949207763</v>
      </c>
      <c r="AA31" s="18"/>
      <c r="AB31" s="18">
        <f t="shared" ref="AB31:AE31" si="61">AB13/AB$18*100</f>
        <v>3.2001285795043302</v>
      </c>
      <c r="AC31" s="18">
        <f t="shared" si="61"/>
        <v>7.3834559847388102</v>
      </c>
      <c r="AD31" s="18">
        <f t="shared" si="61"/>
        <v>2.3060888953394345</v>
      </c>
      <c r="AE31" s="18">
        <f t="shared" si="61"/>
        <v>3.7641326521249368</v>
      </c>
      <c r="AG31" t="str">
        <f>$A$13</f>
        <v>Caring, leisure and other service occupations</v>
      </c>
      <c r="AH31" s="18">
        <f t="shared" ref="AH31:AK31" si="62">AH13/AH$18*100</f>
        <v>15.535599266232348</v>
      </c>
      <c r="AI31" s="18">
        <f t="shared" si="62"/>
        <v>15.86635581327927</v>
      </c>
      <c r="AJ31" s="18">
        <f t="shared" si="62"/>
        <v>15.492826271290088</v>
      </c>
      <c r="AK31" s="18">
        <f t="shared" si="62"/>
        <v>15.678129684284482</v>
      </c>
      <c r="AL31" s="18"/>
      <c r="AM31" s="18">
        <f t="shared" ref="AM31:AP31" si="63">AM13/AM$18*100</f>
        <v>14.000367817611195</v>
      </c>
      <c r="AN31" s="18">
        <f t="shared" si="63"/>
        <v>15.523138419989882</v>
      </c>
      <c r="AO31" s="18">
        <f t="shared" si="63"/>
        <v>18.018015962939213</v>
      </c>
      <c r="AP31" s="18">
        <f t="shared" si="63"/>
        <v>14.998351853330355</v>
      </c>
      <c r="AQ31" s="18"/>
      <c r="AR31" s="18">
        <f t="shared" ref="AR31:AU31" si="64">AR13/AR$18*100</f>
        <v>13.713577113106343</v>
      </c>
      <c r="AS31" s="18">
        <f t="shared" si="64"/>
        <v>15.988289519443827</v>
      </c>
      <c r="AT31" s="18">
        <f t="shared" si="64"/>
        <v>18.330497665016342</v>
      </c>
      <c r="AU31" s="18">
        <f t="shared" si="64"/>
        <v>15.025829841341858</v>
      </c>
    </row>
    <row r="32" spans="1:47" x14ac:dyDescent="0.2">
      <c r="A32" t="str">
        <f>$A$14</f>
        <v>Sales and customer service occupations</v>
      </c>
      <c r="B32" s="18">
        <f t="shared" si="29"/>
        <v>6.8819821655882487</v>
      </c>
      <c r="C32" s="18">
        <f t="shared" ref="C32:O32" si="65">C14/C$18*100</f>
        <v>23.021558830553971</v>
      </c>
      <c r="D32" s="18">
        <f t="shared" si="65"/>
        <v>6.7399469941255372</v>
      </c>
      <c r="E32" s="18">
        <f t="shared" si="65"/>
        <v>11.471919232703929</v>
      </c>
      <c r="F32" s="18"/>
      <c r="G32" s="18">
        <f t="shared" si="65"/>
        <v>6.5228022822188283</v>
      </c>
      <c r="H32" s="18">
        <f t="shared" si="65"/>
        <v>22.043987145371737</v>
      </c>
      <c r="I32" s="18">
        <f t="shared" si="65"/>
        <v>4.3452544194401872</v>
      </c>
      <c r="J32" s="18">
        <f t="shared" si="65"/>
        <v>10.767479991301135</v>
      </c>
      <c r="K32" s="18"/>
      <c r="L32" s="18">
        <f t="shared" si="65"/>
        <v>6.532255832308981</v>
      </c>
      <c r="M32" s="18">
        <f t="shared" si="65"/>
        <v>21.738201404424853</v>
      </c>
      <c r="N32" s="18">
        <f t="shared" si="65"/>
        <v>3.3474131513600733</v>
      </c>
      <c r="O32" s="18">
        <f t="shared" si="65"/>
        <v>10.535216529133834</v>
      </c>
      <c r="Q32" t="str">
        <f>$A$14</f>
        <v>Sales and customer service occupations</v>
      </c>
      <c r="R32" s="18">
        <f t="shared" ref="R32:U32" si="66">R14/R$18*100</f>
        <v>3.9073879299604366</v>
      </c>
      <c r="S32" s="18">
        <f t="shared" si="66"/>
        <v>24.668319787652468</v>
      </c>
      <c r="T32" s="18">
        <f t="shared" si="66"/>
        <v>6.0987245914361088</v>
      </c>
      <c r="U32" s="18">
        <f t="shared" si="66"/>
        <v>7.0776262951450004</v>
      </c>
      <c r="V32" s="18"/>
      <c r="W32" s="18">
        <f t="shared" ref="W32:Z32" si="67">W14/W$18*100</f>
        <v>4.2802761153967595</v>
      </c>
      <c r="X32" s="18">
        <f t="shared" si="67"/>
        <v>22.431607811280159</v>
      </c>
      <c r="Y32" s="18">
        <f t="shared" si="67"/>
        <v>3.9654124933803394</v>
      </c>
      <c r="Z32" s="18">
        <f t="shared" si="67"/>
        <v>6.9834786875513446</v>
      </c>
      <c r="AA32" s="18"/>
      <c r="AB32" s="18">
        <f>AB14/AB$18*100</f>
        <v>4.9559715401335298</v>
      </c>
      <c r="AC32" s="18">
        <f t="shared" ref="AC32:AE32" si="68">AC14/AC$18*100</f>
        <v>22.132530832811128</v>
      </c>
      <c r="AD32" s="18">
        <f t="shared" si="68"/>
        <v>3.2372172093543727</v>
      </c>
      <c r="AE32" s="18">
        <f t="shared" si="68"/>
        <v>7.503142392864115</v>
      </c>
      <c r="AG32" t="str">
        <f>$A$14</f>
        <v>Sales and customer service occupations</v>
      </c>
      <c r="AH32" s="18">
        <f t="shared" ref="AH32:AK32" si="69">AH14/AH$18*100</f>
        <v>11.782858863360447</v>
      </c>
      <c r="AI32" s="18">
        <f t="shared" si="69"/>
        <v>22.469055665974089</v>
      </c>
      <c r="AJ32" s="18">
        <f t="shared" si="69"/>
        <v>7.8008831154681726</v>
      </c>
      <c r="AK32" s="18">
        <f t="shared" si="69"/>
        <v>16.166472286568439</v>
      </c>
      <c r="AL32" s="18"/>
      <c r="AM32" s="18">
        <f t="shared" ref="AM32:AP32" si="70">AM14/AM$18*100</f>
        <v>10.125874052897579</v>
      </c>
      <c r="AN32" s="18">
        <f t="shared" si="70"/>
        <v>21.900859415225568</v>
      </c>
      <c r="AO32" s="18">
        <f t="shared" si="70"/>
        <v>4.8835205946923335</v>
      </c>
      <c r="AP32" s="18">
        <f t="shared" si="70"/>
        <v>14.764900813376011</v>
      </c>
      <c r="AQ32" s="18"/>
      <c r="AR32" s="18">
        <f t="shared" ref="AR32:AU32" si="71">AR14/AR$18*100</f>
        <v>8.8128707193124587</v>
      </c>
      <c r="AS32" s="18">
        <f t="shared" si="71"/>
        <v>21.581648971262887</v>
      </c>
      <c r="AT32" s="18">
        <f t="shared" si="71"/>
        <v>3.5097141411606874</v>
      </c>
      <c r="AU32" s="18">
        <f t="shared" si="71"/>
        <v>13.621521825446848</v>
      </c>
    </row>
    <row r="33" spans="1:47" x14ac:dyDescent="0.2">
      <c r="A33" t="str">
        <f>$A$15</f>
        <v>Process, plant and machine operatives</v>
      </c>
      <c r="B33" s="18">
        <f t="shared" si="29"/>
        <v>10.22778506763304</v>
      </c>
      <c r="C33" s="18">
        <f t="shared" ref="C33:O33" si="72">C15/C$18*100</f>
        <v>2.8492703001746804</v>
      </c>
      <c r="D33" s="18">
        <f t="shared" si="72"/>
        <v>7.4234925148336321</v>
      </c>
      <c r="E33" s="18">
        <f t="shared" si="72"/>
        <v>7.8159691232888875</v>
      </c>
      <c r="F33" s="18"/>
      <c r="G33" s="18">
        <f t="shared" si="72"/>
        <v>8.9835967483660983</v>
      </c>
      <c r="H33" s="18">
        <f t="shared" si="72"/>
        <v>3.0271502423511452</v>
      </c>
      <c r="I33" s="18">
        <f t="shared" si="72"/>
        <v>10.564987524987576</v>
      </c>
      <c r="J33" s="18">
        <f t="shared" si="72"/>
        <v>7.4289536775577254</v>
      </c>
      <c r="K33" s="18"/>
      <c r="L33" s="18">
        <f t="shared" si="72"/>
        <v>8.3626910834844193</v>
      </c>
      <c r="M33" s="18">
        <f t="shared" si="72"/>
        <v>3.6384893205572491</v>
      </c>
      <c r="N33" s="18">
        <f t="shared" si="72"/>
        <v>11.474272592453886</v>
      </c>
      <c r="O33" s="18">
        <f t="shared" si="72"/>
        <v>7.332083368189048</v>
      </c>
      <c r="Q33" t="str">
        <f>$A$15</f>
        <v>Process, plant and machine operatives</v>
      </c>
      <c r="R33" s="18">
        <f t="shared" ref="R33:U33" si="73">R15/R$18*100</f>
        <v>14.844919769456725</v>
      </c>
      <c r="S33" s="18">
        <f t="shared" si="73"/>
        <v>8.806992186122784</v>
      </c>
      <c r="T33" s="18">
        <f t="shared" si="73"/>
        <v>10.825940608923169</v>
      </c>
      <c r="U33" s="18">
        <f t="shared" si="73"/>
        <v>13.477133046626369</v>
      </c>
      <c r="V33" s="18"/>
      <c r="W33" s="18">
        <f t="shared" ref="W33:Z33" si="74">W15/W$18*100</f>
        <v>13.258015848817873</v>
      </c>
      <c r="X33" s="18">
        <f t="shared" si="74"/>
        <v>9.3859437344470926</v>
      </c>
      <c r="Y33" s="18">
        <f t="shared" si="74"/>
        <v>16.744520182968273</v>
      </c>
      <c r="Z33" s="18">
        <f t="shared" si="74"/>
        <v>13.070192279564072</v>
      </c>
      <c r="AA33" s="18"/>
      <c r="AB33" s="18">
        <f t="shared" ref="AB33:AE33" si="75">AB15/AB$18*100</f>
        <v>12.771774691339136</v>
      </c>
      <c r="AC33" s="18">
        <f t="shared" si="75"/>
        <v>10.169399017314461</v>
      </c>
      <c r="AD33" s="18">
        <f t="shared" si="75"/>
        <v>17.803725373338839</v>
      </c>
      <c r="AE33" s="18">
        <f t="shared" si="75"/>
        <v>12.951451503878578</v>
      </c>
      <c r="AG33" t="str">
        <f>$A$15</f>
        <v>Process, plant and machine operatives</v>
      </c>
      <c r="AH33" s="18">
        <f t="shared" ref="AH33:AK33" si="76">AH15/AH$18*100</f>
        <v>2.6206944602422606</v>
      </c>
      <c r="AI33" s="18">
        <f t="shared" si="76"/>
        <v>0.85040083373252739</v>
      </c>
      <c r="AJ33" s="18">
        <f t="shared" si="76"/>
        <v>1.7939635575283048</v>
      </c>
      <c r="AK33" s="18">
        <f t="shared" si="76"/>
        <v>1.7679803427559413</v>
      </c>
      <c r="AL33" s="18"/>
      <c r="AM33" s="18">
        <f t="shared" ref="AM33:AP33" si="77">AM15/AM$18*100</f>
        <v>2.1158780903880525</v>
      </c>
      <c r="AN33" s="18">
        <f t="shared" si="77"/>
        <v>0.67918544316023954</v>
      </c>
      <c r="AO33" s="18">
        <f t="shared" si="77"/>
        <v>1.8080989867461956</v>
      </c>
      <c r="AP33" s="18">
        <f t="shared" si="77"/>
        <v>1.4695464681558013</v>
      </c>
      <c r="AQ33" s="18"/>
      <c r="AR33" s="18">
        <f t="shared" ref="AR33:AU33" si="78">AR15/AR$18*100</f>
        <v>1.9834980889016571</v>
      </c>
      <c r="AS33" s="18">
        <f t="shared" si="78"/>
        <v>1.0456577178729505</v>
      </c>
      <c r="AT33" s="18">
        <f t="shared" si="78"/>
        <v>2.1520014403933225</v>
      </c>
      <c r="AU33" s="18">
        <f t="shared" si="78"/>
        <v>1.6122081739604726</v>
      </c>
    </row>
    <row r="34" spans="1:47" x14ac:dyDescent="0.2">
      <c r="A34" t="str">
        <f>$A$16</f>
        <v>Elementary occupations</v>
      </c>
      <c r="B34" s="18">
        <f t="shared" si="29"/>
        <v>8.9071636212751919</v>
      </c>
      <c r="C34" s="18">
        <f t="shared" ref="C34:O34" si="79">C16/C$18*100</f>
        <v>21.392773106466006</v>
      </c>
      <c r="D34" s="18">
        <f t="shared" si="79"/>
        <v>7.6257869413970978</v>
      </c>
      <c r="E34" s="18">
        <f t="shared" si="79"/>
        <v>12.329972036066497</v>
      </c>
      <c r="F34" s="18"/>
      <c r="G34" s="18">
        <f t="shared" si="79"/>
        <v>8.1756300909329802</v>
      </c>
      <c r="H34" s="18">
        <f t="shared" si="79"/>
        <v>18.779904992182743</v>
      </c>
      <c r="I34" s="18">
        <f t="shared" si="79"/>
        <v>6.1719542929879019</v>
      </c>
      <c r="J34" s="18">
        <f t="shared" si="79"/>
        <v>11.024240084177617</v>
      </c>
      <c r="K34" s="18"/>
      <c r="L34" s="18">
        <f t="shared" si="79"/>
        <v>7.7951382823429478</v>
      </c>
      <c r="M34" s="18">
        <f t="shared" si="79"/>
        <v>15.823526882328625</v>
      </c>
      <c r="N34" s="18">
        <f t="shared" si="79"/>
        <v>7.9264039652943579</v>
      </c>
      <c r="O34" s="18">
        <f t="shared" si="79"/>
        <v>10.090593685355319</v>
      </c>
      <c r="Q34" t="str">
        <f>$A$16</f>
        <v>Elementary occupations</v>
      </c>
      <c r="R34" s="18">
        <f t="shared" ref="R34:U34" si="80">R16/R$18*100</f>
        <v>10.42497605067617</v>
      </c>
      <c r="S34" s="18">
        <f t="shared" si="80"/>
        <v>30.934747527659628</v>
      </c>
      <c r="T34" s="18">
        <f t="shared" si="80"/>
        <v>5.0047889042708258</v>
      </c>
      <c r="U34" s="18">
        <f t="shared" si="80"/>
        <v>12.556981371415727</v>
      </c>
      <c r="V34" s="18"/>
      <c r="W34" s="18">
        <f t="shared" ref="W34:Z34" si="81">W16/W$18*100</f>
        <v>9.6760405431218661</v>
      </c>
      <c r="X34" s="18">
        <f t="shared" si="81"/>
        <v>28.374849535578029</v>
      </c>
      <c r="Y34" s="18">
        <f t="shared" si="81"/>
        <v>5.8798515211403997</v>
      </c>
      <c r="Z34" s="18">
        <f t="shared" si="81"/>
        <v>12.065979527394742</v>
      </c>
      <c r="AA34" s="18"/>
      <c r="AB34" s="18">
        <f t="shared" ref="AB34:AE34" si="82">AB16/AB$18*100</f>
        <v>8.7254877968044742</v>
      </c>
      <c r="AC34" s="18">
        <f t="shared" si="82"/>
        <v>25.346591116255706</v>
      </c>
      <c r="AD34" s="18">
        <f t="shared" si="82"/>
        <v>7.5008815193020331</v>
      </c>
      <c r="AE34" s="18">
        <f t="shared" si="82"/>
        <v>11.242273410846865</v>
      </c>
      <c r="AG34" t="str">
        <f>$A$16</f>
        <v>Elementary occupations</v>
      </c>
      <c r="AH34" s="18">
        <f t="shared" ref="AH34:AK34" si="83">AH16/AH$18*100</f>
        <v>6.4064489094179473</v>
      </c>
      <c r="AI34" s="18">
        <f t="shared" si="83"/>
        <v>18.191354563401422</v>
      </c>
      <c r="AJ34" s="18">
        <f t="shared" si="83"/>
        <v>11.962365763179561</v>
      </c>
      <c r="AK34" s="18">
        <f t="shared" si="83"/>
        <v>12.087451252026213</v>
      </c>
      <c r="AL34" s="18"/>
      <c r="AM34" s="18">
        <f t="shared" ref="AM34:AP34" si="84">AM16/AM$18*100</f>
        <v>5.7649172864647049</v>
      </c>
      <c r="AN34" s="18">
        <f t="shared" si="84"/>
        <v>15.2370014419913</v>
      </c>
      <c r="AO34" s="18">
        <f t="shared" si="84"/>
        <v>6.5858871187132335</v>
      </c>
      <c r="AP34" s="18">
        <f t="shared" si="84"/>
        <v>9.9237460284894752</v>
      </c>
      <c r="AQ34" s="18"/>
      <c r="AR34" s="18">
        <f t="shared" ref="AR34:AU34" si="85">AR16/AR$18*100</f>
        <v>6.4490809985587152</v>
      </c>
      <c r="AS34" s="18">
        <f t="shared" si="85"/>
        <v>12.042782231644065</v>
      </c>
      <c r="AT34" s="18">
        <f t="shared" si="85"/>
        <v>8.5531304391545291</v>
      </c>
      <c r="AU34" s="18">
        <f t="shared" si="85"/>
        <v>8.9183152130308123</v>
      </c>
    </row>
    <row r="35" spans="1:47" x14ac:dyDescent="0.2">
      <c r="B35" s="18"/>
      <c r="C35" s="18"/>
      <c r="D35" s="18"/>
      <c r="E35" s="18"/>
      <c r="F35" s="18"/>
      <c r="G35" s="18"/>
      <c r="H35" s="18"/>
      <c r="I35" s="18"/>
      <c r="J35" s="18"/>
      <c r="K35" s="18"/>
      <c r="L35" s="18"/>
      <c r="M35" s="18"/>
      <c r="N35" s="18"/>
      <c r="O35" s="18"/>
      <c r="R35" s="18"/>
      <c r="S35" s="18"/>
      <c r="T35" s="18"/>
      <c r="U35" s="18"/>
      <c r="V35" s="18"/>
      <c r="W35" s="18"/>
      <c r="X35" s="18"/>
      <c r="Y35" s="18"/>
      <c r="Z35" s="18"/>
      <c r="AA35" s="18"/>
      <c r="AB35" s="18"/>
      <c r="AC35" s="18"/>
      <c r="AD35" s="18"/>
      <c r="AE35" s="18"/>
      <c r="AH35" s="18"/>
      <c r="AI35" s="18"/>
      <c r="AJ35" s="18"/>
      <c r="AK35" s="18"/>
      <c r="AL35" s="18"/>
      <c r="AM35" s="18"/>
      <c r="AN35" s="18"/>
      <c r="AO35" s="18"/>
      <c r="AP35" s="18"/>
      <c r="AQ35" s="18"/>
      <c r="AR35" s="18"/>
      <c r="AS35" s="18"/>
      <c r="AT35" s="18"/>
      <c r="AU35" s="18"/>
    </row>
    <row r="36" spans="1:47" x14ac:dyDescent="0.2">
      <c r="A36" s="24" t="str">
        <f>$A$18</f>
        <v>All occupations</v>
      </c>
      <c r="B36" s="26">
        <f>B18/B$18*100</f>
        <v>100</v>
      </c>
      <c r="C36" s="26">
        <f t="shared" ref="C36:O36" si="86">C18/C$18*100</f>
        <v>100</v>
      </c>
      <c r="D36" s="26">
        <f t="shared" si="86"/>
        <v>100</v>
      </c>
      <c r="E36" s="26">
        <f t="shared" si="86"/>
        <v>100</v>
      </c>
      <c r="F36" s="26"/>
      <c r="G36" s="26">
        <f t="shared" si="86"/>
        <v>100</v>
      </c>
      <c r="H36" s="26">
        <f t="shared" si="86"/>
        <v>100</v>
      </c>
      <c r="I36" s="26">
        <f t="shared" si="86"/>
        <v>100</v>
      </c>
      <c r="J36" s="26">
        <f t="shared" si="86"/>
        <v>100</v>
      </c>
      <c r="K36" s="26"/>
      <c r="L36" s="26">
        <f t="shared" si="86"/>
        <v>100</v>
      </c>
      <c r="M36" s="26">
        <f t="shared" si="86"/>
        <v>100</v>
      </c>
      <c r="N36" s="26">
        <f t="shared" si="86"/>
        <v>100</v>
      </c>
      <c r="O36" s="26">
        <f t="shared" si="86"/>
        <v>100</v>
      </c>
      <c r="Q36" s="24" t="str">
        <f>$A$18</f>
        <v>All occupations</v>
      </c>
      <c r="R36" s="26">
        <f>R18/R$18*100</f>
        <v>100</v>
      </c>
      <c r="S36" s="26">
        <f t="shared" ref="S36:U36" si="87">S18/S$18*100</f>
        <v>100</v>
      </c>
      <c r="T36" s="26">
        <f t="shared" si="87"/>
        <v>100</v>
      </c>
      <c r="U36" s="26">
        <f t="shared" si="87"/>
        <v>100</v>
      </c>
      <c r="V36" s="26"/>
      <c r="W36" s="26">
        <f t="shared" ref="W36:Z36" si="88">W18/W$18*100</f>
        <v>100</v>
      </c>
      <c r="X36" s="26">
        <f t="shared" si="88"/>
        <v>100</v>
      </c>
      <c r="Y36" s="26">
        <f t="shared" si="88"/>
        <v>100</v>
      </c>
      <c r="Z36" s="26">
        <f t="shared" si="88"/>
        <v>100</v>
      </c>
      <c r="AA36" s="26"/>
      <c r="AB36" s="26">
        <f t="shared" ref="AB36:AE36" si="89">AB18/AB$18*100</f>
        <v>100</v>
      </c>
      <c r="AC36" s="26">
        <f t="shared" si="89"/>
        <v>100</v>
      </c>
      <c r="AD36" s="26">
        <f t="shared" si="89"/>
        <v>100</v>
      </c>
      <c r="AE36" s="26">
        <f t="shared" si="89"/>
        <v>100</v>
      </c>
      <c r="AG36" s="24" t="str">
        <f>$A$18</f>
        <v>All occupations</v>
      </c>
      <c r="AH36" s="26">
        <f>AH18/AH$18*100</f>
        <v>100</v>
      </c>
      <c r="AI36" s="26">
        <f t="shared" ref="AI36:AK36" si="90">AI18/AI$18*100</f>
        <v>100</v>
      </c>
      <c r="AJ36" s="26">
        <f t="shared" si="90"/>
        <v>100</v>
      </c>
      <c r="AK36" s="26">
        <f t="shared" si="90"/>
        <v>100</v>
      </c>
      <c r="AL36" s="26"/>
      <c r="AM36" s="26">
        <f t="shared" ref="AM36:AP36" si="91">AM18/AM$18*100</f>
        <v>100</v>
      </c>
      <c r="AN36" s="26">
        <f t="shared" si="91"/>
        <v>100</v>
      </c>
      <c r="AO36" s="26">
        <f t="shared" si="91"/>
        <v>100</v>
      </c>
      <c r="AP36" s="26">
        <f t="shared" si="91"/>
        <v>100</v>
      </c>
      <c r="AQ36" s="26"/>
      <c r="AR36" s="26">
        <f t="shared" ref="AR36:AU36" si="92">AR18/AR$18*100</f>
        <v>100</v>
      </c>
      <c r="AS36" s="26">
        <f t="shared" si="92"/>
        <v>100</v>
      </c>
      <c r="AT36" s="26">
        <f t="shared" si="92"/>
        <v>100</v>
      </c>
      <c r="AU36" s="26">
        <f t="shared" si="92"/>
        <v>100</v>
      </c>
    </row>
    <row r="37" spans="1:47" x14ac:dyDescent="0.2">
      <c r="B37" s="18"/>
      <c r="C37" s="18"/>
      <c r="D37" s="18"/>
      <c r="E37" s="18"/>
      <c r="F37" s="18"/>
      <c r="G37" s="18"/>
      <c r="H37" s="18"/>
      <c r="I37" s="18"/>
      <c r="J37" s="18"/>
      <c r="K37" s="18"/>
      <c r="L37" s="18"/>
      <c r="M37" s="18"/>
      <c r="N37" s="18"/>
      <c r="O37" s="18"/>
      <c r="R37" s="18"/>
      <c r="S37" s="18"/>
      <c r="T37" s="18"/>
      <c r="U37" s="18"/>
      <c r="V37" s="18"/>
      <c r="W37" s="18"/>
      <c r="X37" s="18"/>
      <c r="Y37" s="18"/>
      <c r="Z37" s="18"/>
      <c r="AA37" s="18"/>
      <c r="AB37" s="18"/>
      <c r="AC37" s="18"/>
      <c r="AD37" s="18"/>
      <c r="AE37" s="18"/>
      <c r="AH37" s="18"/>
      <c r="AI37" s="18"/>
      <c r="AJ37" s="18"/>
      <c r="AK37" s="18"/>
      <c r="AL37" s="18"/>
      <c r="AM37" s="18"/>
      <c r="AN37" s="18"/>
      <c r="AO37" s="18"/>
      <c r="AP37" s="18"/>
      <c r="AQ37" s="18"/>
      <c r="AR37" s="18"/>
      <c r="AS37" s="18"/>
      <c r="AT37" s="18"/>
      <c r="AU37" s="18"/>
    </row>
    <row r="38" spans="1:47" x14ac:dyDescent="0.2">
      <c r="B38" s="18"/>
      <c r="C38" s="18"/>
      <c r="D38" s="18"/>
      <c r="E38" s="18"/>
      <c r="F38" s="18"/>
      <c r="G38" s="18"/>
      <c r="H38" s="18"/>
      <c r="I38" s="18"/>
      <c r="J38" s="18"/>
      <c r="K38" s="18"/>
      <c r="L38" s="18"/>
      <c r="M38" s="18"/>
      <c r="N38" s="18"/>
      <c r="O38" s="18"/>
      <c r="R38" s="18"/>
      <c r="S38" s="18"/>
      <c r="T38" s="18"/>
      <c r="U38" s="18"/>
      <c r="V38" s="18"/>
      <c r="W38" s="18"/>
      <c r="X38" s="18"/>
      <c r="Y38" s="18"/>
      <c r="Z38" s="18"/>
      <c r="AA38" s="18"/>
      <c r="AB38" s="18"/>
      <c r="AC38" s="18"/>
      <c r="AD38" s="18"/>
      <c r="AE38" s="18"/>
      <c r="AH38" s="18"/>
      <c r="AI38" s="18"/>
      <c r="AJ38" s="18"/>
      <c r="AK38" s="18"/>
      <c r="AL38" s="18"/>
      <c r="AM38" s="18"/>
      <c r="AN38" s="18"/>
      <c r="AO38" s="18"/>
      <c r="AP38" s="18"/>
      <c r="AQ38" s="18"/>
      <c r="AR38" s="18"/>
      <c r="AS38" s="18"/>
      <c r="AT38" s="18"/>
      <c r="AU38" s="18"/>
    </row>
    <row r="39" spans="1:47" x14ac:dyDescent="0.2">
      <c r="B39" s="18"/>
      <c r="C39" s="18"/>
      <c r="D39" s="18"/>
      <c r="E39" s="18"/>
      <c r="F39" s="18"/>
      <c r="G39" s="18"/>
      <c r="H39" s="18"/>
      <c r="I39" s="18"/>
      <c r="J39" s="18"/>
      <c r="K39" s="18"/>
      <c r="L39" s="18"/>
      <c r="M39" s="18"/>
      <c r="N39" s="18"/>
      <c r="O39" s="18"/>
      <c r="R39" s="18"/>
      <c r="S39" s="18"/>
      <c r="T39" s="18"/>
      <c r="U39" s="18"/>
      <c r="V39" s="18"/>
      <c r="W39" s="18"/>
      <c r="X39" s="18"/>
      <c r="Y39" s="18"/>
      <c r="Z39" s="18"/>
      <c r="AA39" s="18"/>
      <c r="AB39" s="18"/>
      <c r="AC39" s="18"/>
      <c r="AD39" s="18"/>
      <c r="AE39" s="18"/>
      <c r="AH39" s="18"/>
      <c r="AI39" s="18"/>
      <c r="AJ39" s="18"/>
      <c r="AK39" s="18"/>
      <c r="AL39" s="18"/>
      <c r="AM39" s="18"/>
      <c r="AN39" s="18"/>
      <c r="AO39" s="18"/>
      <c r="AP39" s="18"/>
      <c r="AQ39" s="18"/>
      <c r="AR39" s="18"/>
      <c r="AS39" s="18"/>
      <c r="AT39" s="18"/>
      <c r="AU39" s="18"/>
    </row>
    <row r="40" spans="1:47" x14ac:dyDescent="0.2">
      <c r="A40" s="36"/>
      <c r="B40" s="66"/>
      <c r="C40" s="66"/>
      <c r="D40" s="66"/>
      <c r="E40" s="66"/>
      <c r="F40" s="66"/>
      <c r="G40" s="66"/>
      <c r="H40" s="66"/>
      <c r="I40" s="66"/>
      <c r="J40" s="66"/>
      <c r="K40" s="66"/>
      <c r="L40" s="66"/>
      <c r="M40" s="66"/>
      <c r="N40" s="66"/>
      <c r="O40" s="66"/>
      <c r="Q40" s="36"/>
      <c r="R40" s="66"/>
      <c r="S40" s="66"/>
      <c r="T40" s="66"/>
      <c r="U40" s="66"/>
      <c r="V40" s="66"/>
      <c r="W40" s="66"/>
      <c r="X40" s="66"/>
      <c r="Y40" s="66"/>
      <c r="Z40" s="66"/>
      <c r="AA40" s="66"/>
      <c r="AB40" s="66"/>
      <c r="AC40" s="66"/>
      <c r="AD40" s="66"/>
      <c r="AE40" s="66"/>
      <c r="AG40" s="36"/>
      <c r="AH40" s="66"/>
      <c r="AI40" s="66"/>
      <c r="AJ40" s="66"/>
      <c r="AK40" s="66"/>
      <c r="AL40" s="66"/>
      <c r="AM40" s="66"/>
      <c r="AN40" s="66"/>
      <c r="AO40" s="66"/>
      <c r="AP40" s="66"/>
      <c r="AQ40" s="66"/>
      <c r="AR40" s="66"/>
      <c r="AS40" s="66"/>
      <c r="AT40" s="66"/>
      <c r="AU40" s="66"/>
    </row>
    <row r="41" spans="1:47" x14ac:dyDescent="0.2">
      <c r="B41" s="378" t="str">
        <f>B5&amp;"-"&amp;G5</f>
        <v>2015-2020</v>
      </c>
      <c r="C41" s="378"/>
      <c r="D41" s="378"/>
      <c r="E41" s="378"/>
      <c r="F41" s="1"/>
      <c r="G41" s="378" t="str">
        <f>G5&amp;"-"&amp;L5</f>
        <v>2020-2035</v>
      </c>
      <c r="H41" s="378"/>
      <c r="I41" s="378"/>
      <c r="J41" s="378"/>
      <c r="K41" s="1"/>
      <c r="L41" s="378" t="str">
        <f>B5&amp;"-"&amp;L5</f>
        <v>2015-2035</v>
      </c>
      <c r="M41" s="378"/>
      <c r="N41" s="378"/>
      <c r="O41" s="378"/>
      <c r="R41" s="378" t="str">
        <f>R5&amp;"-"&amp;W5</f>
        <v>2015-2020</v>
      </c>
      <c r="S41" s="378"/>
      <c r="T41" s="378"/>
      <c r="U41" s="378"/>
      <c r="V41" s="1"/>
      <c r="W41" s="378" t="str">
        <f>W5&amp;"-"&amp;AB5</f>
        <v>2020-2035</v>
      </c>
      <c r="X41" s="378"/>
      <c r="Y41" s="378"/>
      <c r="Z41" s="378"/>
      <c r="AA41" s="1"/>
      <c r="AB41" s="378" t="str">
        <f>R5&amp;"-"&amp;AB5</f>
        <v>2015-2035</v>
      </c>
      <c r="AC41" s="378"/>
      <c r="AD41" s="378"/>
      <c r="AE41" s="378"/>
      <c r="AH41" s="378" t="str">
        <f>AH5&amp;"-"&amp;AM5</f>
        <v>2015-2020</v>
      </c>
      <c r="AI41" s="378"/>
      <c r="AJ41" s="378"/>
      <c r="AK41" s="378"/>
      <c r="AL41" s="1"/>
      <c r="AM41" s="378" t="str">
        <f>AM5&amp;"-"&amp;AR5</f>
        <v>2020-2035</v>
      </c>
      <c r="AN41" s="378"/>
      <c r="AO41" s="378"/>
      <c r="AP41" s="378"/>
      <c r="AQ41" s="1"/>
      <c r="AR41" s="378" t="str">
        <f>AH5&amp;"-"&amp;AR5</f>
        <v>2015-2035</v>
      </c>
      <c r="AS41" s="378"/>
      <c r="AT41" s="378"/>
      <c r="AU41" s="378"/>
    </row>
    <row r="42" spans="1:47" x14ac:dyDescent="0.2">
      <c r="A42" s="41" t="s">
        <v>19</v>
      </c>
      <c r="B42" s="338" t="s">
        <v>345</v>
      </c>
      <c r="C42" s="338" t="s">
        <v>347</v>
      </c>
      <c r="D42" s="338" t="s">
        <v>343</v>
      </c>
      <c r="E42" s="338" t="s">
        <v>33</v>
      </c>
      <c r="F42" s="339"/>
      <c r="G42" s="338" t="s">
        <v>345</v>
      </c>
      <c r="H42" s="338" t="s">
        <v>347</v>
      </c>
      <c r="I42" s="338" t="s">
        <v>343</v>
      </c>
      <c r="J42" s="338" t="s">
        <v>33</v>
      </c>
      <c r="K42" s="339"/>
      <c r="L42" s="338" t="s">
        <v>345</v>
      </c>
      <c r="M42" s="338" t="s">
        <v>347</v>
      </c>
      <c r="N42" s="338" t="s">
        <v>343</v>
      </c>
      <c r="O42" s="338" t="s">
        <v>33</v>
      </c>
      <c r="Q42" s="41" t="s">
        <v>19</v>
      </c>
      <c r="R42" s="338" t="s">
        <v>345</v>
      </c>
      <c r="S42" s="338" t="s">
        <v>347</v>
      </c>
      <c r="T42" s="338" t="s">
        <v>343</v>
      </c>
      <c r="U42" s="338" t="s">
        <v>33</v>
      </c>
      <c r="V42" s="339"/>
      <c r="W42" s="338" t="s">
        <v>345</v>
      </c>
      <c r="X42" s="338" t="s">
        <v>347</v>
      </c>
      <c r="Y42" s="338" t="s">
        <v>343</v>
      </c>
      <c r="Z42" s="338" t="s">
        <v>33</v>
      </c>
      <c r="AA42" s="339"/>
      <c r="AB42" s="338" t="s">
        <v>345</v>
      </c>
      <c r="AC42" s="338" t="s">
        <v>347</v>
      </c>
      <c r="AD42" s="338" t="s">
        <v>343</v>
      </c>
      <c r="AE42" s="338" t="s">
        <v>33</v>
      </c>
      <c r="AG42" s="41" t="s">
        <v>19</v>
      </c>
      <c r="AH42" s="338" t="s">
        <v>345</v>
      </c>
      <c r="AI42" s="338" t="s">
        <v>347</v>
      </c>
      <c r="AJ42" s="338" t="s">
        <v>343</v>
      </c>
      <c r="AK42" s="338" t="s">
        <v>33</v>
      </c>
      <c r="AL42" s="339"/>
      <c r="AM42" s="338" t="s">
        <v>345</v>
      </c>
      <c r="AN42" s="338" t="s">
        <v>347</v>
      </c>
      <c r="AO42" s="338" t="s">
        <v>343</v>
      </c>
      <c r="AP42" s="338" t="s">
        <v>33</v>
      </c>
      <c r="AQ42" s="339"/>
      <c r="AR42" s="338" t="s">
        <v>345</v>
      </c>
      <c r="AS42" s="338" t="s">
        <v>347</v>
      </c>
      <c r="AT42" s="338" t="s">
        <v>343</v>
      </c>
      <c r="AU42" s="338" t="s">
        <v>33</v>
      </c>
    </row>
    <row r="43" spans="1:47" x14ac:dyDescent="0.2">
      <c r="A43" s="1"/>
      <c r="B43" s="20"/>
      <c r="C43" s="20"/>
      <c r="D43" s="20"/>
      <c r="E43" s="20"/>
      <c r="F43" s="20"/>
      <c r="G43" s="20"/>
      <c r="H43" s="20"/>
      <c r="I43" s="20"/>
      <c r="J43" s="20"/>
      <c r="K43" s="20"/>
      <c r="L43" s="20"/>
      <c r="M43" s="20"/>
      <c r="N43" s="20"/>
      <c r="O43" s="20"/>
      <c r="Q43" s="1"/>
      <c r="R43" s="20"/>
      <c r="S43" s="20"/>
      <c r="T43" s="20"/>
      <c r="U43" s="20"/>
      <c r="V43" s="20"/>
      <c r="W43" s="20"/>
      <c r="X43" s="20"/>
      <c r="Y43" s="20"/>
      <c r="Z43" s="20"/>
      <c r="AA43" s="20"/>
      <c r="AB43" s="20"/>
      <c r="AC43" s="20"/>
      <c r="AD43" s="20"/>
      <c r="AE43" s="20"/>
      <c r="AG43" s="1"/>
      <c r="AH43" s="20"/>
      <c r="AI43" s="20"/>
      <c r="AJ43" s="20"/>
      <c r="AK43" s="20"/>
      <c r="AL43" s="20"/>
      <c r="AM43" s="20"/>
      <c r="AN43" s="20"/>
      <c r="AO43" s="20"/>
      <c r="AP43" s="20"/>
      <c r="AQ43" s="20"/>
      <c r="AR43" s="20"/>
      <c r="AS43" s="20"/>
      <c r="AT43" s="20"/>
      <c r="AU43" s="20"/>
    </row>
    <row r="44" spans="1:47" x14ac:dyDescent="0.2">
      <c r="A44" t="str">
        <f>$A$8</f>
        <v>Managers, directors and senior officials</v>
      </c>
      <c r="B44" s="27">
        <f>G8-B8</f>
        <v>3.4560443849601405</v>
      </c>
      <c r="C44" s="27">
        <f t="shared" ref="C44:E44" si="93">H8-C8</f>
        <v>1.3973475501846258</v>
      </c>
      <c r="D44" s="27">
        <f t="shared" si="93"/>
        <v>-0.61451917265079814</v>
      </c>
      <c r="E44" s="27">
        <f t="shared" si="93"/>
        <v>4.2388727624939762</v>
      </c>
      <c r="F44" s="27"/>
      <c r="G44" s="27">
        <f>L8-G8</f>
        <v>3.5856983383300296</v>
      </c>
      <c r="H44" s="27">
        <f t="shared" ref="H44:J44" si="94">M8-H8</f>
        <v>1.2985169547471269</v>
      </c>
      <c r="I44" s="27">
        <f t="shared" si="94"/>
        <v>0.5598437980776243</v>
      </c>
      <c r="J44" s="27">
        <f t="shared" si="94"/>
        <v>5.4440590911547773</v>
      </c>
      <c r="K44" s="27"/>
      <c r="L44" s="27">
        <f>L8-B8</f>
        <v>7.0417427232901701</v>
      </c>
      <c r="M44" s="27">
        <f t="shared" ref="M44:O44" si="95">M8-C8</f>
        <v>2.6958645049317527</v>
      </c>
      <c r="N44" s="27">
        <f t="shared" si="95"/>
        <v>-5.4675374573173841E-2</v>
      </c>
      <c r="O44" s="27">
        <f t="shared" si="95"/>
        <v>9.6829318536487534</v>
      </c>
      <c r="Q44" t="str">
        <f>$A$8</f>
        <v>Managers, directors and senior officials</v>
      </c>
      <c r="R44" s="27">
        <f>W8-R8</f>
        <v>2.2531833909568562</v>
      </c>
      <c r="S44" s="27">
        <f t="shared" ref="S44:S52" si="96">X8-S8</f>
        <v>0.54925894313324597</v>
      </c>
      <c r="T44" s="27">
        <f t="shared" ref="T44:T52" si="97">Y8-T8</f>
        <v>-1.2985660094783271</v>
      </c>
      <c r="U44" s="27">
        <f t="shared" ref="U44:U52" si="98">Z8-U8</f>
        <v>1.5038763246117739</v>
      </c>
      <c r="V44" s="27"/>
      <c r="W44" s="27">
        <f>AB8-W8</f>
        <v>1.0159822737234663</v>
      </c>
      <c r="X44" s="27">
        <f t="shared" ref="X44:X52" si="99">AC8-X8</f>
        <v>0.64348513881281288</v>
      </c>
      <c r="Y44" s="27">
        <f t="shared" ref="Y44:Y52" si="100">AD8-Y8</f>
        <v>0.68689261623415243</v>
      </c>
      <c r="Z44" s="27">
        <f t="shared" ref="Z44:Z52" si="101">AE8-Z8</f>
        <v>2.3463600287704303</v>
      </c>
      <c r="AA44" s="27"/>
      <c r="AB44" s="27">
        <f>AB8-R8</f>
        <v>3.2691656646803224</v>
      </c>
      <c r="AC44" s="27">
        <f t="shared" ref="AC44:AC52" si="102">AC8-S8</f>
        <v>1.1927440819460589</v>
      </c>
      <c r="AD44" s="27">
        <f t="shared" ref="AD44:AD52" si="103">AD8-T8</f>
        <v>-0.61167339324417469</v>
      </c>
      <c r="AE44" s="27">
        <f t="shared" ref="AE44:AE52" si="104">AE8-U8</f>
        <v>3.8502363533822042</v>
      </c>
      <c r="AG44" t="str">
        <f>$A$8</f>
        <v>Managers, directors and senior officials</v>
      </c>
      <c r="AH44" s="27">
        <f>AM8-AH8</f>
        <v>1.2028609940033022</v>
      </c>
      <c r="AI44" s="27">
        <f t="shared" ref="AI44:AI52" si="105">AN8-AI8</f>
        <v>0.84808860705138045</v>
      </c>
      <c r="AJ44" s="27">
        <f t="shared" ref="AJ44:AJ52" si="106">AO8-AJ8</f>
        <v>0.6840468368275241</v>
      </c>
      <c r="AK44" s="27">
        <f t="shared" ref="AK44:AK52" si="107">AP8-AK8</f>
        <v>2.7349964378822076</v>
      </c>
      <c r="AL44" s="27"/>
      <c r="AM44" s="27">
        <f>AR8-AM8</f>
        <v>2.5697160646065633</v>
      </c>
      <c r="AN44" s="27">
        <f t="shared" ref="AN44:AN52" si="108">AS8-AN8</f>
        <v>0.65503181593431226</v>
      </c>
      <c r="AO44" s="27">
        <f t="shared" ref="AO44:AO52" si="109">AT8-AO8</f>
        <v>-0.12704881815653701</v>
      </c>
      <c r="AP44" s="27">
        <f t="shared" ref="AP44:AP52" si="110">AU8-AP8</f>
        <v>3.0976990623843381</v>
      </c>
      <c r="AQ44" s="27"/>
      <c r="AR44" s="27">
        <f>AR8-AH8</f>
        <v>3.7725770586098655</v>
      </c>
      <c r="AS44" s="27">
        <f t="shared" ref="AS44:AS52" si="111">AS8-AI8</f>
        <v>1.5031204229856927</v>
      </c>
      <c r="AT44" s="27">
        <f t="shared" ref="AT44:AT52" si="112">AT8-AJ8</f>
        <v>0.55699801867098708</v>
      </c>
      <c r="AU44" s="27">
        <f t="shared" ref="AU44:AU52" si="113">AU8-AK8</f>
        <v>5.8326955002665457</v>
      </c>
    </row>
    <row r="45" spans="1:47" x14ac:dyDescent="0.2">
      <c r="A45" t="str">
        <f>$A$9</f>
        <v>Professional occupations</v>
      </c>
      <c r="B45" s="27">
        <f t="shared" ref="B45:B54" si="114">G9-B9</f>
        <v>6.936741535090917</v>
      </c>
      <c r="C45" s="27">
        <f t="shared" ref="C45:C54" si="115">H9-C9</f>
        <v>3.3027310970623134</v>
      </c>
      <c r="D45" s="27">
        <f t="shared" ref="D45:D54" si="116">I9-D9</f>
        <v>-1.2972183090126927</v>
      </c>
      <c r="E45" s="27">
        <f t="shared" ref="E45:E54" si="117">J9-E9</f>
        <v>8.9422543231405314</v>
      </c>
      <c r="F45" s="27"/>
      <c r="G45" s="27">
        <f t="shared" ref="G45:G54" si="118">L9-G9</f>
        <v>13.817265879161752</v>
      </c>
      <c r="H45" s="27">
        <f t="shared" ref="H45:H54" si="119">M9-H9</f>
        <v>4.9086939253513542</v>
      </c>
      <c r="I45" s="27">
        <f t="shared" ref="I45:I54" si="120">N9-I9</f>
        <v>-0.98958963027354052</v>
      </c>
      <c r="J45" s="27">
        <f t="shared" ref="J45:J54" si="121">O9-J9</f>
        <v>17.736370174239568</v>
      </c>
      <c r="K45" s="27"/>
      <c r="L45" s="27">
        <f t="shared" ref="L45:L54" si="122">L9-B9</f>
        <v>20.754007414252669</v>
      </c>
      <c r="M45" s="27">
        <f t="shared" ref="M45:M54" si="123">M9-C9</f>
        <v>8.2114250224136676</v>
      </c>
      <c r="N45" s="27">
        <f t="shared" ref="N45:N54" si="124">N9-D9</f>
        <v>-2.2868079392862333</v>
      </c>
      <c r="O45" s="27">
        <f t="shared" ref="O45:O54" si="125">O9-E9</f>
        <v>26.678624497380099</v>
      </c>
      <c r="Q45" t="str">
        <f>$A$9</f>
        <v>Professional occupations</v>
      </c>
      <c r="R45" s="27">
        <f t="shared" ref="R45:R52" si="126">W9-R9</f>
        <v>2.6962820840599591</v>
      </c>
      <c r="S45" s="27">
        <f t="shared" si="96"/>
        <v>0.95984280969270541</v>
      </c>
      <c r="T45" s="27">
        <f t="shared" si="97"/>
        <v>-1.9184134130003305</v>
      </c>
      <c r="U45" s="27">
        <f t="shared" si="98"/>
        <v>1.7377114807523313</v>
      </c>
      <c r="V45" s="27"/>
      <c r="W45" s="27">
        <f t="shared" ref="W45:W52" si="127">AB9-W9</f>
        <v>5.5421682872951195</v>
      </c>
      <c r="X45" s="27">
        <f t="shared" si="99"/>
        <v>1.0089479957311229</v>
      </c>
      <c r="Y45" s="27">
        <f t="shared" si="100"/>
        <v>-0.42012482122394346</v>
      </c>
      <c r="Z45" s="27">
        <f t="shared" si="101"/>
        <v>6.1309914618022958</v>
      </c>
      <c r="AA45" s="27"/>
      <c r="AB45" s="27">
        <f t="shared" ref="AB45:AB52" si="128">AB9-R9</f>
        <v>8.2384503713550785</v>
      </c>
      <c r="AC45" s="27">
        <f t="shared" si="102"/>
        <v>1.9687908054238283</v>
      </c>
      <c r="AD45" s="27">
        <f t="shared" si="103"/>
        <v>-2.338538234224274</v>
      </c>
      <c r="AE45" s="27">
        <f t="shared" si="104"/>
        <v>7.8687029425546271</v>
      </c>
      <c r="AG45" t="str">
        <f>$A$9</f>
        <v>Professional occupations</v>
      </c>
      <c r="AH45" s="27">
        <f t="shared" ref="AH45:AH52" si="129">AM9-AH9</f>
        <v>4.2404594510309437</v>
      </c>
      <c r="AI45" s="27">
        <f t="shared" si="105"/>
        <v>2.3428882873696022</v>
      </c>
      <c r="AJ45" s="27">
        <f t="shared" si="106"/>
        <v>0.621195103987636</v>
      </c>
      <c r="AK45" s="27">
        <f t="shared" si="107"/>
        <v>7.2045428423881788</v>
      </c>
      <c r="AL45" s="27"/>
      <c r="AM45" s="27">
        <f t="shared" ref="AM45:AM52" si="130">AR9-AM9</f>
        <v>8.2750975918666398</v>
      </c>
      <c r="AN45" s="27">
        <f t="shared" si="108"/>
        <v>3.8997459296202308</v>
      </c>
      <c r="AO45" s="27">
        <f t="shared" si="109"/>
        <v>-0.56946480904959396</v>
      </c>
      <c r="AP45" s="27">
        <f t="shared" si="110"/>
        <v>11.605378712437279</v>
      </c>
      <c r="AQ45" s="27"/>
      <c r="AR45" s="27">
        <f t="shared" ref="AR45:AR52" si="131">AR9-AH9</f>
        <v>12.515557042897584</v>
      </c>
      <c r="AS45" s="27">
        <f t="shared" si="111"/>
        <v>6.242634216989833</v>
      </c>
      <c r="AT45" s="27">
        <f t="shared" si="112"/>
        <v>5.1730294938042043E-2</v>
      </c>
      <c r="AU45" s="27">
        <f t="shared" si="113"/>
        <v>18.809921554825458</v>
      </c>
    </row>
    <row r="46" spans="1:47" x14ac:dyDescent="0.2">
      <c r="A46" t="str">
        <f>$A$10</f>
        <v>Associate professional occupations</v>
      </c>
      <c r="B46" s="27">
        <f t="shared" si="114"/>
        <v>4.0283563984551378</v>
      </c>
      <c r="C46" s="27">
        <f t="shared" si="115"/>
        <v>1.4575517907630502</v>
      </c>
      <c r="D46" s="27">
        <f t="shared" si="116"/>
        <v>-0.95577688067977729</v>
      </c>
      <c r="E46" s="27">
        <f t="shared" si="117"/>
        <v>4.5301313085384152</v>
      </c>
      <c r="F46" s="27"/>
      <c r="G46" s="27">
        <f t="shared" si="118"/>
        <v>0.72938343011242068</v>
      </c>
      <c r="H46" s="27">
        <f t="shared" si="119"/>
        <v>0.80131775800554372</v>
      </c>
      <c r="I46" s="27">
        <f t="shared" si="120"/>
        <v>-0.1886846303128964</v>
      </c>
      <c r="J46" s="27">
        <f t="shared" si="121"/>
        <v>1.3420165578050671</v>
      </c>
      <c r="K46" s="27"/>
      <c r="L46" s="27">
        <f t="shared" si="122"/>
        <v>4.7577398285675585</v>
      </c>
      <c r="M46" s="27">
        <f t="shared" si="123"/>
        <v>2.2588695487685939</v>
      </c>
      <c r="N46" s="27">
        <f t="shared" si="124"/>
        <v>-1.1444615109926737</v>
      </c>
      <c r="O46" s="27">
        <f t="shared" si="125"/>
        <v>5.8721478663434823</v>
      </c>
      <c r="Q46" t="str">
        <f>$A$10</f>
        <v>Associate professional occupations</v>
      </c>
      <c r="R46" s="27">
        <f t="shared" si="126"/>
        <v>2.354568235096469</v>
      </c>
      <c r="S46" s="27">
        <f t="shared" si="96"/>
        <v>0.64160193748176098</v>
      </c>
      <c r="T46" s="27">
        <f t="shared" si="97"/>
        <v>-0.66961616995105588</v>
      </c>
      <c r="U46" s="27">
        <f t="shared" si="98"/>
        <v>2.3265540026271765</v>
      </c>
      <c r="V46" s="27"/>
      <c r="W46" s="27">
        <f>AB10-W10</f>
        <v>-1.9206652891633489</v>
      </c>
      <c r="X46" s="27">
        <f t="shared" si="99"/>
        <v>-0.24647917226372407</v>
      </c>
      <c r="Y46" s="27">
        <f t="shared" si="100"/>
        <v>-4.1711009979861213E-2</v>
      </c>
      <c r="Z46" s="27">
        <f t="shared" si="101"/>
        <v>-2.2088554714069346</v>
      </c>
      <c r="AA46" s="27"/>
      <c r="AB46" s="27">
        <f t="shared" si="128"/>
        <v>0.43390294593312007</v>
      </c>
      <c r="AC46" s="27">
        <f t="shared" si="102"/>
        <v>0.39512276521803691</v>
      </c>
      <c r="AD46" s="27">
        <f t="shared" si="103"/>
        <v>-0.7113271799309171</v>
      </c>
      <c r="AE46" s="27">
        <f t="shared" si="104"/>
        <v>0.11769853122024188</v>
      </c>
      <c r="AG46" t="str">
        <f>$A$10</f>
        <v>Associate professional occupations</v>
      </c>
      <c r="AH46" s="27">
        <f t="shared" si="129"/>
        <v>1.6737881633586706</v>
      </c>
      <c r="AI46" s="27">
        <f t="shared" si="105"/>
        <v>0.81594985328129077</v>
      </c>
      <c r="AJ46" s="27">
        <f t="shared" si="106"/>
        <v>-0.28616071072871474</v>
      </c>
      <c r="AK46" s="27">
        <f t="shared" si="107"/>
        <v>2.2035773059112458</v>
      </c>
      <c r="AL46" s="27"/>
      <c r="AM46" s="27">
        <f t="shared" si="130"/>
        <v>2.6500487192757536</v>
      </c>
      <c r="AN46" s="27">
        <f t="shared" si="108"/>
        <v>1.0477969302692731</v>
      </c>
      <c r="AO46" s="27">
        <f t="shared" si="109"/>
        <v>-0.14697362033303873</v>
      </c>
      <c r="AP46" s="27">
        <f t="shared" si="110"/>
        <v>3.5508720292119946</v>
      </c>
      <c r="AQ46" s="27"/>
      <c r="AR46" s="27">
        <f t="shared" si="131"/>
        <v>4.3238368826344242</v>
      </c>
      <c r="AS46" s="27">
        <f t="shared" si="111"/>
        <v>1.8637467835505639</v>
      </c>
      <c r="AT46" s="27">
        <f t="shared" si="112"/>
        <v>-0.43313433106175347</v>
      </c>
      <c r="AU46" s="27">
        <f t="shared" si="113"/>
        <v>5.7544493351232404</v>
      </c>
    </row>
    <row r="47" spans="1:47" x14ac:dyDescent="0.2">
      <c r="A47" t="str">
        <f>$A$11</f>
        <v>Administrative and secretarial occupations</v>
      </c>
      <c r="B47" s="27">
        <f t="shared" si="114"/>
        <v>-1.2836204268341405</v>
      </c>
      <c r="C47" s="27">
        <f t="shared" si="115"/>
        <v>-1.0549716311860955</v>
      </c>
      <c r="D47" s="27">
        <f t="shared" si="116"/>
        <v>-0.44393832210739337</v>
      </c>
      <c r="E47" s="27">
        <f t="shared" si="117"/>
        <v>-2.7825303801276391</v>
      </c>
      <c r="F47" s="27"/>
      <c r="G47" s="27">
        <f t="shared" si="118"/>
        <v>-4.0859654010298634</v>
      </c>
      <c r="H47" s="27">
        <f t="shared" si="119"/>
        <v>-3.0943569672340523</v>
      </c>
      <c r="I47" s="27">
        <f t="shared" si="120"/>
        <v>0.54582256997110656</v>
      </c>
      <c r="J47" s="27">
        <f t="shared" si="121"/>
        <v>-6.6344997982928078</v>
      </c>
      <c r="K47" s="27"/>
      <c r="L47" s="27">
        <f t="shared" si="122"/>
        <v>-5.3695858278640038</v>
      </c>
      <c r="M47" s="27">
        <f t="shared" si="123"/>
        <v>-4.1493285984201478</v>
      </c>
      <c r="N47" s="27">
        <f t="shared" si="124"/>
        <v>0.1018842478637132</v>
      </c>
      <c r="O47" s="27">
        <f t="shared" si="125"/>
        <v>-9.4170301784204469</v>
      </c>
      <c r="Q47" t="str">
        <f>$A$11</f>
        <v>Administrative and secretarial occupations</v>
      </c>
      <c r="R47" s="27">
        <f t="shared" si="126"/>
        <v>0.73081735923061508</v>
      </c>
      <c r="S47" s="27">
        <f t="shared" si="96"/>
        <v>0.37984021860841999</v>
      </c>
      <c r="T47" s="27">
        <f t="shared" si="97"/>
        <v>-0.30368351372390029</v>
      </c>
      <c r="U47" s="27">
        <f t="shared" si="98"/>
        <v>0.80697406411513484</v>
      </c>
      <c r="V47" s="27"/>
      <c r="W47" s="27">
        <f t="shared" si="127"/>
        <v>0.57376355660669098</v>
      </c>
      <c r="X47" s="27">
        <f t="shared" si="99"/>
        <v>-5.4219534669126546E-3</v>
      </c>
      <c r="Y47" s="27">
        <f t="shared" si="100"/>
        <v>0.22501590687176903</v>
      </c>
      <c r="Z47" s="27">
        <f t="shared" si="101"/>
        <v>0.79335751001154797</v>
      </c>
      <c r="AA47" s="27"/>
      <c r="AB47" s="27">
        <f t="shared" si="128"/>
        <v>1.3045809158373061</v>
      </c>
      <c r="AC47" s="27">
        <f t="shared" si="102"/>
        <v>0.37441826514150733</v>
      </c>
      <c r="AD47" s="27">
        <f t="shared" si="103"/>
        <v>-7.8667606852131255E-2</v>
      </c>
      <c r="AE47" s="27">
        <f t="shared" si="104"/>
        <v>1.6003315741266828</v>
      </c>
      <c r="AG47" t="str">
        <f>$A$11</f>
        <v>Administrative and secretarial occupations</v>
      </c>
      <c r="AH47" s="27">
        <f t="shared" si="129"/>
        <v>-2.0144377860647467</v>
      </c>
      <c r="AI47" s="27">
        <f t="shared" si="105"/>
        <v>-1.4348118497945102</v>
      </c>
      <c r="AJ47" s="27">
        <f t="shared" si="106"/>
        <v>-0.14025480838349447</v>
      </c>
      <c r="AK47" s="27">
        <f t="shared" si="107"/>
        <v>-3.5895044442427491</v>
      </c>
      <c r="AL47" s="27"/>
      <c r="AM47" s="27">
        <f t="shared" si="130"/>
        <v>-4.6597289576365739</v>
      </c>
      <c r="AN47" s="27">
        <f t="shared" si="108"/>
        <v>-3.0889350137671343</v>
      </c>
      <c r="AO47" s="27">
        <f t="shared" si="109"/>
        <v>0.32080666309933759</v>
      </c>
      <c r="AP47" s="27">
        <f>AU11-AP11</f>
        <v>-7.4278573083043682</v>
      </c>
      <c r="AQ47" s="27"/>
      <c r="AR47" s="27">
        <f t="shared" si="131"/>
        <v>-6.6741667437013206</v>
      </c>
      <c r="AS47" s="27">
        <f t="shared" si="111"/>
        <v>-4.5237468635616445</v>
      </c>
      <c r="AT47" s="27">
        <f t="shared" si="112"/>
        <v>0.18055185471584312</v>
      </c>
      <c r="AU47" s="27">
        <f t="shared" si="113"/>
        <v>-11.017361752547117</v>
      </c>
    </row>
    <row r="48" spans="1:47" x14ac:dyDescent="0.2">
      <c r="A48" t="str">
        <f>$A$12</f>
        <v>Skilled trades occupations</v>
      </c>
      <c r="B48" s="27">
        <f t="shared" si="114"/>
        <v>-6.8779892039026578</v>
      </c>
      <c r="C48" s="27">
        <f t="shared" si="115"/>
        <v>-0.84241169342491551</v>
      </c>
      <c r="D48" s="27">
        <f t="shared" si="116"/>
        <v>-1.0561684317128801</v>
      </c>
      <c r="E48" s="27">
        <f t="shared" si="117"/>
        <v>-8.7765693290404485</v>
      </c>
      <c r="F48" s="27"/>
      <c r="G48" s="27">
        <f t="shared" si="118"/>
        <v>-5.652097676280281</v>
      </c>
      <c r="H48" s="27">
        <f t="shared" si="119"/>
        <v>0.29560911954775237</v>
      </c>
      <c r="I48" s="27">
        <f t="shared" si="120"/>
        <v>0.28726352660506471</v>
      </c>
      <c r="J48" s="27">
        <f t="shared" si="121"/>
        <v>-5.0692250301274697</v>
      </c>
      <c r="K48" s="27"/>
      <c r="L48" s="27">
        <f t="shared" si="122"/>
        <v>-12.530086880182939</v>
      </c>
      <c r="M48" s="27">
        <f t="shared" si="123"/>
        <v>-0.54680257387716313</v>
      </c>
      <c r="N48" s="27">
        <f t="shared" si="124"/>
        <v>-0.7689049051078154</v>
      </c>
      <c r="O48" s="27">
        <f t="shared" si="125"/>
        <v>-13.845794359167918</v>
      </c>
      <c r="Q48" t="str">
        <f>$A$12</f>
        <v>Skilled trades occupations</v>
      </c>
      <c r="R48" s="27">
        <f t="shared" si="126"/>
        <v>-7.0610976568686112</v>
      </c>
      <c r="S48" s="27">
        <f t="shared" si="96"/>
        <v>-0.58602463093284518</v>
      </c>
      <c r="T48" s="27">
        <f t="shared" si="97"/>
        <v>-1.0553828924940181</v>
      </c>
      <c r="U48" s="27">
        <f t="shared" si="98"/>
        <v>-8.7025051802954678</v>
      </c>
      <c r="V48" s="27"/>
      <c r="W48" s="27">
        <f t="shared" si="127"/>
        <v>-5.8103831601074525</v>
      </c>
      <c r="X48" s="27">
        <f t="shared" si="99"/>
        <v>0.24574674268055086</v>
      </c>
      <c r="Y48" s="27">
        <f t="shared" si="100"/>
        <v>-0.16558568754310521</v>
      </c>
      <c r="Z48" s="27">
        <f t="shared" si="101"/>
        <v>-5.7302221049700108</v>
      </c>
      <c r="AA48" s="27"/>
      <c r="AB48" s="27">
        <f t="shared" si="128"/>
        <v>-12.871480816976064</v>
      </c>
      <c r="AC48" s="27">
        <f t="shared" si="102"/>
        <v>-0.34027788825229432</v>
      </c>
      <c r="AD48" s="27">
        <f t="shared" si="103"/>
        <v>-1.2209685800371233</v>
      </c>
      <c r="AE48" s="27">
        <f t="shared" si="104"/>
        <v>-14.432727285265479</v>
      </c>
      <c r="AG48" t="str">
        <f>$A$12</f>
        <v>Skilled trades occupations</v>
      </c>
      <c r="AH48" s="27">
        <f t="shared" si="129"/>
        <v>0.18310845296597744</v>
      </c>
      <c r="AI48" s="27">
        <f t="shared" si="105"/>
        <v>-0.256387062492069</v>
      </c>
      <c r="AJ48" s="27">
        <f t="shared" si="106"/>
        <v>-7.855392188667043E-4</v>
      </c>
      <c r="AK48" s="27">
        <f t="shared" si="107"/>
        <v>-7.4064148744957592E-2</v>
      </c>
      <c r="AL48" s="27"/>
      <c r="AM48" s="27">
        <f t="shared" si="130"/>
        <v>0.15828548382718521</v>
      </c>
      <c r="AN48" s="27">
        <f t="shared" si="108"/>
        <v>4.9862376867201075E-2</v>
      </c>
      <c r="AO48" s="27">
        <f t="shared" si="109"/>
        <v>0.45284921414816859</v>
      </c>
      <c r="AP48" s="27">
        <f t="shared" si="110"/>
        <v>0.66099707484255443</v>
      </c>
      <c r="AQ48" s="27"/>
      <c r="AR48" s="27">
        <f t="shared" si="131"/>
        <v>0.34139393679316266</v>
      </c>
      <c r="AS48" s="27">
        <f t="shared" si="111"/>
        <v>-0.20652468562486792</v>
      </c>
      <c r="AT48" s="27">
        <f t="shared" si="112"/>
        <v>0.45206367492930188</v>
      </c>
      <c r="AU48" s="27">
        <f t="shared" si="113"/>
        <v>0.58693292609759684</v>
      </c>
    </row>
    <row r="49" spans="1:47" x14ac:dyDescent="0.2">
      <c r="A49" t="str">
        <f>$A$13</f>
        <v>Caring, leisure and other service occupations</v>
      </c>
      <c r="B49" s="27">
        <f t="shared" si="114"/>
        <v>-1.579686122782924</v>
      </c>
      <c r="C49" s="27">
        <f t="shared" si="115"/>
        <v>-0.65378634346821585</v>
      </c>
      <c r="D49" s="27">
        <f t="shared" si="116"/>
        <v>0.18705010733650251</v>
      </c>
      <c r="E49" s="27">
        <f t="shared" si="117"/>
        <v>-2.0464223589146329</v>
      </c>
      <c r="F49" s="27"/>
      <c r="G49" s="27">
        <f t="shared" si="118"/>
        <v>2.006813448610405</v>
      </c>
      <c r="H49" s="27">
        <f t="shared" si="119"/>
        <v>0.85966007855075688</v>
      </c>
      <c r="I49" s="27">
        <f t="shared" si="120"/>
        <v>0.34186061767711617</v>
      </c>
      <c r="J49" s="27">
        <f t="shared" si="121"/>
        <v>3.2083341448382825</v>
      </c>
      <c r="K49" s="27"/>
      <c r="L49" s="27">
        <f t="shared" si="122"/>
        <v>0.42712732582748103</v>
      </c>
      <c r="M49" s="27">
        <f t="shared" si="123"/>
        <v>0.20587373508254103</v>
      </c>
      <c r="N49" s="27">
        <f t="shared" si="124"/>
        <v>0.52891072501361869</v>
      </c>
      <c r="O49" s="27">
        <f t="shared" si="125"/>
        <v>1.1619117859236496</v>
      </c>
      <c r="Q49" t="str">
        <f>$A$13</f>
        <v>Caring, leisure and other service occupations</v>
      </c>
      <c r="R49" s="27">
        <f t="shared" si="126"/>
        <v>5.1436333631802E-2</v>
      </c>
      <c r="S49" s="27">
        <f t="shared" si="96"/>
        <v>0.34021447022339313</v>
      </c>
      <c r="T49" s="27">
        <f t="shared" si="97"/>
        <v>-0.24798165345310313</v>
      </c>
      <c r="U49" s="27">
        <f t="shared" si="98"/>
        <v>0.14366915040209083</v>
      </c>
      <c r="V49" s="27"/>
      <c r="W49" s="27">
        <f t="shared" si="127"/>
        <v>0.77781626676704629</v>
      </c>
      <c r="X49" s="27">
        <f t="shared" si="99"/>
        <v>0.43504119178204448</v>
      </c>
      <c r="Y49" s="27">
        <f t="shared" si="100"/>
        <v>0.23209061999222264</v>
      </c>
      <c r="Z49" s="27">
        <f t="shared" si="101"/>
        <v>1.444948078541314</v>
      </c>
      <c r="AA49" s="27"/>
      <c r="AB49" s="27">
        <f t="shared" si="128"/>
        <v>0.82925260039884829</v>
      </c>
      <c r="AC49" s="27">
        <f t="shared" si="102"/>
        <v>0.77525566200543761</v>
      </c>
      <c r="AD49" s="27">
        <f t="shared" si="103"/>
        <v>-1.5891033460880499E-2</v>
      </c>
      <c r="AE49" s="27">
        <f t="shared" si="104"/>
        <v>1.5886172289434048</v>
      </c>
      <c r="AG49" t="str">
        <f>$A$13</f>
        <v>Caring, leisure and other service occupations</v>
      </c>
      <c r="AH49" s="27">
        <f t="shared" si="129"/>
        <v>-1.631122456414726</v>
      </c>
      <c r="AI49" s="27">
        <f t="shared" si="105"/>
        <v>-0.99400081369160986</v>
      </c>
      <c r="AJ49" s="27">
        <f t="shared" si="106"/>
        <v>0.43503176078960459</v>
      </c>
      <c r="AK49" s="27">
        <f t="shared" si="107"/>
        <v>-2.190091509316737</v>
      </c>
      <c r="AL49" s="27"/>
      <c r="AM49" s="27">
        <f t="shared" si="130"/>
        <v>1.2289971818433685</v>
      </c>
      <c r="AN49" s="27">
        <f t="shared" si="108"/>
        <v>0.42461888676871595</v>
      </c>
      <c r="AO49" s="27">
        <f t="shared" si="109"/>
        <v>0.10976999768489382</v>
      </c>
      <c r="AP49" s="27">
        <f t="shared" si="110"/>
        <v>1.7633860662969809</v>
      </c>
      <c r="AQ49" s="27"/>
      <c r="AR49" s="27">
        <f t="shared" si="131"/>
        <v>-0.40212527457135749</v>
      </c>
      <c r="AS49" s="27">
        <f t="shared" si="111"/>
        <v>-0.56938192692289391</v>
      </c>
      <c r="AT49" s="27">
        <f t="shared" si="112"/>
        <v>0.54480175847449841</v>
      </c>
      <c r="AU49" s="27">
        <f t="shared" si="113"/>
        <v>-0.4267054430197561</v>
      </c>
    </row>
    <row r="50" spans="1:47" x14ac:dyDescent="0.2">
      <c r="A50" t="str">
        <f>$A$14</f>
        <v>Sales and customer service occupations</v>
      </c>
      <c r="B50" s="27">
        <f t="shared" si="114"/>
        <v>-1.2565435080537419</v>
      </c>
      <c r="C50" s="27">
        <f t="shared" si="115"/>
        <v>-1.822351429168986</v>
      </c>
      <c r="D50" s="27">
        <f t="shared" si="116"/>
        <v>-1.5320942333051213</v>
      </c>
      <c r="E50" s="27">
        <f t="shared" si="117"/>
        <v>-4.6109891705278514</v>
      </c>
      <c r="F50" s="27"/>
      <c r="G50" s="27">
        <f t="shared" si="118"/>
        <v>0.66056080645400428</v>
      </c>
      <c r="H50" s="27">
        <f t="shared" si="119"/>
        <v>0.10401726393461175</v>
      </c>
      <c r="I50" s="27">
        <f t="shared" si="120"/>
        <v>-0.41760998559237894</v>
      </c>
      <c r="J50" s="27">
        <f t="shared" si="121"/>
        <v>0.34696808479623087</v>
      </c>
      <c r="K50" s="27"/>
      <c r="L50" s="27">
        <f t="shared" si="122"/>
        <v>-0.59598270159973765</v>
      </c>
      <c r="M50" s="27">
        <f t="shared" si="123"/>
        <v>-1.7183341652343742</v>
      </c>
      <c r="N50" s="27">
        <f t="shared" si="124"/>
        <v>-1.9497042188975002</v>
      </c>
      <c r="O50" s="27">
        <f t="shared" si="125"/>
        <v>-4.2640210857316205</v>
      </c>
      <c r="Q50" t="str">
        <f>$A$14</f>
        <v>Sales and customer service occupations</v>
      </c>
      <c r="R50" s="27">
        <f t="shared" si="126"/>
        <v>0.53527701588944332</v>
      </c>
      <c r="S50" s="27">
        <f t="shared" si="96"/>
        <v>-0.33210460558185062</v>
      </c>
      <c r="T50" s="27">
        <f t="shared" si="97"/>
        <v>-0.92414225150481144</v>
      </c>
      <c r="U50" s="27">
        <f t="shared" si="98"/>
        <v>-0.72096984119722052</v>
      </c>
      <c r="V50" s="27"/>
      <c r="W50" s="27">
        <f t="shared" si="127"/>
        <v>1.141769303092274</v>
      </c>
      <c r="X50" s="27">
        <f t="shared" si="99"/>
        <v>0.48309402354671604</v>
      </c>
      <c r="Y50" s="27">
        <f t="shared" si="100"/>
        <v>-0.1555860783415528</v>
      </c>
      <c r="Z50" s="27">
        <f t="shared" si="101"/>
        <v>1.4692772482974377</v>
      </c>
      <c r="AA50" s="27"/>
      <c r="AB50" s="27">
        <f t="shared" si="128"/>
        <v>1.6770463189817173</v>
      </c>
      <c r="AC50" s="27">
        <f t="shared" si="102"/>
        <v>0.15098941796486542</v>
      </c>
      <c r="AD50" s="27">
        <f t="shared" si="103"/>
        <v>-1.0797283298463642</v>
      </c>
      <c r="AE50" s="27">
        <f t="shared" si="104"/>
        <v>0.74830740710021715</v>
      </c>
      <c r="AG50" t="str">
        <f>$A$14</f>
        <v>Sales and customer service occupations</v>
      </c>
      <c r="AH50" s="27">
        <f t="shared" si="129"/>
        <v>-1.791820523943203</v>
      </c>
      <c r="AI50" s="27">
        <f t="shared" si="105"/>
        <v>-1.490246823587146</v>
      </c>
      <c r="AJ50" s="27">
        <f t="shared" si="106"/>
        <v>-0.60795198180031007</v>
      </c>
      <c r="AK50" s="27">
        <f t="shared" si="107"/>
        <v>-3.8900193293306558</v>
      </c>
      <c r="AL50" s="27"/>
      <c r="AM50" s="27">
        <f t="shared" si="130"/>
        <v>-0.48120849663825283</v>
      </c>
      <c r="AN50" s="27">
        <f t="shared" si="108"/>
        <v>-0.37907675961211851</v>
      </c>
      <c r="AO50" s="27">
        <f t="shared" si="109"/>
        <v>-0.26202390725082647</v>
      </c>
      <c r="AP50" s="27">
        <f t="shared" si="110"/>
        <v>-1.1223091635011926</v>
      </c>
      <c r="AQ50" s="27"/>
      <c r="AR50" s="27">
        <f t="shared" si="131"/>
        <v>-2.2730290205814558</v>
      </c>
      <c r="AS50" s="27">
        <f t="shared" si="111"/>
        <v>-1.8693235831992645</v>
      </c>
      <c r="AT50" s="27">
        <f t="shared" si="112"/>
        <v>-0.86997588905113654</v>
      </c>
      <c r="AU50" s="27">
        <f t="shared" si="113"/>
        <v>-5.0123284928318483</v>
      </c>
    </row>
    <row r="51" spans="1:47" x14ac:dyDescent="0.2">
      <c r="A51" t="str">
        <f>$A$15</f>
        <v>Process, plant and machine operatives</v>
      </c>
      <c r="B51" s="27">
        <f t="shared" si="114"/>
        <v>-3.9526754167253983</v>
      </c>
      <c r="C51" s="27">
        <f t="shared" si="115"/>
        <v>0.18590921554232942</v>
      </c>
      <c r="D51" s="27">
        <f t="shared" si="116"/>
        <v>1.0702963376139487</v>
      </c>
      <c r="E51" s="27">
        <f t="shared" si="117"/>
        <v>-2.6964698635691207</v>
      </c>
      <c r="F51" s="27"/>
      <c r="G51" s="27">
        <f t="shared" si="118"/>
        <v>-1.0124472517072078</v>
      </c>
      <c r="H51" s="27">
        <f t="shared" si="119"/>
        <v>0.92950162517594048</v>
      </c>
      <c r="I51" s="27">
        <f t="shared" si="120"/>
        <v>0.63464871684575908</v>
      </c>
      <c r="J51" s="27">
        <f t="shared" si="121"/>
        <v>0.55170309031449705</v>
      </c>
      <c r="K51" s="27"/>
      <c r="L51" s="27">
        <f t="shared" si="122"/>
        <v>-4.9651226684326062</v>
      </c>
      <c r="M51" s="27">
        <f t="shared" si="123"/>
        <v>1.1154108407182699</v>
      </c>
      <c r="N51" s="27">
        <f t="shared" si="124"/>
        <v>1.7049450544597078</v>
      </c>
      <c r="O51" s="27">
        <f t="shared" si="125"/>
        <v>-2.1447667732546236</v>
      </c>
      <c r="Q51" t="str">
        <f>$A$15</f>
        <v>Process, plant and machine operatives</v>
      </c>
      <c r="R51" s="27">
        <f t="shared" si="126"/>
        <v>-3.400687436709056</v>
      </c>
      <c r="S51" s="27">
        <f t="shared" si="96"/>
        <v>0.3928368056418603</v>
      </c>
      <c r="T51" s="27">
        <f t="shared" si="97"/>
        <v>1.0748600556503476</v>
      </c>
      <c r="U51" s="27">
        <f t="shared" si="98"/>
        <v>-1.932990575416845</v>
      </c>
      <c r="V51" s="27"/>
      <c r="W51" s="27">
        <f t="shared" si="127"/>
        <v>-1.0878463374795366</v>
      </c>
      <c r="X51" s="27">
        <f t="shared" si="99"/>
        <v>0.56385135587789081</v>
      </c>
      <c r="Y51" s="27">
        <f t="shared" si="100"/>
        <v>0.56110816917031681</v>
      </c>
      <c r="Z51" s="27">
        <f t="shared" si="101"/>
        <v>3.7113187568671435E-2</v>
      </c>
      <c r="AA51" s="27"/>
      <c r="AB51" s="27">
        <f t="shared" si="128"/>
        <v>-4.4885337741885927</v>
      </c>
      <c r="AC51" s="27">
        <f t="shared" si="102"/>
        <v>0.95668816151975111</v>
      </c>
      <c r="AD51" s="27">
        <f t="shared" si="103"/>
        <v>1.6359682248206644</v>
      </c>
      <c r="AE51" s="27">
        <f t="shared" si="104"/>
        <v>-1.8958773878481736</v>
      </c>
      <c r="AG51" t="str">
        <f>$A$15</f>
        <v>Process, plant and machine operatives</v>
      </c>
      <c r="AH51" s="27">
        <f t="shared" si="129"/>
        <v>-0.55198798001634408</v>
      </c>
      <c r="AI51" s="27">
        <f t="shared" si="105"/>
        <v>-0.2069275900995251</v>
      </c>
      <c r="AJ51" s="27">
        <f t="shared" si="106"/>
        <v>-4.5637180363988783E-3</v>
      </c>
      <c r="AK51" s="27">
        <f t="shared" si="107"/>
        <v>-0.76347928815226762</v>
      </c>
      <c r="AL51" s="27"/>
      <c r="AM51" s="27">
        <f t="shared" si="130"/>
        <v>7.5399085772343888E-2</v>
      </c>
      <c r="AN51" s="27">
        <f t="shared" si="108"/>
        <v>0.36565026929804723</v>
      </c>
      <c r="AO51" s="27">
        <f t="shared" si="109"/>
        <v>7.3540547675437995E-2</v>
      </c>
      <c r="AP51" s="27">
        <f t="shared" si="110"/>
        <v>0.51458990274582916</v>
      </c>
      <c r="AQ51" s="27"/>
      <c r="AR51" s="27">
        <f t="shared" si="131"/>
        <v>-0.47658889424400019</v>
      </c>
      <c r="AS51" s="27">
        <f t="shared" si="111"/>
        <v>0.15872267919852212</v>
      </c>
      <c r="AT51" s="27">
        <f t="shared" si="112"/>
        <v>6.8976829639039117E-2</v>
      </c>
      <c r="AU51" s="27">
        <f t="shared" si="113"/>
        <v>-0.24888938540643846</v>
      </c>
    </row>
    <row r="52" spans="1:47" x14ac:dyDescent="0.2">
      <c r="A52" t="str">
        <f>$A$16</f>
        <v>Elementary occupations</v>
      </c>
      <c r="B52" s="27">
        <f t="shared" si="114"/>
        <v>-2.4090437398838418</v>
      </c>
      <c r="C52" s="27">
        <f t="shared" si="115"/>
        <v>-4.0399471015953026</v>
      </c>
      <c r="D52" s="27">
        <f t="shared" si="116"/>
        <v>-1.1342864505139554</v>
      </c>
      <c r="E52" s="27">
        <f t="shared" si="117"/>
        <v>-7.5832772919930989</v>
      </c>
      <c r="F52" s="27"/>
      <c r="G52" s="27">
        <f t="shared" si="118"/>
        <v>-0.36172763855647716</v>
      </c>
      <c r="H52" s="27">
        <f t="shared" si="119"/>
        <v>-3.6878929894635348</v>
      </c>
      <c r="I52" s="27">
        <f t="shared" si="120"/>
        <v>0.9758943132917377</v>
      </c>
      <c r="J52" s="27">
        <f t="shared" si="121"/>
        <v>-3.073726314728269</v>
      </c>
      <c r="K52" s="27"/>
      <c r="L52" s="27">
        <f t="shared" si="122"/>
        <v>-2.770771378440319</v>
      </c>
      <c r="M52" s="27">
        <f t="shared" si="123"/>
        <v>-7.7278400910588374</v>
      </c>
      <c r="N52" s="27">
        <f t="shared" si="124"/>
        <v>-0.15839213722221768</v>
      </c>
      <c r="O52" s="27">
        <f t="shared" si="125"/>
        <v>-10.657003606721368</v>
      </c>
      <c r="Q52" t="str">
        <f>$A$16</f>
        <v>Elementary occupations</v>
      </c>
      <c r="R52" s="27">
        <f t="shared" si="126"/>
        <v>-1.7269045866996642</v>
      </c>
      <c r="S52" s="27">
        <f t="shared" si="96"/>
        <v>-0.32551043770213894</v>
      </c>
      <c r="T52" s="27">
        <f t="shared" si="97"/>
        <v>-2.3773527951486795E-2</v>
      </c>
      <c r="U52" s="27">
        <f t="shared" si="98"/>
        <v>-2.0761885523532904</v>
      </c>
      <c r="V52" s="27"/>
      <c r="W52" s="27">
        <f t="shared" si="127"/>
        <v>-1.8619857169415397</v>
      </c>
      <c r="X52" s="27">
        <f t="shared" si="99"/>
        <v>-0.44385350533462642</v>
      </c>
      <c r="Y52" s="27">
        <f t="shared" si="100"/>
        <v>0.56507047215948014</v>
      </c>
      <c r="Z52" s="27">
        <f t="shared" si="101"/>
        <v>-1.7407687501166826</v>
      </c>
      <c r="AA52" s="27"/>
      <c r="AB52" s="27">
        <f t="shared" si="128"/>
        <v>-3.5888903036412039</v>
      </c>
      <c r="AC52" s="27">
        <f t="shared" si="102"/>
        <v>-0.76936394303676536</v>
      </c>
      <c r="AD52" s="27">
        <f t="shared" si="103"/>
        <v>0.54129694420799335</v>
      </c>
      <c r="AE52" s="27">
        <f t="shared" si="104"/>
        <v>-3.816957302469973</v>
      </c>
      <c r="AG52" t="str">
        <f>$A$16</f>
        <v>Elementary occupations</v>
      </c>
      <c r="AH52" s="27">
        <f t="shared" si="129"/>
        <v>-0.6821391531841785</v>
      </c>
      <c r="AI52" s="27">
        <f t="shared" si="105"/>
        <v>-3.7144366638931476</v>
      </c>
      <c r="AJ52" s="27">
        <f t="shared" si="106"/>
        <v>-1.1105129225624712</v>
      </c>
      <c r="AK52" s="27">
        <f t="shared" si="107"/>
        <v>-5.5070887396397978</v>
      </c>
      <c r="AL52" s="27"/>
      <c r="AM52" s="27">
        <f t="shared" si="130"/>
        <v>1.5002580783850483</v>
      </c>
      <c r="AN52" s="27">
        <f t="shared" si="108"/>
        <v>-3.2440394841289297</v>
      </c>
      <c r="AO52" s="27">
        <f t="shared" si="109"/>
        <v>0.41082384113225601</v>
      </c>
      <c r="AP52" s="27">
        <f t="shared" si="110"/>
        <v>-1.3329575646116254</v>
      </c>
      <c r="AQ52" s="27"/>
      <c r="AR52" s="27">
        <f t="shared" si="131"/>
        <v>0.81811892520086982</v>
      </c>
      <c r="AS52" s="27">
        <f t="shared" si="111"/>
        <v>-6.9584761480220774</v>
      </c>
      <c r="AT52" s="27">
        <f t="shared" si="112"/>
        <v>-0.69968908143021524</v>
      </c>
      <c r="AU52" s="27">
        <f t="shared" si="113"/>
        <v>-6.8400463042514232</v>
      </c>
    </row>
    <row r="53" spans="1:47" x14ac:dyDescent="0.2">
      <c r="B53" s="27"/>
      <c r="C53" s="27"/>
      <c r="D53" s="27"/>
      <c r="E53" s="27"/>
      <c r="F53" s="27"/>
      <c r="G53" s="27"/>
      <c r="H53" s="27"/>
      <c r="I53" s="27"/>
      <c r="J53" s="27"/>
      <c r="K53" s="27"/>
      <c r="L53" s="27"/>
      <c r="M53" s="27"/>
      <c r="N53" s="27"/>
      <c r="O53" s="27"/>
      <c r="R53" s="27"/>
      <c r="S53" s="27"/>
      <c r="T53" s="27"/>
      <c r="U53" s="27"/>
      <c r="V53" s="27"/>
      <c r="W53" s="27"/>
      <c r="X53" s="27"/>
      <c r="Y53" s="27"/>
      <c r="Z53" s="27"/>
      <c r="AA53" s="27"/>
      <c r="AB53" s="27"/>
      <c r="AC53" s="27"/>
      <c r="AD53" s="27"/>
      <c r="AE53" s="27"/>
      <c r="AH53" s="27"/>
      <c r="AI53" s="27"/>
      <c r="AJ53" s="27"/>
      <c r="AK53" s="27"/>
      <c r="AL53" s="27"/>
      <c r="AM53" s="27"/>
      <c r="AN53" s="27"/>
      <c r="AO53" s="27"/>
      <c r="AP53" s="27"/>
      <c r="AQ53" s="27"/>
      <c r="AR53" s="27"/>
      <c r="AS53" s="27"/>
      <c r="AT53" s="27"/>
      <c r="AU53" s="27"/>
    </row>
    <row r="54" spans="1:47" x14ac:dyDescent="0.2">
      <c r="A54" s="24" t="str">
        <f>$A$18</f>
        <v>All occupations</v>
      </c>
      <c r="B54" s="29">
        <f t="shared" si="114"/>
        <v>-2.9384160996764876</v>
      </c>
      <c r="C54" s="29">
        <f t="shared" si="115"/>
        <v>-2.0699285452911909</v>
      </c>
      <c r="D54" s="29">
        <f t="shared" si="116"/>
        <v>-5.7766553550321547</v>
      </c>
      <c r="E54" s="29">
        <f t="shared" si="117"/>
        <v>-10.784999999999854</v>
      </c>
      <c r="F54" s="29"/>
      <c r="G54" s="29">
        <f t="shared" si="118"/>
        <v>9.6874839350947468</v>
      </c>
      <c r="H54" s="29">
        <f t="shared" si="119"/>
        <v>2.4150667686155032</v>
      </c>
      <c r="I54" s="29">
        <f t="shared" si="120"/>
        <v>1.7494492962895904</v>
      </c>
      <c r="J54" s="29">
        <f t="shared" si="121"/>
        <v>13.851999999999805</v>
      </c>
      <c r="K54" s="29"/>
      <c r="L54" s="29">
        <f t="shared" si="122"/>
        <v>6.7490678354182592</v>
      </c>
      <c r="M54" s="29">
        <f t="shared" si="123"/>
        <v>0.34513822332431232</v>
      </c>
      <c r="N54" s="29">
        <f t="shared" si="124"/>
        <v>-4.0272060587425642</v>
      </c>
      <c r="O54" s="29">
        <f t="shared" si="125"/>
        <v>3.0669999999999504</v>
      </c>
      <c r="Q54" s="24" t="str">
        <f>$A$18</f>
        <v>All occupations</v>
      </c>
      <c r="R54" s="29">
        <f t="shared" ref="R54" si="132">W18-R18</f>
        <v>-3.5671252614122011</v>
      </c>
      <c r="S54" s="29">
        <f t="shared" ref="S54" si="133">X18-S18</f>
        <v>2.019955510564543</v>
      </c>
      <c r="T54" s="29">
        <f t="shared" ref="T54" si="134">Y18-T18</f>
        <v>-5.3666993759066912</v>
      </c>
      <c r="U54" s="29">
        <f t="shared" ref="U54" si="135">Z18-U18</f>
        <v>-6.9138691267543493</v>
      </c>
      <c r="V54" s="29"/>
      <c r="W54" s="29">
        <f t="shared" ref="W54" si="136">AB18-W18</f>
        <v>-1.6293808162072594</v>
      </c>
      <c r="X54" s="29">
        <f t="shared" ref="X54" si="137">AC18-X18</f>
        <v>2.6844118173658842</v>
      </c>
      <c r="Y54" s="29">
        <f t="shared" ref="Y54" si="138">AD18-Y18</f>
        <v>1.4871701873394798</v>
      </c>
      <c r="Z54" s="29">
        <f t="shared" ref="Z54" si="139">AE18-Z18</f>
        <v>2.5422011884980975</v>
      </c>
      <c r="AA54" s="29"/>
      <c r="AB54" s="29">
        <f t="shared" ref="AB54" si="140">AB18-R18</f>
        <v>-5.1965060776194605</v>
      </c>
      <c r="AC54" s="29">
        <f t="shared" ref="AC54" si="141">AC18-S18</f>
        <v>4.7043673279304272</v>
      </c>
      <c r="AD54" s="29">
        <f t="shared" ref="AD54" si="142">AD18-T18</f>
        <v>-3.8795291885672114</v>
      </c>
      <c r="AE54" s="29">
        <f t="shared" ref="AE54" si="143">AE18-U18</f>
        <v>-4.3716679382562518</v>
      </c>
      <c r="AG54" s="24" t="str">
        <f>$A$18</f>
        <v>All occupations</v>
      </c>
      <c r="AH54" s="29">
        <f t="shared" ref="AH54" si="144">AM18-AH18</f>
        <v>0.62870916173572766</v>
      </c>
      <c r="AI54" s="29">
        <f t="shared" ref="AI54" si="145">AN18-AI18</f>
        <v>-4.0898840558557197</v>
      </c>
      <c r="AJ54" s="29">
        <f t="shared" ref="AJ54" si="146">AO18-AJ18</f>
        <v>-0.40995597912549187</v>
      </c>
      <c r="AK54" s="29">
        <f t="shared" ref="AK54" si="147">AP18-AK18</f>
        <v>-3.8711308732454768</v>
      </c>
      <c r="AL54" s="29"/>
      <c r="AM54" s="29">
        <f t="shared" ref="AM54" si="148">AR18-AM18</f>
        <v>11.316864751302077</v>
      </c>
      <c r="AN54" s="29">
        <f t="shared" ref="AN54" si="149">AS18-AN18</f>
        <v>-0.26934504875040943</v>
      </c>
      <c r="AO54" s="29">
        <f t="shared" ref="AO54" si="150">AT18-AO18</f>
        <v>0.26227910895009643</v>
      </c>
      <c r="AP54" s="29">
        <f t="shared" ref="AP54" si="151">AU18-AP18</f>
        <v>11.309798811501764</v>
      </c>
      <c r="AQ54" s="29"/>
      <c r="AR54" s="29">
        <f t="shared" ref="AR54" si="152">AR18-AH18</f>
        <v>11.945573913037805</v>
      </c>
      <c r="AS54" s="29">
        <f t="shared" ref="AS54" si="153">AS18-AI18</f>
        <v>-4.3592291046061291</v>
      </c>
      <c r="AT54" s="29">
        <f t="shared" ref="AT54" si="154">AT18-AJ18</f>
        <v>-0.14767687017539544</v>
      </c>
      <c r="AU54" s="29">
        <f t="shared" ref="AU54" si="155">AU18-AK18</f>
        <v>7.4386679382562875</v>
      </c>
    </row>
  </sheetData>
  <mergeCells count="27">
    <mergeCell ref="AH5:AK5"/>
    <mergeCell ref="AM5:AP5"/>
    <mergeCell ref="AR5:AU5"/>
    <mergeCell ref="AH23:AK23"/>
    <mergeCell ref="AM23:AP23"/>
    <mergeCell ref="AR23:AU23"/>
    <mergeCell ref="AH41:AK41"/>
    <mergeCell ref="W41:Z41"/>
    <mergeCell ref="AB41:AE41"/>
    <mergeCell ref="AM41:AP41"/>
    <mergeCell ref="AR41:AU41"/>
    <mergeCell ref="B41:E41"/>
    <mergeCell ref="G41:J41"/>
    <mergeCell ref="L41:O41"/>
    <mergeCell ref="R5:U5"/>
    <mergeCell ref="W5:Z5"/>
    <mergeCell ref="B5:E5"/>
    <mergeCell ref="G5:J5"/>
    <mergeCell ref="L5:O5"/>
    <mergeCell ref="B23:E23"/>
    <mergeCell ref="G23:J23"/>
    <mergeCell ref="L23:O23"/>
    <mergeCell ref="AB5:AE5"/>
    <mergeCell ref="R23:U23"/>
    <mergeCell ref="W23:Z23"/>
    <mergeCell ref="AB23:AE23"/>
    <mergeCell ref="R41:U41"/>
  </mergeCells>
  <pageMargins left="0.39370078740157483" right="0.39370078740157483" top="0.78740157480314965" bottom="0.78740157480314965" header="0.51181102362204722" footer="0.51181102362204722"/>
  <pageSetup paperSize="9" scale="70" orientation="portrait" r:id="rId1"/>
  <headerFooter alignWithMargins="0"/>
  <colBreaks count="2" manualBreakCount="2">
    <brk id="16" max="53" man="1"/>
    <brk id="32" max="53" man="1"/>
  </colBreaks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46"/>
  <dimension ref="A1:N163"/>
  <sheetViews>
    <sheetView zoomScale="75" zoomScaleNormal="75" workbookViewId="0"/>
  </sheetViews>
  <sheetFormatPr defaultColWidth="9.140625" defaultRowHeight="12.75" x14ac:dyDescent="0.2"/>
  <cols>
    <col min="1" max="1" width="11" style="157" bestFit="1" customWidth="1"/>
    <col min="2" max="9" width="9.140625" style="157"/>
    <col min="10" max="10" width="17.5703125" style="157" customWidth="1"/>
    <col min="11" max="11" width="8.28515625" style="157" customWidth="1"/>
    <col min="12" max="12" width="52.7109375" style="91" customWidth="1"/>
    <col min="13" max="14" width="10.140625" style="91" customWidth="1"/>
    <col min="15" max="16384" width="9.140625" style="91"/>
  </cols>
  <sheetData>
    <row r="1" spans="1:14" ht="15.75" x14ac:dyDescent="0.25">
      <c r="A1" s="156" t="str">
        <f>CONCATENATE("Occupation Figure 1  Growth in Employment by Occupation (SOC 2020), ",M6," and ",N6,", ",Info!B5)</f>
        <v>Occupation Figure 1  Growth in Employment by Occupation (SOC 2020), 2015-2020 and 2020-2035, North East</v>
      </c>
    </row>
    <row r="2" spans="1:14" x14ac:dyDescent="0.2">
      <c r="A2" s="364" t="s">
        <v>519</v>
      </c>
    </row>
    <row r="3" spans="1:14" x14ac:dyDescent="0.2">
      <c r="L3" s="158" t="s">
        <v>428</v>
      </c>
    </row>
    <row r="5" spans="1:14" x14ac:dyDescent="0.2">
      <c r="L5" s="122" t="s">
        <v>411</v>
      </c>
    </row>
    <row r="6" spans="1:14" x14ac:dyDescent="0.2">
      <c r="M6" s="178" t="str">
        <f>'Occ T2'!H151</f>
        <v>2015-2020</v>
      </c>
      <c r="N6" s="178" t="str">
        <f>'Occ T2'!I151</f>
        <v>2020-2035</v>
      </c>
    </row>
    <row r="7" spans="1:14" x14ac:dyDescent="0.2">
      <c r="L7" s="114" t="str">
        <f>'Occ T3'!A51</f>
        <v>All occupations</v>
      </c>
      <c r="M7" s="91">
        <f>'Occ T2'!H180</f>
        <v>-0.44439610986766187</v>
      </c>
      <c r="N7" s="91">
        <f>'Occ T2'!I180</f>
        <v>0.1902652511108327</v>
      </c>
    </row>
    <row r="8" spans="1:14" x14ac:dyDescent="0.2">
      <c r="L8" s="114"/>
    </row>
    <row r="9" spans="1:14" x14ac:dyDescent="0.2">
      <c r="L9" s="91" t="str">
        <f>'Occ T3'!A49</f>
        <v>92 Elementary administration and service occupations</v>
      </c>
      <c r="M9" s="91">
        <f>'Occ T2'!H178</f>
        <v>-2.255324327152386</v>
      </c>
      <c r="N9" s="91">
        <f>'Occ T2'!I178</f>
        <v>-0.18459713568840241</v>
      </c>
    </row>
    <row r="10" spans="1:14" x14ac:dyDescent="0.2">
      <c r="L10" s="91" t="str">
        <f>'Occ T3'!A48</f>
        <v>91 Elementary trades and related occupations</v>
      </c>
      <c r="M10" s="91">
        <f>'Occ T2'!H177</f>
        <v>-5.1225631721883218</v>
      </c>
      <c r="N10" s="91">
        <f>'Occ T2'!I177</f>
        <v>-2.084172380804461</v>
      </c>
    </row>
    <row r="11" spans="1:14" x14ac:dyDescent="0.2">
      <c r="L11" s="114" t="str">
        <f>"["&amp;'Occ T3'!A47&amp;"]"</f>
        <v>[Elementary occupations]</v>
      </c>
      <c r="M11" s="91">
        <f>'Occ T1'!H88</f>
        <v>-2.6484153285311396</v>
      </c>
      <c r="N11" s="91">
        <f>'Occ T1'!I88</f>
        <v>-0.39906925598005571</v>
      </c>
    </row>
    <row r="12" spans="1:14" x14ac:dyDescent="0.2">
      <c r="L12" s="114"/>
    </row>
    <row r="13" spans="1:14" x14ac:dyDescent="0.2">
      <c r="L13" s="91" t="str">
        <f>'Occ T3'!A45</f>
        <v>82 Transport and mobile machine drivers and operatives</v>
      </c>
      <c r="M13" s="91">
        <f>'Occ T2'!H176</f>
        <v>1.429269565071567</v>
      </c>
      <c r="N13" s="91">
        <f>'Occ T2'!I176</f>
        <v>-0.42598922609481393</v>
      </c>
    </row>
    <row r="14" spans="1:14" x14ac:dyDescent="0.2">
      <c r="L14" s="91" t="str">
        <f>'Occ T3'!A44</f>
        <v>81 Process, plant and machine operatives</v>
      </c>
      <c r="M14" s="91">
        <f>'Occ T2'!H175</f>
        <v>-4.253506799318707</v>
      </c>
      <c r="N14" s="91">
        <f>'Occ T2'!I175</f>
        <v>0.66924231029923398</v>
      </c>
    </row>
    <row r="15" spans="1:14" x14ac:dyDescent="0.2">
      <c r="L15" s="114" t="str">
        <f>"["&amp;'Occ T3'!A43&amp;"]"</f>
        <v>[Process, plant and machine operatives]</v>
      </c>
      <c r="M15" s="91">
        <f>'Occ T1'!H87</f>
        <v>-1.4504435088838363</v>
      </c>
      <c r="N15" s="91">
        <f>'Occ T1'!I87</f>
        <v>0.10263494685138763</v>
      </c>
    </row>
    <row r="16" spans="1:14" x14ac:dyDescent="0.2">
      <c r="L16" s="114"/>
    </row>
    <row r="17" spans="12:14" x14ac:dyDescent="0.2">
      <c r="L17" s="91" t="str">
        <f>'Occ T3'!A41</f>
        <v>72 Customer service occupations</v>
      </c>
      <c r="M17" s="91">
        <f>'Occ T2'!H174</f>
        <v>1.446371877353414</v>
      </c>
      <c r="N17" s="91">
        <f>'Occ T2'!I174</f>
        <v>2.6517879076727313</v>
      </c>
    </row>
    <row r="18" spans="12:14" x14ac:dyDescent="0.2">
      <c r="L18" s="91" t="str">
        <f>'Occ T3'!A40</f>
        <v>71 Sales occupations</v>
      </c>
      <c r="M18" s="91">
        <f>'Occ T2'!H173</f>
        <v>-2.2842027485898586</v>
      </c>
      <c r="N18" s="91">
        <f>'Occ T2'!I173</f>
        <v>-0.64152779647695946</v>
      </c>
    </row>
    <row r="19" spans="12:14" x14ac:dyDescent="0.2">
      <c r="L19" s="114" t="str">
        <f>"["&amp;'Occ T3'!A39&amp;"]"</f>
        <v>[Sales and customer service occupations]</v>
      </c>
      <c r="M19" s="91">
        <f>'Occ T1'!H86</f>
        <v>-1.6982363604291617</v>
      </c>
      <c r="N19" s="91">
        <f>'Occ T1'!I86</f>
        <v>4.4715274753626133E-2</v>
      </c>
    </row>
    <row r="20" spans="12:14" x14ac:dyDescent="0.2">
      <c r="L20" s="114"/>
    </row>
    <row r="21" spans="12:14" x14ac:dyDescent="0.2">
      <c r="L21" s="107" t="str">
        <f>'Occ T3'!A37</f>
        <v>63 Community and civil enforcement occupations</v>
      </c>
      <c r="M21" s="91">
        <f>'Occ T2'!H172</f>
        <v>1.9708862402542771</v>
      </c>
      <c r="N21" s="91">
        <f>'Occ T2'!I172</f>
        <v>-0.90513177589852667</v>
      </c>
    </row>
    <row r="22" spans="12:14" x14ac:dyDescent="0.2">
      <c r="L22" s="91" t="str">
        <f>'Occ T3'!A36</f>
        <v>62 Leisure, travel and related personal service occupations</v>
      </c>
      <c r="M22" s="91">
        <f>'Occ T2'!H171</f>
        <v>-0.19591845732614965</v>
      </c>
      <c r="N22" s="91">
        <f>'Occ T2'!I171</f>
        <v>1.3665141931684666E-2</v>
      </c>
    </row>
    <row r="23" spans="12:14" x14ac:dyDescent="0.2">
      <c r="L23" s="91" t="str">
        <f>'Occ T3'!A35</f>
        <v>61 Caring personal service occupations</v>
      </c>
      <c r="M23" s="91">
        <f>'Occ T2'!H170</f>
        <v>-1.2205236166964006</v>
      </c>
      <c r="N23" s="91">
        <f>'Occ T2'!I170</f>
        <v>0.65812083404137578</v>
      </c>
    </row>
    <row r="24" spans="12:14" x14ac:dyDescent="0.2">
      <c r="L24" s="114" t="str">
        <f>"["&amp;'Occ T3'!A34&amp;"]"</f>
        <v>[Caring, leisure and other service occupations]</v>
      </c>
      <c r="M24" s="91">
        <f>'Occ T1'!H85</f>
        <v>-0.92887600847602059</v>
      </c>
      <c r="N24" s="91">
        <f>'Occ T1'!I85</f>
        <v>0.48260005426963293</v>
      </c>
    </row>
    <row r="25" spans="12:14" x14ac:dyDescent="0.2">
      <c r="L25" s="114"/>
    </row>
    <row r="26" spans="12:14" x14ac:dyDescent="0.2">
      <c r="L26" s="91" t="str">
        <f>'Occ T3'!A32</f>
        <v>54 Textiles, printing and other skilled trades</v>
      </c>
      <c r="M26" s="91">
        <f>'Occ T2'!H169</f>
        <v>-4.4013757840393293</v>
      </c>
      <c r="N26" s="91">
        <f>'Occ T2'!I169</f>
        <v>-0.49698807594252825</v>
      </c>
    </row>
    <row r="27" spans="12:14" x14ac:dyDescent="0.2">
      <c r="L27" s="91" t="str">
        <f>'Occ T3'!A31</f>
        <v>53 Skilled construction and building trades</v>
      </c>
      <c r="M27" s="91">
        <f>'Occ T2'!H168</f>
        <v>-2.3026974287221447</v>
      </c>
      <c r="N27" s="91">
        <f>'Occ T2'!I168</f>
        <v>-0.81896598386120845</v>
      </c>
    </row>
    <row r="28" spans="12:14" x14ac:dyDescent="0.2">
      <c r="L28" s="91" t="str">
        <f>'Occ T3'!A30</f>
        <v>52 Skilled metal, electrical and electronic trades</v>
      </c>
      <c r="M28" s="91">
        <f>'Occ T2'!H167</f>
        <v>-3.5550210541292593</v>
      </c>
      <c r="N28" s="91">
        <f>'Occ T2'!I167</f>
        <v>-1.1158902143306393</v>
      </c>
    </row>
    <row r="29" spans="12:14" x14ac:dyDescent="0.2">
      <c r="L29" s="91" t="str">
        <f>'Occ T3'!A29</f>
        <v>51 Skilled agricultural and related trades</v>
      </c>
      <c r="M29" s="91">
        <f>'Occ T2'!H166</f>
        <v>-3.3641730775179401</v>
      </c>
      <c r="N29" s="91">
        <f>'Occ T2'!I166</f>
        <v>0.76575007290091701</v>
      </c>
    </row>
    <row r="30" spans="12:14" x14ac:dyDescent="0.2">
      <c r="L30" s="114" t="str">
        <f>"["&amp;'Occ T3'!A28&amp;"]"</f>
        <v>[Skilled trades occupations]</v>
      </c>
      <c r="M30" s="91">
        <f>'Occ T1'!H84</f>
        <v>-3.2874517651660384</v>
      </c>
      <c r="N30" s="91">
        <f>'Occ T1'!I84</f>
        <v>-0.73734079315734835</v>
      </c>
    </row>
    <row r="31" spans="12:14" x14ac:dyDescent="0.2">
      <c r="L31" s="114"/>
    </row>
    <row r="32" spans="12:14" x14ac:dyDescent="0.2">
      <c r="L32" s="91" t="str">
        <f>'Occ T3'!A26</f>
        <v>42 Secretarial and related occupations</v>
      </c>
      <c r="M32" s="91">
        <f>'Occ T2'!H165</f>
        <v>-2.9627137766229161</v>
      </c>
      <c r="N32" s="91">
        <f>'Occ T2'!I165</f>
        <v>-0.39194284862599238</v>
      </c>
    </row>
    <row r="33" spans="12:14" x14ac:dyDescent="0.2">
      <c r="L33" s="91" t="str">
        <f>'Occ T3'!A25</f>
        <v>41 Administrative occupations</v>
      </c>
      <c r="M33" s="91">
        <f>'Occ T2'!H164</f>
        <v>-0.63442779025502105</v>
      </c>
      <c r="N33" s="91">
        <f>'Occ T2'!I164</f>
        <v>-0.99616532864348351</v>
      </c>
    </row>
    <row r="34" spans="12:14" x14ac:dyDescent="0.2">
      <c r="L34" s="114" t="str">
        <f>"["&amp;'Occ T3'!A24&amp;"]"</f>
        <v>[Administrative and secretarial occupations]</v>
      </c>
      <c r="M34" s="91">
        <f>'Occ T1'!H83</f>
        <v>-1.0275010638791882</v>
      </c>
      <c r="N34" s="91">
        <f>'Occ T1'!I83</f>
        <v>-0.896566229350515</v>
      </c>
    </row>
    <row r="35" spans="12:14" x14ac:dyDescent="0.2">
      <c r="L35" s="114"/>
    </row>
    <row r="36" spans="12:14" x14ac:dyDescent="0.2">
      <c r="L36" s="91" t="str">
        <f>'Occ T3'!A22</f>
        <v>35 Business and public service associate professionals</v>
      </c>
      <c r="M36" s="91">
        <f>'Occ T2'!H163</f>
        <v>1.5258222585743164</v>
      </c>
      <c r="N36" s="91">
        <f>'Occ T2'!I163</f>
        <v>-9.8822758130379107E-2</v>
      </c>
    </row>
    <row r="37" spans="12:14" x14ac:dyDescent="0.2">
      <c r="L37" s="91" t="str">
        <f>'Occ T3'!A21</f>
        <v>34 Culture, media and sports occupations</v>
      </c>
      <c r="M37" s="91">
        <f>'Occ T2'!H162</f>
        <v>-0.6033393535862186</v>
      </c>
      <c r="N37" s="91">
        <f>'Occ T2'!I162</f>
        <v>0.30069753214485573</v>
      </c>
    </row>
    <row r="38" spans="12:14" x14ac:dyDescent="0.2">
      <c r="L38" s="91" t="str">
        <f>'Occ T3'!A20</f>
        <v>33 Protective service occupations</v>
      </c>
      <c r="M38" s="91">
        <f>'Occ T2'!H161</f>
        <v>2.0886276078930344</v>
      </c>
      <c r="N38" s="91">
        <f>'Occ T2'!I161</f>
        <v>1.6671156181951918</v>
      </c>
    </row>
    <row r="39" spans="12:14" x14ac:dyDescent="0.2">
      <c r="L39" s="91" t="str">
        <f>'Occ T3'!A19</f>
        <v>32 Health and social care associate professionals</v>
      </c>
      <c r="M39" s="91">
        <f>'Occ T2'!H160</f>
        <v>1.4886650136358037</v>
      </c>
      <c r="N39" s="91">
        <f>'Occ T2'!I160</f>
        <v>0.47354217872870308</v>
      </c>
    </row>
    <row r="40" spans="12:14" x14ac:dyDescent="0.2">
      <c r="L40" s="91" t="str">
        <f>'Occ T3'!A18</f>
        <v>31 Science, engineering and technology associate professionals</v>
      </c>
      <c r="M40" s="91">
        <f>'Occ T2'!H159</f>
        <v>3.4128552192368877</v>
      </c>
      <c r="N40" s="91">
        <f>'Occ T2'!I159</f>
        <v>-0.88924154174949699</v>
      </c>
    </row>
    <row r="41" spans="12:14" x14ac:dyDescent="0.2">
      <c r="L41" s="114" t="str">
        <f>"["&amp;'Occ T3'!A17&amp;"]"</f>
        <v>[Associate professional occupations]</v>
      </c>
      <c r="M41" s="91">
        <f>'Occ T1'!H82</f>
        <v>1.6989546787445464</v>
      </c>
      <c r="N41" s="91">
        <f>'Occ T1'!I82</f>
        <v>0.15778954122582789</v>
      </c>
    </row>
    <row r="42" spans="12:14" x14ac:dyDescent="0.2">
      <c r="L42" s="114"/>
    </row>
    <row r="43" spans="12:14" x14ac:dyDescent="0.2">
      <c r="L43" s="91" t="str">
        <f>'Occ T3'!A15</f>
        <v>24 Business, media and public service professionals</v>
      </c>
      <c r="M43" s="91">
        <f>'Occ T2'!H158</f>
        <v>4.0760997932378196</v>
      </c>
      <c r="N43" s="91">
        <f>'Occ T2'!I158</f>
        <v>1.4074343417149748</v>
      </c>
    </row>
    <row r="44" spans="12:14" x14ac:dyDescent="0.2">
      <c r="L44" s="91" t="str">
        <f>'Occ T3'!A14</f>
        <v>23 Teaching and other educational professionals</v>
      </c>
      <c r="M44" s="91">
        <f>'Occ T2'!H157</f>
        <v>0.94027612040923358</v>
      </c>
      <c r="N44" s="91">
        <f>'Occ T2'!I157</f>
        <v>1.0437268786075427</v>
      </c>
    </row>
    <row r="45" spans="12:14" x14ac:dyDescent="0.2">
      <c r="L45" s="91" t="str">
        <f>'Occ T3'!A13</f>
        <v>22 Health professionals</v>
      </c>
      <c r="M45" s="91">
        <f>'Occ T2'!H156</f>
        <v>1.0338543531010158</v>
      </c>
      <c r="N45" s="91">
        <f>'Occ T2'!I156</f>
        <v>1.1239250003088008</v>
      </c>
    </row>
    <row r="46" spans="12:14" x14ac:dyDescent="0.2">
      <c r="L46" s="91" t="str">
        <f>'Occ T3'!A12</f>
        <v>21 Science, research, engineering and technology professionals</v>
      </c>
      <c r="M46" s="91">
        <f>'Occ T2'!H155</f>
        <v>1.8387300943991436</v>
      </c>
      <c r="N46" s="91">
        <f>'Occ T2'!I155</f>
        <v>0.80647699734308631</v>
      </c>
    </row>
    <row r="47" spans="12:14" x14ac:dyDescent="0.2">
      <c r="L47" s="114" t="str">
        <f>"["&amp;'Occ T3'!A11&amp;"]"</f>
        <v>[Professional occupations]</v>
      </c>
      <c r="M47" s="91">
        <f>'Occ T1'!H81</f>
        <v>1.9100338169437014</v>
      </c>
      <c r="N47" s="91">
        <f>'Occ T1'!I81</f>
        <v>1.1040145644863442</v>
      </c>
    </row>
    <row r="49" spans="12:14" x14ac:dyDescent="0.2">
      <c r="L49" s="107" t="str">
        <f>'Occ T3'!A9</f>
        <v>12 Other managers and proprietors</v>
      </c>
      <c r="M49" s="91">
        <f>'Occ T2'!H154</f>
        <v>0.77137036970995609</v>
      </c>
      <c r="N49" s="91">
        <f>'Occ T2'!I154</f>
        <v>2.1660096790900418</v>
      </c>
    </row>
    <row r="50" spans="12:14" x14ac:dyDescent="0.2">
      <c r="L50" s="107" t="str">
        <f>'Occ T3'!A8</f>
        <v>11 Corporate managers and directors</v>
      </c>
      <c r="M50" s="91">
        <f>'Occ T2'!H153</f>
        <v>3.1779136222073401</v>
      </c>
      <c r="N50" s="91">
        <f>'Occ T2'!I153</f>
        <v>-4.7109400992328965E-2</v>
      </c>
    </row>
    <row r="51" spans="12:14" x14ac:dyDescent="0.2">
      <c r="L51" s="114" t="str">
        <f>"["&amp;'Occ T3'!A7&amp;"]"</f>
        <v>[Managers, directors and senior officials]</v>
      </c>
      <c r="M51" s="91">
        <f>'Occ T1'!H80</f>
        <v>2.2508869728540271</v>
      </c>
      <c r="N51" s="91">
        <f>'Occ T1'!I80</f>
        <v>0.84940619850819576</v>
      </c>
    </row>
    <row r="80" spans="1:1" ht="15.75" x14ac:dyDescent="0.25">
      <c r="A80" s="156" t="str">
        <f>CONCATENATE("Occupation Figure 1.1  Change in Employment by Occupation (SOC 2020), ",M81," and ",N81,", ",Info!B5)</f>
        <v>Occupation Figure 1.1  Change in Employment by Occupation (SOC 2020), 2015-2020 and 2020-2035, North East</v>
      </c>
    </row>
    <row r="81" spans="12:14" x14ac:dyDescent="0.2">
      <c r="M81" s="107" t="str">
        <f>'Occ F1'!M6</f>
        <v>2015-2020</v>
      </c>
      <c r="N81" s="107" t="str">
        <f>'Occ F1'!N6</f>
        <v>2020-2035</v>
      </c>
    </row>
    <row r="82" spans="12:14" x14ac:dyDescent="0.2">
      <c r="L82" s="10" t="str">
        <f>name!D4</f>
        <v>11 Corporate managers and directors</v>
      </c>
      <c r="M82" s="94">
        <f>'Occ T2'!D8-'Occ T2'!B8</f>
        <v>3.6798079149795839</v>
      </c>
      <c r="N82" s="94">
        <f>'Occ T2'!F119</f>
        <v>-0.1789845582760563</v>
      </c>
    </row>
    <row r="83" spans="12:14" x14ac:dyDescent="0.2">
      <c r="L83" s="10" t="str">
        <f>name!D5</f>
        <v>12 Other managers and proprietors</v>
      </c>
      <c r="M83" s="94">
        <f>'Occ T2'!D9-'Occ T2'!B9</f>
        <v>0.55906484751431407</v>
      </c>
      <c r="N83" s="94">
        <f>'Occ T2'!F120</f>
        <v>5.6230436494307945</v>
      </c>
    </row>
    <row r="84" spans="12:14" x14ac:dyDescent="0.2">
      <c r="L84" s="10" t="str">
        <f>name!D6</f>
        <v>21 Science, research, engineering and technology professionals</v>
      </c>
      <c r="M84" s="94">
        <f>'Occ T2'!D10-'Occ T2'!B10</f>
        <v>2.0436176296022381</v>
      </c>
      <c r="N84" s="94">
        <f>'Occ T2'!F121</f>
        <v>3.0051780574364457</v>
      </c>
    </row>
    <row r="85" spans="12:14" x14ac:dyDescent="0.2">
      <c r="L85" s="10" t="str">
        <f>name!D7</f>
        <v>22 Health professionals</v>
      </c>
      <c r="M85" s="94">
        <f>'Occ T2'!D11-'Occ T2'!B11</f>
        <v>1.455084609767539</v>
      </c>
      <c r="N85" s="94">
        <f>'Occ T2'!F122</f>
        <v>5.2981705426432093</v>
      </c>
    </row>
    <row r="86" spans="12:14" x14ac:dyDescent="0.2">
      <c r="L86" s="10" t="str">
        <f>name!D8</f>
        <v>23 Teaching and other educational professionals</v>
      </c>
      <c r="M86" s="94">
        <f>'Occ T2'!D12-'Occ T2'!B12</f>
        <v>1.0095388737527173</v>
      </c>
      <c r="N86" s="94">
        <f>'Occ T2'!F123</f>
        <v>3.7216334370332511</v>
      </c>
    </row>
    <row r="87" spans="12:14" x14ac:dyDescent="0.2">
      <c r="L87" s="10" t="str">
        <f>name!D9</f>
        <v>24 Business, media and public service professionals</v>
      </c>
      <c r="M87" s="94">
        <f>'Occ T2'!D13-'Occ T2'!B13</f>
        <v>4.4340132100180938</v>
      </c>
      <c r="N87" s="94">
        <f>'Occ T2'!F124</f>
        <v>5.7113881371266508</v>
      </c>
    </row>
    <row r="88" spans="12:14" x14ac:dyDescent="0.2">
      <c r="L88" s="10" t="str">
        <f>name!D10</f>
        <v>31 Science, engineering and technology associate professionals</v>
      </c>
      <c r="M88" s="94">
        <f>'Occ T2'!D14-'Occ T2'!B14</f>
        <v>1.6543838201707004</v>
      </c>
      <c r="N88" s="94">
        <f>'Occ T2'!F125</f>
        <v>-1.3429596124176317</v>
      </c>
    </row>
    <row r="89" spans="12:14" x14ac:dyDescent="0.2">
      <c r="L89" s="10" t="str">
        <f>name!D11</f>
        <v>32 Health and social care associate professionals</v>
      </c>
      <c r="M89" s="94">
        <f>'Occ T2'!D15-'Occ T2'!B15</f>
        <v>0.74092483267046738</v>
      </c>
      <c r="N89" s="94">
        <f>'Occ T2'!F126</f>
        <v>0.76395423180199451</v>
      </c>
    </row>
    <row r="90" spans="12:14" x14ac:dyDescent="0.2">
      <c r="L90" s="10" t="str">
        <f>name!D12</f>
        <v>33 Protective service occupations</v>
      </c>
      <c r="M90" s="94">
        <f>'Occ T2'!D16-'Occ T2'!B16</f>
        <v>0.69221717059772914</v>
      </c>
      <c r="N90" s="94">
        <f>'Occ T2'!F127</f>
        <v>1.9842019589937738</v>
      </c>
    </row>
    <row r="91" spans="12:14" x14ac:dyDescent="0.2">
      <c r="L91" s="10" t="str">
        <f>name!D13</f>
        <v>34 Culture, media and sports occupations</v>
      </c>
      <c r="M91" s="94">
        <f>'Occ T2'!D17-'Occ T2'!B17</f>
        <v>-0.17574945111185869</v>
      </c>
      <c r="N91" s="94">
        <f>'Occ T2'!F128</f>
        <v>0.26354035848689428</v>
      </c>
    </row>
    <row r="92" spans="12:14" x14ac:dyDescent="0.2">
      <c r="L92" s="10" t="str">
        <f>name!D14</f>
        <v>35 Business and public service associate professionals</v>
      </c>
      <c r="M92" s="94">
        <f>'Occ T2'!D18-'Occ T2'!B18</f>
        <v>1.6183549362113396</v>
      </c>
      <c r="N92" s="94">
        <f>'Occ T2'!F129</f>
        <v>-0.32672037905998863</v>
      </c>
    </row>
    <row r="93" spans="12:14" x14ac:dyDescent="0.2">
      <c r="L93" s="10" t="str">
        <f>name!D15</f>
        <v>41 Administrative occupations</v>
      </c>
      <c r="M93" s="94">
        <f>'Occ T2'!D19-'Occ T2'!B19</f>
        <v>-1.4276728197651067</v>
      </c>
      <c r="N93" s="94">
        <f>'Occ T2'!F130</f>
        <v>-6.1568661400787192</v>
      </c>
    </row>
    <row r="94" spans="12:14" x14ac:dyDescent="0.2">
      <c r="L94" s="10" t="str">
        <f>name!D16</f>
        <v>42 Secretarial and related occupations</v>
      </c>
      <c r="M94" s="94">
        <f>'Occ T2'!D20-'Occ T2'!B20</f>
        <v>-1.3548575603624986</v>
      </c>
      <c r="N94" s="94">
        <f>'Occ T2'!F131</f>
        <v>-0.47763365821413561</v>
      </c>
    </row>
    <row r="95" spans="12:14" x14ac:dyDescent="0.2">
      <c r="L95" s="10" t="str">
        <f>name!D17</f>
        <v>51 Skilled agricultural and related trades</v>
      </c>
      <c r="M95" s="94">
        <f>'Occ T2'!D21-'Occ T2'!B21</f>
        <v>-0.73036033977020676</v>
      </c>
      <c r="N95" s="94">
        <f>'Occ T2'!F132</f>
        <v>0.47446004355916571</v>
      </c>
    </row>
    <row r="96" spans="12:14" x14ac:dyDescent="0.2">
      <c r="L96" s="10" t="str">
        <f>name!D18</f>
        <v>52 Skilled metal, electrical and electronic trades</v>
      </c>
      <c r="M96" s="94">
        <f>'Occ T2'!D22-'Occ T2'!B22</f>
        <v>-3.9313733489225839</v>
      </c>
      <c r="N96" s="94">
        <f>'Occ T2'!F133</f>
        <v>-3.069804290544532</v>
      </c>
    </row>
    <row r="97" spans="12:14" x14ac:dyDescent="0.2">
      <c r="L97" s="10" t="str">
        <f>name!D19</f>
        <v>53 Skilled construction and building trades</v>
      </c>
      <c r="M97" s="94">
        <f>'Occ T2'!D23-'Occ T2'!B23</f>
        <v>-1.9874149655950575</v>
      </c>
      <c r="N97" s="94">
        <f>'Occ T2'!F134</f>
        <v>-1.8669184254696489</v>
      </c>
    </row>
    <row r="98" spans="12:14" x14ac:dyDescent="0.2">
      <c r="L98" s="10" t="str">
        <f>name!D20</f>
        <v>54 Textiles, printing and other skilled trades</v>
      </c>
      <c r="M98" s="94">
        <f>'Occ T2'!D24-'Occ T2'!B24</f>
        <v>-2.1274206747525835</v>
      </c>
      <c r="N98" s="94">
        <f>'Occ T2'!F135</f>
        <v>-0.60696235767244744</v>
      </c>
    </row>
    <row r="99" spans="12:14" x14ac:dyDescent="0.2">
      <c r="L99" s="10" t="str">
        <f>name!D21</f>
        <v>61 Caring personal service occupations</v>
      </c>
      <c r="M99" s="94">
        <f>'Occ T2'!D25-'Occ T2'!B25</f>
        <v>-2.0017438027646648</v>
      </c>
      <c r="N99" s="94">
        <f>'Occ T2'!F136</f>
        <v>3.2684360730787816</v>
      </c>
    </row>
    <row r="100" spans="12:14" x14ac:dyDescent="0.2">
      <c r="L100" s="10" t="str">
        <f>name!D22</f>
        <v>62 Leisure, travel and related personal service occupations</v>
      </c>
      <c r="M100" s="94">
        <f>'Occ T2'!D26-'Occ T2'!B26</f>
        <v>-0.10435250654524175</v>
      </c>
      <c r="N100" s="94">
        <f>'Occ T2'!F137</f>
        <v>2.1728094785634866E-2</v>
      </c>
    </row>
    <row r="101" spans="12:14" x14ac:dyDescent="0.2">
      <c r="L101" s="10" t="str">
        <f>name!D23</f>
        <v>63 Community and civil enforcement occupations</v>
      </c>
      <c r="M101" s="94">
        <f>'Occ T2'!D27-'Occ T2'!B27</f>
        <v>5.9673950395268238E-2</v>
      </c>
      <c r="N101" s="94">
        <f>'Occ T2'!F138</f>
        <v>-8.1830023026183474E-2</v>
      </c>
    </row>
    <row r="102" spans="12:14" x14ac:dyDescent="0.2">
      <c r="L102" s="10" t="str">
        <f>name!D24</f>
        <v>71 Sales occupations</v>
      </c>
      <c r="M102" s="94">
        <f>'Occ T2'!D28-'Occ T2'!B28</f>
        <v>-5.2269330067576618</v>
      </c>
      <c r="N102" s="94">
        <f>'Occ T2'!F139</f>
        <v>-3.9274776221846395</v>
      </c>
    </row>
    <row r="103" spans="12:14" x14ac:dyDescent="0.2">
      <c r="L103" s="10" t="str">
        <f>name!D25</f>
        <v>72 Customer service occupations</v>
      </c>
      <c r="M103" s="94">
        <f>'Occ T2'!D29-'Occ T2'!B29</f>
        <v>0.61594383622964166</v>
      </c>
      <c r="N103" s="94">
        <f>'Occ T2'!F140</f>
        <v>4.2744457069809609</v>
      </c>
    </row>
    <row r="104" spans="12:14" x14ac:dyDescent="0.2">
      <c r="L104" s="10" t="str">
        <f>name!D26</f>
        <v>81 Process, plant and machine operatives</v>
      </c>
      <c r="M104" s="94">
        <f>'Occ T2'!D30-'Occ T2'!B30</f>
        <v>-4.0038286977330522</v>
      </c>
      <c r="N104" s="94">
        <f>'Occ T2'!F141</f>
        <v>1.7355589637515365</v>
      </c>
    </row>
    <row r="105" spans="12:14" x14ac:dyDescent="0.2">
      <c r="L105" s="10" t="str">
        <f>name!D27</f>
        <v>82 Transport and mobile machine drivers and operatives</v>
      </c>
      <c r="M105" s="94">
        <f>'Occ T2'!D31-'Occ T2'!B31</f>
        <v>1.3073588341639386</v>
      </c>
      <c r="N105" s="94">
        <f>'Occ T2'!F142</f>
        <v>-1.1838558734370928</v>
      </c>
    </row>
    <row r="106" spans="12:14" x14ac:dyDescent="0.2">
      <c r="L106" s="10" t="str">
        <f>name!D28</f>
        <v>91 Elementary trades and related occupations</v>
      </c>
      <c r="M106" s="94">
        <f>'Occ T2'!D32-'Occ T2'!B32</f>
        <v>-2.0132461123014354</v>
      </c>
      <c r="N106" s="94">
        <f>'Occ T2'!F143</f>
        <v>-1.8135103276913602</v>
      </c>
    </row>
    <row r="107" spans="12:14" x14ac:dyDescent="0.2">
      <c r="L107" s="10" t="str">
        <f>name!D29</f>
        <v>92 Elementary administration and service occupations</v>
      </c>
      <c r="M107" s="94">
        <f>'Occ T2'!D33-'Occ T2'!B33</f>
        <v>-5.5700311796916253</v>
      </c>
      <c r="N107" s="94">
        <f>'Occ T2'!F144</f>
        <v>-1.260215987036915</v>
      </c>
    </row>
    <row r="108" spans="12:14" x14ac:dyDescent="0.2">
      <c r="L108" s="10"/>
      <c r="M108" s="94"/>
      <c r="N108" s="94"/>
    </row>
    <row r="109" spans="12:14" x14ac:dyDescent="0.2">
      <c r="L109" s="10" t="str">
        <f>name!D3</f>
        <v>All occupations</v>
      </c>
      <c r="M109" s="94">
        <f>'Occ T2'!D35-'Occ T2'!B35</f>
        <v>-10.784999999999968</v>
      </c>
      <c r="N109" s="94">
        <f>'Occ T2'!F146</f>
        <v>13.851999999999691</v>
      </c>
    </row>
    <row r="150" spans="1:14" ht="15.75" x14ac:dyDescent="0.25">
      <c r="A150" s="156" t="str">
        <f>CONCATENATE("Occupation Figure 1.2  Change in Employment by Occupation (SOC 2020), ",M152," and ",N152,", ",Info!B5)</f>
        <v>Occupation Figure 1.2  Change in Employment by Occupation (SOC 2020), 2015 - 2020 and 2020-2035, North East</v>
      </c>
    </row>
    <row r="152" spans="1:14" x14ac:dyDescent="0.2">
      <c r="M152" s="91" t="str">
        <f>'Occ T1'!B6&amp;" - "&amp;'Occ T1'!D6</f>
        <v>2015 - 2020</v>
      </c>
      <c r="N152" s="91" t="str">
        <f>'Occ T1'!H4</f>
        <v>2020-2035</v>
      </c>
    </row>
    <row r="153" spans="1:14" x14ac:dyDescent="0.2">
      <c r="L153" s="10" t="str">
        <f>name!E4</f>
        <v>Managers, directors and senior officials</v>
      </c>
      <c r="M153" s="94">
        <f>'Occ T1'!D8-'Occ T1'!B8</f>
        <v>4.238872762493898</v>
      </c>
      <c r="N153" s="94">
        <f>'Occ T1'!H8</f>
        <v>5.4440590911547417</v>
      </c>
    </row>
    <row r="154" spans="1:14" x14ac:dyDescent="0.2">
      <c r="L154" s="10" t="str">
        <f>name!E5</f>
        <v>Professional occupations</v>
      </c>
      <c r="M154" s="94">
        <f>'Occ T1'!D9-'Occ T1'!B9</f>
        <v>8.9422543231405882</v>
      </c>
      <c r="N154" s="94">
        <f>'Occ T1'!H9</f>
        <v>17.736370174239553</v>
      </c>
    </row>
    <row r="155" spans="1:14" x14ac:dyDescent="0.2">
      <c r="L155" s="10" t="str">
        <f>name!E6</f>
        <v>Associate professional occupations</v>
      </c>
      <c r="M155" s="94">
        <f>'Occ T1'!D10-'Occ T1'!B10</f>
        <v>4.5301313085383867</v>
      </c>
      <c r="N155" s="94">
        <f>'Occ T1'!H10</f>
        <v>1.3420165578050387</v>
      </c>
    </row>
    <row r="156" spans="1:14" x14ac:dyDescent="0.2">
      <c r="L156" s="10" t="str">
        <f>name!E7</f>
        <v>Administrative and secretarial occupations</v>
      </c>
      <c r="M156" s="94">
        <f>'Occ T1'!D11-'Occ T1'!B11</f>
        <v>-2.7825303801276036</v>
      </c>
      <c r="N156" s="94">
        <f>'Occ T1'!H11</f>
        <v>-6.6344997982928575</v>
      </c>
    </row>
    <row r="157" spans="1:14" x14ac:dyDescent="0.2">
      <c r="L157" s="10" t="str">
        <f>name!E8</f>
        <v>Skilled trades occupations</v>
      </c>
      <c r="M157" s="94">
        <f>'Occ T1'!D12-'Occ T1'!B12</f>
        <v>-8.7765693290404272</v>
      </c>
      <c r="N157" s="94">
        <f>'Occ T1'!H12</f>
        <v>-5.0692250301274626</v>
      </c>
    </row>
    <row r="158" spans="1:14" x14ac:dyDescent="0.2">
      <c r="L158" s="10" t="str">
        <f>name!E9</f>
        <v>Caring, leisure and other service occupations</v>
      </c>
      <c r="M158" s="94">
        <f>'Occ T1'!D13-'Occ T1'!B13</f>
        <v>-2.04642235891464</v>
      </c>
      <c r="N158" s="94">
        <f>'Occ T1'!H13</f>
        <v>3.2083341448382399</v>
      </c>
    </row>
    <row r="159" spans="1:14" x14ac:dyDescent="0.2">
      <c r="L159" s="10" t="str">
        <f>name!E10</f>
        <v>Sales and customer service occupations</v>
      </c>
      <c r="M159" s="94">
        <f>'Occ T1'!D14-'Occ T1'!B14</f>
        <v>-4.6109891705280219</v>
      </c>
      <c r="N159" s="94">
        <f>'Occ T1'!H14</f>
        <v>0.34696808479632324</v>
      </c>
    </row>
    <row r="160" spans="1:14" x14ac:dyDescent="0.2">
      <c r="L160" s="10" t="str">
        <f>name!E11</f>
        <v>Process, plant and machine operatives</v>
      </c>
      <c r="M160" s="94">
        <f>'Occ T1'!D15-'Occ T1'!B15</f>
        <v>-2.6964698635691136</v>
      </c>
      <c r="N160" s="94">
        <f>'Occ T1'!H15</f>
        <v>0.55170309031444731</v>
      </c>
    </row>
    <row r="161" spans="12:14" x14ac:dyDescent="0.2">
      <c r="L161" s="10" t="str">
        <f>name!E12</f>
        <v>Elementary occupations</v>
      </c>
      <c r="M161" s="94">
        <f>'Occ T1'!D16-'Occ T1'!B16</f>
        <v>-7.5832772919930633</v>
      </c>
      <c r="N161" s="94">
        <f>'Occ T1'!H16</f>
        <v>-3.0737263147282761</v>
      </c>
    </row>
    <row r="162" spans="12:14" x14ac:dyDescent="0.2">
      <c r="L162" s="10"/>
      <c r="M162" s="94"/>
      <c r="N162" s="94"/>
    </row>
    <row r="163" spans="12:14" x14ac:dyDescent="0.2">
      <c r="L163" s="10" t="str">
        <f>name!E3</f>
        <v>All occupations</v>
      </c>
      <c r="M163" s="94">
        <f>'Occ T1'!D18-'Occ T1'!B18</f>
        <v>-10.784999999999968</v>
      </c>
      <c r="N163" s="94">
        <f>'Occ T1'!H18</f>
        <v>13.851999999999748</v>
      </c>
    </row>
  </sheetData>
  <conditionalFormatting sqref="L17:L18 L6:N6">
    <cfRule type="cellIs" dxfId="8" priority="1" stopIfTrue="1" operator="equal">
      <formula>0</formula>
    </cfRule>
  </conditionalFormatting>
  <pageMargins left="0.55118110236220474" right="0.55118110236220474" top="0.98425196850393704" bottom="0.98425196850393704" header="0.51181102362204722" footer="0.51181102362204722"/>
  <pageSetup paperSize="9" scale="71" fitToHeight="0" orientation="portrait" r:id="rId1"/>
  <headerFooter alignWithMargins="0"/>
  <rowBreaks count="2" manualBreakCount="2">
    <brk id="79" max="10" man="1"/>
    <brk id="149" max="10" man="1"/>
  </rowBreaks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16"/>
  <dimension ref="A1:BL508"/>
  <sheetViews>
    <sheetView zoomScale="75" zoomScaleNormal="75" workbookViewId="0"/>
  </sheetViews>
  <sheetFormatPr defaultColWidth="9.140625" defaultRowHeight="12.75" x14ac:dyDescent="0.2"/>
  <cols>
    <col min="1" max="1" width="17" style="81" customWidth="1"/>
    <col min="2" max="8" width="9.140625" style="81"/>
    <col min="9" max="9" width="31.85546875" style="81" customWidth="1"/>
    <col min="10" max="10" width="11.28515625" style="81" customWidth="1"/>
    <col min="11" max="11" width="6.140625" style="81" customWidth="1"/>
    <col min="12" max="12" width="52.28515625" customWidth="1"/>
    <col min="13" max="41" width="15.7109375" customWidth="1"/>
    <col min="42" max="63" width="6.28515625" customWidth="1"/>
  </cols>
  <sheetData>
    <row r="1" spans="1:64" ht="15.75" x14ac:dyDescent="0.25">
      <c r="A1" s="80" t="str">
        <f>CONCATENATE("Occupation Figure 2  Employment by Occupation (SOC 2020), ",$M$2,"-",$O$2,", ",Info!B5)</f>
        <v>Occupation Figure 2  Employment by Occupation (SOC 2020), 2010-2035, North East</v>
      </c>
      <c r="L1" s="46"/>
    </row>
    <row r="2" spans="1:64" x14ac:dyDescent="0.2">
      <c r="A2" s="364" t="s">
        <v>519</v>
      </c>
      <c r="L2" s="16" t="s">
        <v>29</v>
      </c>
      <c r="M2" s="48">
        <f>M4</f>
        <v>2010</v>
      </c>
      <c r="N2" s="47" t="s">
        <v>28</v>
      </c>
      <c r="O2" s="48">
        <f>MAX(N4:BL4)</f>
        <v>2035</v>
      </c>
    </row>
    <row r="3" spans="1:64" x14ac:dyDescent="0.2">
      <c r="L3" s="16"/>
      <c r="M3" s="16"/>
      <c r="N3" s="47"/>
      <c r="O3" s="16"/>
    </row>
    <row r="4" spans="1:64" x14ac:dyDescent="0.2">
      <c r="L4" s="1" t="s">
        <v>36</v>
      </c>
      <c r="M4" s="48">
        <v>2010</v>
      </c>
      <c r="N4" s="48">
        <v>2011</v>
      </c>
      <c r="O4" s="48">
        <v>2012</v>
      </c>
      <c r="P4" s="48">
        <v>2013</v>
      </c>
      <c r="Q4" s="48">
        <v>2014</v>
      </c>
      <c r="R4" s="48">
        <v>2015</v>
      </c>
      <c r="S4" s="48">
        <v>2016</v>
      </c>
      <c r="T4" s="48">
        <v>2017</v>
      </c>
      <c r="U4" s="48">
        <v>2018</v>
      </c>
      <c r="V4" s="48">
        <v>2019</v>
      </c>
      <c r="W4" s="48">
        <v>2020</v>
      </c>
      <c r="X4" s="48">
        <v>2021</v>
      </c>
      <c r="Y4" s="48">
        <v>2022</v>
      </c>
      <c r="Z4" s="48">
        <v>2023</v>
      </c>
      <c r="AA4" s="48">
        <v>2024</v>
      </c>
      <c r="AB4" s="48">
        <v>2025</v>
      </c>
      <c r="AC4" s="48">
        <v>2026</v>
      </c>
      <c r="AD4" s="48">
        <v>2027</v>
      </c>
      <c r="AE4" s="48">
        <v>2028</v>
      </c>
      <c r="AF4" s="48">
        <v>2029</v>
      </c>
      <c r="AG4" s="48">
        <v>2030</v>
      </c>
      <c r="AH4" s="48">
        <v>2031</v>
      </c>
      <c r="AI4" s="48">
        <v>2032</v>
      </c>
      <c r="AJ4" s="48">
        <v>2033</v>
      </c>
      <c r="AK4" s="48">
        <v>2034</v>
      </c>
      <c r="AL4" s="48">
        <v>2035</v>
      </c>
      <c r="AM4" s="48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</row>
    <row r="5" spans="1:64" x14ac:dyDescent="0.2">
      <c r="L5" s="17" t="str">
        <f>'Occ T3'!A7</f>
        <v>Managers, directors and senior officials</v>
      </c>
      <c r="M5" s="87">
        <f t="shared" ref="M5" si="0">SUM(M6:M7)</f>
        <v>30.163363995590686</v>
      </c>
      <c r="N5" s="87">
        <f>SUM(N6:N7)</f>
        <v>32.925071678868932</v>
      </c>
      <c r="O5" s="87">
        <f t="shared" ref="O5:AL5" si="1">SUM(O6:O7)</f>
        <v>32.748451208256142</v>
      </c>
      <c r="P5" s="87">
        <f t="shared" si="1"/>
        <v>34.58830271983507</v>
      </c>
      <c r="Q5" s="87">
        <f t="shared" si="1"/>
        <v>33.752645787883651</v>
      </c>
      <c r="R5" s="87">
        <f t="shared" si="1"/>
        <v>36.006205962267231</v>
      </c>
      <c r="S5" s="87">
        <f t="shared" si="1"/>
        <v>32.829477421918028</v>
      </c>
      <c r="T5" s="87">
        <f t="shared" si="1"/>
        <v>34.713119907937511</v>
      </c>
      <c r="U5" s="87">
        <f t="shared" si="1"/>
        <v>36.671678487925128</v>
      </c>
      <c r="V5" s="87">
        <f t="shared" si="1"/>
        <v>39.967668672295616</v>
      </c>
      <c r="W5" s="87">
        <f t="shared" si="1"/>
        <v>40.245078724761129</v>
      </c>
      <c r="X5" s="87">
        <f t="shared" si="1"/>
        <v>39.218912053926296</v>
      </c>
      <c r="Y5" s="87">
        <f t="shared" si="1"/>
        <v>39.461975505286816</v>
      </c>
      <c r="Z5" s="87">
        <f t="shared" si="1"/>
        <v>39.876896703075474</v>
      </c>
      <c r="AA5" s="87">
        <f t="shared" si="1"/>
        <v>40.376967866745289</v>
      </c>
      <c r="AB5" s="87">
        <f t="shared" si="1"/>
        <v>40.862520683519087</v>
      </c>
      <c r="AC5" s="87">
        <f t="shared" si="1"/>
        <v>41.317467972732175</v>
      </c>
      <c r="AD5" s="87">
        <f t="shared" si="1"/>
        <v>41.791311134885817</v>
      </c>
      <c r="AE5" s="87">
        <f t="shared" si="1"/>
        <v>42.278681791165852</v>
      </c>
      <c r="AF5" s="87">
        <f t="shared" si="1"/>
        <v>42.75929827021362</v>
      </c>
      <c r="AG5" s="87">
        <f t="shared" si="1"/>
        <v>43.258712678321785</v>
      </c>
      <c r="AH5" s="87">
        <f t="shared" si="1"/>
        <v>43.802636237337339</v>
      </c>
      <c r="AI5" s="87">
        <f t="shared" si="1"/>
        <v>44.398533818838686</v>
      </c>
      <c r="AJ5" s="87">
        <f t="shared" si="1"/>
        <v>44.908888555329348</v>
      </c>
      <c r="AK5" s="87">
        <f t="shared" si="1"/>
        <v>45.394610577729487</v>
      </c>
      <c r="AL5" s="87">
        <f t="shared" si="1"/>
        <v>45.689137815915871</v>
      </c>
      <c r="AM5" s="11"/>
      <c r="AN5" s="11"/>
      <c r="AO5" s="11"/>
      <c r="AP5" s="11"/>
      <c r="AQ5" s="11"/>
      <c r="AR5" s="11"/>
      <c r="AS5" s="11"/>
      <c r="AT5" s="11"/>
      <c r="AU5" s="11"/>
      <c r="AV5" s="11"/>
      <c r="AW5" s="11"/>
      <c r="AX5" s="11"/>
      <c r="AY5" s="11"/>
      <c r="AZ5" s="11"/>
      <c r="BA5" s="11"/>
      <c r="BB5" s="11"/>
      <c r="BC5" s="11"/>
      <c r="BD5" s="11"/>
      <c r="BE5" s="11"/>
      <c r="BF5" s="11"/>
      <c r="BG5" s="11"/>
      <c r="BH5" s="11"/>
      <c r="BI5" s="11"/>
      <c r="BJ5" s="11"/>
      <c r="BK5" s="11"/>
      <c r="BL5" s="11"/>
    </row>
    <row r="6" spans="1:64" x14ac:dyDescent="0.2">
      <c r="L6" s="232" t="str">
        <f>'Occ T3'!A8</f>
        <v>11 Corporate managers and directors</v>
      </c>
      <c r="M6" s="11">
        <v>19.063861545216135</v>
      </c>
      <c r="N6" s="11">
        <v>20.493398093237104</v>
      </c>
      <c r="O6" s="11">
        <v>20.33859945851605</v>
      </c>
      <c r="P6" s="11">
        <v>21.473495143334627</v>
      </c>
      <c r="Q6" s="11">
        <v>20.506251419462309</v>
      </c>
      <c r="R6" s="11">
        <v>21.732746128315462</v>
      </c>
      <c r="S6" s="11">
        <v>21.477006215724533</v>
      </c>
      <c r="T6" s="11">
        <v>22.465186898110243</v>
      </c>
      <c r="U6" s="11">
        <v>23.983815098223165</v>
      </c>
      <c r="V6" s="11">
        <v>24.68359891633521</v>
      </c>
      <c r="W6" s="11">
        <v>25.412554043295046</v>
      </c>
      <c r="X6" s="11">
        <v>22.530132994912663</v>
      </c>
      <c r="Y6" s="11">
        <v>22.612384099482568</v>
      </c>
      <c r="Z6" s="11">
        <v>22.783180002790665</v>
      </c>
      <c r="AA6" s="11">
        <v>22.989403767934519</v>
      </c>
      <c r="AB6" s="11">
        <v>23.185685027332152</v>
      </c>
      <c r="AC6" s="11">
        <v>23.37087241218072</v>
      </c>
      <c r="AD6" s="11">
        <v>23.562937092586459</v>
      </c>
      <c r="AE6" s="11">
        <v>23.761993869068359</v>
      </c>
      <c r="AF6" s="11">
        <v>23.95589431461886</v>
      </c>
      <c r="AG6" s="11">
        <v>24.160769773090927</v>
      </c>
      <c r="AH6" s="11">
        <v>24.380643693703</v>
      </c>
      <c r="AI6" s="11">
        <v>24.618648729952316</v>
      </c>
      <c r="AJ6" s="11">
        <v>24.828645211981073</v>
      </c>
      <c r="AK6" s="11">
        <v>25.043477459198741</v>
      </c>
      <c r="AL6" s="11">
        <v>25.23356948501899</v>
      </c>
      <c r="AM6" s="11"/>
      <c r="AN6" s="11"/>
      <c r="AO6" s="11"/>
      <c r="AP6" s="11"/>
      <c r="AQ6" s="11"/>
      <c r="AR6" s="11"/>
      <c r="AS6" s="11"/>
      <c r="AT6" s="11"/>
      <c r="AU6" s="11"/>
      <c r="AV6" s="11"/>
      <c r="AW6" s="11"/>
      <c r="AX6" s="11"/>
      <c r="AY6" s="11"/>
      <c r="AZ6" s="11"/>
      <c r="BA6" s="11"/>
      <c r="BB6" s="11"/>
      <c r="BC6" s="11"/>
      <c r="BD6" s="11"/>
      <c r="BE6" s="11"/>
      <c r="BF6" s="11"/>
      <c r="BG6" s="11"/>
      <c r="BH6" s="11"/>
      <c r="BI6" s="11"/>
      <c r="BJ6" s="11"/>
      <c r="BK6" s="11"/>
      <c r="BL6" s="11"/>
    </row>
    <row r="7" spans="1:64" x14ac:dyDescent="0.2">
      <c r="L7" s="232" t="str">
        <f>'Occ T3'!A9</f>
        <v>12 Other managers and proprietors</v>
      </c>
      <c r="M7" s="11">
        <v>11.099502450374549</v>
      </c>
      <c r="N7" s="11">
        <v>12.431673585631827</v>
      </c>
      <c r="O7" s="11">
        <v>12.40985174974009</v>
      </c>
      <c r="P7" s="11">
        <v>13.114807576500446</v>
      </c>
      <c r="Q7" s="11">
        <v>13.246394368421342</v>
      </c>
      <c r="R7" s="11">
        <v>14.273459833951772</v>
      </c>
      <c r="S7" s="11">
        <v>11.352471206193497</v>
      </c>
      <c r="T7" s="11">
        <v>12.247933009827268</v>
      </c>
      <c r="U7" s="11">
        <v>12.687863389701961</v>
      </c>
      <c r="V7" s="11">
        <v>15.284069755960404</v>
      </c>
      <c r="W7" s="11">
        <v>14.832524681466086</v>
      </c>
      <c r="X7" s="11">
        <v>16.688779059013633</v>
      </c>
      <c r="Y7" s="11">
        <v>16.849591405804244</v>
      </c>
      <c r="Z7" s="11">
        <v>17.093716700284808</v>
      </c>
      <c r="AA7" s="11">
        <v>17.387564098810767</v>
      </c>
      <c r="AB7" s="11">
        <v>17.676835656186935</v>
      </c>
      <c r="AC7" s="11">
        <v>17.946595560551458</v>
      </c>
      <c r="AD7" s="11">
        <v>18.228374042299354</v>
      </c>
      <c r="AE7" s="11">
        <v>18.516687922097493</v>
      </c>
      <c r="AF7" s="11">
        <v>18.803403955594764</v>
      </c>
      <c r="AG7" s="11">
        <v>19.097942905230859</v>
      </c>
      <c r="AH7" s="11">
        <v>19.421992543634339</v>
      </c>
      <c r="AI7" s="11">
        <v>19.779885088886367</v>
      </c>
      <c r="AJ7" s="11">
        <v>20.080243343348275</v>
      </c>
      <c r="AK7" s="11">
        <v>20.351133118530747</v>
      </c>
      <c r="AL7" s="11">
        <v>20.455568330896881</v>
      </c>
      <c r="AM7" s="11"/>
      <c r="AN7" s="11"/>
      <c r="AO7" s="11"/>
      <c r="AP7" s="11"/>
      <c r="AQ7" s="11"/>
      <c r="AR7" s="11"/>
      <c r="AS7" s="11"/>
      <c r="AT7" s="11"/>
      <c r="AU7" s="11"/>
      <c r="AV7" s="11"/>
      <c r="AW7" s="11"/>
      <c r="AX7" s="11"/>
      <c r="AY7" s="11"/>
      <c r="AZ7" s="11"/>
      <c r="BA7" s="11"/>
      <c r="BB7" s="11"/>
      <c r="BC7" s="11"/>
      <c r="BD7" s="11"/>
      <c r="BE7" s="11"/>
      <c r="BF7" s="11"/>
      <c r="BG7" s="11"/>
      <c r="BH7" s="11"/>
      <c r="BI7" s="11"/>
      <c r="BJ7" s="11"/>
      <c r="BK7" s="11"/>
      <c r="BL7" s="11"/>
    </row>
    <row r="8" spans="1:64" x14ac:dyDescent="0.2">
      <c r="L8" s="232"/>
      <c r="M8" s="11"/>
      <c r="N8" s="11"/>
      <c r="O8" s="11"/>
      <c r="P8" s="11"/>
      <c r="Q8" s="11"/>
      <c r="R8" s="11"/>
      <c r="S8" s="11"/>
      <c r="T8" s="11"/>
      <c r="U8" s="11"/>
      <c r="V8" s="11"/>
      <c r="W8" s="11"/>
      <c r="X8" s="11"/>
      <c r="Y8" s="11"/>
      <c r="Z8" s="11"/>
      <c r="AA8" s="11"/>
      <c r="AB8" s="11"/>
      <c r="AC8" s="11"/>
      <c r="AD8" s="11"/>
      <c r="AE8" s="11"/>
      <c r="AF8" s="11"/>
      <c r="AG8" s="11"/>
      <c r="AH8" s="11"/>
      <c r="AI8" s="11"/>
      <c r="AJ8" s="11"/>
      <c r="AK8" s="11"/>
      <c r="AL8" s="11"/>
      <c r="AM8" s="11"/>
      <c r="AN8" s="11"/>
      <c r="AO8" s="11"/>
      <c r="AP8" s="11"/>
      <c r="AQ8" s="11"/>
      <c r="AR8" s="11"/>
      <c r="AS8" s="11"/>
      <c r="AT8" s="11"/>
      <c r="AU8" s="11"/>
      <c r="AV8" s="11"/>
      <c r="AW8" s="11"/>
      <c r="AX8" s="11"/>
      <c r="AY8" s="11"/>
      <c r="AZ8" s="11"/>
      <c r="BA8" s="11"/>
      <c r="BB8" s="11"/>
      <c r="BC8" s="11"/>
      <c r="BD8" s="11"/>
      <c r="BE8" s="11"/>
      <c r="BF8" s="11"/>
      <c r="BG8" s="11"/>
      <c r="BH8" s="11"/>
      <c r="BI8" s="11"/>
      <c r="BJ8" s="11"/>
      <c r="BK8" s="11"/>
      <c r="BL8" s="11"/>
    </row>
    <row r="9" spans="1:64" x14ac:dyDescent="0.2">
      <c r="L9" s="17" t="str">
        <f>'Occ T3'!A11</f>
        <v>Professional occupations</v>
      </c>
      <c r="M9" s="87">
        <f t="shared" ref="M9" si="2">SUM(M10:M13)</f>
        <v>84.838258647618744</v>
      </c>
      <c r="N9" s="87">
        <f>SUM(N10:N13)</f>
        <v>83.428096220108273</v>
      </c>
      <c r="O9" s="87">
        <f t="shared" ref="O9:AL9" si="3">SUM(O10:O13)</f>
        <v>85.088062736759866</v>
      </c>
      <c r="P9" s="87">
        <f t="shared" si="3"/>
        <v>83.533986979240524</v>
      </c>
      <c r="Q9" s="87">
        <f t="shared" si="3"/>
        <v>87.185179997776956</v>
      </c>
      <c r="R9" s="87">
        <f t="shared" si="3"/>
        <v>90.125276635320631</v>
      </c>
      <c r="S9" s="87">
        <f t="shared" si="3"/>
        <v>86.144198695685034</v>
      </c>
      <c r="T9" s="87">
        <f t="shared" si="3"/>
        <v>87.168757258555885</v>
      </c>
      <c r="U9" s="87">
        <f t="shared" si="3"/>
        <v>91.188165057450746</v>
      </c>
      <c r="V9" s="87">
        <f t="shared" si="3"/>
        <v>92.878705546459898</v>
      </c>
      <c r="W9" s="87">
        <f t="shared" si="3"/>
        <v>99.067530958461219</v>
      </c>
      <c r="X9" s="87">
        <f t="shared" si="3"/>
        <v>101.74009583142427</v>
      </c>
      <c r="Y9" s="87">
        <f t="shared" si="3"/>
        <v>102.94394248020524</v>
      </c>
      <c r="Z9" s="87">
        <f t="shared" si="3"/>
        <v>104.14298897841137</v>
      </c>
      <c r="AA9" s="87">
        <f t="shared" si="3"/>
        <v>105.39949704766782</v>
      </c>
      <c r="AB9" s="87">
        <f t="shared" si="3"/>
        <v>106.4965017389784</v>
      </c>
      <c r="AC9" s="87">
        <f t="shared" si="3"/>
        <v>107.50359938356488</v>
      </c>
      <c r="AD9" s="87">
        <f t="shared" si="3"/>
        <v>108.49553685499814</v>
      </c>
      <c r="AE9" s="87">
        <f t="shared" si="3"/>
        <v>109.48484249873059</v>
      </c>
      <c r="AF9" s="87">
        <f t="shared" si="3"/>
        <v>110.46768045925837</v>
      </c>
      <c r="AG9" s="87">
        <f t="shared" si="3"/>
        <v>111.5092304396141</v>
      </c>
      <c r="AH9" s="87">
        <f t="shared" si="3"/>
        <v>112.58977028270992</v>
      </c>
      <c r="AI9" s="87">
        <f t="shared" si="3"/>
        <v>113.65855787754941</v>
      </c>
      <c r="AJ9" s="87">
        <f t="shared" si="3"/>
        <v>114.72519542596078</v>
      </c>
      <c r="AK9" s="87">
        <f t="shared" si="3"/>
        <v>115.79035721535632</v>
      </c>
      <c r="AL9" s="87">
        <f t="shared" si="3"/>
        <v>116.80390113270077</v>
      </c>
      <c r="AM9" s="11"/>
      <c r="AN9" s="11"/>
      <c r="AO9" s="11"/>
      <c r="AP9" s="11"/>
      <c r="AQ9" s="11"/>
      <c r="AR9" s="11"/>
      <c r="AS9" s="11"/>
      <c r="AT9" s="11"/>
      <c r="AU9" s="11"/>
      <c r="AV9" s="11"/>
      <c r="AW9" s="11"/>
      <c r="AX9" s="11"/>
      <c r="AY9" s="11"/>
      <c r="AZ9" s="11"/>
      <c r="BA9" s="11"/>
      <c r="BB9" s="11"/>
    </row>
    <row r="10" spans="1:64" x14ac:dyDescent="0.2">
      <c r="L10" s="232" t="str">
        <f>'Occ T3'!A12</f>
        <v>21 Science, research, engineering and technology professionals</v>
      </c>
      <c r="M10" s="11">
        <v>20.661142206096748</v>
      </c>
      <c r="N10" s="11">
        <v>19.995198492116373</v>
      </c>
      <c r="O10" s="11">
        <v>19.993069572735614</v>
      </c>
      <c r="P10" s="11">
        <v>19.703430537251997</v>
      </c>
      <c r="Q10" s="11">
        <v>20.173330119521985</v>
      </c>
      <c r="R10" s="11">
        <v>21.426021449350184</v>
      </c>
      <c r="S10" s="11">
        <v>20.515697199383911</v>
      </c>
      <c r="T10" s="11">
        <v>20.76466889820043</v>
      </c>
      <c r="U10" s="11">
        <v>22.609944614454747</v>
      </c>
      <c r="V10" s="11">
        <v>22.375685399680563</v>
      </c>
      <c r="W10" s="11">
        <v>23.469639078952422</v>
      </c>
      <c r="X10" s="11">
        <v>23.530646412265231</v>
      </c>
      <c r="Y10" s="11">
        <v>23.652334325547187</v>
      </c>
      <c r="Z10" s="11">
        <v>23.854255592952111</v>
      </c>
      <c r="AA10" s="11">
        <v>24.099086189263836</v>
      </c>
      <c r="AB10" s="11">
        <v>24.314393776822961</v>
      </c>
      <c r="AC10" s="11">
        <v>24.510437327176053</v>
      </c>
      <c r="AD10" s="11">
        <v>24.710464639901929</v>
      </c>
      <c r="AE10" s="11">
        <v>24.918381817534339</v>
      </c>
      <c r="AF10" s="11">
        <v>25.123090632331863</v>
      </c>
      <c r="AG10" s="11">
        <v>25.344586352131206</v>
      </c>
      <c r="AH10" s="11">
        <v>25.566046274578024</v>
      </c>
      <c r="AI10" s="11">
        <v>25.790028303721343</v>
      </c>
      <c r="AJ10" s="11">
        <v>26.013096037357403</v>
      </c>
      <c r="AK10" s="11">
        <v>26.245759620710217</v>
      </c>
      <c r="AL10" s="11">
        <v>26.474817136388868</v>
      </c>
      <c r="AM10" s="11"/>
      <c r="AN10" s="11"/>
      <c r="AO10" s="11"/>
      <c r="AP10" s="11"/>
      <c r="AQ10" s="11"/>
      <c r="AR10" s="11"/>
      <c r="AS10" s="11"/>
      <c r="AT10" s="11"/>
      <c r="AU10" s="11"/>
      <c r="AV10" s="11"/>
      <c r="AW10" s="11"/>
      <c r="AX10" s="11"/>
      <c r="AY10" s="11"/>
      <c r="AZ10" s="11"/>
      <c r="BA10" s="11"/>
      <c r="BB10" s="11"/>
      <c r="BC10" s="11"/>
      <c r="BD10" s="11"/>
      <c r="BE10" s="11"/>
      <c r="BF10" s="11"/>
      <c r="BG10" s="11"/>
      <c r="BH10" s="11"/>
      <c r="BI10" s="11"/>
      <c r="BJ10" s="11"/>
      <c r="BK10" s="11"/>
      <c r="BL10" s="11"/>
    </row>
    <row r="11" spans="1:64" x14ac:dyDescent="0.2">
      <c r="L11" s="232" t="str">
        <f>'Occ T3'!A13</f>
        <v>22 Health professionals</v>
      </c>
      <c r="M11" s="11">
        <v>23.004197545390937</v>
      </c>
      <c r="N11" s="11">
        <v>22.962396677335022</v>
      </c>
      <c r="O11" s="11">
        <v>24.023782540773439</v>
      </c>
      <c r="P11" s="11">
        <v>24.877832215253726</v>
      </c>
      <c r="Q11" s="11">
        <v>27.614832615139875</v>
      </c>
      <c r="R11" s="11">
        <v>27.572687353088558</v>
      </c>
      <c r="S11" s="11">
        <v>26.202035430279949</v>
      </c>
      <c r="T11" s="11">
        <v>27.472103775112938</v>
      </c>
      <c r="U11" s="11">
        <v>27.412441509935586</v>
      </c>
      <c r="V11" s="11">
        <v>27.845345060706606</v>
      </c>
      <c r="W11" s="11">
        <v>29.027771962856097</v>
      </c>
      <c r="X11" s="11">
        <v>29.96547771759143</v>
      </c>
      <c r="Y11" s="11">
        <v>30.347933391805537</v>
      </c>
      <c r="Z11" s="11">
        <v>30.750360854118906</v>
      </c>
      <c r="AA11" s="11">
        <v>31.135144941360615</v>
      </c>
      <c r="AB11" s="11">
        <v>31.484028005298615</v>
      </c>
      <c r="AC11" s="11">
        <v>31.804879860923606</v>
      </c>
      <c r="AD11" s="11">
        <v>32.098047456950844</v>
      </c>
      <c r="AE11" s="11">
        <v>32.360620782346665</v>
      </c>
      <c r="AF11" s="11">
        <v>32.622953702367568</v>
      </c>
      <c r="AG11" s="11">
        <v>32.898613517642879</v>
      </c>
      <c r="AH11" s="11">
        <v>33.196391078004346</v>
      </c>
      <c r="AI11" s="11">
        <v>33.495281339908594</v>
      </c>
      <c r="AJ11" s="11">
        <v>33.795005764769734</v>
      </c>
      <c r="AK11" s="11">
        <v>34.080129458102491</v>
      </c>
      <c r="AL11" s="11">
        <v>34.325942505499306</v>
      </c>
      <c r="AM11" s="11"/>
      <c r="AN11" s="11"/>
      <c r="AO11" s="11"/>
      <c r="AP11" s="11"/>
      <c r="AQ11" s="11"/>
      <c r="AR11" s="11"/>
      <c r="AS11" s="11"/>
      <c r="AT11" s="11"/>
      <c r="AU11" s="11"/>
      <c r="AV11" s="11"/>
      <c r="AW11" s="11"/>
      <c r="AX11" s="11"/>
      <c r="AY11" s="11"/>
      <c r="AZ11" s="11"/>
      <c r="BA11" s="11"/>
      <c r="BB11" s="11"/>
      <c r="BC11" s="11"/>
      <c r="BD11" s="11"/>
      <c r="BE11" s="11"/>
      <c r="BF11" s="11"/>
      <c r="BG11" s="11"/>
      <c r="BH11" s="11"/>
      <c r="BI11" s="11"/>
      <c r="BJ11" s="11"/>
      <c r="BK11" s="11"/>
      <c r="BL11" s="11"/>
    </row>
    <row r="12" spans="1:64" x14ac:dyDescent="0.2">
      <c r="L12" s="232" t="str">
        <f>'Occ T3'!A14</f>
        <v>23 Teaching and other educational professionals</v>
      </c>
      <c r="M12" s="11">
        <v>19.858949033006741</v>
      </c>
      <c r="N12" s="11">
        <v>20.724409719361976</v>
      </c>
      <c r="O12" s="11">
        <v>22.893903406865359</v>
      </c>
      <c r="P12" s="11">
        <v>19.582565576479624</v>
      </c>
      <c r="Q12" s="11">
        <v>20.204339892937735</v>
      </c>
      <c r="R12" s="11">
        <v>21.073206393473654</v>
      </c>
      <c r="S12" s="11">
        <v>20.01447977467047</v>
      </c>
      <c r="T12" s="11">
        <v>19.829562533939871</v>
      </c>
      <c r="U12" s="11">
        <v>20.463522279358855</v>
      </c>
      <c r="V12" s="11">
        <v>21.064663212375553</v>
      </c>
      <c r="W12" s="11">
        <v>22.082745267226372</v>
      </c>
      <c r="X12" s="11">
        <v>22.697194228846726</v>
      </c>
      <c r="Y12" s="11">
        <v>23.272417323365399</v>
      </c>
      <c r="Z12" s="11">
        <v>23.58057289105551</v>
      </c>
      <c r="AA12" s="11">
        <v>23.879011624859942</v>
      </c>
      <c r="AB12" s="11">
        <v>24.074771011161502</v>
      </c>
      <c r="AC12" s="11">
        <v>24.235324889989602</v>
      </c>
      <c r="AD12" s="11">
        <v>24.404368529158383</v>
      </c>
      <c r="AE12" s="11">
        <v>24.576184502347012</v>
      </c>
      <c r="AF12" s="11">
        <v>24.743766910854184</v>
      </c>
      <c r="AG12" s="11">
        <v>24.913386773500495</v>
      </c>
      <c r="AH12" s="11">
        <v>25.09336732702636</v>
      </c>
      <c r="AI12" s="11">
        <v>25.274030566839055</v>
      </c>
      <c r="AJ12" s="11">
        <v>25.453296230165098</v>
      </c>
      <c r="AK12" s="11">
        <v>25.630168942387211</v>
      </c>
      <c r="AL12" s="11">
        <v>25.804378704259623</v>
      </c>
      <c r="AM12" s="11"/>
      <c r="AN12" s="11"/>
      <c r="AO12" s="11"/>
      <c r="AP12" s="11"/>
      <c r="AQ12" s="11"/>
      <c r="AR12" s="11"/>
      <c r="AS12" s="11"/>
      <c r="AT12" s="11"/>
      <c r="AU12" s="11"/>
      <c r="AV12" s="11"/>
      <c r="AW12" s="11"/>
      <c r="AX12" s="11"/>
      <c r="AY12" s="11"/>
      <c r="AZ12" s="11"/>
      <c r="BA12" s="11"/>
      <c r="BB12" s="11"/>
      <c r="BC12" s="11"/>
      <c r="BD12" s="11"/>
      <c r="BE12" s="11"/>
      <c r="BF12" s="11"/>
      <c r="BG12" s="11"/>
      <c r="BH12" s="11"/>
      <c r="BI12" s="11"/>
      <c r="BJ12" s="11"/>
      <c r="BK12" s="11"/>
      <c r="BL12" s="11"/>
    </row>
    <row r="13" spans="1:64" x14ac:dyDescent="0.2">
      <c r="L13" s="232" t="str">
        <f>'Occ T3'!A15</f>
        <v>24 Business, media and public service professionals</v>
      </c>
      <c r="M13" s="11">
        <v>21.313969863124317</v>
      </c>
      <c r="N13" s="11">
        <v>19.746091331294902</v>
      </c>
      <c r="O13" s="11">
        <v>18.177307216385454</v>
      </c>
      <c r="P13" s="11">
        <v>19.370158650255171</v>
      </c>
      <c r="Q13" s="11">
        <v>19.192677370177368</v>
      </c>
      <c r="R13" s="11">
        <v>20.053361439408231</v>
      </c>
      <c r="S13" s="11">
        <v>19.411986291350718</v>
      </c>
      <c r="T13" s="11">
        <v>19.102422051302639</v>
      </c>
      <c r="U13" s="11">
        <v>20.702256653701554</v>
      </c>
      <c r="V13" s="11">
        <v>21.593011873697176</v>
      </c>
      <c r="W13" s="11">
        <v>24.487374649426325</v>
      </c>
      <c r="X13" s="11">
        <v>25.546777472720898</v>
      </c>
      <c r="Y13" s="11">
        <v>25.6712574394871</v>
      </c>
      <c r="Z13" s="11">
        <v>25.957799640284847</v>
      </c>
      <c r="AA13" s="11">
        <v>26.286254292183433</v>
      </c>
      <c r="AB13" s="11">
        <v>26.623308945695321</v>
      </c>
      <c r="AC13" s="11">
        <v>26.952957305475621</v>
      </c>
      <c r="AD13" s="11">
        <v>27.28265622898698</v>
      </c>
      <c r="AE13" s="11">
        <v>27.629655396502567</v>
      </c>
      <c r="AF13" s="11">
        <v>27.97786921370475</v>
      </c>
      <c r="AG13" s="11">
        <v>28.352643796339528</v>
      </c>
      <c r="AH13" s="11">
        <v>28.733965603101193</v>
      </c>
      <c r="AI13" s="11">
        <v>29.099217667080424</v>
      </c>
      <c r="AJ13" s="11">
        <v>29.463797393668543</v>
      </c>
      <c r="AK13" s="11">
        <v>29.834299194156394</v>
      </c>
      <c r="AL13" s="11">
        <v>30.198762786552976</v>
      </c>
      <c r="AM13" s="11"/>
      <c r="AN13" s="11"/>
      <c r="AO13" s="11"/>
      <c r="AP13" s="11"/>
      <c r="AQ13" s="11"/>
      <c r="AR13" s="11"/>
      <c r="AS13" s="11"/>
      <c r="AT13" s="11"/>
      <c r="AU13" s="11"/>
      <c r="AV13" s="11"/>
      <c r="AW13" s="11"/>
      <c r="AX13" s="11"/>
      <c r="AY13" s="11"/>
      <c r="AZ13" s="11"/>
      <c r="BA13" s="11"/>
      <c r="BB13" s="11"/>
      <c r="BC13" s="11"/>
      <c r="BD13" s="11"/>
      <c r="BE13" s="11"/>
      <c r="BF13" s="11"/>
      <c r="BG13" s="11"/>
      <c r="BH13" s="11"/>
      <c r="BI13" s="11"/>
      <c r="BJ13" s="11"/>
      <c r="BK13" s="11"/>
      <c r="BL13" s="11"/>
    </row>
    <row r="14" spans="1:64" x14ac:dyDescent="0.2">
      <c r="L14" s="232"/>
      <c r="M14" s="11"/>
      <c r="N14" s="11"/>
      <c r="O14" s="11"/>
      <c r="P14" s="11"/>
      <c r="Q14" s="11"/>
      <c r="R14" s="11"/>
      <c r="S14" s="11"/>
      <c r="T14" s="11"/>
      <c r="U14" s="11"/>
      <c r="V14" s="11"/>
      <c r="W14" s="11"/>
      <c r="X14" s="11"/>
      <c r="Y14" s="11"/>
      <c r="Z14" s="11"/>
      <c r="AA14" s="11"/>
      <c r="AB14" s="11"/>
      <c r="AC14" s="11"/>
      <c r="AD14" s="11"/>
      <c r="AE14" s="11"/>
      <c r="AF14" s="11"/>
      <c r="AG14" s="11"/>
      <c r="AH14" s="11"/>
      <c r="AI14" s="11"/>
      <c r="AJ14" s="11"/>
      <c r="AK14" s="11"/>
      <c r="AL14" s="11"/>
      <c r="AM14" s="11"/>
      <c r="AN14" s="11"/>
      <c r="AO14" s="11"/>
      <c r="AP14" s="11"/>
      <c r="AQ14" s="11"/>
      <c r="AR14" s="11"/>
      <c r="AS14" s="11"/>
      <c r="AT14" s="11"/>
      <c r="AU14" s="11"/>
      <c r="AV14" s="11"/>
      <c r="AW14" s="11"/>
      <c r="AX14" s="11"/>
      <c r="AY14" s="11"/>
      <c r="AZ14" s="11"/>
      <c r="BA14" s="11"/>
      <c r="BB14" s="11"/>
      <c r="BC14" s="11"/>
      <c r="BD14" s="11"/>
      <c r="BE14" s="11"/>
      <c r="BF14" s="11"/>
      <c r="BG14" s="11"/>
      <c r="BH14" s="11"/>
      <c r="BI14" s="11"/>
      <c r="BJ14" s="11"/>
      <c r="BK14" s="11"/>
      <c r="BL14" s="11"/>
    </row>
    <row r="15" spans="1:64" x14ac:dyDescent="0.2">
      <c r="L15" s="17" t="str">
        <f>'Occ T3'!A17</f>
        <v>Associate professional occupations</v>
      </c>
      <c r="M15" s="87">
        <f t="shared" ref="M15" si="4">SUM(M16:M20)</f>
        <v>50.280531084012054</v>
      </c>
      <c r="N15" s="87">
        <f>SUM(N16:N20)</f>
        <v>50.119233176124936</v>
      </c>
      <c r="O15" s="87">
        <f t="shared" ref="O15:AL15" si="5">SUM(O16:O20)</f>
        <v>49.737840122298465</v>
      </c>
      <c r="P15" s="87">
        <f t="shared" si="5"/>
        <v>50.50495516889815</v>
      </c>
      <c r="Q15" s="87">
        <f t="shared" si="5"/>
        <v>50.572774057292051</v>
      </c>
      <c r="R15" s="87">
        <f t="shared" si="5"/>
        <v>51.546924924381955</v>
      </c>
      <c r="S15" s="87">
        <f t="shared" si="5"/>
        <v>49.354786954497143</v>
      </c>
      <c r="T15" s="87">
        <f t="shared" si="5"/>
        <v>51.475901889800717</v>
      </c>
      <c r="U15" s="87">
        <f t="shared" si="5"/>
        <v>53.624566232250984</v>
      </c>
      <c r="V15" s="87">
        <f t="shared" si="5"/>
        <v>53.529641037873461</v>
      </c>
      <c r="W15" s="87">
        <f t="shared" si="5"/>
        <v>56.077056232920341</v>
      </c>
      <c r="X15" s="87">
        <f t="shared" si="5"/>
        <v>52.681448368703251</v>
      </c>
      <c r="Y15" s="87">
        <f t="shared" si="5"/>
        <v>52.736131827950231</v>
      </c>
      <c r="Z15" s="87">
        <f t="shared" si="5"/>
        <v>53.048466000735004</v>
      </c>
      <c r="AA15" s="87">
        <f t="shared" si="5"/>
        <v>53.4215465765757</v>
      </c>
      <c r="AB15" s="87">
        <f t="shared" si="5"/>
        <v>53.792100904177957</v>
      </c>
      <c r="AC15" s="87">
        <f t="shared" si="5"/>
        <v>54.120172243716596</v>
      </c>
      <c r="AD15" s="87">
        <f t="shared" si="5"/>
        <v>54.450198141007398</v>
      </c>
      <c r="AE15" s="87">
        <f t="shared" si="5"/>
        <v>54.794177468801664</v>
      </c>
      <c r="AF15" s="87">
        <f t="shared" si="5"/>
        <v>55.115584460837312</v>
      </c>
      <c r="AG15" s="87">
        <f t="shared" si="5"/>
        <v>55.479715118755834</v>
      </c>
      <c r="AH15" s="87">
        <f t="shared" si="5"/>
        <v>55.844589201013825</v>
      </c>
      <c r="AI15" s="87">
        <f t="shared" si="5"/>
        <v>56.21608623399996</v>
      </c>
      <c r="AJ15" s="87">
        <f t="shared" si="5"/>
        <v>56.594660837564923</v>
      </c>
      <c r="AK15" s="87">
        <f t="shared" si="5"/>
        <v>56.978593557460364</v>
      </c>
      <c r="AL15" s="87">
        <f t="shared" si="5"/>
        <v>57.41907279072538</v>
      </c>
      <c r="AM15" s="11"/>
      <c r="AN15" s="11"/>
      <c r="AO15" s="11"/>
      <c r="AP15" s="11"/>
      <c r="AQ15" s="11"/>
      <c r="AR15" s="11"/>
      <c r="AS15" s="11"/>
      <c r="AT15" s="11"/>
      <c r="AU15" s="11"/>
      <c r="AV15" s="11"/>
      <c r="AW15" s="11"/>
      <c r="AX15" s="11"/>
      <c r="AY15" s="11"/>
      <c r="AZ15" s="11"/>
      <c r="BA15" s="11"/>
      <c r="BB15" s="11"/>
    </row>
    <row r="16" spans="1:64" x14ac:dyDescent="0.2">
      <c r="L16" s="232" t="str">
        <f>'Occ T3'!A18</f>
        <v>31 Science, engineering and technology associate professionals</v>
      </c>
      <c r="M16" s="11">
        <v>9.7200570514138729</v>
      </c>
      <c r="N16" s="11">
        <v>9.5534611874831796</v>
      </c>
      <c r="O16" s="11">
        <v>9.7242987307515989</v>
      </c>
      <c r="P16" s="11">
        <v>9.8060954007296459</v>
      </c>
      <c r="Q16" s="11">
        <v>8.8644480610007701</v>
      </c>
      <c r="R16" s="11">
        <v>9.0554566906705691</v>
      </c>
      <c r="S16" s="11">
        <v>8.9810175137671795</v>
      </c>
      <c r="T16" s="11">
        <v>10.167279189303025</v>
      </c>
      <c r="U16" s="11">
        <v>10.611653784202169</v>
      </c>
      <c r="V16" s="11">
        <v>9.8720265188058818</v>
      </c>
      <c r="W16" s="11">
        <v>10.70984051084127</v>
      </c>
      <c r="X16" s="11">
        <v>9.0481456145588997</v>
      </c>
      <c r="Y16" s="11">
        <v>9.0578863488402988</v>
      </c>
      <c r="Z16" s="11">
        <v>9.0768564418053739</v>
      </c>
      <c r="AA16" s="11">
        <v>9.1112364382677438</v>
      </c>
      <c r="AB16" s="11">
        <v>9.1332068964074171</v>
      </c>
      <c r="AC16" s="11">
        <v>9.1499947890084048</v>
      </c>
      <c r="AD16" s="11">
        <v>9.1675687493800542</v>
      </c>
      <c r="AE16" s="11">
        <v>9.187349917927337</v>
      </c>
      <c r="AF16" s="11">
        <v>9.2009133972066213</v>
      </c>
      <c r="AG16" s="11">
        <v>9.2262647610249573</v>
      </c>
      <c r="AH16" s="11">
        <v>9.2485459415471301</v>
      </c>
      <c r="AI16" s="11">
        <v>9.2805694613333358</v>
      </c>
      <c r="AJ16" s="11">
        <v>9.3059417809119758</v>
      </c>
      <c r="AK16" s="11">
        <v>9.3409742276955328</v>
      </c>
      <c r="AL16" s="11">
        <v>9.3668808984236378</v>
      </c>
      <c r="AM16" s="11"/>
      <c r="AN16" s="11"/>
      <c r="AO16" s="11"/>
      <c r="AP16" s="11"/>
      <c r="AQ16" s="11"/>
      <c r="AR16" s="11"/>
      <c r="AS16" s="11"/>
      <c r="AT16" s="11"/>
      <c r="AU16" s="11"/>
      <c r="AV16" s="11"/>
      <c r="AW16" s="11"/>
      <c r="AX16" s="11"/>
      <c r="AY16" s="11"/>
      <c r="AZ16" s="11"/>
      <c r="BA16" s="11"/>
      <c r="BB16" s="11"/>
      <c r="BC16" s="11"/>
      <c r="BD16" s="11"/>
      <c r="BE16" s="11"/>
      <c r="BF16" s="11"/>
      <c r="BG16" s="11"/>
      <c r="BH16" s="11"/>
      <c r="BI16" s="11"/>
      <c r="BJ16" s="11"/>
      <c r="BK16" s="11"/>
      <c r="BL16" s="11"/>
    </row>
    <row r="17" spans="12:64" x14ac:dyDescent="0.2">
      <c r="L17" s="232" t="str">
        <f>'Occ T3'!A19</f>
        <v>32 Health and social care associate professionals</v>
      </c>
      <c r="M17" s="11">
        <v>7.2004867239717223</v>
      </c>
      <c r="N17" s="11">
        <v>8.9682739373475737</v>
      </c>
      <c r="O17" s="11">
        <v>9.0265579771180953</v>
      </c>
      <c r="P17" s="11">
        <v>8.9384687710445263</v>
      </c>
      <c r="Q17" s="11">
        <v>9.7776036423453547</v>
      </c>
      <c r="R17" s="11">
        <v>9.6622274795413947</v>
      </c>
      <c r="S17" s="11">
        <v>9.1078879981596366</v>
      </c>
      <c r="T17" s="11">
        <v>9.252664713729839</v>
      </c>
      <c r="U17" s="11">
        <v>9.9955073132360166</v>
      </c>
      <c r="V17" s="11">
        <v>9.7417880098546501</v>
      </c>
      <c r="W17" s="11">
        <v>10.403152312211862</v>
      </c>
      <c r="X17" s="11">
        <v>10.006542214262511</v>
      </c>
      <c r="Y17" s="11">
        <v>10.108583182011001</v>
      </c>
      <c r="Z17" s="11">
        <v>10.2182735446777</v>
      </c>
      <c r="AA17" s="11">
        <v>10.322301721204916</v>
      </c>
      <c r="AB17" s="11">
        <v>10.414924512502774</v>
      </c>
      <c r="AC17" s="11">
        <v>10.492389587748301</v>
      </c>
      <c r="AD17" s="11">
        <v>10.565735780270941</v>
      </c>
      <c r="AE17" s="11">
        <v>10.641301789996712</v>
      </c>
      <c r="AF17" s="11">
        <v>10.710486170974892</v>
      </c>
      <c r="AG17" s="11">
        <v>10.784574945393041</v>
      </c>
      <c r="AH17" s="11">
        <v>10.851983534240681</v>
      </c>
      <c r="AI17" s="11">
        <v>10.918795669913859</v>
      </c>
      <c r="AJ17" s="11">
        <v>10.998960535862846</v>
      </c>
      <c r="AK17" s="11">
        <v>11.080522102159252</v>
      </c>
      <c r="AL17" s="11">
        <v>11.167106544013857</v>
      </c>
      <c r="AM17" s="11"/>
      <c r="AN17" s="11"/>
      <c r="AO17" s="11"/>
      <c r="AP17" s="11"/>
      <c r="AQ17" s="11"/>
      <c r="AR17" s="11"/>
      <c r="AS17" s="11"/>
      <c r="AT17" s="11"/>
      <c r="AU17" s="11"/>
      <c r="AV17" s="11"/>
      <c r="AW17" s="11"/>
      <c r="AX17" s="11"/>
      <c r="AY17" s="11"/>
      <c r="AZ17" s="11"/>
      <c r="BA17" s="11"/>
      <c r="BB17" s="11"/>
    </row>
    <row r="18" spans="12:64" x14ac:dyDescent="0.2">
      <c r="L18" s="232" t="str">
        <f>'Occ T3'!A20</f>
        <v>33 Protective service occupations</v>
      </c>
      <c r="M18" s="11">
        <v>7.4210031131010457</v>
      </c>
      <c r="N18" s="11">
        <v>7.9780678317844282</v>
      </c>
      <c r="O18" s="11">
        <v>7.1626436539709006</v>
      </c>
      <c r="P18" s="11">
        <v>6.9820047311140154</v>
      </c>
      <c r="Q18" s="11">
        <v>6.5536449997768376</v>
      </c>
      <c r="R18" s="11">
        <v>6.3572759436806443</v>
      </c>
      <c r="S18" s="11">
        <v>6.7732339455555044</v>
      </c>
      <c r="T18" s="11">
        <v>6.7547978258827577</v>
      </c>
      <c r="U18" s="11">
        <v>6.6400979220714822</v>
      </c>
      <c r="V18" s="11">
        <v>6.7089345467370718</v>
      </c>
      <c r="W18" s="11">
        <v>7.0494931142783734</v>
      </c>
      <c r="X18" s="11">
        <v>7.7037640038821529</v>
      </c>
      <c r="Y18" s="11">
        <v>7.7305410455093488</v>
      </c>
      <c r="Z18" s="11">
        <v>7.8096728301199168</v>
      </c>
      <c r="AA18" s="11">
        <v>7.8825558844783847</v>
      </c>
      <c r="AB18" s="11">
        <v>7.9951903969727285</v>
      </c>
      <c r="AC18" s="11">
        <v>8.1043905870355992</v>
      </c>
      <c r="AD18" s="11">
        <v>8.211751508147918</v>
      </c>
      <c r="AE18" s="11">
        <v>8.3147443872969209</v>
      </c>
      <c r="AF18" s="11">
        <v>8.4214773512430376</v>
      </c>
      <c r="AG18" s="11">
        <v>8.5190798920881576</v>
      </c>
      <c r="AH18" s="11">
        <v>8.6144278192297019</v>
      </c>
      <c r="AI18" s="11">
        <v>8.7215142895926334</v>
      </c>
      <c r="AJ18" s="11">
        <v>8.8314564917735545</v>
      </c>
      <c r="AK18" s="11">
        <v>8.9284365253837059</v>
      </c>
      <c r="AL18" s="11">
        <v>9.0336950732721473</v>
      </c>
      <c r="AM18" s="11"/>
      <c r="AN18" s="11"/>
      <c r="AO18" s="11"/>
      <c r="AP18" s="11"/>
      <c r="AQ18" s="11"/>
      <c r="AR18" s="11"/>
      <c r="AS18" s="11"/>
      <c r="AT18" s="11"/>
      <c r="AU18" s="11"/>
      <c r="AV18" s="11"/>
      <c r="AW18" s="11"/>
      <c r="AX18" s="11"/>
      <c r="AY18" s="11"/>
      <c r="AZ18" s="11"/>
      <c r="BA18" s="11"/>
      <c r="BB18" s="11"/>
    </row>
    <row r="19" spans="12:64" x14ac:dyDescent="0.2">
      <c r="L19" s="232" t="str">
        <f>'Occ T3'!A21</f>
        <v>34 Culture, media and sports occupations</v>
      </c>
      <c r="M19" s="11">
        <v>3.9769687302892303</v>
      </c>
      <c r="N19" s="11">
        <v>3.9527397107658691</v>
      </c>
      <c r="O19" s="11">
        <v>4.5437246819902137</v>
      </c>
      <c r="P19" s="11">
        <v>5.080259456741345</v>
      </c>
      <c r="Q19" s="11">
        <v>4.9582678675935483</v>
      </c>
      <c r="R19" s="11">
        <v>5.8966157276684097</v>
      </c>
      <c r="S19" s="11">
        <v>4.8903661777244682</v>
      </c>
      <c r="T19" s="11">
        <v>5.2797341141220437</v>
      </c>
      <c r="U19" s="11">
        <v>5.4720406008644558</v>
      </c>
      <c r="V19" s="11">
        <v>6.113108843472463</v>
      </c>
      <c r="W19" s="11">
        <v>5.720866276556551</v>
      </c>
      <c r="X19" s="11">
        <v>5.2363173534153402</v>
      </c>
      <c r="Y19" s="11">
        <v>5.184613644012984</v>
      </c>
      <c r="Z19" s="11">
        <v>5.2171818786105124</v>
      </c>
      <c r="AA19" s="11">
        <v>5.2762339204554429</v>
      </c>
      <c r="AB19" s="11">
        <v>5.3345050395726972</v>
      </c>
      <c r="AC19" s="11">
        <v>5.3892322957158836</v>
      </c>
      <c r="AD19" s="11">
        <v>5.4474367607306355</v>
      </c>
      <c r="AE19" s="11">
        <v>5.5051837916604383</v>
      </c>
      <c r="AF19" s="11">
        <v>5.5635260576838999</v>
      </c>
      <c r="AG19" s="11">
        <v>5.6311148738726473</v>
      </c>
      <c r="AH19" s="11">
        <v>5.6989621184057384</v>
      </c>
      <c r="AI19" s="11">
        <v>5.7544462992758953</v>
      </c>
      <c r="AJ19" s="11">
        <v>5.8117327397266356</v>
      </c>
      <c r="AK19" s="11">
        <v>5.8612557245896006</v>
      </c>
      <c r="AL19" s="11">
        <v>5.9844066350434453</v>
      </c>
      <c r="AM19" s="11"/>
      <c r="AN19" s="11"/>
      <c r="AO19" s="11"/>
      <c r="AP19" s="11"/>
      <c r="AQ19" s="11"/>
      <c r="AR19" s="11"/>
      <c r="AS19" s="11"/>
      <c r="AT19" s="11"/>
      <c r="AU19" s="11"/>
      <c r="AV19" s="11"/>
      <c r="AW19" s="11"/>
      <c r="AX19" s="11"/>
      <c r="AY19" s="11"/>
      <c r="AZ19" s="11"/>
      <c r="BA19" s="11"/>
      <c r="BB19" s="11"/>
    </row>
    <row r="20" spans="12:64" x14ac:dyDescent="0.2">
      <c r="L20" s="232" t="str">
        <f>'Occ T3'!A22</f>
        <v>35 Business and public service associate professionals</v>
      </c>
      <c r="M20" s="11">
        <v>21.962015465236185</v>
      </c>
      <c r="N20" s="11">
        <v>19.666690508743883</v>
      </c>
      <c r="O20" s="11">
        <v>19.280615078467655</v>
      </c>
      <c r="P20" s="11">
        <v>19.698126809268615</v>
      </c>
      <c r="Q20" s="11">
        <v>20.41880948657554</v>
      </c>
      <c r="R20" s="11">
        <v>20.575349082820939</v>
      </c>
      <c r="S20" s="11">
        <v>19.602281319290359</v>
      </c>
      <c r="T20" s="11">
        <v>20.02142604676305</v>
      </c>
      <c r="U20" s="11">
        <v>20.905266611876858</v>
      </c>
      <c r="V20" s="11">
        <v>21.093783119003387</v>
      </c>
      <c r="W20" s="11">
        <v>22.193704019032278</v>
      </c>
      <c r="X20" s="11">
        <v>20.686679182584346</v>
      </c>
      <c r="Y20" s="11">
        <v>20.654507607576594</v>
      </c>
      <c r="Z20" s="11">
        <v>20.726481305521506</v>
      </c>
      <c r="AA20" s="11">
        <v>20.829218612169207</v>
      </c>
      <c r="AB20" s="11">
        <v>20.914274058722345</v>
      </c>
      <c r="AC20" s="11">
        <v>20.984164984208409</v>
      </c>
      <c r="AD20" s="11">
        <v>21.057705342477853</v>
      </c>
      <c r="AE20" s="11">
        <v>21.145597581920256</v>
      </c>
      <c r="AF20" s="11">
        <v>21.21918148372886</v>
      </c>
      <c r="AG20" s="11">
        <v>21.318680646377036</v>
      </c>
      <c r="AH20" s="11">
        <v>21.430669787590574</v>
      </c>
      <c r="AI20" s="11">
        <v>21.540760513884241</v>
      </c>
      <c r="AJ20" s="11">
        <v>21.646569289289914</v>
      </c>
      <c r="AK20" s="11">
        <v>21.767404977632275</v>
      </c>
      <c r="AL20" s="11">
        <v>21.86698363997229</v>
      </c>
      <c r="AM20" s="11"/>
      <c r="AN20" s="11"/>
      <c r="AO20" s="11"/>
      <c r="AP20" s="11"/>
      <c r="AQ20" s="11"/>
      <c r="AR20" s="11"/>
      <c r="AS20" s="11"/>
      <c r="AT20" s="11"/>
      <c r="AU20" s="11"/>
      <c r="AV20" s="11"/>
      <c r="AW20" s="11"/>
      <c r="AX20" s="11"/>
      <c r="AY20" s="11"/>
      <c r="AZ20" s="11"/>
      <c r="BA20" s="11"/>
      <c r="BB20" s="11"/>
      <c r="BC20" s="11"/>
      <c r="BD20" s="11"/>
      <c r="BE20" s="11"/>
      <c r="BF20" s="11"/>
      <c r="BG20" s="11"/>
      <c r="BH20" s="11"/>
      <c r="BI20" s="11"/>
      <c r="BJ20" s="11"/>
      <c r="BK20" s="11"/>
      <c r="BL20" s="11"/>
    </row>
    <row r="21" spans="12:64" x14ac:dyDescent="0.2">
      <c r="L21" s="232"/>
      <c r="M21" s="11"/>
      <c r="N21" s="11"/>
      <c r="O21" s="11"/>
      <c r="P21" s="11"/>
      <c r="Q21" s="11"/>
      <c r="R21" s="11"/>
      <c r="S21" s="11"/>
      <c r="T21" s="11"/>
      <c r="U21" s="11"/>
      <c r="V21" s="11"/>
      <c r="W21" s="11"/>
      <c r="X21" s="11"/>
      <c r="Y21" s="11"/>
      <c r="Z21" s="11"/>
      <c r="AA21" s="11"/>
      <c r="AB21" s="11"/>
      <c r="AC21" s="11"/>
      <c r="AD21" s="11"/>
      <c r="AE21" s="11"/>
      <c r="AF21" s="11"/>
      <c r="AG21" s="11"/>
      <c r="AH21" s="11"/>
      <c r="AI21" s="11"/>
      <c r="AJ21" s="11"/>
      <c r="AK21" s="11"/>
      <c r="AL21" s="11"/>
      <c r="AM21" s="11"/>
      <c r="AN21" s="11"/>
      <c r="AO21" s="11"/>
      <c r="AP21" s="11"/>
      <c r="AQ21" s="11"/>
      <c r="AR21" s="11"/>
      <c r="AS21" s="11"/>
      <c r="AT21" s="11"/>
      <c r="AU21" s="11"/>
      <c r="AV21" s="11"/>
      <c r="AW21" s="11"/>
      <c r="AX21" s="11"/>
      <c r="AY21" s="11"/>
      <c r="AZ21" s="11"/>
      <c r="BA21" s="11"/>
      <c r="BB21" s="11"/>
      <c r="BC21" s="11"/>
      <c r="BD21" s="11"/>
      <c r="BE21" s="11"/>
      <c r="BF21" s="11"/>
      <c r="BG21" s="11"/>
      <c r="BH21" s="11"/>
      <c r="BI21" s="11"/>
      <c r="BJ21" s="11"/>
      <c r="BK21" s="11"/>
      <c r="BL21" s="11"/>
    </row>
    <row r="22" spans="12:64" x14ac:dyDescent="0.2">
      <c r="L22" s="17" t="str">
        <f>'Occ T3'!A24</f>
        <v>Administrative and secretarial occupations</v>
      </c>
      <c r="M22" s="87">
        <f t="shared" ref="M22" si="6">SUM(M23:M24)</f>
        <v>54.973126562536493</v>
      </c>
      <c r="N22" s="87">
        <f>SUM(N23:N24)</f>
        <v>53.927538565081122</v>
      </c>
      <c r="O22" s="87">
        <f t="shared" ref="O22:AL22" si="7">SUM(O23:O24)</f>
        <v>51.171391662341613</v>
      </c>
      <c r="P22" s="87">
        <f t="shared" si="7"/>
        <v>51.299947410273987</v>
      </c>
      <c r="Q22" s="87">
        <f t="shared" si="7"/>
        <v>53.417084998114191</v>
      </c>
      <c r="R22" s="87">
        <f t="shared" si="7"/>
        <v>55.285626195180079</v>
      </c>
      <c r="S22" s="87">
        <f t="shared" si="7"/>
        <v>51.115676013171729</v>
      </c>
      <c r="T22" s="87">
        <f t="shared" si="7"/>
        <v>51.108921739749277</v>
      </c>
      <c r="U22" s="87">
        <f t="shared" si="7"/>
        <v>52.445404727204497</v>
      </c>
      <c r="V22" s="87">
        <f t="shared" si="7"/>
        <v>50.43141193244513</v>
      </c>
      <c r="W22" s="87">
        <f t="shared" si="7"/>
        <v>52.503095815052475</v>
      </c>
      <c r="X22" s="87">
        <f t="shared" si="7"/>
        <v>50.237284737095621</v>
      </c>
      <c r="Y22" s="87">
        <f t="shared" si="7"/>
        <v>49.856636387717174</v>
      </c>
      <c r="Z22" s="87">
        <f t="shared" si="7"/>
        <v>49.585639560273016</v>
      </c>
      <c r="AA22" s="87">
        <f t="shared" si="7"/>
        <v>49.377616277139325</v>
      </c>
      <c r="AB22" s="87">
        <f t="shared" si="7"/>
        <v>49.196634777047372</v>
      </c>
      <c r="AC22" s="87">
        <f t="shared" si="7"/>
        <v>48.92950554747685</v>
      </c>
      <c r="AD22" s="87">
        <f t="shared" si="7"/>
        <v>48.63742384083978</v>
      </c>
      <c r="AE22" s="87">
        <f t="shared" si="7"/>
        <v>48.289164507164955</v>
      </c>
      <c r="AF22" s="87">
        <f t="shared" si="7"/>
        <v>47.985078666475971</v>
      </c>
      <c r="AG22" s="87">
        <f t="shared" si="7"/>
        <v>47.664820759601845</v>
      </c>
      <c r="AH22" s="87">
        <f t="shared" si="7"/>
        <v>47.189862449675701</v>
      </c>
      <c r="AI22" s="87">
        <f t="shared" si="7"/>
        <v>46.648203701534023</v>
      </c>
      <c r="AJ22" s="87">
        <f t="shared" si="7"/>
        <v>46.255950857907635</v>
      </c>
      <c r="AK22" s="87">
        <f t="shared" si="7"/>
        <v>45.919374219671219</v>
      </c>
      <c r="AL22" s="87">
        <f t="shared" si="7"/>
        <v>45.868596016759618</v>
      </c>
      <c r="AM22" s="11"/>
      <c r="AN22" s="11"/>
      <c r="AO22" s="11"/>
      <c r="AP22" s="11"/>
      <c r="AQ22" s="11"/>
      <c r="AR22" s="11"/>
      <c r="AS22" s="11"/>
      <c r="AT22" s="11"/>
      <c r="AU22" s="11"/>
      <c r="AV22" s="11"/>
      <c r="AW22" s="11"/>
      <c r="AX22" s="11"/>
      <c r="AY22" s="11"/>
      <c r="AZ22" s="11"/>
      <c r="BA22" s="11"/>
      <c r="BB22" s="11"/>
      <c r="BC22" s="11"/>
      <c r="BD22" s="11"/>
      <c r="BE22" s="11"/>
      <c r="BF22" s="11"/>
      <c r="BG22" s="11"/>
      <c r="BH22" s="11"/>
      <c r="BI22" s="11"/>
      <c r="BJ22" s="11"/>
      <c r="BK22" s="11"/>
      <c r="BL22" s="11"/>
    </row>
    <row r="23" spans="12:64" x14ac:dyDescent="0.2">
      <c r="L23" s="232" t="str">
        <f>'Occ T3'!A25</f>
        <v>41 Administrative occupations</v>
      </c>
      <c r="M23" s="11">
        <v>44.457169080464233</v>
      </c>
      <c r="N23" s="11">
        <v>44.136781410943335</v>
      </c>
      <c r="O23" s="11">
        <v>41.956823777291063</v>
      </c>
      <c r="P23" s="11">
        <v>41.80891223874233</v>
      </c>
      <c r="Q23" s="11">
        <v>43.436692009491196</v>
      </c>
      <c r="R23" s="11">
        <v>45.581332961093828</v>
      </c>
      <c r="S23" s="11">
        <v>42.448752295348775</v>
      </c>
      <c r="T23" s="11">
        <v>42.42994683470581</v>
      </c>
      <c r="U23" s="11">
        <v>43.266087612929837</v>
      </c>
      <c r="V23" s="11">
        <v>42.127551018988008</v>
      </c>
      <c r="W23" s="11">
        <v>44.153660141328722</v>
      </c>
      <c r="X23" s="11">
        <v>40.849644875719882</v>
      </c>
      <c r="Y23" s="11">
        <v>40.552227273479524</v>
      </c>
      <c r="Z23" s="11">
        <v>40.366324332232836</v>
      </c>
      <c r="AA23" s="11">
        <v>40.231473132028889</v>
      </c>
      <c r="AB23" s="11">
        <v>40.122971669022455</v>
      </c>
      <c r="AC23" s="11">
        <v>39.949401344812529</v>
      </c>
      <c r="AD23" s="11">
        <v>39.765015091737993</v>
      </c>
      <c r="AE23" s="11">
        <v>39.528131688413822</v>
      </c>
      <c r="AF23" s="11">
        <v>39.319525057802188</v>
      </c>
      <c r="AG23" s="11">
        <v>39.114112781079619</v>
      </c>
      <c r="AH23" s="11">
        <v>38.915470804994996</v>
      </c>
      <c r="AI23" s="11">
        <v>38.707022237437883</v>
      </c>
      <c r="AJ23" s="11">
        <v>38.458984623023611</v>
      </c>
      <c r="AK23" s="11">
        <v>38.188480634715354</v>
      </c>
      <c r="AL23" s="11">
        <v>37.996794001250002</v>
      </c>
      <c r="AM23" s="11"/>
      <c r="AN23" s="11"/>
      <c r="AO23" s="11"/>
      <c r="AP23" s="11"/>
      <c r="AQ23" s="11"/>
      <c r="AR23" s="11"/>
      <c r="AS23" s="11"/>
      <c r="AT23" s="11"/>
      <c r="AU23" s="11"/>
      <c r="AV23" s="11"/>
      <c r="AW23" s="11"/>
      <c r="AX23" s="11"/>
      <c r="AY23" s="11"/>
      <c r="AZ23" s="11"/>
      <c r="BA23" s="11"/>
      <c r="BB23" s="11"/>
      <c r="BC23" s="11"/>
      <c r="BD23" s="11"/>
      <c r="BE23" s="11"/>
      <c r="BF23" s="11"/>
      <c r="BG23" s="11"/>
      <c r="BH23" s="11"/>
      <c r="BI23" s="11"/>
      <c r="BJ23" s="11"/>
      <c r="BK23" s="11"/>
      <c r="BL23" s="11"/>
    </row>
    <row r="24" spans="12:64" x14ac:dyDescent="0.2">
      <c r="L24" s="232" t="str">
        <f>'Occ T3'!A26</f>
        <v>42 Secretarial and related occupations</v>
      </c>
      <c r="M24" s="11">
        <v>10.515957482072258</v>
      </c>
      <c r="N24" s="11">
        <v>9.7907571541377898</v>
      </c>
      <c r="O24" s="11">
        <v>9.214567885050549</v>
      </c>
      <c r="P24" s="11">
        <v>9.4910351715316601</v>
      </c>
      <c r="Q24" s="11">
        <v>9.9803929886229916</v>
      </c>
      <c r="R24" s="11">
        <v>9.7042932340862489</v>
      </c>
      <c r="S24" s="11">
        <v>8.6669237178229519</v>
      </c>
      <c r="T24" s="11">
        <v>8.6789749050434715</v>
      </c>
      <c r="U24" s="11">
        <v>9.1793171142746601</v>
      </c>
      <c r="V24" s="11">
        <v>8.3038609134571253</v>
      </c>
      <c r="W24" s="11">
        <v>8.3494356737237503</v>
      </c>
      <c r="X24" s="11">
        <v>9.3876398613757388</v>
      </c>
      <c r="Y24" s="11">
        <v>9.3044091142376537</v>
      </c>
      <c r="Z24" s="11">
        <v>9.2193152280401787</v>
      </c>
      <c r="AA24" s="11">
        <v>9.1461431451104378</v>
      </c>
      <c r="AB24" s="11">
        <v>9.0736631080249186</v>
      </c>
      <c r="AC24" s="11">
        <v>8.9801042026643216</v>
      </c>
      <c r="AD24" s="11">
        <v>8.8724087491017869</v>
      </c>
      <c r="AE24" s="11">
        <v>8.7610328187511364</v>
      </c>
      <c r="AF24" s="11">
        <v>8.665553608673779</v>
      </c>
      <c r="AG24" s="11">
        <v>8.5507079785222242</v>
      </c>
      <c r="AH24" s="11">
        <v>8.2743916446807031</v>
      </c>
      <c r="AI24" s="11">
        <v>7.9411814640961387</v>
      </c>
      <c r="AJ24" s="11">
        <v>7.796966234884021</v>
      </c>
      <c r="AK24" s="11">
        <v>7.7308935849558669</v>
      </c>
      <c r="AL24" s="11">
        <v>7.8718020155096147</v>
      </c>
      <c r="AM24" s="11"/>
      <c r="AN24" s="11"/>
      <c r="AO24" s="11"/>
      <c r="AP24" s="11"/>
      <c r="AQ24" s="11"/>
      <c r="AR24" s="11"/>
      <c r="AS24" s="11"/>
      <c r="AT24" s="11"/>
      <c r="AU24" s="11"/>
      <c r="AV24" s="11"/>
      <c r="AW24" s="11"/>
      <c r="AX24" s="11"/>
      <c r="AY24" s="11"/>
      <c r="AZ24" s="11"/>
      <c r="BA24" s="11"/>
      <c r="BB24" s="11"/>
    </row>
    <row r="25" spans="12:64" x14ac:dyDescent="0.2">
      <c r="L25" s="232"/>
      <c r="M25" s="11"/>
      <c r="N25" s="11"/>
      <c r="O25" s="11"/>
      <c r="P25" s="11"/>
      <c r="Q25" s="11"/>
      <c r="R25" s="11"/>
      <c r="S25" s="11"/>
      <c r="T25" s="11"/>
      <c r="U25" s="11"/>
      <c r="V25" s="11"/>
      <c r="W25" s="11"/>
      <c r="X25" s="11"/>
      <c r="Y25" s="11"/>
      <c r="Z25" s="11"/>
      <c r="AA25" s="11"/>
      <c r="AB25" s="11"/>
      <c r="AC25" s="11"/>
      <c r="AD25" s="11"/>
      <c r="AE25" s="11"/>
      <c r="AF25" s="11"/>
      <c r="AG25" s="11"/>
      <c r="AH25" s="11"/>
      <c r="AI25" s="11"/>
      <c r="AJ25" s="11"/>
      <c r="AK25" s="11"/>
      <c r="AL25" s="11"/>
      <c r="AM25" s="11"/>
      <c r="AN25" s="11"/>
      <c r="AO25" s="11"/>
      <c r="AP25" s="11"/>
      <c r="AQ25" s="11"/>
      <c r="AR25" s="11"/>
      <c r="AS25" s="11"/>
      <c r="AT25" s="11"/>
      <c r="AU25" s="11"/>
      <c r="AV25" s="11"/>
      <c r="AW25" s="11"/>
      <c r="AX25" s="11"/>
      <c r="AY25" s="11"/>
      <c r="AZ25" s="11"/>
      <c r="BA25" s="11"/>
      <c r="BB25" s="11"/>
      <c r="BC25" s="11"/>
      <c r="BD25" s="11"/>
      <c r="BE25" s="11"/>
      <c r="BF25" s="11"/>
      <c r="BG25" s="11"/>
      <c r="BH25" s="11"/>
      <c r="BI25" s="11"/>
      <c r="BJ25" s="11"/>
      <c r="BK25" s="11"/>
      <c r="BL25" s="11"/>
    </row>
    <row r="26" spans="12:64" x14ac:dyDescent="0.2">
      <c r="L26" s="17" t="str">
        <f>'Occ T3'!A28</f>
        <v>Skilled trades occupations</v>
      </c>
      <c r="M26" s="87">
        <f t="shared" ref="M26" si="8">SUM(M27:M30)</f>
        <v>58.429921127400121</v>
      </c>
      <c r="N26" s="87">
        <f>SUM(N27:N30)</f>
        <v>60.306904667384345</v>
      </c>
      <c r="O26" s="87">
        <f t="shared" ref="O26:AL26" si="9">SUM(O27:O30)</f>
        <v>53.104775290144147</v>
      </c>
      <c r="P26" s="87">
        <f t="shared" si="9"/>
        <v>57.031528427624821</v>
      </c>
      <c r="Q26" s="87">
        <f t="shared" si="9"/>
        <v>56.867868468609814</v>
      </c>
      <c r="R26" s="87">
        <f>SUM(R27:R30)</f>
        <v>57.02228187837261</v>
      </c>
      <c r="S26" s="87">
        <f t="shared" si="9"/>
        <v>52.397100513467905</v>
      </c>
      <c r="T26" s="87">
        <f t="shared" si="9"/>
        <v>55.019120919377841</v>
      </c>
      <c r="U26" s="87">
        <f t="shared" si="9"/>
        <v>55.956268777522297</v>
      </c>
      <c r="V26" s="87">
        <f t="shared" si="9"/>
        <v>56.025309387048864</v>
      </c>
      <c r="W26" s="87">
        <f t="shared" si="9"/>
        <v>48.245712549332183</v>
      </c>
      <c r="X26" s="87">
        <f t="shared" si="9"/>
        <v>48.370476702107581</v>
      </c>
      <c r="Y26" s="87">
        <f t="shared" si="9"/>
        <v>47.877215486404424</v>
      </c>
      <c r="Z26" s="87">
        <f t="shared" si="9"/>
        <v>47.377676237075761</v>
      </c>
      <c r="AA26" s="87">
        <f t="shared" si="9"/>
        <v>47.02329937747291</v>
      </c>
      <c r="AB26" s="87">
        <f t="shared" si="9"/>
        <v>46.732747293258697</v>
      </c>
      <c r="AC26" s="87">
        <f t="shared" si="9"/>
        <v>46.38833701226423</v>
      </c>
      <c r="AD26" s="87">
        <f t="shared" si="9"/>
        <v>46.011229339955392</v>
      </c>
      <c r="AE26" s="87">
        <f t="shared" si="9"/>
        <v>45.658088601666698</v>
      </c>
      <c r="AF26" s="87">
        <f t="shared" si="9"/>
        <v>45.299198386559588</v>
      </c>
      <c r="AG26" s="87">
        <f t="shared" si="9"/>
        <v>44.960584724352948</v>
      </c>
      <c r="AH26" s="87">
        <f t="shared" si="9"/>
        <v>44.631090819525127</v>
      </c>
      <c r="AI26" s="87">
        <f t="shared" si="9"/>
        <v>44.302499018834055</v>
      </c>
      <c r="AJ26" s="87">
        <f t="shared" si="9"/>
        <v>43.949006239924294</v>
      </c>
      <c r="AK26" s="87">
        <f t="shared" si="9"/>
        <v>43.587999379219923</v>
      </c>
      <c r="AL26" s="87">
        <f t="shared" si="9"/>
        <v>43.17648751920472</v>
      </c>
      <c r="AM26" s="11"/>
      <c r="AN26" s="11"/>
      <c r="AO26" s="11"/>
      <c r="AP26" s="11"/>
      <c r="AQ26" s="11"/>
      <c r="AR26" s="11"/>
      <c r="AS26" s="11"/>
      <c r="AT26" s="11"/>
      <c r="AU26" s="11"/>
      <c r="AV26" s="11"/>
      <c r="AW26" s="11"/>
      <c r="AX26" s="11"/>
      <c r="AY26" s="11"/>
      <c r="AZ26" s="11"/>
      <c r="BA26" s="11"/>
      <c r="BB26" s="11"/>
      <c r="BC26" s="11"/>
      <c r="BD26" s="11"/>
      <c r="BE26" s="11"/>
      <c r="BF26" s="11"/>
      <c r="BG26" s="11"/>
      <c r="BH26" s="11"/>
      <c r="BI26" s="11"/>
      <c r="BJ26" s="11"/>
      <c r="BK26" s="11"/>
      <c r="BL26" s="11"/>
    </row>
    <row r="27" spans="12:64" x14ac:dyDescent="0.2">
      <c r="L27" s="232" t="str">
        <f>'Occ T3'!A29</f>
        <v>51 Skilled agricultural and related trades</v>
      </c>
      <c r="M27" s="11">
        <v>4.2978997611605214</v>
      </c>
      <c r="N27" s="11">
        <v>6.694354401847967</v>
      </c>
      <c r="O27" s="11">
        <v>3.9816702683469152</v>
      </c>
      <c r="P27" s="11">
        <v>4.7967936730830969</v>
      </c>
      <c r="Q27" s="11">
        <v>5.4920550141397229</v>
      </c>
      <c r="R27" s="11">
        <v>4.6441267016966554</v>
      </c>
      <c r="S27" s="11">
        <v>3.442776084402551</v>
      </c>
      <c r="T27" s="11">
        <v>4.2339988313997754</v>
      </c>
      <c r="U27" s="11">
        <v>4.7369958179753917</v>
      </c>
      <c r="V27" s="11">
        <v>3.9176639986628095</v>
      </c>
      <c r="W27" s="11">
        <v>3.9137663619264487</v>
      </c>
      <c r="X27" s="11">
        <v>3.7646056067979732</v>
      </c>
      <c r="Y27" s="11">
        <v>3.7960025900674625</v>
      </c>
      <c r="Z27" s="11">
        <v>3.8485062312093254</v>
      </c>
      <c r="AA27" s="11">
        <v>3.9054841322281559</v>
      </c>
      <c r="AB27" s="11">
        <v>3.9545639006839899</v>
      </c>
      <c r="AC27" s="11">
        <v>4.0005677439919101</v>
      </c>
      <c r="AD27" s="11">
        <v>4.0449109572394075</v>
      </c>
      <c r="AE27" s="11">
        <v>4.0909894275859742</v>
      </c>
      <c r="AF27" s="11">
        <v>4.1361118843549614</v>
      </c>
      <c r="AG27" s="11">
        <v>4.1826343080728154</v>
      </c>
      <c r="AH27" s="11">
        <v>4.227634390195675</v>
      </c>
      <c r="AI27" s="11">
        <v>4.2700539837312652</v>
      </c>
      <c r="AJ27" s="11">
        <v>4.3124146141480102</v>
      </c>
      <c r="AK27" s="11">
        <v>4.3503889176947297</v>
      </c>
      <c r="AL27" s="11">
        <v>4.3882264054856144</v>
      </c>
      <c r="AM27" s="11"/>
      <c r="AN27" s="11"/>
      <c r="AO27" s="11"/>
      <c r="AP27" s="11"/>
      <c r="AQ27" s="11"/>
      <c r="AR27" s="11"/>
      <c r="AS27" s="11"/>
      <c r="AT27" s="11"/>
      <c r="AU27" s="11"/>
      <c r="AV27" s="11"/>
      <c r="AW27" s="11"/>
      <c r="AX27" s="11"/>
      <c r="AY27" s="11"/>
      <c r="AZ27" s="11"/>
      <c r="BA27" s="11"/>
      <c r="BB27" s="11"/>
      <c r="BC27" s="11"/>
      <c r="BD27" s="11"/>
      <c r="BE27" s="11"/>
      <c r="BF27" s="11"/>
      <c r="BG27" s="11"/>
      <c r="BH27" s="11"/>
      <c r="BI27" s="11"/>
      <c r="BJ27" s="11"/>
      <c r="BK27" s="11"/>
      <c r="BL27" s="11"/>
    </row>
    <row r="28" spans="12:64" x14ac:dyDescent="0.2">
      <c r="L28" s="232" t="str">
        <f>'Occ T3'!A30</f>
        <v>52 Skilled metal, electrical and electronic trades</v>
      </c>
      <c r="M28" s="11">
        <v>23.439319276330334</v>
      </c>
      <c r="N28" s="11">
        <v>24.483083044275123</v>
      </c>
      <c r="O28" s="11">
        <v>21.269811732198413</v>
      </c>
      <c r="P28" s="11">
        <v>23.248657655987014</v>
      </c>
      <c r="Q28" s="11">
        <v>23.896382287236868</v>
      </c>
      <c r="R28" s="11">
        <v>23.746739359376484</v>
      </c>
      <c r="S28" s="11">
        <v>23.207782732598563</v>
      </c>
      <c r="T28" s="11">
        <v>23.310827191028139</v>
      </c>
      <c r="U28" s="11">
        <v>23.774386327313245</v>
      </c>
      <c r="V28" s="11">
        <v>23.284125331339183</v>
      </c>
      <c r="W28" s="11">
        <v>19.8153660104539</v>
      </c>
      <c r="X28" s="11">
        <v>19.57068827267241</v>
      </c>
      <c r="Y28" s="11">
        <v>19.289882312967748</v>
      </c>
      <c r="Z28" s="11">
        <v>19.068624791422984</v>
      </c>
      <c r="AA28" s="11">
        <v>18.885060072913173</v>
      </c>
      <c r="AB28" s="11">
        <v>18.71073724003908</v>
      </c>
      <c r="AC28" s="11">
        <v>18.511726550585145</v>
      </c>
      <c r="AD28" s="11">
        <v>18.306777829922684</v>
      </c>
      <c r="AE28" s="11">
        <v>18.098259029942895</v>
      </c>
      <c r="AF28" s="11">
        <v>17.890730716958071</v>
      </c>
      <c r="AG28" s="11">
        <v>17.698115493978367</v>
      </c>
      <c r="AH28" s="11">
        <v>17.510711277074144</v>
      </c>
      <c r="AI28" s="11">
        <v>17.32123315810292</v>
      </c>
      <c r="AJ28" s="11">
        <v>17.126395903650561</v>
      </c>
      <c r="AK28" s="11">
        <v>16.93807925258923</v>
      </c>
      <c r="AL28" s="11">
        <v>16.745561719909368</v>
      </c>
      <c r="AM28" s="11"/>
      <c r="AN28" s="11"/>
      <c r="AO28" s="11"/>
      <c r="AP28" s="11"/>
      <c r="AQ28" s="11"/>
      <c r="AR28" s="11"/>
      <c r="AS28" s="11"/>
      <c r="AT28" s="11"/>
      <c r="AU28" s="11"/>
      <c r="AV28" s="11"/>
      <c r="AW28" s="11"/>
      <c r="AX28" s="11"/>
      <c r="AY28" s="11"/>
      <c r="AZ28" s="11"/>
      <c r="BA28" s="11"/>
      <c r="BB28" s="11"/>
      <c r="BC28" s="11"/>
      <c r="BD28" s="11"/>
      <c r="BE28" s="11"/>
      <c r="BF28" s="11"/>
      <c r="BG28" s="11"/>
      <c r="BH28" s="11"/>
      <c r="BI28" s="11"/>
      <c r="BJ28" s="11"/>
      <c r="BK28" s="11"/>
      <c r="BL28" s="11"/>
    </row>
    <row r="29" spans="12:64" x14ac:dyDescent="0.2">
      <c r="L29" s="232" t="str">
        <f>'Occ T3'!A31</f>
        <v>53 Skilled construction and building trades</v>
      </c>
      <c r="M29" s="11">
        <v>22.163924269137379</v>
      </c>
      <c r="N29" s="11">
        <v>20.152365517266233</v>
      </c>
      <c r="O29" s="11">
        <v>18.750782307276054</v>
      </c>
      <c r="P29" s="11">
        <v>19.923391470846799</v>
      </c>
      <c r="Q29" s="11">
        <v>18.391977861309734</v>
      </c>
      <c r="R29" s="11">
        <v>18.075106264951447</v>
      </c>
      <c r="S29" s="11">
        <v>16.589405032604226</v>
      </c>
      <c r="T29" s="11">
        <v>17.875341101504269</v>
      </c>
      <c r="U29" s="11">
        <v>18.849977253518588</v>
      </c>
      <c r="V29" s="11">
        <v>19.872573195366002</v>
      </c>
      <c r="W29" s="11">
        <v>16.08769129935639</v>
      </c>
      <c r="X29" s="11">
        <v>16.65646728418875</v>
      </c>
      <c r="Y29" s="11">
        <v>16.461354541131531</v>
      </c>
      <c r="Z29" s="11">
        <v>16.16848695893766</v>
      </c>
      <c r="AA29" s="11">
        <v>15.961129538047844</v>
      </c>
      <c r="AB29" s="11">
        <v>15.823444092159617</v>
      </c>
      <c r="AC29" s="11">
        <v>15.665508679840942</v>
      </c>
      <c r="AD29" s="11">
        <v>15.493705009912773</v>
      </c>
      <c r="AE29" s="11">
        <v>15.339022905213984</v>
      </c>
      <c r="AF29" s="11">
        <v>15.176642149996329</v>
      </c>
      <c r="AG29" s="11">
        <v>15.017029602222269</v>
      </c>
      <c r="AH29" s="11">
        <v>14.856010667697596</v>
      </c>
      <c r="AI29" s="11">
        <v>14.698570980761621</v>
      </c>
      <c r="AJ29" s="11">
        <v>14.539204546586147</v>
      </c>
      <c r="AK29" s="11">
        <v>14.381423895045124</v>
      </c>
      <c r="AL29" s="11">
        <v>14.220772873886741</v>
      </c>
      <c r="AM29" s="11"/>
      <c r="AN29" s="11"/>
      <c r="AO29" s="11"/>
      <c r="AP29" s="11"/>
      <c r="AQ29" s="11"/>
      <c r="AR29" s="11"/>
      <c r="AS29" s="11"/>
      <c r="AT29" s="11"/>
      <c r="AU29" s="11"/>
      <c r="AV29" s="11"/>
      <c r="AW29" s="11"/>
      <c r="AX29" s="11"/>
      <c r="AY29" s="11"/>
      <c r="AZ29" s="11"/>
      <c r="BA29" s="11"/>
      <c r="BB29" s="11"/>
      <c r="BC29" s="11"/>
      <c r="BD29" s="11"/>
      <c r="BE29" s="11"/>
      <c r="BF29" s="11"/>
      <c r="BG29" s="11"/>
      <c r="BH29" s="11"/>
      <c r="BI29" s="11"/>
      <c r="BJ29" s="11"/>
      <c r="BK29" s="11"/>
      <c r="BL29" s="11"/>
    </row>
    <row r="30" spans="12:64" x14ac:dyDescent="0.2">
      <c r="L30" s="232" t="str">
        <f>'Occ T3'!A32</f>
        <v>54 Textiles, printing and other skilled trades</v>
      </c>
      <c r="M30" s="11">
        <v>8.5287778207718841</v>
      </c>
      <c r="N30" s="11">
        <v>8.9771017039950145</v>
      </c>
      <c r="O30" s="11">
        <v>9.1025109823227677</v>
      </c>
      <c r="P30" s="11">
        <v>9.0626856277079035</v>
      </c>
      <c r="Q30" s="11">
        <v>9.0874533059234892</v>
      </c>
      <c r="R30" s="11">
        <v>10.556309552348026</v>
      </c>
      <c r="S30" s="11">
        <v>9.1571366638625626</v>
      </c>
      <c r="T30" s="11">
        <v>9.5989537954456559</v>
      </c>
      <c r="U30" s="11">
        <v>8.5949093787150712</v>
      </c>
      <c r="V30" s="11">
        <v>8.9509468616808654</v>
      </c>
      <c r="W30" s="11">
        <v>8.4288888775954423</v>
      </c>
      <c r="X30" s="11">
        <v>8.3787155384484464</v>
      </c>
      <c r="Y30" s="11">
        <v>8.3299760422376785</v>
      </c>
      <c r="Z30" s="11">
        <v>8.2920582555057898</v>
      </c>
      <c r="AA30" s="11">
        <v>8.2716256342837386</v>
      </c>
      <c r="AB30" s="11">
        <v>8.2440020603760154</v>
      </c>
      <c r="AC30" s="11">
        <v>8.2105340378462355</v>
      </c>
      <c r="AD30" s="11">
        <v>8.1658355428805329</v>
      </c>
      <c r="AE30" s="11">
        <v>8.1298172389238399</v>
      </c>
      <c r="AF30" s="11">
        <v>8.0957136352502275</v>
      </c>
      <c r="AG30" s="11">
        <v>8.0628053200794962</v>
      </c>
      <c r="AH30" s="11">
        <v>8.036734484557714</v>
      </c>
      <c r="AI30" s="11">
        <v>8.012640896238242</v>
      </c>
      <c r="AJ30" s="11">
        <v>7.9709911755395719</v>
      </c>
      <c r="AK30" s="11">
        <v>7.9181073138908431</v>
      </c>
      <c r="AL30" s="11">
        <v>7.8219265199229948</v>
      </c>
      <c r="AM30" s="11"/>
      <c r="AN30" s="11"/>
      <c r="AO30" s="11"/>
      <c r="AP30" s="11"/>
      <c r="AQ30" s="11"/>
      <c r="AR30" s="11"/>
      <c r="AS30" s="11"/>
      <c r="AT30" s="11"/>
      <c r="AU30" s="11"/>
      <c r="AV30" s="11"/>
      <c r="AW30" s="11"/>
      <c r="AX30" s="11"/>
      <c r="AY30" s="11"/>
      <c r="AZ30" s="11"/>
      <c r="BA30" s="11"/>
      <c r="BB30" s="11"/>
    </row>
    <row r="31" spans="12:64" x14ac:dyDescent="0.2">
      <c r="L31" s="232"/>
      <c r="M31" s="11"/>
      <c r="N31" s="11"/>
      <c r="O31" s="11"/>
      <c r="P31" s="11"/>
      <c r="Q31" s="11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11"/>
      <c r="AK31" s="11"/>
      <c r="AL31" s="11"/>
      <c r="AM31" s="11"/>
      <c r="AN31" s="11"/>
      <c r="AO31" s="11"/>
      <c r="AP31" s="11"/>
      <c r="AQ31" s="11"/>
      <c r="AR31" s="11"/>
      <c r="AS31" s="11"/>
      <c r="AT31" s="11"/>
      <c r="AU31" s="11"/>
      <c r="AV31" s="11"/>
      <c r="AW31" s="11"/>
      <c r="AX31" s="11"/>
      <c r="AY31" s="11"/>
      <c r="AZ31" s="11"/>
      <c r="BA31" s="11"/>
      <c r="BB31" s="11"/>
    </row>
    <row r="32" spans="12:64" x14ac:dyDescent="0.2">
      <c r="L32" s="17" t="str">
        <f>'Occ T3'!A34</f>
        <v>Caring, leisure and other service occupations</v>
      </c>
      <c r="M32" s="87">
        <f t="shared" ref="M32:AD32" si="10">SUM(M33:M35)</f>
        <v>42.86697141715117</v>
      </c>
      <c r="N32" s="87">
        <f t="shared" si="10"/>
        <v>40.72732097415944</v>
      </c>
      <c r="O32" s="87">
        <f t="shared" si="10"/>
        <v>41.062586348601627</v>
      </c>
      <c r="P32" s="87">
        <f t="shared" si="10"/>
        <v>40.724750467522703</v>
      </c>
      <c r="Q32" s="87">
        <f t="shared" si="10"/>
        <v>44.161423718101581</v>
      </c>
      <c r="R32" s="87">
        <f t="shared" si="10"/>
        <v>44.888544099919955</v>
      </c>
      <c r="S32" s="87">
        <f t="shared" si="10"/>
        <v>41.903475593631413</v>
      </c>
      <c r="T32" s="87">
        <f t="shared" si="10"/>
        <v>42.93229360284122</v>
      </c>
      <c r="U32" s="87">
        <f t="shared" si="10"/>
        <v>43.132757415145178</v>
      </c>
      <c r="V32" s="87">
        <f t="shared" si="10"/>
        <v>43.233422460822304</v>
      </c>
      <c r="W32" s="87">
        <f t="shared" si="10"/>
        <v>42.842121741005315</v>
      </c>
      <c r="X32" s="87">
        <f t="shared" si="10"/>
        <v>43.653063333112343</v>
      </c>
      <c r="Y32" s="87">
        <f t="shared" si="10"/>
        <v>43.842159282041173</v>
      </c>
      <c r="Z32" s="87">
        <f t="shared" si="10"/>
        <v>44.110137116668405</v>
      </c>
      <c r="AA32" s="87">
        <f t="shared" si="10"/>
        <v>44.375770529404456</v>
      </c>
      <c r="AB32" s="87">
        <f t="shared" si="10"/>
        <v>44.580249740757665</v>
      </c>
      <c r="AC32" s="87">
        <f t="shared" si="10"/>
        <v>44.71979998107048</v>
      </c>
      <c r="AD32" s="87">
        <f t="shared" si="10"/>
        <v>44.832031297290989</v>
      </c>
      <c r="AE32" s="87">
        <f t="shared" ref="AE32" si="11">SUM(AE33:AE35)</f>
        <v>44.959913218802711</v>
      </c>
      <c r="AF32" s="87">
        <f t="shared" ref="AF32" si="12">SUM(AF33:AF35)</f>
        <v>45.066177875744685</v>
      </c>
      <c r="AG32" s="87">
        <f t="shared" ref="AG32" si="13">SUM(AG33:AG35)</f>
        <v>45.209477718666228</v>
      </c>
      <c r="AH32" s="87">
        <f t="shared" ref="AH32" si="14">SUM(AH33:AH35)</f>
        <v>45.363102128931104</v>
      </c>
      <c r="AI32" s="87">
        <f t="shared" ref="AI32" si="15">SUM(AI33:AI35)</f>
        <v>45.530654916439637</v>
      </c>
      <c r="AJ32" s="87">
        <f t="shared" ref="AJ32" si="16">SUM(AJ33:AJ35)</f>
        <v>45.70607679762967</v>
      </c>
      <c r="AK32" s="87">
        <f t="shared" ref="AK32" si="17">SUM(AK33:AK35)</f>
        <v>45.884726518391524</v>
      </c>
      <c r="AL32" s="87">
        <f t="shared" ref="AL32" si="18">SUM(AL33:AL35)</f>
        <v>46.050455885843554</v>
      </c>
      <c r="AM32" s="11"/>
      <c r="AN32" s="11"/>
      <c r="AO32" s="11"/>
      <c r="AP32" s="11"/>
      <c r="AQ32" s="11"/>
      <c r="AR32" s="11"/>
      <c r="AS32" s="11"/>
      <c r="AT32" s="11"/>
      <c r="AU32" s="11"/>
      <c r="AV32" s="11"/>
      <c r="AW32" s="11"/>
      <c r="AX32" s="11"/>
      <c r="AY32" s="11"/>
      <c r="AZ32" s="11"/>
      <c r="BA32" s="11"/>
      <c r="BB32" s="11"/>
    </row>
    <row r="33" spans="12:64" x14ac:dyDescent="0.2">
      <c r="L33" s="232" t="str">
        <f>'Occ T3'!A35</f>
        <v>61 Caring personal service occupations</v>
      </c>
      <c r="M33" s="11">
        <v>32.875857848599466</v>
      </c>
      <c r="N33" s="11">
        <v>30.179145822938825</v>
      </c>
      <c r="O33" s="11">
        <v>31.099931483960855</v>
      </c>
      <c r="P33" s="11">
        <v>30.827394159631616</v>
      </c>
      <c r="Q33" s="11">
        <v>33.480580981228179</v>
      </c>
      <c r="R33" s="11">
        <v>33.611923724291344</v>
      </c>
      <c r="S33" s="11">
        <v>31.995501223992949</v>
      </c>
      <c r="T33" s="11">
        <v>32.287170032650103</v>
      </c>
      <c r="U33" s="11">
        <v>31.520115306655448</v>
      </c>
      <c r="V33" s="11">
        <v>31.35753209221701</v>
      </c>
      <c r="W33" s="11">
        <v>31.610179921526679</v>
      </c>
      <c r="X33" s="11">
        <v>32.778441941758942</v>
      </c>
      <c r="Y33" s="11">
        <v>33.039144191446127</v>
      </c>
      <c r="Z33" s="11">
        <v>33.271101933061964</v>
      </c>
      <c r="AA33" s="11">
        <v>33.479502808188329</v>
      </c>
      <c r="AB33" s="11">
        <v>33.638633531936662</v>
      </c>
      <c r="AC33" s="11">
        <v>33.740996402613959</v>
      </c>
      <c r="AD33" s="11">
        <v>33.819524994299378</v>
      </c>
      <c r="AE33" s="11">
        <v>33.920915973192308</v>
      </c>
      <c r="AF33" s="11">
        <v>34.004148307931771</v>
      </c>
      <c r="AG33" s="11">
        <v>34.120284613089879</v>
      </c>
      <c r="AH33" s="11">
        <v>34.2488124832118</v>
      </c>
      <c r="AI33" s="11">
        <v>34.395280345801638</v>
      </c>
      <c r="AJ33" s="11">
        <v>34.541360954407331</v>
      </c>
      <c r="AK33" s="11">
        <v>34.704990093749366</v>
      </c>
      <c r="AL33" s="11">
        <v>34.878615994605461</v>
      </c>
      <c r="AM33" s="11"/>
      <c r="AN33" s="11"/>
      <c r="AO33" s="11"/>
      <c r="AP33" s="11"/>
      <c r="AQ33" s="11"/>
      <c r="AR33" s="11"/>
      <c r="AS33" s="11"/>
      <c r="AT33" s="11"/>
      <c r="AU33" s="11"/>
      <c r="AV33" s="11"/>
      <c r="AW33" s="11"/>
      <c r="AX33" s="11"/>
      <c r="AY33" s="11"/>
      <c r="AZ33" s="11"/>
      <c r="BA33" s="11"/>
      <c r="BB33" s="11"/>
      <c r="BC33" s="11"/>
      <c r="BD33" s="11"/>
      <c r="BE33" s="11"/>
      <c r="BF33" s="11"/>
      <c r="BG33" s="11"/>
      <c r="BH33" s="11"/>
      <c r="BI33" s="11"/>
      <c r="BJ33" s="11"/>
      <c r="BK33" s="11"/>
      <c r="BL33" s="11"/>
    </row>
    <row r="34" spans="12:64" x14ac:dyDescent="0.2">
      <c r="L34" s="232" t="str">
        <f>'Occ T3'!A36</f>
        <v>62 Leisure, travel and related personal service occupations</v>
      </c>
      <c r="M34" s="11">
        <v>9.050919190720343</v>
      </c>
      <c r="N34" s="11">
        <v>9.8831843632077696</v>
      </c>
      <c r="O34" s="11">
        <v>9.3359091736255468</v>
      </c>
      <c r="P34" s="11">
        <v>9.2782799211524072</v>
      </c>
      <c r="Q34" s="11">
        <v>10.022684415635798</v>
      </c>
      <c r="R34" s="11">
        <v>10.694469678421898</v>
      </c>
      <c r="S34" s="11">
        <v>9.4027441314373963</v>
      </c>
      <c r="T34" s="11">
        <v>10.080797901186013</v>
      </c>
      <c r="U34" s="11">
        <v>11.061157122646057</v>
      </c>
      <c r="V34" s="11">
        <v>11.35031775343238</v>
      </c>
      <c r="W34" s="11">
        <v>10.590117171876656</v>
      </c>
      <c r="X34" s="11">
        <v>10.348636902364607</v>
      </c>
      <c r="Y34" s="11">
        <v>10.278235306065765</v>
      </c>
      <c r="Z34" s="11">
        <v>10.312669981628311</v>
      </c>
      <c r="AA34" s="11">
        <v>10.368253284113383</v>
      </c>
      <c r="AB34" s="11">
        <v>10.409965299818033</v>
      </c>
      <c r="AC34" s="11">
        <v>10.443908917229118</v>
      </c>
      <c r="AD34" s="11">
        <v>10.474443932134724</v>
      </c>
      <c r="AE34" s="11">
        <v>10.498053837174758</v>
      </c>
      <c r="AF34" s="11">
        <v>10.517800324922453</v>
      </c>
      <c r="AG34" s="11">
        <v>10.542309123147476</v>
      </c>
      <c r="AH34" s="11">
        <v>10.564926669015147</v>
      </c>
      <c r="AI34" s="11">
        <v>10.583390882738783</v>
      </c>
      <c r="AJ34" s="11">
        <v>10.609692009595502</v>
      </c>
      <c r="AK34" s="11">
        <v>10.622475868266001</v>
      </c>
      <c r="AL34" s="11">
        <v>10.611845266662291</v>
      </c>
      <c r="AM34" s="11"/>
      <c r="AN34" s="11"/>
      <c r="AO34" s="11"/>
      <c r="AP34" s="11"/>
      <c r="AQ34" s="11"/>
      <c r="AR34" s="11"/>
      <c r="AS34" s="11"/>
      <c r="AT34" s="11"/>
      <c r="AU34" s="11"/>
      <c r="AV34" s="11"/>
      <c r="AW34" s="11"/>
      <c r="AX34" s="11"/>
      <c r="AY34" s="11"/>
      <c r="AZ34" s="11"/>
      <c r="BA34" s="11"/>
      <c r="BB34" s="11"/>
      <c r="BC34" s="11"/>
      <c r="BD34" s="11"/>
      <c r="BE34" s="11"/>
      <c r="BF34" s="11"/>
      <c r="BG34" s="11"/>
      <c r="BH34" s="11"/>
      <c r="BI34" s="11"/>
      <c r="BJ34" s="11"/>
      <c r="BK34" s="11"/>
      <c r="BL34" s="11"/>
    </row>
    <row r="35" spans="12:64" x14ac:dyDescent="0.2">
      <c r="L35" s="232" t="str">
        <f>'Occ T3'!A37</f>
        <v>63 Community and civil enforcement occupations</v>
      </c>
      <c r="M35" s="11">
        <v>0.9401943778313594</v>
      </c>
      <c r="N35" s="11">
        <v>0.66499078801284428</v>
      </c>
      <c r="O35" s="11">
        <v>0.62674569101522493</v>
      </c>
      <c r="P35" s="11">
        <v>0.61907638673867915</v>
      </c>
      <c r="Q35" s="11">
        <v>0.65815832123759754</v>
      </c>
      <c r="R35" s="11">
        <v>0.58215069720671409</v>
      </c>
      <c r="S35" s="11">
        <v>0.50523023820106472</v>
      </c>
      <c r="T35" s="11">
        <v>0.56432566900510828</v>
      </c>
      <c r="U35" s="11">
        <v>0.55148498584366923</v>
      </c>
      <c r="V35" s="11">
        <v>0.52557261517291309</v>
      </c>
      <c r="W35" s="11">
        <v>0.64182464760198232</v>
      </c>
      <c r="X35" s="11">
        <v>0.52598448898879746</v>
      </c>
      <c r="Y35" s="11">
        <v>0.52477978452928287</v>
      </c>
      <c r="Z35" s="11">
        <v>0.52636520197813152</v>
      </c>
      <c r="AA35" s="11">
        <v>0.52801443710274687</v>
      </c>
      <c r="AB35" s="11">
        <v>0.53165090900297174</v>
      </c>
      <c r="AC35" s="11">
        <v>0.53489466122740414</v>
      </c>
      <c r="AD35" s="11">
        <v>0.53806237085688713</v>
      </c>
      <c r="AE35" s="11">
        <v>0.54094340843564492</v>
      </c>
      <c r="AF35" s="11">
        <v>0.54422924289046126</v>
      </c>
      <c r="AG35" s="11">
        <v>0.54688398242887171</v>
      </c>
      <c r="AH35" s="11">
        <v>0.54936297670416157</v>
      </c>
      <c r="AI35" s="11">
        <v>0.55198368789921537</v>
      </c>
      <c r="AJ35" s="11">
        <v>0.5550238336268436</v>
      </c>
      <c r="AK35" s="11">
        <v>0.55726055637615901</v>
      </c>
      <c r="AL35" s="11">
        <v>0.55999462457579885</v>
      </c>
      <c r="AM35" s="11"/>
      <c r="AN35" s="11"/>
      <c r="AO35" s="11"/>
      <c r="AP35" s="11"/>
      <c r="AQ35" s="11"/>
      <c r="AR35" s="11"/>
      <c r="AS35" s="11"/>
      <c r="AT35" s="11"/>
      <c r="AU35" s="11"/>
      <c r="AV35" s="11"/>
      <c r="AW35" s="11"/>
      <c r="AX35" s="11"/>
      <c r="AY35" s="11"/>
      <c r="AZ35" s="11"/>
      <c r="BA35" s="11"/>
      <c r="BB35" s="11"/>
      <c r="BC35" s="11"/>
      <c r="BD35" s="11"/>
      <c r="BE35" s="11"/>
      <c r="BF35" s="11"/>
      <c r="BG35" s="11"/>
      <c r="BH35" s="11"/>
      <c r="BI35" s="11"/>
      <c r="BJ35" s="11"/>
      <c r="BK35" s="11"/>
      <c r="BL35" s="11"/>
    </row>
    <row r="36" spans="12:64" x14ac:dyDescent="0.2">
      <c r="L36" s="232"/>
      <c r="M36" s="11"/>
      <c r="N36" s="11"/>
      <c r="O36" s="11"/>
      <c r="P36" s="11"/>
      <c r="Q36" s="11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87"/>
      <c r="AF36" s="87"/>
      <c r="AG36" s="87"/>
      <c r="AH36" s="11"/>
      <c r="AI36" s="11"/>
      <c r="AJ36" s="11"/>
      <c r="AK36" s="11"/>
      <c r="AL36" s="11"/>
      <c r="AM36" s="11"/>
      <c r="AN36" s="11"/>
      <c r="AO36" s="11"/>
      <c r="AP36" s="11"/>
      <c r="AQ36" s="11"/>
      <c r="AR36" s="11"/>
      <c r="AS36" s="11"/>
      <c r="AT36" s="11"/>
      <c r="AU36" s="11"/>
      <c r="AV36" s="11"/>
      <c r="AW36" s="11"/>
      <c r="AX36" s="11"/>
      <c r="AY36" s="11"/>
      <c r="AZ36" s="11"/>
      <c r="BA36" s="11"/>
      <c r="BB36" s="11"/>
      <c r="BC36" s="11"/>
      <c r="BD36" s="11"/>
      <c r="BE36" s="11"/>
      <c r="BF36" s="11"/>
      <c r="BG36" s="11"/>
      <c r="BH36" s="11"/>
      <c r="BI36" s="11"/>
      <c r="BJ36" s="11"/>
      <c r="BK36" s="11"/>
      <c r="BL36" s="11"/>
    </row>
    <row r="37" spans="12:64" x14ac:dyDescent="0.2">
      <c r="L37" s="17" t="str">
        <f>'Occ T3'!A39</f>
        <v>Sales and customer service occupations</v>
      </c>
      <c r="M37" s="87">
        <f>SUM(M38:M39)</f>
        <v>48.443694116589093</v>
      </c>
      <c r="N37" s="87">
        <f t="shared" ref="N37:AL37" si="19">SUM(N38:N39)</f>
        <v>49.500333973206693</v>
      </c>
      <c r="O37" s="87">
        <f t="shared" si="19"/>
        <v>50.574662655845195</v>
      </c>
      <c r="P37" s="87">
        <f t="shared" si="19"/>
        <v>47.902498424798594</v>
      </c>
      <c r="Q37" s="87">
        <f t="shared" si="19"/>
        <v>54.47842717303385</v>
      </c>
      <c r="R37" s="87">
        <f t="shared" si="19"/>
        <v>56.179250393666827</v>
      </c>
      <c r="S37" s="87">
        <f t="shared" si="19"/>
        <v>54.428597413415226</v>
      </c>
      <c r="T37" s="87">
        <f t="shared" si="19"/>
        <v>52.779739785306546</v>
      </c>
      <c r="U37" s="87">
        <f t="shared" si="19"/>
        <v>50.182880862853501</v>
      </c>
      <c r="V37" s="87">
        <f t="shared" si="19"/>
        <v>50.864291073074931</v>
      </c>
      <c r="W37" s="87">
        <f t="shared" si="19"/>
        <v>51.568261223138805</v>
      </c>
      <c r="X37" s="87">
        <f t="shared" si="19"/>
        <v>50.837123001559156</v>
      </c>
      <c r="Y37" s="87">
        <f t="shared" si="19"/>
        <v>50.889245183981345</v>
      </c>
      <c r="Z37" s="87">
        <f t="shared" si="19"/>
        <v>51.069310373346276</v>
      </c>
      <c r="AA37" s="87">
        <f t="shared" si="19"/>
        <v>51.307307583610751</v>
      </c>
      <c r="AB37" s="87">
        <f t="shared" si="19"/>
        <v>51.47460691376255</v>
      </c>
      <c r="AC37" s="87">
        <f t="shared" si="19"/>
        <v>51.590237241186799</v>
      </c>
      <c r="AD37" s="87">
        <f t="shared" si="19"/>
        <v>51.664479818245994</v>
      </c>
      <c r="AE37" s="87">
        <f t="shared" si="19"/>
        <v>51.72604890922652</v>
      </c>
      <c r="AF37" s="87">
        <f t="shared" si="19"/>
        <v>51.797700704849071</v>
      </c>
      <c r="AG37" s="87">
        <f t="shared" si="19"/>
        <v>51.860682936887947</v>
      </c>
      <c r="AH37" s="87">
        <f t="shared" si="19"/>
        <v>51.906575811941181</v>
      </c>
      <c r="AI37" s="87">
        <f t="shared" si="19"/>
        <v>51.912414869352979</v>
      </c>
      <c r="AJ37" s="87">
        <f t="shared" si="19"/>
        <v>51.943365602377995</v>
      </c>
      <c r="AK37" s="87">
        <f t="shared" si="19"/>
        <v>51.951524637821542</v>
      </c>
      <c r="AL37" s="87">
        <f t="shared" si="19"/>
        <v>51.915229307935128</v>
      </c>
      <c r="AM37" s="11"/>
      <c r="AN37" s="11"/>
      <c r="AO37" s="11"/>
      <c r="AP37" s="11"/>
      <c r="AQ37" s="11"/>
      <c r="AR37" s="11"/>
      <c r="AS37" s="11"/>
      <c r="AT37" s="11"/>
      <c r="AU37" s="11"/>
      <c r="AV37" s="11"/>
      <c r="AW37" s="11"/>
      <c r="AX37" s="11"/>
      <c r="AY37" s="11"/>
      <c r="AZ37" s="11"/>
      <c r="BA37" s="11"/>
      <c r="BB37" s="11"/>
      <c r="BC37" s="11"/>
      <c r="BD37" s="11"/>
      <c r="BE37" s="11"/>
      <c r="BF37" s="11"/>
      <c r="BG37" s="11"/>
      <c r="BH37" s="11"/>
      <c r="BI37" s="11"/>
      <c r="BJ37" s="11"/>
      <c r="BK37" s="11"/>
      <c r="BL37" s="11"/>
    </row>
    <row r="38" spans="12:64" x14ac:dyDescent="0.2">
      <c r="L38" s="232" t="str">
        <f>'Occ T3'!A40</f>
        <v>71 Sales occupations</v>
      </c>
      <c r="M38" s="11">
        <v>40.909376604646653</v>
      </c>
      <c r="N38" s="11">
        <v>42.010705679764619</v>
      </c>
      <c r="O38" s="11">
        <v>42.978399378681786</v>
      </c>
      <c r="P38" s="11">
        <v>40.391522524422541</v>
      </c>
      <c r="Q38" s="11">
        <v>47.022555434912235</v>
      </c>
      <c r="R38" s="11">
        <v>47.90500212035964</v>
      </c>
      <c r="S38" s="11">
        <v>46.643289242869635</v>
      </c>
      <c r="T38" s="11">
        <v>44.154604502421051</v>
      </c>
      <c r="U38" s="11">
        <v>41.273321895037931</v>
      </c>
      <c r="V38" s="11">
        <v>42.371397183233768</v>
      </c>
      <c r="W38" s="11">
        <v>42.678069113601978</v>
      </c>
      <c r="X38" s="11">
        <v>40.164419275234657</v>
      </c>
      <c r="Y38" s="11">
        <v>40.080147100517472</v>
      </c>
      <c r="Z38" s="11">
        <v>40.102380943406992</v>
      </c>
      <c r="AA38" s="11">
        <v>40.156718149228034</v>
      </c>
      <c r="AB38" s="11">
        <v>40.14254357355194</v>
      </c>
      <c r="AC38" s="11">
        <v>40.090140262043938</v>
      </c>
      <c r="AD38" s="11">
        <v>40.00066797474441</v>
      </c>
      <c r="AE38" s="11">
        <v>39.890560275556425</v>
      </c>
      <c r="AF38" s="11">
        <v>39.777391233186584</v>
      </c>
      <c r="AG38" s="11">
        <v>39.653365180255825</v>
      </c>
      <c r="AH38" s="11">
        <v>39.504717127658701</v>
      </c>
      <c r="AI38" s="11">
        <v>39.319553150589584</v>
      </c>
      <c r="AJ38" s="11">
        <v>39.15817506855857</v>
      </c>
      <c r="AK38" s="11">
        <v>38.979865660753937</v>
      </c>
      <c r="AL38" s="11">
        <v>38.750591491417339</v>
      </c>
      <c r="AM38" s="11"/>
      <c r="AN38" s="11"/>
      <c r="AO38" s="11"/>
      <c r="AP38" s="11"/>
      <c r="AQ38" s="11"/>
      <c r="AR38" s="11"/>
      <c r="AS38" s="11"/>
      <c r="AT38" s="11"/>
      <c r="AU38" s="11"/>
      <c r="AV38" s="11"/>
      <c r="AW38" s="11"/>
      <c r="AX38" s="11"/>
      <c r="AY38" s="11"/>
      <c r="AZ38" s="11"/>
      <c r="BA38" s="11"/>
      <c r="BB38" s="11"/>
      <c r="BC38" s="11"/>
      <c r="BD38" s="11"/>
      <c r="BE38" s="11"/>
      <c r="BF38" s="11"/>
      <c r="BG38" s="11"/>
      <c r="BH38" s="11"/>
      <c r="BI38" s="11"/>
      <c r="BJ38" s="11"/>
      <c r="BK38" s="11"/>
      <c r="BL38" s="11"/>
    </row>
    <row r="39" spans="12:64" x14ac:dyDescent="0.2">
      <c r="L39" s="232" t="str">
        <f>'Occ T3'!A41</f>
        <v>72 Customer service occupations</v>
      </c>
      <c r="M39" s="11">
        <v>7.5343175119424375</v>
      </c>
      <c r="N39" s="11">
        <v>7.4896282934420775</v>
      </c>
      <c r="O39" s="11">
        <v>7.5962632771634064</v>
      </c>
      <c r="P39" s="11">
        <v>7.5109759003760495</v>
      </c>
      <c r="Q39" s="11">
        <v>7.4558717381216129</v>
      </c>
      <c r="R39" s="11">
        <v>8.2742482733071885</v>
      </c>
      <c r="S39" s="11">
        <v>7.7853081705455907</v>
      </c>
      <c r="T39" s="11">
        <v>8.625135282885493</v>
      </c>
      <c r="U39" s="11">
        <v>8.9095589678155687</v>
      </c>
      <c r="V39" s="11">
        <v>8.4928938898411648</v>
      </c>
      <c r="W39" s="11">
        <v>8.8901921095368301</v>
      </c>
      <c r="X39" s="11">
        <v>10.672703726324499</v>
      </c>
      <c r="Y39" s="11">
        <v>10.809098083463876</v>
      </c>
      <c r="Z39" s="11">
        <v>10.966929429939286</v>
      </c>
      <c r="AA39" s="11">
        <v>11.150589434382718</v>
      </c>
      <c r="AB39" s="11">
        <v>11.332063340210611</v>
      </c>
      <c r="AC39" s="11">
        <v>11.500096979142858</v>
      </c>
      <c r="AD39" s="11">
        <v>11.663811843501586</v>
      </c>
      <c r="AE39" s="11">
        <v>11.835488633670092</v>
      </c>
      <c r="AF39" s="11">
        <v>12.020309471662488</v>
      </c>
      <c r="AG39" s="11">
        <v>12.207317756632122</v>
      </c>
      <c r="AH39" s="11">
        <v>12.40185868428248</v>
      </c>
      <c r="AI39" s="11">
        <v>12.592861718763393</v>
      </c>
      <c r="AJ39" s="11">
        <v>12.785190533819428</v>
      </c>
      <c r="AK39" s="11">
        <v>12.971658977067605</v>
      </c>
      <c r="AL39" s="11">
        <v>13.164637816517791</v>
      </c>
      <c r="AM39" s="11"/>
    </row>
    <row r="40" spans="12:64" x14ac:dyDescent="0.2">
      <c r="L40" s="232"/>
      <c r="M40" s="11"/>
      <c r="N40" s="11"/>
      <c r="O40" s="11"/>
      <c r="P40" s="11"/>
      <c r="Q40" s="11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87"/>
      <c r="AF40" s="87"/>
      <c r="AG40" s="87"/>
      <c r="AH40" s="11"/>
      <c r="AI40" s="11"/>
      <c r="AJ40" s="11"/>
      <c r="AK40" s="11"/>
      <c r="AL40" s="11"/>
      <c r="AM40" s="11"/>
      <c r="AN40" s="11"/>
      <c r="AO40" s="11"/>
      <c r="AP40" s="11"/>
      <c r="AQ40" s="11"/>
      <c r="AR40" s="11"/>
      <c r="AS40" s="11"/>
      <c r="AT40" s="11"/>
      <c r="AU40" s="11"/>
      <c r="AV40" s="11"/>
      <c r="AW40" s="11"/>
      <c r="AX40" s="11"/>
      <c r="AY40" s="11"/>
      <c r="AZ40" s="11"/>
      <c r="BA40" s="11"/>
      <c r="BB40" s="11"/>
    </row>
    <row r="41" spans="12:64" x14ac:dyDescent="0.2">
      <c r="L41" s="17" t="str">
        <f>'Occ T3'!A43</f>
        <v>Process, plant and machine operatives</v>
      </c>
      <c r="M41" s="87">
        <f>SUM(M42:M43)</f>
        <v>37.933368087216721</v>
      </c>
      <c r="N41" s="87">
        <f t="shared" ref="N41" si="20">SUM(N42:N43)</f>
        <v>37.79853137250015</v>
      </c>
      <c r="O41" s="87">
        <f t="shared" ref="O41" si="21">SUM(O42:O43)</f>
        <v>35.983094145065948</v>
      </c>
      <c r="P41" s="87">
        <f t="shared" ref="P41" si="22">SUM(P42:P43)</f>
        <v>41.046716039680305</v>
      </c>
      <c r="Q41" s="87">
        <f t="shared" ref="Q41" si="23">SUM(Q42:Q43)</f>
        <v>38.221723107823706</v>
      </c>
      <c r="R41" s="87">
        <f t="shared" ref="R41" si="24">SUM(R42:R43)</f>
        <v>38.275660553349219</v>
      </c>
      <c r="S41" s="87">
        <f t="shared" ref="S41" si="25">SUM(S42:S43)</f>
        <v>38.735425768478635</v>
      </c>
      <c r="T41" s="87">
        <f t="shared" ref="T41" si="26">SUM(T42:T43)</f>
        <v>40.433467043410531</v>
      </c>
      <c r="U41" s="87">
        <f t="shared" ref="U41" si="27">SUM(U42:U43)</f>
        <v>44.626718539544662</v>
      </c>
      <c r="V41" s="87">
        <f t="shared" ref="V41" si="28">SUM(V42:V43)</f>
        <v>40.23920215456873</v>
      </c>
      <c r="W41" s="87">
        <f t="shared" ref="W41" si="29">SUM(W42:W43)</f>
        <v>35.579190689780106</v>
      </c>
      <c r="X41" s="87">
        <f t="shared" ref="X41" si="30">SUM(X42:X43)</f>
        <v>39.292876066146448</v>
      </c>
      <c r="Y41" s="87">
        <f t="shared" ref="Y41" si="31">SUM(Y42:Y43)</f>
        <v>38.910030329335555</v>
      </c>
      <c r="Z41" s="87">
        <f t="shared" ref="Z41" si="32">SUM(Z42:Z43)</f>
        <v>38.681855857604077</v>
      </c>
      <c r="AA41" s="87">
        <f t="shared" ref="AA41" si="33">SUM(AA42:AA43)</f>
        <v>38.51195151768799</v>
      </c>
      <c r="AB41" s="87">
        <f t="shared" ref="AB41" si="34">SUM(AB42:AB43)</f>
        <v>38.295208327413881</v>
      </c>
      <c r="AC41" s="87">
        <f t="shared" ref="AC41" si="35">SUM(AC42:AC43)</f>
        <v>38.080615744718258</v>
      </c>
      <c r="AD41" s="87">
        <f t="shared" ref="AD41" si="36">SUM(AD42:AD43)</f>
        <v>37.840131874884214</v>
      </c>
      <c r="AE41" s="87">
        <f t="shared" ref="AE41" si="37">SUM(AE42:AE43)</f>
        <v>37.576974964418767</v>
      </c>
      <c r="AF41" s="87">
        <f t="shared" ref="AF41" si="38">SUM(AF42:AF43)</f>
        <v>37.325553785283134</v>
      </c>
      <c r="AG41" s="87">
        <f t="shared" ref="AG41" si="39">SUM(AG42:AG43)</f>
        <v>37.096863638090994</v>
      </c>
      <c r="AH41" s="87">
        <f t="shared" ref="AH41" si="40">SUM(AH42:AH43)</f>
        <v>36.896151878804886</v>
      </c>
      <c r="AI41" s="87">
        <f t="shared" ref="AI41" si="41">SUM(AI42:AI43)</f>
        <v>36.715523105427479</v>
      </c>
      <c r="AJ41" s="87">
        <f t="shared" ref="AJ41" si="42">SUM(AJ42:AJ43)</f>
        <v>36.520692225552878</v>
      </c>
      <c r="AK41" s="87">
        <f t="shared" ref="AK41" si="43">SUM(AK42:AK43)</f>
        <v>36.318113162881332</v>
      </c>
      <c r="AL41" s="87">
        <f t="shared" ref="AL41" si="44">SUM(AL42:AL43)</f>
        <v>36.130893780094553</v>
      </c>
      <c r="AM41" s="11"/>
      <c r="AN41" s="11"/>
      <c r="AO41" s="11"/>
      <c r="AP41" s="11"/>
      <c r="AQ41" s="11"/>
      <c r="AR41" s="11"/>
      <c r="AS41" s="11"/>
      <c r="AT41" s="11"/>
      <c r="AU41" s="11"/>
      <c r="AV41" s="11"/>
      <c r="AW41" s="11"/>
      <c r="AX41" s="11"/>
      <c r="AY41" s="11"/>
      <c r="AZ41" s="11"/>
      <c r="BA41" s="11"/>
      <c r="BB41" s="11"/>
    </row>
    <row r="42" spans="12:64" x14ac:dyDescent="0.2">
      <c r="L42" s="232" t="str">
        <f>'Occ T3'!A44</f>
        <v>81 Process, plant and machine operatives</v>
      </c>
      <c r="M42" s="11">
        <v>20.524708548830038</v>
      </c>
      <c r="N42" s="11">
        <v>18.452539498454254</v>
      </c>
      <c r="O42" s="11">
        <v>19.090689812770211</v>
      </c>
      <c r="P42" s="11">
        <v>21.417116471862055</v>
      </c>
      <c r="Q42" s="11">
        <v>20.302536154105471</v>
      </c>
      <c r="R42" s="11">
        <v>20.497099930923987</v>
      </c>
      <c r="S42" s="11">
        <v>19.654787945150183</v>
      </c>
      <c r="T42" s="11">
        <v>20.800544640975097</v>
      </c>
      <c r="U42" s="11">
        <v>21.222373285978701</v>
      </c>
      <c r="V42" s="11">
        <v>18.90603423685317</v>
      </c>
      <c r="W42" s="11">
        <v>16.493271233190935</v>
      </c>
      <c r="X42" s="11">
        <v>19.607081740333221</v>
      </c>
      <c r="Y42" s="11">
        <v>19.490483444437693</v>
      </c>
      <c r="Z42" s="11">
        <v>19.424566836368577</v>
      </c>
      <c r="AA42" s="11">
        <v>19.359973903810996</v>
      </c>
      <c r="AB42" s="11">
        <v>19.238164300614457</v>
      </c>
      <c r="AC42" s="11">
        <v>19.135752020860139</v>
      </c>
      <c r="AD42" s="11">
        <v>19.021439630303082</v>
      </c>
      <c r="AE42" s="11">
        <v>18.892922184186354</v>
      </c>
      <c r="AF42" s="11">
        <v>18.770969876773908</v>
      </c>
      <c r="AG42" s="11">
        <v>18.67109572318936</v>
      </c>
      <c r="AH42" s="11">
        <v>18.579498719946375</v>
      </c>
      <c r="AI42" s="11">
        <v>18.494569408087077</v>
      </c>
      <c r="AJ42" s="11">
        <v>18.404826638497557</v>
      </c>
      <c r="AK42" s="11">
        <v>18.310802417397689</v>
      </c>
      <c r="AL42" s="11">
        <v>18.228830196942472</v>
      </c>
      <c r="AM42" s="11"/>
      <c r="AN42" s="11"/>
      <c r="AO42" s="11"/>
      <c r="AP42" s="11"/>
      <c r="AQ42" s="11"/>
      <c r="AR42" s="11"/>
      <c r="AS42" s="11"/>
      <c r="AT42" s="11"/>
      <c r="AU42" s="11"/>
      <c r="AV42" s="11"/>
      <c r="AW42" s="11"/>
      <c r="AX42" s="11"/>
      <c r="AY42" s="11"/>
      <c r="AZ42" s="11"/>
      <c r="BA42" s="11"/>
      <c r="BB42" s="11"/>
    </row>
    <row r="43" spans="12:64" x14ac:dyDescent="0.2">
      <c r="L43" s="232" t="str">
        <f>'Occ T3'!A45</f>
        <v>82 Transport and mobile machine drivers and operatives</v>
      </c>
      <c r="M43" s="11">
        <v>17.408659538386683</v>
      </c>
      <c r="N43" s="11">
        <v>19.345991874045897</v>
      </c>
      <c r="O43" s="11">
        <v>16.892404332295737</v>
      </c>
      <c r="P43" s="11">
        <v>19.629599567818254</v>
      </c>
      <c r="Q43" s="11">
        <v>17.919186953718231</v>
      </c>
      <c r="R43" s="11">
        <v>17.778560622425232</v>
      </c>
      <c r="S43" s="11">
        <v>19.080637823328448</v>
      </c>
      <c r="T43" s="11">
        <v>19.632922402435433</v>
      </c>
      <c r="U43" s="11">
        <v>23.40434525356596</v>
      </c>
      <c r="V43" s="11">
        <v>21.33316791771556</v>
      </c>
      <c r="W43" s="11">
        <v>19.085919456589171</v>
      </c>
      <c r="X43" s="11">
        <v>19.685794325813227</v>
      </c>
      <c r="Y43" s="11">
        <v>19.419546884897859</v>
      </c>
      <c r="Z43" s="11">
        <v>19.257289021235501</v>
      </c>
      <c r="AA43" s="11">
        <v>19.151977613876994</v>
      </c>
      <c r="AB43" s="11">
        <v>19.057044026799424</v>
      </c>
      <c r="AC43" s="11">
        <v>18.944863723858123</v>
      </c>
      <c r="AD43" s="11">
        <v>18.818692244581133</v>
      </c>
      <c r="AE43" s="11">
        <v>18.684052780232417</v>
      </c>
      <c r="AF43" s="11">
        <v>18.554583908509226</v>
      </c>
      <c r="AG43" s="11">
        <v>18.42576791490163</v>
      </c>
      <c r="AH43" s="11">
        <v>18.316653158858511</v>
      </c>
      <c r="AI43" s="11">
        <v>18.220953697340406</v>
      </c>
      <c r="AJ43" s="11">
        <v>18.115865587055318</v>
      </c>
      <c r="AK43" s="11">
        <v>18.007310745483647</v>
      </c>
      <c r="AL43" s="11">
        <v>17.902063583152078</v>
      </c>
      <c r="AM43" s="11"/>
    </row>
    <row r="44" spans="12:64" x14ac:dyDescent="0.2">
      <c r="L44" s="232"/>
      <c r="M44" s="11"/>
      <c r="N44" s="11"/>
      <c r="O44" s="11"/>
      <c r="P44" s="11"/>
      <c r="Q44" s="11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87"/>
      <c r="AF44" s="87"/>
      <c r="AG44" s="87"/>
      <c r="AH44" s="11"/>
      <c r="AI44" s="11"/>
      <c r="AJ44" s="11"/>
      <c r="AK44" s="11"/>
      <c r="AL44" s="11"/>
      <c r="AM44" s="11"/>
      <c r="AN44" s="11"/>
      <c r="AO44" s="11"/>
      <c r="AP44" s="11"/>
      <c r="AQ44" s="11"/>
      <c r="AR44" s="11"/>
      <c r="AS44" s="11"/>
      <c r="AT44" s="11"/>
      <c r="AU44" s="11"/>
      <c r="AV44" s="11"/>
      <c r="AW44" s="11"/>
      <c r="AX44" s="11"/>
      <c r="AY44" s="11"/>
      <c r="AZ44" s="11"/>
      <c r="BA44" s="11"/>
      <c r="BB44" s="11"/>
    </row>
    <row r="45" spans="12:64" x14ac:dyDescent="0.2">
      <c r="L45" s="17" t="str">
        <f>'Occ T3'!A47</f>
        <v>Elementary occupations</v>
      </c>
      <c r="M45" s="87">
        <f>SUM(M46:M47)</f>
        <v>58.346764961885</v>
      </c>
      <c r="N45" s="87">
        <f t="shared" ref="N45" si="45">SUM(N46:N47)</f>
        <v>56.907969372566335</v>
      </c>
      <c r="O45" s="87">
        <f t="shared" ref="O45" si="46">SUM(O46:O47)</f>
        <v>54.324135830687077</v>
      </c>
      <c r="P45" s="87">
        <f t="shared" ref="P45" si="47">SUM(P46:P47)</f>
        <v>55.58331436212557</v>
      </c>
      <c r="Q45" s="87">
        <f t="shared" ref="Q45" si="48">SUM(Q46:Q47)</f>
        <v>57.010872691363936</v>
      </c>
      <c r="R45" s="87">
        <f t="shared" ref="R45" si="49">SUM(R46:R47)</f>
        <v>60.381229357541621</v>
      </c>
      <c r="S45" s="87">
        <f t="shared" ref="S45" si="50">SUM(S46:S47)</f>
        <v>58.386261625734733</v>
      </c>
      <c r="T45" s="87">
        <f t="shared" ref="T45" si="51">SUM(T46:T47)</f>
        <v>60.976677853020703</v>
      </c>
      <c r="U45" s="87">
        <f t="shared" ref="U45" si="52">SUM(U46:U47)</f>
        <v>57.983559900103124</v>
      </c>
      <c r="V45" s="87">
        <f t="shared" ref="V45" si="53">SUM(V46:V47)</f>
        <v>56.405347735410913</v>
      </c>
      <c r="W45" s="87">
        <f t="shared" ref="W45" si="54">SUM(W46:W47)</f>
        <v>52.797952065548557</v>
      </c>
      <c r="X45" s="87">
        <f t="shared" ref="X45" si="55">SUM(X46:X47)</f>
        <v>52.91271990592508</v>
      </c>
      <c r="Y45" s="87">
        <f t="shared" ref="Y45" si="56">SUM(Y46:Y47)</f>
        <v>52.225663517078189</v>
      </c>
      <c r="Z45" s="87">
        <f t="shared" ref="Z45" si="57">SUM(Z46:Z47)</f>
        <v>51.80302917281076</v>
      </c>
      <c r="AA45" s="87">
        <f t="shared" ref="AA45" si="58">SUM(AA46:AA47)</f>
        <v>51.54404322369551</v>
      </c>
      <c r="AB45" s="87">
        <f t="shared" ref="AB45" si="59">SUM(AB46:AB47)</f>
        <v>51.320429621084152</v>
      </c>
      <c r="AC45" s="87">
        <f t="shared" ref="AC45" si="60">SUM(AC46:AC47)</f>
        <v>51.121264873269809</v>
      </c>
      <c r="AD45" s="87">
        <f t="shared" ref="AD45" si="61">SUM(AD46:AD47)</f>
        <v>50.917657697892324</v>
      </c>
      <c r="AE45" s="87">
        <f t="shared" ref="AE45" si="62">SUM(AE46:AE47)</f>
        <v>50.758108040022321</v>
      </c>
      <c r="AF45" s="87">
        <f t="shared" ref="AF45" si="63">SUM(AF46:AF47)</f>
        <v>50.600727390778218</v>
      </c>
      <c r="AG45" s="87">
        <f t="shared" ref="AG45" si="64">SUM(AG46:AG47)</f>
        <v>50.451911985708456</v>
      </c>
      <c r="AH45" s="87">
        <f t="shared" ref="AH45" si="65">SUM(AH46:AH47)</f>
        <v>50.298221190060914</v>
      </c>
      <c r="AI45" s="87">
        <f t="shared" ref="AI45" si="66">SUM(AI46:AI47)</f>
        <v>50.175526458023654</v>
      </c>
      <c r="AJ45" s="87">
        <f t="shared" ref="AJ45" si="67">SUM(AJ46:AJ47)</f>
        <v>50.039163457752394</v>
      </c>
      <c r="AK45" s="87">
        <f t="shared" ref="AK45" si="68">SUM(AK46:AK47)</f>
        <v>49.887700731468513</v>
      </c>
      <c r="AL45" s="87">
        <f t="shared" ref="AL45" si="69">SUM(AL46:AL47)</f>
        <v>49.724225750820281</v>
      </c>
      <c r="AM45" s="11"/>
      <c r="AN45" s="11"/>
      <c r="AO45" s="11"/>
      <c r="AP45" s="11"/>
      <c r="AQ45" s="11"/>
      <c r="AR45" s="11"/>
      <c r="AS45" s="11"/>
      <c r="AT45" s="11"/>
      <c r="AU45" s="11"/>
      <c r="AV45" s="11"/>
      <c r="AW45" s="11"/>
      <c r="AX45" s="11"/>
      <c r="AY45" s="11"/>
      <c r="AZ45" s="11"/>
      <c r="BA45" s="11"/>
      <c r="BB45" s="11"/>
    </row>
    <row r="46" spans="12:64" x14ac:dyDescent="0.2">
      <c r="L46" s="232" t="str">
        <f>'Occ T3'!A48</f>
        <v>91 Elementary trades and related occupations</v>
      </c>
      <c r="M46" s="11">
        <v>7.8377391805773762</v>
      </c>
      <c r="N46" s="11">
        <v>7.7636704848301941</v>
      </c>
      <c r="O46" s="11">
        <v>7.4834317897554703</v>
      </c>
      <c r="P46" s="11">
        <v>7.7825401778549077</v>
      </c>
      <c r="Q46" s="11">
        <v>8.7858675603967047</v>
      </c>
      <c r="R46" s="11">
        <v>8.7079014188987056</v>
      </c>
      <c r="S46" s="11">
        <v>8.4123452358504789</v>
      </c>
      <c r="T46" s="11">
        <v>8.0713339828674346</v>
      </c>
      <c r="U46" s="11">
        <v>8.6790593158713225</v>
      </c>
      <c r="V46" s="11">
        <v>7.6248517810092737</v>
      </c>
      <c r="W46" s="11">
        <v>6.6946553065972703</v>
      </c>
      <c r="X46" s="11">
        <v>5.5436804697718172</v>
      </c>
      <c r="Y46" s="11">
        <v>5.4839602237962719</v>
      </c>
      <c r="Z46" s="11">
        <v>5.4288286508223056</v>
      </c>
      <c r="AA46" s="11">
        <v>5.3860601064470108</v>
      </c>
      <c r="AB46" s="11">
        <v>5.3429118918296057</v>
      </c>
      <c r="AC46" s="11">
        <v>5.294009306292601</v>
      </c>
      <c r="AD46" s="11">
        <v>5.245095311348809</v>
      </c>
      <c r="AE46" s="11">
        <v>5.1967438172778406</v>
      </c>
      <c r="AF46" s="11">
        <v>5.1480800652356811</v>
      </c>
      <c r="AG46" s="11">
        <v>5.1020284560399292</v>
      </c>
      <c r="AH46" s="11">
        <v>5.0574032665160624</v>
      </c>
      <c r="AI46" s="11">
        <v>5.0116082737490437</v>
      </c>
      <c r="AJ46" s="11">
        <v>4.9665949487679653</v>
      </c>
      <c r="AK46" s="11">
        <v>4.9247465042556575</v>
      </c>
      <c r="AL46" s="11">
        <v>4.88114497890591</v>
      </c>
      <c r="AM46" s="11"/>
      <c r="AN46" s="11"/>
      <c r="AO46" s="11"/>
      <c r="AP46" s="11"/>
      <c r="AQ46" s="11"/>
      <c r="AR46" s="11"/>
      <c r="AS46" s="11"/>
      <c r="AT46" s="11"/>
      <c r="AU46" s="11"/>
      <c r="AV46" s="11"/>
      <c r="AW46" s="11"/>
      <c r="AX46" s="11"/>
      <c r="AY46" s="11"/>
      <c r="AZ46" s="11"/>
      <c r="BA46" s="11"/>
      <c r="BB46" s="11"/>
    </row>
    <row r="47" spans="12:64" x14ac:dyDescent="0.2">
      <c r="L47" s="232" t="str">
        <f>'Occ T3'!A49</f>
        <v>92 Elementary administration and service occupations</v>
      </c>
      <c r="M47" s="11">
        <v>50.509025781307621</v>
      </c>
      <c r="N47" s="11">
        <v>49.144298887736142</v>
      </c>
      <c r="O47" s="11">
        <v>46.840704040931605</v>
      </c>
      <c r="P47" s="11">
        <v>47.800774184270665</v>
      </c>
      <c r="Q47" s="11">
        <v>48.225005130967233</v>
      </c>
      <c r="R47" s="11">
        <v>51.673327938642913</v>
      </c>
      <c r="S47" s="11">
        <v>49.973916389884252</v>
      </c>
      <c r="T47" s="11">
        <v>52.905343870153267</v>
      </c>
      <c r="U47" s="11">
        <v>49.304500584231803</v>
      </c>
      <c r="V47" s="11">
        <v>48.780495954401637</v>
      </c>
      <c r="W47" s="11">
        <v>46.103296758951288</v>
      </c>
      <c r="X47" s="11">
        <v>47.369039436153265</v>
      </c>
      <c r="Y47" s="11">
        <v>46.741703293281915</v>
      </c>
      <c r="Z47" s="11">
        <v>46.374200521988456</v>
      </c>
      <c r="AA47" s="11">
        <v>46.157983117248499</v>
      </c>
      <c r="AB47" s="11">
        <v>45.977517729254544</v>
      </c>
      <c r="AC47" s="11">
        <v>45.827255566977207</v>
      </c>
      <c r="AD47" s="11">
        <v>45.672562386543511</v>
      </c>
      <c r="AE47" s="11">
        <v>45.56136422274448</v>
      </c>
      <c r="AF47" s="11">
        <v>45.452647325542536</v>
      </c>
      <c r="AG47" s="11">
        <v>45.349883529668524</v>
      </c>
      <c r="AH47" s="11">
        <v>45.240817923544853</v>
      </c>
      <c r="AI47" s="11">
        <v>45.163918184274614</v>
      </c>
      <c r="AJ47" s="11">
        <v>45.072568508984432</v>
      </c>
      <c r="AK47" s="11">
        <v>44.962954227212855</v>
      </c>
      <c r="AL47" s="11">
        <v>44.843080771914373</v>
      </c>
      <c r="AM47" s="11"/>
      <c r="AN47" s="11"/>
      <c r="AO47" s="11"/>
      <c r="AP47" s="11"/>
      <c r="AQ47" s="11"/>
      <c r="AR47" s="11"/>
      <c r="AS47" s="11"/>
      <c r="AT47" s="11"/>
      <c r="AU47" s="11"/>
      <c r="AV47" s="11"/>
      <c r="AW47" s="11"/>
      <c r="AX47" s="11"/>
      <c r="AY47" s="11"/>
      <c r="AZ47" s="11"/>
      <c r="BA47" s="11"/>
      <c r="BB47" s="11"/>
    </row>
    <row r="48" spans="12:64" x14ac:dyDescent="0.2">
      <c r="L48" s="232"/>
      <c r="M48" s="11"/>
      <c r="N48" s="11"/>
      <c r="O48" s="11"/>
      <c r="P48" s="11"/>
      <c r="Q48" s="11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87"/>
      <c r="AF48" s="87"/>
      <c r="AG48" s="87"/>
      <c r="AH48" s="11"/>
      <c r="AI48" s="11"/>
      <c r="AJ48" s="11"/>
      <c r="AK48" s="11"/>
      <c r="AL48" s="11"/>
      <c r="AM48" s="11"/>
      <c r="AN48" s="11"/>
      <c r="AO48" s="11"/>
      <c r="AP48" s="11"/>
      <c r="AQ48" s="11"/>
      <c r="AR48" s="11"/>
      <c r="AS48" s="11"/>
      <c r="AT48" s="11"/>
      <c r="AU48" s="11"/>
      <c r="AV48" s="11"/>
      <c r="AW48" s="11"/>
      <c r="AX48" s="11"/>
      <c r="AY48" s="11"/>
      <c r="AZ48" s="11"/>
      <c r="BA48" s="11"/>
      <c r="BB48" s="11"/>
    </row>
    <row r="49" spans="1:50" x14ac:dyDescent="0.2">
      <c r="L49" s="17" t="str">
        <f>'Occ T3'!A51</f>
        <v>All occupations</v>
      </c>
      <c r="M49" s="87">
        <f t="shared" ref="M49:AD49" si="70">SUM(M5,M9,M15,M22,M26,M32,M37,M41,M45)</f>
        <v>466.27600000000007</v>
      </c>
      <c r="N49" s="87">
        <f t="shared" si="70"/>
        <v>465.64100000000025</v>
      </c>
      <c r="O49" s="87">
        <f t="shared" si="70"/>
        <v>453.79500000000002</v>
      </c>
      <c r="P49" s="87">
        <f t="shared" si="70"/>
        <v>462.21599999999972</v>
      </c>
      <c r="Q49" s="87">
        <f t="shared" si="70"/>
        <v>475.66799999999972</v>
      </c>
      <c r="R49" s="87">
        <f t="shared" si="70"/>
        <v>489.71100000000007</v>
      </c>
      <c r="S49" s="87">
        <f t="shared" si="70"/>
        <v>465.29499999999985</v>
      </c>
      <c r="T49" s="87">
        <f t="shared" si="70"/>
        <v>476.60800000000023</v>
      </c>
      <c r="U49" s="87">
        <f t="shared" si="70"/>
        <v>485.81200000000007</v>
      </c>
      <c r="V49" s="87">
        <f t="shared" si="70"/>
        <v>483.57499999999982</v>
      </c>
      <c r="W49" s="87">
        <f t="shared" si="70"/>
        <v>478.9260000000001</v>
      </c>
      <c r="X49" s="87">
        <f t="shared" si="70"/>
        <v>478.94400000000007</v>
      </c>
      <c r="Y49" s="87">
        <f t="shared" si="70"/>
        <v>478.74300000000017</v>
      </c>
      <c r="Z49" s="87">
        <f t="shared" si="70"/>
        <v>479.69600000000014</v>
      </c>
      <c r="AA49" s="87">
        <f t="shared" si="70"/>
        <v>481.33799999999968</v>
      </c>
      <c r="AB49" s="87">
        <f t="shared" si="70"/>
        <v>482.75099999999975</v>
      </c>
      <c r="AC49" s="87">
        <f t="shared" si="70"/>
        <v>483.77100000000007</v>
      </c>
      <c r="AD49" s="87">
        <f t="shared" si="70"/>
        <v>484.64</v>
      </c>
      <c r="AE49" s="87">
        <f t="shared" ref="AE49:AL49" si="71">SUM(AE5,AE9,AE15,AE22,AE26,AE32,AE37,AE41,AE45)</f>
        <v>485.52600000000001</v>
      </c>
      <c r="AF49" s="87">
        <f t="shared" si="71"/>
        <v>486.41699999999997</v>
      </c>
      <c r="AG49" s="87">
        <f t="shared" si="71"/>
        <v>487.49200000000019</v>
      </c>
      <c r="AH49" s="87">
        <f t="shared" si="71"/>
        <v>488.52199999999999</v>
      </c>
      <c r="AI49" s="87">
        <f t="shared" si="71"/>
        <v>489.55799999999988</v>
      </c>
      <c r="AJ49" s="87">
        <f t="shared" si="71"/>
        <v>490.64299999999997</v>
      </c>
      <c r="AK49" s="87">
        <f t="shared" si="71"/>
        <v>491.71300000000019</v>
      </c>
      <c r="AL49" s="87">
        <f t="shared" si="71"/>
        <v>492.77799999999985</v>
      </c>
      <c r="AM49" s="11"/>
      <c r="AN49" s="11"/>
      <c r="AO49" s="11"/>
      <c r="AP49" s="11"/>
      <c r="AQ49" s="11"/>
      <c r="AR49" s="11"/>
      <c r="AS49" s="11"/>
      <c r="AT49" s="11"/>
      <c r="AU49" s="11"/>
      <c r="AV49" s="11"/>
      <c r="AW49" s="11"/>
      <c r="AX49" s="11"/>
    </row>
    <row r="50" spans="1:50" x14ac:dyDescent="0.2">
      <c r="L50" s="232"/>
      <c r="M50" s="11"/>
      <c r="N50" s="11"/>
      <c r="O50" s="11"/>
      <c r="P50" s="11"/>
      <c r="Q50" s="11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</row>
    <row r="51" spans="1:50" x14ac:dyDescent="0.2">
      <c r="L51" s="1" t="s">
        <v>67</v>
      </c>
      <c r="M51" s="48">
        <f>M4</f>
        <v>2010</v>
      </c>
      <c r="N51" s="48">
        <f t="shared" ref="N51:AL51" si="72">N4</f>
        <v>2011</v>
      </c>
      <c r="O51" s="48">
        <f t="shared" si="72"/>
        <v>2012</v>
      </c>
      <c r="P51" s="48">
        <f t="shared" si="72"/>
        <v>2013</v>
      </c>
      <c r="Q51" s="48">
        <f t="shared" si="72"/>
        <v>2014</v>
      </c>
      <c r="R51" s="48">
        <f t="shared" si="72"/>
        <v>2015</v>
      </c>
      <c r="S51" s="48">
        <f t="shared" si="72"/>
        <v>2016</v>
      </c>
      <c r="T51" s="48">
        <f t="shared" si="72"/>
        <v>2017</v>
      </c>
      <c r="U51" s="48">
        <f t="shared" si="72"/>
        <v>2018</v>
      </c>
      <c r="V51" s="48">
        <f t="shared" si="72"/>
        <v>2019</v>
      </c>
      <c r="W51" s="48">
        <f t="shared" si="72"/>
        <v>2020</v>
      </c>
      <c r="X51" s="48">
        <f t="shared" si="72"/>
        <v>2021</v>
      </c>
      <c r="Y51" s="48">
        <f t="shared" si="72"/>
        <v>2022</v>
      </c>
      <c r="Z51" s="48">
        <f t="shared" si="72"/>
        <v>2023</v>
      </c>
      <c r="AA51" s="48">
        <f t="shared" si="72"/>
        <v>2024</v>
      </c>
      <c r="AB51" s="48">
        <f t="shared" si="72"/>
        <v>2025</v>
      </c>
      <c r="AC51" s="48">
        <f t="shared" si="72"/>
        <v>2026</v>
      </c>
      <c r="AD51" s="48">
        <f t="shared" si="72"/>
        <v>2027</v>
      </c>
      <c r="AE51" s="48">
        <f t="shared" si="72"/>
        <v>2028</v>
      </c>
      <c r="AF51" s="48">
        <f t="shared" si="72"/>
        <v>2029</v>
      </c>
      <c r="AG51" s="48">
        <f t="shared" si="72"/>
        <v>2030</v>
      </c>
      <c r="AH51" s="48">
        <f t="shared" si="72"/>
        <v>2031</v>
      </c>
      <c r="AI51" s="48">
        <f t="shared" si="72"/>
        <v>2032</v>
      </c>
      <c r="AJ51" s="48">
        <f t="shared" si="72"/>
        <v>2033</v>
      </c>
      <c r="AK51" s="48">
        <f t="shared" si="72"/>
        <v>2034</v>
      </c>
      <c r="AL51" s="48">
        <f t="shared" si="72"/>
        <v>2035</v>
      </c>
      <c r="AM51" s="11"/>
      <c r="AN51" s="11"/>
      <c r="AO51" s="11"/>
      <c r="AP51" s="11"/>
      <c r="AQ51" s="11"/>
      <c r="AR51" s="11"/>
      <c r="AS51" s="11"/>
      <c r="AT51" s="11"/>
      <c r="AU51" s="11"/>
      <c r="AV51" s="11"/>
      <c r="AW51" s="11"/>
      <c r="AX51" s="11"/>
    </row>
    <row r="52" spans="1:50" x14ac:dyDescent="0.2">
      <c r="L52" s="17" t="str">
        <f>'Occ T3'!A7</f>
        <v>Managers, directors and senior officials</v>
      </c>
      <c r="M52" s="337">
        <f t="shared" ref="M52:AD52" si="73">M5/M$49</f>
        <v>6.4689934707320734E-2</v>
      </c>
      <c r="N52" s="337">
        <f t="shared" si="73"/>
        <v>7.0709133600496771E-2</v>
      </c>
      <c r="O52" s="337">
        <f t="shared" si="73"/>
        <v>7.2165738292083739E-2</v>
      </c>
      <c r="P52" s="337">
        <f t="shared" si="73"/>
        <v>7.4831469961738867E-2</v>
      </c>
      <c r="Q52" s="337">
        <f t="shared" si="73"/>
        <v>7.0958411723899176E-2</v>
      </c>
      <c r="R52" s="337">
        <f t="shared" si="73"/>
        <v>7.3525417975637108E-2</v>
      </c>
      <c r="S52" s="337">
        <f t="shared" si="73"/>
        <v>7.0556265212215988E-2</v>
      </c>
      <c r="T52" s="337">
        <f t="shared" si="73"/>
        <v>7.2833691226201605E-2</v>
      </c>
      <c r="U52" s="337">
        <f t="shared" si="73"/>
        <v>7.5485328661962087E-2</v>
      </c>
      <c r="V52" s="337">
        <f t="shared" si="73"/>
        <v>8.2650403085965218E-2</v>
      </c>
      <c r="W52" s="337">
        <f t="shared" si="73"/>
        <v>8.4031935465523108E-2</v>
      </c>
      <c r="X52" s="337">
        <f t="shared" si="73"/>
        <v>8.1886216455214572E-2</v>
      </c>
      <c r="Y52" s="337">
        <f t="shared" si="73"/>
        <v>8.2428308101187495E-2</v>
      </c>
      <c r="Z52" s="337">
        <f t="shared" si="73"/>
        <v>8.3129516825396627E-2</v>
      </c>
      <c r="AA52" s="337">
        <f t="shared" si="73"/>
        <v>8.388485402512437E-2</v>
      </c>
      <c r="AB52" s="337">
        <f t="shared" si="73"/>
        <v>8.4645129028254953E-2</v>
      </c>
      <c r="AC52" s="337">
        <f t="shared" si="73"/>
        <v>8.5407078912816542E-2</v>
      </c>
      <c r="AD52" s="337">
        <f t="shared" si="73"/>
        <v>8.623165882899847E-2</v>
      </c>
      <c r="AE52" s="337">
        <f t="shared" ref="AE52:AL52" si="74">AE5/AE$49</f>
        <v>8.7078100433686051E-2</v>
      </c>
      <c r="AF52" s="337">
        <f t="shared" si="74"/>
        <v>8.7906669113566385E-2</v>
      </c>
      <c r="AG52" s="337">
        <f t="shared" si="74"/>
        <v>8.8737277080078794E-2</v>
      </c>
      <c r="AH52" s="337">
        <f t="shared" si="74"/>
        <v>8.9663589843113192E-2</v>
      </c>
      <c r="AI52" s="337">
        <f t="shared" si="74"/>
        <v>9.0691059729059068E-2</v>
      </c>
      <c r="AJ52" s="337">
        <f t="shared" si="74"/>
        <v>9.1530682299206037E-2</v>
      </c>
      <c r="AK52" s="337">
        <f t="shared" si="74"/>
        <v>9.2319321591516734E-2</v>
      </c>
      <c r="AL52" s="337">
        <f t="shared" si="74"/>
        <v>9.2717487014265826E-2</v>
      </c>
      <c r="AM52" s="11"/>
      <c r="AN52" s="11"/>
      <c r="AO52" s="11"/>
      <c r="AP52" s="11"/>
      <c r="AQ52" s="11"/>
      <c r="AR52" s="11"/>
      <c r="AS52" s="11"/>
      <c r="AT52" s="11"/>
      <c r="AU52" s="11"/>
      <c r="AV52" s="11"/>
      <c r="AW52" s="11"/>
      <c r="AX52" s="11"/>
    </row>
    <row r="53" spans="1:50" x14ac:dyDescent="0.2">
      <c r="L53" s="232" t="str">
        <f>'Occ T3'!A8</f>
        <v>11 Corporate managers and directors</v>
      </c>
      <c r="M53" s="336">
        <f t="shared" ref="M53:AD53" si="75">M6/M$49</f>
        <v>4.0885358768660902E-2</v>
      </c>
      <c r="N53" s="336">
        <f t="shared" si="75"/>
        <v>4.4011154716266591E-2</v>
      </c>
      <c r="O53" s="336">
        <f t="shared" si="75"/>
        <v>4.4818914837131414E-2</v>
      </c>
      <c r="P53" s="336">
        <f t="shared" si="75"/>
        <v>4.6457706231144404E-2</v>
      </c>
      <c r="Q53" s="336">
        <f t="shared" si="75"/>
        <v>4.3110428743288007E-2</v>
      </c>
      <c r="R53" s="336">
        <f t="shared" si="75"/>
        <v>4.4378717505458236E-2</v>
      </c>
      <c r="S53" s="336">
        <f t="shared" si="75"/>
        <v>4.6157827218698974E-2</v>
      </c>
      <c r="T53" s="336">
        <f t="shared" si="75"/>
        <v>4.7135564023495689E-2</v>
      </c>
      <c r="U53" s="336">
        <f t="shared" si="75"/>
        <v>4.9368511066468432E-2</v>
      </c>
      <c r="V53" s="336">
        <f t="shared" si="75"/>
        <v>5.1043993002812843E-2</v>
      </c>
      <c r="W53" s="336">
        <f t="shared" si="75"/>
        <v>5.3061546133003928E-2</v>
      </c>
      <c r="X53" s="336">
        <f t="shared" si="75"/>
        <v>4.7041267862031173E-2</v>
      </c>
      <c r="Y53" s="336">
        <f t="shared" si="75"/>
        <v>4.7232824499747382E-2</v>
      </c>
      <c r="Z53" s="336">
        <f t="shared" si="75"/>
        <v>4.7495038530216339E-2</v>
      </c>
      <c r="AA53" s="336">
        <f t="shared" si="75"/>
        <v>4.7761456124250597E-2</v>
      </c>
      <c r="AB53" s="336">
        <f t="shared" si="75"/>
        <v>4.8028248573969118E-2</v>
      </c>
      <c r="AC53" s="336">
        <f t="shared" si="75"/>
        <v>4.8309783786503774E-2</v>
      </c>
      <c r="AD53" s="336">
        <f t="shared" si="75"/>
        <v>4.8619464123032474E-2</v>
      </c>
      <c r="AE53" s="336">
        <f t="shared" ref="AE53:AL53" si="76">AE6/AE$49</f>
        <v>4.8940723811018071E-2</v>
      </c>
      <c r="AF53" s="336">
        <f t="shared" si="76"/>
        <v>4.9249706146411124E-2</v>
      </c>
      <c r="AG53" s="336">
        <f t="shared" si="76"/>
        <v>4.956136669543483E-2</v>
      </c>
      <c r="AH53" s="336">
        <f t="shared" si="76"/>
        <v>4.9906951362892561E-2</v>
      </c>
      <c r="AI53" s="336">
        <f t="shared" si="76"/>
        <v>5.0287501644243011E-2</v>
      </c>
      <c r="AJ53" s="336">
        <f t="shared" si="76"/>
        <v>5.060429928070119E-2</v>
      </c>
      <c r="AK53" s="336">
        <f t="shared" si="76"/>
        <v>5.0931086750195198E-2</v>
      </c>
      <c r="AL53" s="336">
        <f t="shared" si="76"/>
        <v>5.120676954940967E-2</v>
      </c>
      <c r="AM53" s="11"/>
      <c r="AN53" s="11"/>
      <c r="AO53" s="11"/>
      <c r="AP53" s="11"/>
      <c r="AQ53" s="11"/>
      <c r="AR53" s="11"/>
      <c r="AS53" s="11"/>
      <c r="AT53" s="11"/>
      <c r="AU53" s="11"/>
      <c r="AV53" s="11"/>
      <c r="AW53" s="11"/>
      <c r="AX53" s="11"/>
    </row>
    <row r="54" spans="1:50" x14ac:dyDescent="0.2">
      <c r="L54" s="232" t="str">
        <f>'Occ T3'!A9</f>
        <v>12 Other managers and proprietors</v>
      </c>
      <c r="M54" s="336">
        <f t="shared" ref="M54:AD54" si="77">M7/M$49</f>
        <v>2.3804575938659825E-2</v>
      </c>
      <c r="N54" s="336">
        <f t="shared" si="77"/>
        <v>2.6697978884230169E-2</v>
      </c>
      <c r="O54" s="336">
        <f t="shared" si="77"/>
        <v>2.7346823454952325E-2</v>
      </c>
      <c r="P54" s="336">
        <f t="shared" si="77"/>
        <v>2.837376373059447E-2</v>
      </c>
      <c r="Q54" s="336">
        <f t="shared" si="77"/>
        <v>2.7847982980611162E-2</v>
      </c>
      <c r="R54" s="336">
        <f t="shared" si="77"/>
        <v>2.9146700470178883E-2</v>
      </c>
      <c r="S54" s="336">
        <f t="shared" si="77"/>
        <v>2.4398437993517017E-2</v>
      </c>
      <c r="T54" s="336">
        <f t="shared" si="77"/>
        <v>2.5698127202705916E-2</v>
      </c>
      <c r="U54" s="336">
        <f t="shared" si="77"/>
        <v>2.6116817595493648E-2</v>
      </c>
      <c r="V54" s="336">
        <f t="shared" si="77"/>
        <v>3.1606410083152375E-2</v>
      </c>
      <c r="W54" s="336">
        <f t="shared" si="77"/>
        <v>3.0970389332519187E-2</v>
      </c>
      <c r="X54" s="336">
        <f t="shared" si="77"/>
        <v>3.4844948593183399E-2</v>
      </c>
      <c r="Y54" s="336">
        <f t="shared" si="77"/>
        <v>3.5195483601440099E-2</v>
      </c>
      <c r="Z54" s="336">
        <f t="shared" si="77"/>
        <v>3.5634478295180287E-2</v>
      </c>
      <c r="AA54" s="336">
        <f t="shared" si="77"/>
        <v>3.6123397900873766E-2</v>
      </c>
      <c r="AB54" s="336">
        <f t="shared" si="77"/>
        <v>3.6616880454285843E-2</v>
      </c>
      <c r="AC54" s="336">
        <f t="shared" si="77"/>
        <v>3.7097295126312768E-2</v>
      </c>
      <c r="AD54" s="336">
        <f t="shared" si="77"/>
        <v>3.7612194705965982E-2</v>
      </c>
      <c r="AE54" s="336">
        <f t="shared" ref="AE54:AL54" si="78">AE7/AE$49</f>
        <v>3.813737662266798E-2</v>
      </c>
      <c r="AF54" s="336">
        <f t="shared" si="78"/>
        <v>3.8656962967155269E-2</v>
      </c>
      <c r="AG54" s="336">
        <f t="shared" si="78"/>
        <v>3.9175910384643957E-2</v>
      </c>
      <c r="AH54" s="336">
        <f t="shared" si="78"/>
        <v>3.9756638480220624E-2</v>
      </c>
      <c r="AI54" s="336">
        <f t="shared" si="78"/>
        <v>4.0403558084816042E-2</v>
      </c>
      <c r="AJ54" s="336">
        <f t="shared" si="78"/>
        <v>4.0926383018504854E-2</v>
      </c>
      <c r="AK54" s="336">
        <f t="shared" si="78"/>
        <v>4.1388234841321543E-2</v>
      </c>
      <c r="AL54" s="336">
        <f t="shared" si="78"/>
        <v>4.1510717464856156E-2</v>
      </c>
      <c r="AM54" s="11"/>
      <c r="AN54" s="11"/>
      <c r="AO54" s="11"/>
      <c r="AP54" s="11"/>
      <c r="AQ54" s="11"/>
      <c r="AR54" s="11"/>
      <c r="AS54" s="11"/>
      <c r="AT54" s="11"/>
      <c r="AU54" s="11"/>
      <c r="AV54" s="11"/>
      <c r="AW54" s="11"/>
      <c r="AX54" s="11"/>
    </row>
    <row r="55" spans="1:50" x14ac:dyDescent="0.2">
      <c r="L55" s="232"/>
      <c r="M55" s="336"/>
      <c r="N55" s="336"/>
      <c r="O55" s="336"/>
      <c r="P55" s="336"/>
      <c r="Q55" s="336"/>
      <c r="R55" s="336"/>
      <c r="S55" s="336"/>
      <c r="T55" s="336"/>
      <c r="U55" s="336"/>
      <c r="V55" s="336"/>
      <c r="W55" s="336"/>
      <c r="X55" s="336"/>
      <c r="Y55" s="336"/>
      <c r="Z55" s="336"/>
      <c r="AA55" s="336"/>
      <c r="AB55" s="336"/>
      <c r="AC55" s="336"/>
      <c r="AD55" s="336"/>
      <c r="AE55" s="336"/>
      <c r="AF55" s="336"/>
      <c r="AG55" s="336"/>
      <c r="AH55" s="336"/>
      <c r="AI55" s="336"/>
      <c r="AJ55" s="336"/>
      <c r="AK55" s="336"/>
      <c r="AL55" s="336"/>
    </row>
    <row r="56" spans="1:50" x14ac:dyDescent="0.2">
      <c r="L56" s="17" t="str">
        <f>'Occ T3'!A11</f>
        <v>Professional occupations</v>
      </c>
      <c r="M56" s="337">
        <f t="shared" ref="M56:AD56" si="79">M9/M$49</f>
        <v>0.18194858548932119</v>
      </c>
      <c r="N56" s="337">
        <f t="shared" si="79"/>
        <v>0.1791682781802037</v>
      </c>
      <c r="O56" s="337">
        <f t="shared" si="79"/>
        <v>0.18750330597904311</v>
      </c>
      <c r="P56" s="337">
        <f t="shared" si="79"/>
        <v>0.18072500082048343</v>
      </c>
      <c r="Q56" s="337">
        <f t="shared" si="79"/>
        <v>0.18328998376551925</v>
      </c>
      <c r="R56" s="337">
        <f t="shared" si="79"/>
        <v>0.18403768066333126</v>
      </c>
      <c r="S56" s="337">
        <f t="shared" si="79"/>
        <v>0.18513888757817099</v>
      </c>
      <c r="T56" s="337">
        <f t="shared" si="79"/>
        <v>0.18289402875855176</v>
      </c>
      <c r="U56" s="337">
        <f t="shared" si="79"/>
        <v>0.18770257848190397</v>
      </c>
      <c r="V56" s="337">
        <f t="shared" si="79"/>
        <v>0.19206680565881185</v>
      </c>
      <c r="W56" s="337">
        <f t="shared" si="79"/>
        <v>0.20685352425731993</v>
      </c>
      <c r="X56" s="337">
        <f t="shared" si="79"/>
        <v>0.21242586989590487</v>
      </c>
      <c r="Y56" s="337">
        <f t="shared" si="79"/>
        <v>0.21502965574474239</v>
      </c>
      <c r="Z56" s="337">
        <f t="shared" si="79"/>
        <v>0.21710205834197355</v>
      </c>
      <c r="AA56" s="337">
        <f t="shared" si="79"/>
        <v>0.21897190134098676</v>
      </c>
      <c r="AB56" s="337">
        <f t="shared" si="79"/>
        <v>0.22060337884122136</v>
      </c>
      <c r="AC56" s="337">
        <f t="shared" si="79"/>
        <v>0.22222001604801622</v>
      </c>
      <c r="AD56" s="337">
        <f t="shared" si="79"/>
        <v>0.22386830813593211</v>
      </c>
      <c r="AE56" s="337">
        <f t="shared" ref="AE56:AL56" si="80">AE9/AE$49</f>
        <v>0.22549738324771607</v>
      </c>
      <c r="AF56" s="337">
        <f t="shared" si="80"/>
        <v>0.22710489242616599</v>
      </c>
      <c r="AG56" s="337">
        <f t="shared" si="80"/>
        <v>0.22874063664555327</v>
      </c>
      <c r="AH56" s="337">
        <f t="shared" si="80"/>
        <v>0.23047021481675323</v>
      </c>
      <c r="AI56" s="337">
        <f t="shared" si="80"/>
        <v>0.23216566347102782</v>
      </c>
      <c r="AJ56" s="337">
        <f t="shared" si="80"/>
        <v>0.23382621463255521</v>
      </c>
      <c r="AK56" s="337">
        <f t="shared" si="80"/>
        <v>0.23548361994772618</v>
      </c>
      <c r="AL56" s="337">
        <f t="shared" si="80"/>
        <v>0.23703148503525079</v>
      </c>
      <c r="AM56" s="11"/>
      <c r="AN56" s="11"/>
      <c r="AO56" s="11"/>
      <c r="AP56" s="11"/>
      <c r="AQ56" s="11"/>
      <c r="AR56" s="11"/>
      <c r="AS56" s="11"/>
      <c r="AT56" s="11"/>
      <c r="AU56" s="11"/>
      <c r="AV56" s="11"/>
      <c r="AW56" s="11"/>
      <c r="AX56" s="11"/>
    </row>
    <row r="57" spans="1:50" x14ac:dyDescent="0.2">
      <c r="L57" s="232" t="str">
        <f>'Occ T3'!A12</f>
        <v>21 Science, research, engineering and technology professionals</v>
      </c>
      <c r="M57" s="336">
        <f t="shared" ref="M57:AD57" si="81">M10/M$49</f>
        <v>4.431097076859359E-2</v>
      </c>
      <c r="N57" s="336">
        <f t="shared" si="81"/>
        <v>4.294123260648517E-2</v>
      </c>
      <c r="O57" s="336">
        <f t="shared" si="81"/>
        <v>4.4057491979276137E-2</v>
      </c>
      <c r="P57" s="336">
        <f t="shared" si="81"/>
        <v>4.2628187984085381E-2</v>
      </c>
      <c r="Q57" s="336">
        <f t="shared" si="81"/>
        <v>4.2410526080211404E-2</v>
      </c>
      <c r="R57" s="336">
        <f t="shared" si="81"/>
        <v>4.3752379361195033E-2</v>
      </c>
      <c r="S57" s="336">
        <f t="shared" si="81"/>
        <v>4.4091806701950197E-2</v>
      </c>
      <c r="T57" s="336">
        <f t="shared" si="81"/>
        <v>4.3567604610498398E-2</v>
      </c>
      <c r="U57" s="336">
        <f t="shared" si="81"/>
        <v>4.6540523112757082E-2</v>
      </c>
      <c r="V57" s="336">
        <f t="shared" si="81"/>
        <v>4.6271385823668659E-2</v>
      </c>
      <c r="W57" s="336">
        <f t="shared" si="81"/>
        <v>4.9004729496733145E-2</v>
      </c>
      <c r="X57" s="336">
        <f t="shared" si="81"/>
        <v>4.9130266612099176E-2</v>
      </c>
      <c r="Y57" s="336">
        <f t="shared" si="81"/>
        <v>4.9405076054474278E-2</v>
      </c>
      <c r="Z57" s="336">
        <f t="shared" si="81"/>
        <v>4.9727860130065922E-2</v>
      </c>
      <c r="AA57" s="336">
        <f t="shared" si="81"/>
        <v>5.0066868165953765E-2</v>
      </c>
      <c r="AB57" s="336">
        <f t="shared" si="81"/>
        <v>5.036632503469278E-2</v>
      </c>
      <c r="AC57" s="336">
        <f t="shared" si="81"/>
        <v>5.0665371275202625E-2</v>
      </c>
      <c r="AD57" s="336">
        <f t="shared" si="81"/>
        <v>5.0987257840669216E-2</v>
      </c>
      <c r="AE57" s="336">
        <f t="shared" ref="AE57:AL57" si="82">AE10/AE$49</f>
        <v>5.132244579597043E-2</v>
      </c>
      <c r="AF57" s="336">
        <f t="shared" si="82"/>
        <v>5.1649285761665123E-2</v>
      </c>
      <c r="AG57" s="336">
        <f t="shared" si="82"/>
        <v>5.1989748246394185E-2</v>
      </c>
      <c r="AH57" s="336">
        <f t="shared" si="82"/>
        <v>5.23334594441561E-2</v>
      </c>
      <c r="AI57" s="336">
        <f t="shared" si="82"/>
        <v>5.2680230542083574E-2</v>
      </c>
      <c r="AJ57" s="336">
        <f t="shared" si="82"/>
        <v>5.3018378000618385E-2</v>
      </c>
      <c r="AK57" s="336">
        <f t="shared" si="82"/>
        <v>5.3376175982148541E-2</v>
      </c>
      <c r="AL57" s="336">
        <f t="shared" si="82"/>
        <v>5.3725647525638069E-2</v>
      </c>
      <c r="AM57" s="11"/>
      <c r="AN57" s="11"/>
      <c r="AO57" s="11"/>
      <c r="AP57" s="11"/>
      <c r="AQ57" s="11"/>
      <c r="AR57" s="11"/>
      <c r="AS57" s="11"/>
      <c r="AT57" s="11"/>
      <c r="AU57" s="11"/>
      <c r="AV57" s="11"/>
      <c r="AW57" s="11"/>
      <c r="AX57" s="11"/>
    </row>
    <row r="58" spans="1:50" ht="15.75" x14ac:dyDescent="0.25">
      <c r="A58" s="80" t="str">
        <f>CONCATENATE("Occupation Figure 2.1  Employment by Occupation (% shares), ",$M$2,"-",$O$2,", ",Info!B5)</f>
        <v>Occupation Figure 2.1  Employment by Occupation (% shares), 2010-2035, North East</v>
      </c>
      <c r="L58" s="232" t="str">
        <f>'Occ T3'!A13</f>
        <v>22 Health professionals</v>
      </c>
      <c r="M58" s="336">
        <f t="shared" ref="M58:AD58" si="83">M11/M$49</f>
        <v>4.9336010314472406E-2</v>
      </c>
      <c r="N58" s="336">
        <f t="shared" si="83"/>
        <v>4.9313519808897865E-2</v>
      </c>
      <c r="O58" s="336">
        <f t="shared" si="83"/>
        <v>5.2939725075801712E-2</v>
      </c>
      <c r="P58" s="336">
        <f t="shared" si="83"/>
        <v>5.3822957697816046E-2</v>
      </c>
      <c r="Q58" s="336">
        <f t="shared" si="83"/>
        <v>5.8054846269120247E-2</v>
      </c>
      <c r="R58" s="336">
        <f t="shared" si="83"/>
        <v>5.6303998384942454E-2</v>
      </c>
      <c r="S58" s="336">
        <f t="shared" si="83"/>
        <v>5.6312738005523284E-2</v>
      </c>
      <c r="T58" s="336">
        <f t="shared" si="83"/>
        <v>5.7640878405551155E-2</v>
      </c>
      <c r="U58" s="336">
        <f t="shared" si="83"/>
        <v>5.6426027990118775E-2</v>
      </c>
      <c r="V58" s="336">
        <f t="shared" si="83"/>
        <v>5.7582267612483307E-2</v>
      </c>
      <c r="W58" s="336">
        <f t="shared" si="83"/>
        <v>6.0610140111115478E-2</v>
      </c>
      <c r="X58" s="336">
        <f t="shared" si="83"/>
        <v>6.2565723169287907E-2</v>
      </c>
      <c r="Y58" s="336">
        <f t="shared" si="83"/>
        <v>6.3390866063431792E-2</v>
      </c>
      <c r="Z58" s="336">
        <f t="shared" si="83"/>
        <v>6.4103850884974847E-2</v>
      </c>
      <c r="AA58" s="336">
        <f t="shared" si="83"/>
        <v>6.4684577036013435E-2</v>
      </c>
      <c r="AB58" s="336">
        <f t="shared" si="83"/>
        <v>6.5217944665673669E-2</v>
      </c>
      <c r="AC58" s="336">
        <f t="shared" si="83"/>
        <v>6.5743667687653051E-2</v>
      </c>
      <c r="AD58" s="336">
        <f t="shared" si="83"/>
        <v>6.6230702081856316E-2</v>
      </c>
      <c r="AE58" s="336">
        <f t="shared" ref="AE58:AL58" si="84">AE11/AE$49</f>
        <v>6.6650644419344512E-2</v>
      </c>
      <c r="AF58" s="336">
        <f t="shared" si="84"/>
        <v>6.706787324942913E-2</v>
      </c>
      <c r="AG58" s="336">
        <f t="shared" si="84"/>
        <v>6.7485442874227405E-2</v>
      </c>
      <c r="AH58" s="336">
        <f t="shared" si="84"/>
        <v>6.7952704439112971E-2</v>
      </c>
      <c r="AI58" s="336">
        <f t="shared" si="84"/>
        <v>6.8419434142448096E-2</v>
      </c>
      <c r="AJ58" s="336">
        <f t="shared" si="84"/>
        <v>6.8879013386045934E-2</v>
      </c>
      <c r="AK58" s="336">
        <f t="shared" si="84"/>
        <v>6.9308986051014473E-2</v>
      </c>
      <c r="AL58" s="336">
        <f t="shared" si="84"/>
        <v>6.965802553177966E-2</v>
      </c>
      <c r="AM58" s="11"/>
      <c r="AN58" s="11"/>
      <c r="AO58" s="11"/>
      <c r="AP58" s="11"/>
      <c r="AQ58" s="11"/>
      <c r="AR58" s="11"/>
      <c r="AS58" s="11"/>
      <c r="AT58" s="11"/>
      <c r="AU58" s="11"/>
      <c r="AV58" s="11"/>
      <c r="AW58" s="11"/>
      <c r="AX58" s="11"/>
    </row>
    <row r="59" spans="1:50" x14ac:dyDescent="0.2">
      <c r="L59" s="232" t="str">
        <f>'Occ T3'!A14</f>
        <v>23 Teaching and other educational professionals</v>
      </c>
      <c r="M59" s="336">
        <f t="shared" ref="M59:AD59" si="85">M12/M$49</f>
        <v>4.2590545155673329E-2</v>
      </c>
      <c r="N59" s="336">
        <f t="shared" si="85"/>
        <v>4.4507270019955213E-2</v>
      </c>
      <c r="O59" s="336">
        <f t="shared" si="85"/>
        <v>5.0449880247392234E-2</v>
      </c>
      <c r="P59" s="336">
        <f t="shared" si="85"/>
        <v>4.2366697770046119E-2</v>
      </c>
      <c r="Q59" s="336">
        <f t="shared" si="85"/>
        <v>4.2475718133104912E-2</v>
      </c>
      <c r="R59" s="336">
        <f t="shared" si="85"/>
        <v>4.3031923713115802E-2</v>
      </c>
      <c r="S59" s="336">
        <f t="shared" si="85"/>
        <v>4.301460315427949E-2</v>
      </c>
      <c r="T59" s="336">
        <f t="shared" si="85"/>
        <v>4.1605601529852335E-2</v>
      </c>
      <c r="U59" s="336">
        <f t="shared" si="85"/>
        <v>4.2122307146301149E-2</v>
      </c>
      <c r="V59" s="336">
        <f t="shared" si="85"/>
        <v>4.3560281677869121E-2</v>
      </c>
      <c r="W59" s="336">
        <f t="shared" si="85"/>
        <v>4.6108887943495165E-2</v>
      </c>
      <c r="X59" s="336">
        <f t="shared" si="85"/>
        <v>4.7390079484964258E-2</v>
      </c>
      <c r="Y59" s="336">
        <f t="shared" si="85"/>
        <v>4.8611504133460735E-2</v>
      </c>
      <c r="Z59" s="336">
        <f t="shared" si="85"/>
        <v>4.9157326496480067E-2</v>
      </c>
      <c r="AA59" s="336">
        <f t="shared" si="85"/>
        <v>4.9609653974670515E-2</v>
      </c>
      <c r="AB59" s="336">
        <f t="shared" si="85"/>
        <v>4.9869955755993282E-2</v>
      </c>
      <c r="AC59" s="336">
        <f t="shared" si="85"/>
        <v>5.0096688081736188E-2</v>
      </c>
      <c r="AD59" s="336">
        <f t="shared" si="85"/>
        <v>5.0355663026490555E-2</v>
      </c>
      <c r="AE59" s="336">
        <f t="shared" ref="AE59:AL59" si="86">AE12/AE$49</f>
        <v>5.0617648699239612E-2</v>
      </c>
      <c r="AF59" s="336">
        <f t="shared" si="86"/>
        <v>5.086945339257095E-2</v>
      </c>
      <c r="AG59" s="336">
        <f t="shared" si="86"/>
        <v>5.1105221774922431E-2</v>
      </c>
      <c r="AH59" s="336">
        <f t="shared" si="86"/>
        <v>5.1365890025477583E-2</v>
      </c>
      <c r="AI59" s="336">
        <f t="shared" si="86"/>
        <v>5.1626223178538724E-2</v>
      </c>
      <c r="AJ59" s="336">
        <f t="shared" si="86"/>
        <v>5.1877426622136867E-2</v>
      </c>
      <c r="AK59" s="336">
        <f t="shared" si="86"/>
        <v>5.2124245123450472E-2</v>
      </c>
      <c r="AL59" s="336">
        <f t="shared" si="86"/>
        <v>5.2365119190101082E-2</v>
      </c>
      <c r="AM59" s="11"/>
      <c r="AN59" s="11"/>
      <c r="AO59" s="11"/>
      <c r="AP59" s="11"/>
      <c r="AQ59" s="11"/>
      <c r="AR59" s="11"/>
      <c r="AS59" s="11"/>
      <c r="AT59" s="11"/>
      <c r="AU59" s="11"/>
      <c r="AV59" s="11"/>
      <c r="AW59" s="11"/>
      <c r="AX59" s="11"/>
    </row>
    <row r="60" spans="1:50" x14ac:dyDescent="0.2">
      <c r="L60" s="232" t="str">
        <f>'Occ T3'!A15</f>
        <v>24 Business, media and public service professionals</v>
      </c>
      <c r="M60" s="336">
        <f t="shared" ref="M60:AD60" si="87">M13/M$49</f>
        <v>4.5711059250581873E-2</v>
      </c>
      <c r="N60" s="336">
        <f t="shared" si="87"/>
        <v>4.2406255744865451E-2</v>
      </c>
      <c r="O60" s="336">
        <f t="shared" si="87"/>
        <v>4.0056208676573023E-2</v>
      </c>
      <c r="P60" s="336">
        <f t="shared" si="87"/>
        <v>4.1907157368535883E-2</v>
      </c>
      <c r="Q60" s="336">
        <f t="shared" si="87"/>
        <v>4.0348893283082693E-2</v>
      </c>
      <c r="R60" s="336">
        <f t="shared" si="87"/>
        <v>4.0949379204077971E-2</v>
      </c>
      <c r="S60" s="336">
        <f t="shared" si="87"/>
        <v>4.1719739716418028E-2</v>
      </c>
      <c r="T60" s="336">
        <f t="shared" si="87"/>
        <v>4.0079944212649869E-2</v>
      </c>
      <c r="U60" s="336">
        <f t="shared" si="87"/>
        <v>4.2613720232726963E-2</v>
      </c>
      <c r="V60" s="336">
        <f t="shared" si="87"/>
        <v>4.4652870544790745E-2</v>
      </c>
      <c r="W60" s="336">
        <f t="shared" si="87"/>
        <v>5.1129766705976125E-2</v>
      </c>
      <c r="X60" s="336">
        <f t="shared" si="87"/>
        <v>5.3339800629553548E-2</v>
      </c>
      <c r="Y60" s="336">
        <f t="shared" si="87"/>
        <v>5.3622209493375553E-2</v>
      </c>
      <c r="Z60" s="336">
        <f t="shared" si="87"/>
        <v>5.4113020830452704E-2</v>
      </c>
      <c r="AA60" s="336">
        <f t="shared" si="87"/>
        <v>5.4610802164349062E-2</v>
      </c>
      <c r="AB60" s="336">
        <f t="shared" si="87"/>
        <v>5.5149153384861628E-2</v>
      </c>
      <c r="AC60" s="336">
        <f t="shared" si="87"/>
        <v>5.5714289003424386E-2</v>
      </c>
      <c r="AD60" s="336">
        <f t="shared" si="87"/>
        <v>5.6294685186916021E-2</v>
      </c>
      <c r="AE60" s="336">
        <f t="shared" ref="AE60:AL60" si="88">AE13/AE$49</f>
        <v>5.6906644333161491E-2</v>
      </c>
      <c r="AF60" s="336">
        <f t="shared" si="88"/>
        <v>5.7518280022500756E-2</v>
      </c>
      <c r="AG60" s="336">
        <f t="shared" si="88"/>
        <v>5.8160223750009267E-2</v>
      </c>
      <c r="AH60" s="336">
        <f t="shared" si="88"/>
        <v>5.8818160908006588E-2</v>
      </c>
      <c r="AI60" s="336">
        <f t="shared" si="88"/>
        <v>5.9439775607957449E-2</v>
      </c>
      <c r="AJ60" s="336">
        <f t="shared" si="88"/>
        <v>6.0051396623754021E-2</v>
      </c>
      <c r="AK60" s="336">
        <f t="shared" si="88"/>
        <v>6.0674212791112667E-2</v>
      </c>
      <c r="AL60" s="336">
        <f t="shared" si="88"/>
        <v>6.128269278773197E-2</v>
      </c>
      <c r="AM60" s="11"/>
      <c r="AN60" s="11"/>
      <c r="AO60" s="11"/>
      <c r="AP60" s="11"/>
      <c r="AQ60" s="11"/>
      <c r="AR60" s="11"/>
      <c r="AS60" s="11"/>
      <c r="AT60" s="11"/>
      <c r="AU60" s="11"/>
      <c r="AV60" s="11"/>
      <c r="AW60" s="11"/>
      <c r="AX60" s="11"/>
    </row>
    <row r="61" spans="1:50" x14ac:dyDescent="0.2">
      <c r="L61" s="232"/>
      <c r="M61" s="336"/>
      <c r="N61" s="336"/>
      <c r="O61" s="336"/>
      <c r="P61" s="336"/>
      <c r="Q61" s="336"/>
      <c r="R61" s="336"/>
      <c r="S61" s="336"/>
      <c r="T61" s="336"/>
      <c r="U61" s="336"/>
      <c r="V61" s="336"/>
      <c r="W61" s="336"/>
      <c r="X61" s="336"/>
      <c r="Y61" s="336"/>
      <c r="Z61" s="336"/>
      <c r="AA61" s="336"/>
      <c r="AB61" s="336"/>
      <c r="AC61" s="336"/>
      <c r="AD61" s="336"/>
      <c r="AE61" s="336"/>
      <c r="AF61" s="336"/>
      <c r="AG61" s="336"/>
      <c r="AH61" s="336"/>
      <c r="AI61" s="336"/>
      <c r="AJ61" s="336"/>
      <c r="AK61" s="336"/>
      <c r="AL61" s="336"/>
      <c r="AM61" s="11"/>
      <c r="AN61" s="11"/>
      <c r="AO61" s="11"/>
      <c r="AP61" s="11"/>
      <c r="AQ61" s="11"/>
      <c r="AR61" s="11"/>
      <c r="AS61" s="11"/>
      <c r="AT61" s="11"/>
      <c r="AU61" s="11"/>
      <c r="AV61" s="11"/>
      <c r="AW61" s="11"/>
      <c r="AX61" s="11"/>
    </row>
    <row r="62" spans="1:50" x14ac:dyDescent="0.2">
      <c r="L62" s="17" t="str">
        <f>'Occ T3'!A17</f>
        <v>Associate professional occupations</v>
      </c>
      <c r="M62" s="337">
        <f t="shared" ref="M62:AD62" si="89">M15/M$49</f>
        <v>0.10783426786712601</v>
      </c>
      <c r="N62" s="337">
        <f t="shared" si="89"/>
        <v>0.10763492299029705</v>
      </c>
      <c r="O62" s="337">
        <f t="shared" si="89"/>
        <v>0.10960420481119991</v>
      </c>
      <c r="P62" s="337">
        <f t="shared" si="89"/>
        <v>0.10926699891154391</v>
      </c>
      <c r="Q62" s="337">
        <f t="shared" si="89"/>
        <v>0.10631947925294971</v>
      </c>
      <c r="R62" s="337">
        <f t="shared" si="89"/>
        <v>0.10525988782033066</v>
      </c>
      <c r="S62" s="337">
        <f t="shared" si="89"/>
        <v>0.10607203377319155</v>
      </c>
      <c r="T62" s="337">
        <f t="shared" si="89"/>
        <v>0.10800469545160948</v>
      </c>
      <c r="U62" s="337">
        <f t="shared" si="89"/>
        <v>0.11038131259057203</v>
      </c>
      <c r="V62" s="337">
        <f t="shared" si="89"/>
        <v>0.11069563364084885</v>
      </c>
      <c r="W62" s="337">
        <f t="shared" si="89"/>
        <v>0.11708918754237675</v>
      </c>
      <c r="X62" s="337">
        <f t="shared" si="89"/>
        <v>0.10999500644898619</v>
      </c>
      <c r="Y62" s="337">
        <f t="shared" si="89"/>
        <v>0.11015541079023654</v>
      </c>
      <c r="Z62" s="337">
        <f t="shared" si="89"/>
        <v>0.11058767636322794</v>
      </c>
      <c r="AA62" s="337">
        <f t="shared" si="89"/>
        <v>0.11098551657375012</v>
      </c>
      <c r="AB62" s="337">
        <f t="shared" si="89"/>
        <v>0.11142825370465931</v>
      </c>
      <c r="AC62" s="337">
        <f t="shared" si="89"/>
        <v>0.11187146861576364</v>
      </c>
      <c r="AD62" s="337">
        <f t="shared" si="89"/>
        <v>0.1123518449591602</v>
      </c>
      <c r="AE62" s="337">
        <f t="shared" ref="AE62:AL62" si="90">AE15/AE$49</f>
        <v>0.11285528986872312</v>
      </c>
      <c r="AF62" s="337">
        <f t="shared" si="90"/>
        <v>0.11330933018549376</v>
      </c>
      <c r="AG62" s="337">
        <f t="shared" si="90"/>
        <v>0.11380641142573789</v>
      </c>
      <c r="AH62" s="337">
        <f t="shared" si="90"/>
        <v>0.11431335579772012</v>
      </c>
      <c r="AI62" s="337">
        <f t="shared" si="90"/>
        <v>0.11483028820691311</v>
      </c>
      <c r="AJ62" s="337">
        <f t="shared" si="90"/>
        <v>0.11534794308196576</v>
      </c>
      <c r="AK62" s="337">
        <f t="shared" si="90"/>
        <v>0.1158777448582005</v>
      </c>
      <c r="AL62" s="337">
        <f t="shared" si="90"/>
        <v>0.11652117746881029</v>
      </c>
      <c r="AM62" s="11"/>
      <c r="AN62" s="11"/>
      <c r="AO62" s="11"/>
      <c r="AP62" s="11"/>
      <c r="AQ62" s="11"/>
      <c r="AR62" s="11"/>
      <c r="AS62" s="11"/>
      <c r="AT62" s="11"/>
      <c r="AU62" s="11"/>
      <c r="AV62" s="11"/>
      <c r="AW62" s="11"/>
      <c r="AX62" s="11"/>
    </row>
    <row r="63" spans="1:50" x14ac:dyDescent="0.2">
      <c r="L63" s="232" t="str">
        <f>'Occ T3'!A18</f>
        <v>31 Science, engineering and technology associate professionals</v>
      </c>
      <c r="M63" s="336">
        <f t="shared" ref="M63:AD63" si="91">M16/M$49</f>
        <v>2.0846144882888828E-2</v>
      </c>
      <c r="N63" s="336">
        <f t="shared" si="91"/>
        <v>2.0516795530211417E-2</v>
      </c>
      <c r="O63" s="336">
        <f t="shared" si="91"/>
        <v>2.1428836216246541E-2</v>
      </c>
      <c r="P63" s="336">
        <f t="shared" si="91"/>
        <v>2.1215395833830183E-2</v>
      </c>
      <c r="Q63" s="336">
        <f t="shared" si="91"/>
        <v>1.8635788114821208E-2</v>
      </c>
      <c r="R63" s="336">
        <f t="shared" si="91"/>
        <v>1.8491430028466926E-2</v>
      </c>
      <c r="S63" s="336">
        <f t="shared" si="91"/>
        <v>1.9301770949112246E-2</v>
      </c>
      <c r="T63" s="336">
        <f t="shared" si="91"/>
        <v>2.1332581889735424E-2</v>
      </c>
      <c r="U63" s="336">
        <f t="shared" si="91"/>
        <v>2.1843128173454272E-2</v>
      </c>
      <c r="V63" s="336">
        <f t="shared" si="91"/>
        <v>2.0414675115144259E-2</v>
      </c>
      <c r="W63" s="336">
        <f t="shared" si="91"/>
        <v>2.2362203160490906E-2</v>
      </c>
      <c r="X63" s="336">
        <f t="shared" si="91"/>
        <v>1.8891865467693298E-2</v>
      </c>
      <c r="Y63" s="336">
        <f t="shared" si="91"/>
        <v>1.8920143686362613E-2</v>
      </c>
      <c r="Z63" s="336">
        <f t="shared" si="91"/>
        <v>1.8922101584764876E-2</v>
      </c>
      <c r="AA63" s="336">
        <f t="shared" si="91"/>
        <v>1.8928978053400623E-2</v>
      </c>
      <c r="AB63" s="336">
        <f t="shared" si="91"/>
        <v>1.8919084365247141E-2</v>
      </c>
      <c r="AC63" s="336">
        <f t="shared" si="91"/>
        <v>1.8913896841704865E-2</v>
      </c>
      <c r="AD63" s="336">
        <f t="shared" si="91"/>
        <v>1.8916244530744582E-2</v>
      </c>
      <c r="AE63" s="336">
        <f t="shared" ref="AE63:AL63" si="92">AE16/AE$49</f>
        <v>1.8922467422810185E-2</v>
      </c>
      <c r="AF63" s="336">
        <f t="shared" si="92"/>
        <v>1.8915690440931592E-2</v>
      </c>
      <c r="AG63" s="336">
        <f t="shared" si="92"/>
        <v>1.8925981884882117E-2</v>
      </c>
      <c r="AH63" s="336">
        <f t="shared" si="92"/>
        <v>1.8931687706074916E-2</v>
      </c>
      <c r="AI63" s="336">
        <f t="shared" si="92"/>
        <v>1.8957037697950679E-2</v>
      </c>
      <c r="AJ63" s="336">
        <f t="shared" si="92"/>
        <v>1.8966828795910624E-2</v>
      </c>
      <c r="AK63" s="336">
        <f t="shared" si="92"/>
        <v>1.8996801442499038E-2</v>
      </c>
      <c r="AL63" s="336">
        <f t="shared" si="92"/>
        <v>1.9008317941189828E-2</v>
      </c>
      <c r="AM63" s="11"/>
      <c r="AN63" s="11"/>
      <c r="AO63" s="11"/>
      <c r="AP63" s="11"/>
      <c r="AQ63" s="11"/>
      <c r="AR63" s="11"/>
      <c r="AS63" s="11"/>
      <c r="AT63" s="11"/>
      <c r="AU63" s="11"/>
      <c r="AV63" s="11"/>
      <c r="AW63" s="11"/>
      <c r="AX63" s="11"/>
    </row>
    <row r="64" spans="1:50" x14ac:dyDescent="0.2">
      <c r="L64" s="232" t="str">
        <f>'Occ T3'!A19</f>
        <v>32 Health and social care associate professionals</v>
      </c>
      <c r="M64" s="336">
        <f t="shared" ref="M64:AD64" si="93">M17/M$49</f>
        <v>1.5442542022260895E-2</v>
      </c>
      <c r="N64" s="336">
        <f t="shared" si="93"/>
        <v>1.9260060727787222E-2</v>
      </c>
      <c r="O64" s="336">
        <f t="shared" si="93"/>
        <v>1.9891268033182592E-2</v>
      </c>
      <c r="P64" s="336">
        <f t="shared" si="93"/>
        <v>1.9338293722079139E-2</v>
      </c>
      <c r="Q64" s="336">
        <f t="shared" si="93"/>
        <v>2.0555521166749413E-2</v>
      </c>
      <c r="R64" s="336">
        <f t="shared" si="93"/>
        <v>1.9730468540713589E-2</v>
      </c>
      <c r="S64" s="336">
        <f t="shared" si="93"/>
        <v>1.9574437718349949E-2</v>
      </c>
      <c r="T64" s="336">
        <f t="shared" si="93"/>
        <v>1.9413574077081868E-2</v>
      </c>
      <c r="U64" s="336">
        <f t="shared" si="93"/>
        <v>2.0574846469901969E-2</v>
      </c>
      <c r="V64" s="336">
        <f t="shared" si="93"/>
        <v>2.0145350793268166E-2</v>
      </c>
      <c r="W64" s="336">
        <f t="shared" si="93"/>
        <v>2.1721836593151887E-2</v>
      </c>
      <c r="X64" s="336">
        <f t="shared" si="93"/>
        <v>2.0892927386630816E-2</v>
      </c>
      <c r="Y64" s="336">
        <f t="shared" si="93"/>
        <v>2.1114842790413643E-2</v>
      </c>
      <c r="Z64" s="336">
        <f t="shared" si="93"/>
        <v>2.1301560873298292E-2</v>
      </c>
      <c r="AA64" s="336">
        <f t="shared" si="93"/>
        <v>2.1445017266878832E-2</v>
      </c>
      <c r="AB64" s="336">
        <f t="shared" si="93"/>
        <v>2.1574112767250155E-2</v>
      </c>
      <c r="AC64" s="336">
        <f t="shared" si="93"/>
        <v>2.1688752710989908E-2</v>
      </c>
      <c r="AD64" s="336">
        <f t="shared" si="93"/>
        <v>2.1801204564771668E-2</v>
      </c>
      <c r="AE64" s="336">
        <f t="shared" ref="AE64:AL64" si="94">AE17/AE$49</f>
        <v>2.1917058592118056E-2</v>
      </c>
      <c r="AF64" s="336">
        <f t="shared" si="94"/>
        <v>2.201914441924294E-2</v>
      </c>
      <c r="AG64" s="336">
        <f t="shared" si="94"/>
        <v>2.212256805320505E-2</v>
      </c>
      <c r="AH64" s="336">
        <f t="shared" si="94"/>
        <v>2.2213909576724655E-2</v>
      </c>
      <c r="AI64" s="336">
        <f t="shared" si="94"/>
        <v>2.2303375023825289E-2</v>
      </c>
      <c r="AJ64" s="336">
        <f t="shared" si="94"/>
        <v>2.2417441063793526E-2</v>
      </c>
      <c r="AK64" s="336">
        <f t="shared" si="94"/>
        <v>2.2534531529894975E-2</v>
      </c>
      <c r="AL64" s="336">
        <f t="shared" si="94"/>
        <v>2.2661536318613777E-2</v>
      </c>
      <c r="AM64" s="11"/>
      <c r="AN64" s="11"/>
      <c r="AO64" s="11"/>
      <c r="AP64" s="11"/>
      <c r="AQ64" s="11"/>
      <c r="AR64" s="11"/>
      <c r="AS64" s="11"/>
      <c r="AT64" s="11"/>
      <c r="AU64" s="11"/>
      <c r="AV64" s="11"/>
      <c r="AW64" s="11"/>
      <c r="AX64" s="11"/>
    </row>
    <row r="65" spans="12:50" x14ac:dyDescent="0.2">
      <c r="L65" s="232" t="str">
        <f>'Occ T3'!A20</f>
        <v>33 Protective service occupations</v>
      </c>
      <c r="M65" s="336">
        <f t="shared" ref="M65:AD65" si="95">M18/M$49</f>
        <v>1.5915473052657749E-2</v>
      </c>
      <c r="N65" s="336">
        <f t="shared" si="95"/>
        <v>1.7133516661514823E-2</v>
      </c>
      <c r="O65" s="336">
        <f t="shared" si="95"/>
        <v>1.5783875216718785E-2</v>
      </c>
      <c r="P65" s="336">
        <f t="shared" si="95"/>
        <v>1.5105502040418375E-2</v>
      </c>
      <c r="Q65" s="336">
        <f t="shared" si="95"/>
        <v>1.3777771470388677E-2</v>
      </c>
      <c r="R65" s="336">
        <f t="shared" si="95"/>
        <v>1.2981689085359821E-2</v>
      </c>
      <c r="S65" s="336">
        <f t="shared" si="95"/>
        <v>1.4556859509677746E-2</v>
      </c>
      <c r="T65" s="336">
        <f t="shared" si="95"/>
        <v>1.4172648855836986E-2</v>
      </c>
      <c r="U65" s="336">
        <f t="shared" si="95"/>
        <v>1.3668040151481398E-2</v>
      </c>
      <c r="V65" s="336">
        <f t="shared" si="95"/>
        <v>1.3873617425915473E-2</v>
      </c>
      <c r="W65" s="336">
        <f t="shared" si="95"/>
        <v>1.4719378597692278E-2</v>
      </c>
      <c r="X65" s="336">
        <f t="shared" si="95"/>
        <v>1.6084895110664611E-2</v>
      </c>
      <c r="Y65" s="336">
        <f t="shared" si="95"/>
        <v>1.6147580320776171E-2</v>
      </c>
      <c r="Z65" s="336">
        <f t="shared" si="95"/>
        <v>1.6280462689119597E-2</v>
      </c>
      <c r="AA65" s="336">
        <f t="shared" si="95"/>
        <v>1.637634237163571E-2</v>
      </c>
      <c r="AB65" s="336">
        <f t="shared" si="95"/>
        <v>1.6561727260995279E-2</v>
      </c>
      <c r="AC65" s="336">
        <f t="shared" si="95"/>
        <v>1.675253495359498E-2</v>
      </c>
      <c r="AD65" s="336">
        <f t="shared" si="95"/>
        <v>1.6944023415623798E-2</v>
      </c>
      <c r="AE65" s="336">
        <f t="shared" ref="AE65:AL65" si="96">AE18/AE$49</f>
        <v>1.7125229930625593E-2</v>
      </c>
      <c r="AF65" s="336">
        <f t="shared" si="96"/>
        <v>1.7313287469893194E-2</v>
      </c>
      <c r="AG65" s="336">
        <f t="shared" si="96"/>
        <v>1.7475322450600531E-2</v>
      </c>
      <c r="AH65" s="336">
        <f t="shared" si="96"/>
        <v>1.7633653794976892E-2</v>
      </c>
      <c r="AI65" s="336">
        <f t="shared" si="96"/>
        <v>1.7815078682388269E-2</v>
      </c>
      <c r="AJ65" s="336">
        <f t="shared" si="96"/>
        <v>1.7999760501573557E-2</v>
      </c>
      <c r="AK65" s="336">
        <f t="shared" si="96"/>
        <v>1.8157820772246619E-2</v>
      </c>
      <c r="AL65" s="336">
        <f t="shared" si="96"/>
        <v>1.8332180156728082E-2</v>
      </c>
      <c r="AM65" s="11"/>
      <c r="AN65" s="11"/>
      <c r="AO65" s="11"/>
      <c r="AP65" s="11"/>
      <c r="AQ65" s="11"/>
      <c r="AR65" s="11"/>
      <c r="AS65" s="11"/>
      <c r="AT65" s="11"/>
      <c r="AU65" s="11"/>
      <c r="AV65" s="11"/>
      <c r="AW65" s="11"/>
      <c r="AX65" s="11"/>
    </row>
    <row r="66" spans="12:50" x14ac:dyDescent="0.2">
      <c r="L66" s="232" t="str">
        <f>'Occ T3'!A21</f>
        <v>34 Culture, media and sports occupations</v>
      </c>
      <c r="M66" s="336">
        <f t="shared" ref="M66:AD66" si="97">M19/M$49</f>
        <v>8.5292160228903693E-3</v>
      </c>
      <c r="N66" s="336">
        <f t="shared" si="97"/>
        <v>8.4888137229450732E-3</v>
      </c>
      <c r="O66" s="336">
        <f t="shared" si="97"/>
        <v>1.0012725309865057E-2</v>
      </c>
      <c r="P66" s="336">
        <f t="shared" si="97"/>
        <v>1.0991093897098647E-2</v>
      </c>
      <c r="Q66" s="336">
        <f t="shared" si="97"/>
        <v>1.0423799514774068E-2</v>
      </c>
      <c r="R66" s="336">
        <f t="shared" si="97"/>
        <v>1.2041011387672339E-2</v>
      </c>
      <c r="S66" s="336">
        <f t="shared" si="97"/>
        <v>1.0510248719037321E-2</v>
      </c>
      <c r="T66" s="336">
        <f t="shared" si="97"/>
        <v>1.10777286871434E-2</v>
      </c>
      <c r="U66" s="336">
        <f t="shared" si="97"/>
        <v>1.1263699951554212E-2</v>
      </c>
      <c r="V66" s="336">
        <f t="shared" si="97"/>
        <v>1.2641490654960379E-2</v>
      </c>
      <c r="W66" s="336">
        <f t="shared" si="97"/>
        <v>1.194519879178944E-2</v>
      </c>
      <c r="X66" s="336">
        <f t="shared" si="97"/>
        <v>1.0933047190100178E-2</v>
      </c>
      <c r="Y66" s="336">
        <f t="shared" si="97"/>
        <v>1.0829638540956175E-2</v>
      </c>
      <c r="Z66" s="336">
        <f t="shared" si="97"/>
        <v>1.0876017057908574E-2</v>
      </c>
      <c r="AA66" s="336">
        <f t="shared" si="97"/>
        <v>1.0961598545004647E-2</v>
      </c>
      <c r="AB66" s="336">
        <f t="shared" si="97"/>
        <v>1.1050220589025606E-2</v>
      </c>
      <c r="AC66" s="336">
        <f t="shared" si="97"/>
        <v>1.114004827845382E-2</v>
      </c>
      <c r="AD66" s="336">
        <f t="shared" si="97"/>
        <v>1.1240171592791837E-2</v>
      </c>
      <c r="AE66" s="336">
        <f t="shared" ref="AE66:AL66" si="98">AE19/AE$49</f>
        <v>1.13385972979005E-2</v>
      </c>
      <c r="AF66" s="336">
        <f t="shared" si="98"/>
        <v>1.143777059124969E-2</v>
      </c>
      <c r="AG66" s="336">
        <f t="shared" si="98"/>
        <v>1.155119442754475E-2</v>
      </c>
      <c r="AH66" s="336">
        <f t="shared" si="98"/>
        <v>1.1665722563990441E-2</v>
      </c>
      <c r="AI66" s="336">
        <f t="shared" si="98"/>
        <v>1.1754370880009921E-2</v>
      </c>
      <c r="AJ66" s="336">
        <f t="shared" si="98"/>
        <v>1.1845135342248103E-2</v>
      </c>
      <c r="AK66" s="336">
        <f t="shared" si="98"/>
        <v>1.1920074768390502E-2</v>
      </c>
      <c r="AL66" s="336">
        <f t="shared" si="98"/>
        <v>1.2144224448014008E-2</v>
      </c>
      <c r="AM66" s="11"/>
      <c r="AN66" s="11"/>
      <c r="AO66" s="11"/>
      <c r="AP66" s="11"/>
      <c r="AQ66" s="11"/>
      <c r="AR66" s="11"/>
      <c r="AS66" s="11"/>
      <c r="AT66" s="11"/>
      <c r="AU66" s="11"/>
      <c r="AV66" s="11"/>
      <c r="AW66" s="11"/>
      <c r="AX66" s="11"/>
    </row>
    <row r="67" spans="12:50" x14ac:dyDescent="0.2">
      <c r="L67" s="232" t="str">
        <f>'Occ T3'!A22</f>
        <v>35 Business and public service associate professionals</v>
      </c>
      <c r="M67" s="336">
        <f t="shared" ref="M67:AD67" si="99">M20/M$49</f>
        <v>4.7100891886428173E-2</v>
      </c>
      <c r="N67" s="336">
        <f t="shared" si="99"/>
        <v>4.2235736347838511E-2</v>
      </c>
      <c r="O67" s="336">
        <f t="shared" si="99"/>
        <v>4.2487500035186934E-2</v>
      </c>
      <c r="P67" s="336">
        <f t="shared" si="99"/>
        <v>4.2616713418117562E-2</v>
      </c>
      <c r="Q67" s="336">
        <f t="shared" si="99"/>
        <v>4.2926598986216334E-2</v>
      </c>
      <c r="R67" s="336">
        <f t="shared" si="99"/>
        <v>4.2015288778117985E-2</v>
      </c>
      <c r="S67" s="336">
        <f t="shared" si="99"/>
        <v>4.2128716877014291E-2</v>
      </c>
      <c r="T67" s="336">
        <f t="shared" si="99"/>
        <v>4.2008161941811804E-2</v>
      </c>
      <c r="U67" s="336">
        <f t="shared" si="99"/>
        <v>4.3031597844180168E-2</v>
      </c>
      <c r="V67" s="336">
        <f t="shared" si="99"/>
        <v>4.3620499651560556E-2</v>
      </c>
      <c r="W67" s="336">
        <f t="shared" si="99"/>
        <v>4.6340570399252233E-2</v>
      </c>
      <c r="X67" s="336">
        <f t="shared" si="99"/>
        <v>4.3192271293897286E-2</v>
      </c>
      <c r="Y67" s="336">
        <f t="shared" si="99"/>
        <v>4.3143205451727937E-2</v>
      </c>
      <c r="Z67" s="336">
        <f t="shared" si="99"/>
        <v>4.3207534158136614E-2</v>
      </c>
      <c r="AA67" s="336">
        <f t="shared" si="99"/>
        <v>4.3273580336830299E-2</v>
      </c>
      <c r="AB67" s="336">
        <f t="shared" si="99"/>
        <v>4.3323108722141138E-2</v>
      </c>
      <c r="AC67" s="336">
        <f t="shared" si="99"/>
        <v>4.3376235831020057E-2</v>
      </c>
      <c r="AD67" s="336">
        <f t="shared" si="99"/>
        <v>4.345020085522832E-2</v>
      </c>
      <c r="AE67" s="336">
        <f t="shared" ref="AE67:AL67" si="100">AE20/AE$49</f>
        <v>4.3551936625268795E-2</v>
      </c>
      <c r="AF67" s="336">
        <f t="shared" si="100"/>
        <v>4.3623437264176335E-2</v>
      </c>
      <c r="AG67" s="336">
        <f t="shared" si="100"/>
        <v>4.3731344609505444E-2</v>
      </c>
      <c r="AH67" s="336">
        <f t="shared" si="100"/>
        <v>4.3868382155953213E-2</v>
      </c>
      <c r="AI67" s="336">
        <f t="shared" si="100"/>
        <v>4.4000425922738971E-2</v>
      </c>
      <c r="AJ67" s="336">
        <f t="shared" si="100"/>
        <v>4.4118777378439958E-2</v>
      </c>
      <c r="AK67" s="336">
        <f t="shared" si="100"/>
        <v>4.4268516345169366E-2</v>
      </c>
      <c r="AL67" s="336">
        <f t="shared" si="100"/>
        <v>4.4374918604264589E-2</v>
      </c>
      <c r="AM67" s="11"/>
      <c r="AN67" s="11"/>
      <c r="AO67" s="11"/>
      <c r="AP67" s="11"/>
      <c r="AQ67" s="11"/>
      <c r="AR67" s="11"/>
      <c r="AS67" s="11"/>
      <c r="AT67" s="11"/>
      <c r="AU67" s="11"/>
      <c r="AV67" s="11"/>
      <c r="AW67" s="11"/>
      <c r="AX67" s="11"/>
    </row>
    <row r="68" spans="12:50" x14ac:dyDescent="0.2">
      <c r="L68" s="232"/>
      <c r="M68" s="336"/>
      <c r="N68" s="336"/>
      <c r="O68" s="336"/>
      <c r="P68" s="336"/>
      <c r="Q68" s="336"/>
      <c r="R68" s="336"/>
      <c r="S68" s="336"/>
      <c r="T68" s="336"/>
      <c r="U68" s="336"/>
      <c r="V68" s="336"/>
      <c r="W68" s="336"/>
      <c r="X68" s="336"/>
      <c r="Y68" s="336"/>
      <c r="Z68" s="336"/>
      <c r="AA68" s="336"/>
      <c r="AB68" s="336"/>
      <c r="AC68" s="336"/>
      <c r="AD68" s="336"/>
      <c r="AE68" s="336"/>
      <c r="AF68" s="336"/>
      <c r="AG68" s="336"/>
      <c r="AH68" s="336"/>
      <c r="AI68" s="336"/>
      <c r="AJ68" s="336"/>
      <c r="AK68" s="336"/>
      <c r="AL68" s="336"/>
      <c r="AM68" s="11"/>
      <c r="AN68" s="11"/>
      <c r="AO68" s="11"/>
      <c r="AP68" s="11"/>
      <c r="AQ68" s="11"/>
      <c r="AR68" s="11"/>
      <c r="AS68" s="11"/>
      <c r="AT68" s="11"/>
      <c r="AU68" s="11"/>
      <c r="AV68" s="11"/>
      <c r="AW68" s="11"/>
      <c r="AX68" s="11"/>
    </row>
    <row r="69" spans="12:50" x14ac:dyDescent="0.2">
      <c r="L69" s="17" t="str">
        <f>'Occ T3'!A24</f>
        <v>Administrative and secretarial occupations</v>
      </c>
      <c r="M69" s="337">
        <f t="shared" ref="M69:AD69" si="101">M22/M$49</f>
        <v>0.11789825460143023</v>
      </c>
      <c r="N69" s="337">
        <f t="shared" si="101"/>
        <v>0.11581355285527067</v>
      </c>
      <c r="O69" s="337">
        <f t="shared" si="101"/>
        <v>0.11276323375608284</v>
      </c>
      <c r="P69" s="337">
        <f t="shared" si="101"/>
        <v>0.11098695720242055</v>
      </c>
      <c r="Q69" s="337">
        <f t="shared" si="101"/>
        <v>0.11229909306094633</v>
      </c>
      <c r="R69" s="337">
        <f t="shared" si="101"/>
        <v>0.1128943932139161</v>
      </c>
      <c r="S69" s="337">
        <f t="shared" si="101"/>
        <v>0.10985649107162498</v>
      </c>
      <c r="T69" s="337">
        <f t="shared" si="101"/>
        <v>0.10723471225776582</v>
      </c>
      <c r="U69" s="337">
        <f t="shared" si="101"/>
        <v>0.10795411543396312</v>
      </c>
      <c r="V69" s="337">
        <f t="shared" si="101"/>
        <v>0.10428870792006441</v>
      </c>
      <c r="W69" s="337">
        <f t="shared" si="101"/>
        <v>0.10962673944419903</v>
      </c>
      <c r="X69" s="337">
        <f t="shared" si="101"/>
        <v>0.10489177176683623</v>
      </c>
      <c r="Y69" s="337">
        <f t="shared" si="101"/>
        <v>0.10414071096124049</v>
      </c>
      <c r="Z69" s="337">
        <f t="shared" si="101"/>
        <v>0.10336888270961818</v>
      </c>
      <c r="AA69" s="337">
        <f t="shared" si="101"/>
        <v>0.10258408078551737</v>
      </c>
      <c r="AB69" s="337">
        <f t="shared" si="101"/>
        <v>0.10190892360046359</v>
      </c>
      <c r="AC69" s="337">
        <f t="shared" si="101"/>
        <v>0.10114187404262935</v>
      </c>
      <c r="AD69" s="337">
        <f t="shared" si="101"/>
        <v>0.10035784054316561</v>
      </c>
      <c r="AE69" s="337">
        <f t="shared" ref="AE69:AL69" si="102">AE22/AE$49</f>
        <v>9.9457422480289326E-2</v>
      </c>
      <c r="AF69" s="337">
        <f t="shared" si="102"/>
        <v>9.8650085557198813E-2</v>
      </c>
      <c r="AG69" s="337">
        <f t="shared" si="102"/>
        <v>9.7775595824345474E-2</v>
      </c>
      <c r="AH69" s="337">
        <f t="shared" si="102"/>
        <v>9.6597210462733923E-2</v>
      </c>
      <c r="AI69" s="337">
        <f t="shared" si="102"/>
        <v>9.5286367910511177E-2</v>
      </c>
      <c r="AJ69" s="337">
        <f t="shared" si="102"/>
        <v>9.4276186265589521E-2</v>
      </c>
      <c r="AK69" s="337">
        <f t="shared" si="102"/>
        <v>9.3386536901955405E-2</v>
      </c>
      <c r="AL69" s="337">
        <f t="shared" si="102"/>
        <v>9.3081663582302035E-2</v>
      </c>
      <c r="AM69" s="11"/>
      <c r="AN69" s="11"/>
      <c r="AO69" s="11"/>
      <c r="AP69" s="11"/>
      <c r="AQ69" s="11"/>
      <c r="AR69" s="11"/>
      <c r="AS69" s="11"/>
      <c r="AT69" s="11"/>
      <c r="AU69" s="11"/>
      <c r="AV69" s="11"/>
      <c r="AW69" s="11"/>
      <c r="AX69" s="11"/>
    </row>
    <row r="70" spans="12:50" x14ac:dyDescent="0.2">
      <c r="L70" s="232" t="str">
        <f>'Occ T3'!A25</f>
        <v>41 Administrative occupations</v>
      </c>
      <c r="M70" s="336">
        <f t="shared" ref="M70:AD70" si="103">M23/M$49</f>
        <v>9.5345179851556217E-2</v>
      </c>
      <c r="N70" s="336">
        <f t="shared" si="103"/>
        <v>9.4787145914864271E-2</v>
      </c>
      <c r="O70" s="336">
        <f t="shared" si="103"/>
        <v>9.2457659906546044E-2</v>
      </c>
      <c r="P70" s="336">
        <f t="shared" si="103"/>
        <v>9.0453191232545721E-2</v>
      </c>
      <c r="Q70" s="336">
        <f t="shared" si="103"/>
        <v>9.1317246502794436E-2</v>
      </c>
      <c r="R70" s="336">
        <f t="shared" si="103"/>
        <v>9.3078025531576417E-2</v>
      </c>
      <c r="S70" s="336">
        <f t="shared" si="103"/>
        <v>9.1229762398798153E-2</v>
      </c>
      <c r="T70" s="336">
        <f t="shared" si="103"/>
        <v>8.9024831380727532E-2</v>
      </c>
      <c r="U70" s="336">
        <f t="shared" si="103"/>
        <v>8.905932256290465E-2</v>
      </c>
      <c r="V70" s="336">
        <f t="shared" si="103"/>
        <v>8.7116891938144078E-2</v>
      </c>
      <c r="W70" s="336">
        <f t="shared" si="103"/>
        <v>9.2193073964096151E-2</v>
      </c>
      <c r="X70" s="336">
        <f t="shared" si="103"/>
        <v>8.5291067172195242E-2</v>
      </c>
      <c r="Y70" s="336">
        <f t="shared" si="103"/>
        <v>8.4705629687493095E-2</v>
      </c>
      <c r="Z70" s="336">
        <f t="shared" si="103"/>
        <v>8.4149803901289205E-2</v>
      </c>
      <c r="AA70" s="336">
        <f t="shared" si="103"/>
        <v>8.3582582576129286E-2</v>
      </c>
      <c r="AB70" s="336">
        <f t="shared" si="103"/>
        <v>8.3113181886774912E-2</v>
      </c>
      <c r="AC70" s="336">
        <f t="shared" si="103"/>
        <v>8.2579156966441816E-2</v>
      </c>
      <c r="AD70" s="336">
        <f t="shared" si="103"/>
        <v>8.2050625395629739E-2</v>
      </c>
      <c r="AE70" s="336">
        <f t="shared" ref="AE70:AL70" si="104">AE23/AE$49</f>
        <v>8.1413007106547988E-2</v>
      </c>
      <c r="AF70" s="336">
        <f t="shared" si="104"/>
        <v>8.0835014108886383E-2</v>
      </c>
      <c r="AG70" s="336">
        <f t="shared" si="104"/>
        <v>8.0235394183042194E-2</v>
      </c>
      <c r="AH70" s="336">
        <f t="shared" si="104"/>
        <v>7.9659607561164081E-2</v>
      </c>
      <c r="AI70" s="336">
        <f t="shared" si="104"/>
        <v>7.9065243009894426E-2</v>
      </c>
      <c r="AJ70" s="336">
        <f t="shared" si="104"/>
        <v>7.8384863583142145E-2</v>
      </c>
      <c r="AK70" s="336">
        <f t="shared" si="104"/>
        <v>7.7664167176209165E-2</v>
      </c>
      <c r="AL70" s="336">
        <f t="shared" si="104"/>
        <v>7.7107326222457195E-2</v>
      </c>
      <c r="AM70" s="11"/>
      <c r="AN70" s="11"/>
      <c r="AO70" s="11"/>
      <c r="AP70" s="11"/>
      <c r="AQ70" s="11"/>
      <c r="AR70" s="11"/>
      <c r="AS70" s="11"/>
      <c r="AT70" s="11"/>
      <c r="AU70" s="11"/>
      <c r="AV70" s="11"/>
      <c r="AW70" s="11"/>
      <c r="AX70" s="11"/>
    </row>
    <row r="71" spans="12:50" x14ac:dyDescent="0.2">
      <c r="L71" s="232" t="str">
        <f>'Occ T3'!A26</f>
        <v>42 Secretarial and related occupations</v>
      </c>
      <c r="M71" s="336">
        <f t="shared" ref="M71:AD71" si="105">M24/M$49</f>
        <v>2.2553074749874016E-2</v>
      </c>
      <c r="N71" s="336">
        <f t="shared" si="105"/>
        <v>2.1026406940406417E-2</v>
      </c>
      <c r="O71" s="336">
        <f t="shared" si="105"/>
        <v>2.0305573849536792E-2</v>
      </c>
      <c r="P71" s="336">
        <f t="shared" si="105"/>
        <v>2.0533765969874832E-2</v>
      </c>
      <c r="Q71" s="336">
        <f t="shared" si="105"/>
        <v>2.0981846558151898E-2</v>
      </c>
      <c r="R71" s="336">
        <f t="shared" si="105"/>
        <v>1.9816367682339683E-2</v>
      </c>
      <c r="S71" s="336">
        <f t="shared" si="105"/>
        <v>1.8626728672826821E-2</v>
      </c>
      <c r="T71" s="336">
        <f t="shared" si="105"/>
        <v>1.8209880877038294E-2</v>
      </c>
      <c r="U71" s="336">
        <f t="shared" si="105"/>
        <v>1.8894792871058472E-2</v>
      </c>
      <c r="V71" s="336">
        <f t="shared" si="105"/>
        <v>1.717181598192034E-2</v>
      </c>
      <c r="W71" s="336">
        <f t="shared" si="105"/>
        <v>1.7433665480102872E-2</v>
      </c>
      <c r="X71" s="336">
        <f t="shared" si="105"/>
        <v>1.9600704594640996E-2</v>
      </c>
      <c r="Y71" s="336">
        <f t="shared" si="105"/>
        <v>1.9435081273747396E-2</v>
      </c>
      <c r="Z71" s="336">
        <f t="shared" si="105"/>
        <v>1.9219078808328974E-2</v>
      </c>
      <c r="AA71" s="336">
        <f t="shared" si="105"/>
        <v>1.9001498209388089E-2</v>
      </c>
      <c r="AB71" s="336">
        <f t="shared" si="105"/>
        <v>1.8795741713688679E-2</v>
      </c>
      <c r="AC71" s="336">
        <f t="shared" si="105"/>
        <v>1.8562717076187535E-2</v>
      </c>
      <c r="AD71" s="336">
        <f t="shared" si="105"/>
        <v>1.8307215147535878E-2</v>
      </c>
      <c r="AE71" s="336">
        <f t="shared" ref="AE71:AL71" si="106">AE24/AE$49</f>
        <v>1.8044415373741338E-2</v>
      </c>
      <c r="AF71" s="336">
        <f t="shared" si="106"/>
        <v>1.7815071448312413E-2</v>
      </c>
      <c r="AG71" s="336">
        <f t="shared" si="106"/>
        <v>1.7540201641303283E-2</v>
      </c>
      <c r="AH71" s="336">
        <f t="shared" si="106"/>
        <v>1.6937602901569843E-2</v>
      </c>
      <c r="AI71" s="336">
        <f t="shared" si="106"/>
        <v>1.6221124900616762E-2</v>
      </c>
      <c r="AJ71" s="336">
        <f t="shared" si="106"/>
        <v>1.5891322682447362E-2</v>
      </c>
      <c r="AK71" s="336">
        <f t="shared" si="106"/>
        <v>1.5722369725746244E-2</v>
      </c>
      <c r="AL71" s="336">
        <f t="shared" si="106"/>
        <v>1.5974337359844833E-2</v>
      </c>
      <c r="AM71" s="11"/>
      <c r="AN71" s="11"/>
      <c r="AO71" s="11"/>
      <c r="AP71" s="11"/>
      <c r="AQ71" s="11"/>
      <c r="AR71" s="11"/>
      <c r="AS71" s="11"/>
      <c r="AT71" s="11"/>
      <c r="AU71" s="11"/>
      <c r="AV71" s="11"/>
      <c r="AW71" s="11"/>
      <c r="AX71" s="11"/>
    </row>
    <row r="72" spans="12:50" x14ac:dyDescent="0.2">
      <c r="L72" s="232"/>
      <c r="M72" s="336"/>
      <c r="N72" s="336"/>
      <c r="O72" s="336"/>
      <c r="P72" s="336"/>
      <c r="Q72" s="336"/>
      <c r="R72" s="336"/>
      <c r="S72" s="336"/>
      <c r="T72" s="336"/>
      <c r="U72" s="336"/>
      <c r="V72" s="336"/>
      <c r="W72" s="336"/>
      <c r="X72" s="336"/>
      <c r="Y72" s="336"/>
      <c r="Z72" s="336"/>
      <c r="AA72" s="336"/>
      <c r="AB72" s="336"/>
      <c r="AC72" s="336"/>
      <c r="AD72" s="336"/>
      <c r="AE72" s="336"/>
      <c r="AF72" s="336"/>
      <c r="AG72" s="336"/>
      <c r="AH72" s="336"/>
      <c r="AI72" s="336"/>
      <c r="AJ72" s="336"/>
      <c r="AK72" s="336"/>
      <c r="AL72" s="336"/>
      <c r="AM72" s="11"/>
      <c r="AN72" s="11"/>
      <c r="AO72" s="11"/>
      <c r="AP72" s="11"/>
      <c r="AQ72" s="11"/>
      <c r="AR72" s="11"/>
      <c r="AS72" s="11"/>
      <c r="AT72" s="11"/>
      <c r="AU72" s="11"/>
      <c r="AV72" s="11"/>
      <c r="AW72" s="11"/>
      <c r="AX72" s="11"/>
    </row>
    <row r="73" spans="12:50" x14ac:dyDescent="0.2">
      <c r="L73" s="17" t="str">
        <f>'Occ T3'!A28</f>
        <v>Skilled trades occupations</v>
      </c>
      <c r="M73" s="337">
        <f t="shared" ref="M73:AD73" si="107">M26/M$49</f>
        <v>0.12531187778783406</v>
      </c>
      <c r="N73" s="337">
        <f t="shared" si="107"/>
        <v>0.12951373411573361</v>
      </c>
      <c r="O73" s="337">
        <f t="shared" si="107"/>
        <v>0.11702371178647659</v>
      </c>
      <c r="P73" s="337">
        <f t="shared" si="107"/>
        <v>0.12338717921410089</v>
      </c>
      <c r="Q73" s="337">
        <f t="shared" si="107"/>
        <v>0.1195536981016378</v>
      </c>
      <c r="R73" s="337">
        <f t="shared" si="107"/>
        <v>0.11644068007125141</v>
      </c>
      <c r="S73" s="337">
        <f t="shared" si="107"/>
        <v>0.11261049552105207</v>
      </c>
      <c r="T73" s="337">
        <f t="shared" si="107"/>
        <v>0.11543893707066985</v>
      </c>
      <c r="U73" s="337">
        <f t="shared" si="107"/>
        <v>0.11518091108807993</v>
      </c>
      <c r="V73" s="337">
        <f t="shared" si="107"/>
        <v>0.11585650496210285</v>
      </c>
      <c r="W73" s="337">
        <f t="shared" si="107"/>
        <v>0.10073730085510532</v>
      </c>
      <c r="X73" s="337">
        <f t="shared" si="107"/>
        <v>0.10099401329196644</v>
      </c>
      <c r="Y73" s="337">
        <f t="shared" si="107"/>
        <v>0.10000608987787687</v>
      </c>
      <c r="Z73" s="337">
        <f t="shared" si="107"/>
        <v>9.8766043988433819E-2</v>
      </c>
      <c r="AA73" s="337">
        <f t="shared" si="107"/>
        <v>9.769288811079313E-2</v>
      </c>
      <c r="AB73" s="337">
        <f t="shared" si="107"/>
        <v>9.6805076101880105E-2</v>
      </c>
      <c r="AC73" s="337">
        <f t="shared" si="107"/>
        <v>9.588904050111359E-2</v>
      </c>
      <c r="AD73" s="337">
        <f t="shared" si="107"/>
        <v>9.4938984276897065E-2</v>
      </c>
      <c r="AE73" s="337">
        <f t="shared" ref="AE73:AL73" si="108">AE26/AE$49</f>
        <v>9.4038400830576935E-2</v>
      </c>
      <c r="AF73" s="337">
        <f t="shared" si="108"/>
        <v>9.312832073418402E-2</v>
      </c>
      <c r="AG73" s="337">
        <f t="shared" si="108"/>
        <v>9.2228353951147771E-2</v>
      </c>
      <c r="AH73" s="337">
        <f t="shared" si="108"/>
        <v>9.135942868391829E-2</v>
      </c>
      <c r="AI73" s="337">
        <f t="shared" si="108"/>
        <v>9.0494893391251024E-2</v>
      </c>
      <c r="AJ73" s="337">
        <f t="shared" si="108"/>
        <v>8.9574306043139915E-2</v>
      </c>
      <c r="AK73" s="337">
        <f t="shared" si="108"/>
        <v>8.8645204375763717E-2</v>
      </c>
      <c r="AL73" s="337">
        <f t="shared" si="108"/>
        <v>8.7618537189575699E-2</v>
      </c>
      <c r="AM73" s="11"/>
      <c r="AN73" s="11"/>
      <c r="AO73" s="11"/>
      <c r="AP73" s="11"/>
      <c r="AQ73" s="11"/>
      <c r="AR73" s="11"/>
      <c r="AS73" s="11"/>
      <c r="AT73" s="11"/>
      <c r="AU73" s="11"/>
      <c r="AV73" s="11"/>
      <c r="AW73" s="11"/>
      <c r="AX73" s="11"/>
    </row>
    <row r="74" spans="12:50" x14ac:dyDescent="0.2">
      <c r="L74" s="232" t="str">
        <f>'Occ T3'!A29</f>
        <v>51 Skilled agricultural and related trades</v>
      </c>
      <c r="M74" s="336">
        <f t="shared" ref="M74:AD74" si="109">M27/M$49</f>
        <v>9.2175015680852554E-3</v>
      </c>
      <c r="N74" s="336">
        <f t="shared" si="109"/>
        <v>1.4376642954224313E-2</v>
      </c>
      <c r="O74" s="336">
        <f t="shared" si="109"/>
        <v>8.7741607297279946E-3</v>
      </c>
      <c r="P74" s="336">
        <f t="shared" si="109"/>
        <v>1.0377818321051413E-2</v>
      </c>
      <c r="Q74" s="336">
        <f t="shared" si="109"/>
        <v>1.1545983783100242E-2</v>
      </c>
      <c r="R74" s="336">
        <f t="shared" si="109"/>
        <v>9.4834028676028404E-3</v>
      </c>
      <c r="S74" s="336">
        <f t="shared" si="109"/>
        <v>7.3991254675045987E-3</v>
      </c>
      <c r="T74" s="336">
        <f t="shared" si="109"/>
        <v>8.8836083980960729E-3</v>
      </c>
      <c r="U74" s="336">
        <f t="shared" si="109"/>
        <v>9.7506768420199397E-3</v>
      </c>
      <c r="V74" s="336">
        <f t="shared" si="109"/>
        <v>8.1014609908758948E-3</v>
      </c>
      <c r="W74" s="336">
        <f t="shared" si="109"/>
        <v>8.1719646916777293E-3</v>
      </c>
      <c r="X74" s="336">
        <f t="shared" si="109"/>
        <v>7.8602208333290995E-3</v>
      </c>
      <c r="Y74" s="336">
        <f t="shared" si="109"/>
        <v>7.9291030679664483E-3</v>
      </c>
      <c r="Z74" s="336">
        <f t="shared" si="109"/>
        <v>8.0228024232207994E-3</v>
      </c>
      <c r="AA74" s="336">
        <f t="shared" si="109"/>
        <v>8.1138080355761619E-3</v>
      </c>
      <c r="AB74" s="336">
        <f t="shared" si="109"/>
        <v>8.1917259636624089E-3</v>
      </c>
      <c r="AC74" s="336">
        <f t="shared" si="109"/>
        <v>8.2695484929685929E-3</v>
      </c>
      <c r="AD74" s="336">
        <f t="shared" si="109"/>
        <v>8.3462177229271361E-3</v>
      </c>
      <c r="AE74" s="336">
        <f t="shared" ref="AE74:AL74" si="110">AE27/AE$49</f>
        <v>8.4258915641715875E-3</v>
      </c>
      <c r="AF74" s="336">
        <f t="shared" si="110"/>
        <v>8.5032223058712202E-3</v>
      </c>
      <c r="AG74" s="336">
        <f t="shared" si="110"/>
        <v>8.5799034816423942E-3</v>
      </c>
      <c r="AH74" s="336">
        <f t="shared" si="110"/>
        <v>8.6539283598193635E-3</v>
      </c>
      <c r="AI74" s="336">
        <f t="shared" si="110"/>
        <v>8.7222637230548097E-3</v>
      </c>
      <c r="AJ74" s="336">
        <f t="shared" si="110"/>
        <v>8.78931242094152E-3</v>
      </c>
      <c r="AK74" s="336">
        <f t="shared" si="110"/>
        <v>8.8474148897725469E-3</v>
      </c>
      <c r="AL74" s="336">
        <f t="shared" si="110"/>
        <v>8.9050777540507411E-3</v>
      </c>
      <c r="AM74" s="11"/>
      <c r="AN74" s="11"/>
      <c r="AO74" s="11"/>
      <c r="AP74" s="11"/>
      <c r="AQ74" s="11"/>
      <c r="AR74" s="11"/>
      <c r="AS74" s="11"/>
      <c r="AT74" s="11"/>
      <c r="AU74" s="11"/>
      <c r="AV74" s="11"/>
      <c r="AW74" s="11"/>
      <c r="AX74" s="11"/>
    </row>
    <row r="75" spans="12:50" x14ac:dyDescent="0.2">
      <c r="L75" s="232" t="str">
        <f>'Occ T3'!A30</f>
        <v>52 Skilled metal, electrical and electronic trades</v>
      </c>
      <c r="M75" s="336">
        <f t="shared" ref="M75:AD75" si="111">M28/M$49</f>
        <v>5.0269195232716953E-2</v>
      </c>
      <c r="N75" s="336">
        <f t="shared" si="111"/>
        <v>5.257931119526655E-2</v>
      </c>
      <c r="O75" s="336">
        <f t="shared" si="111"/>
        <v>4.6870969781946499E-2</v>
      </c>
      <c r="P75" s="336">
        <f t="shared" si="111"/>
        <v>5.0298253751464746E-2</v>
      </c>
      <c r="Q75" s="336">
        <f t="shared" si="111"/>
        <v>5.0237523413887167E-2</v>
      </c>
      <c r="R75" s="336">
        <f t="shared" si="111"/>
        <v>4.8491333376984552E-2</v>
      </c>
      <c r="S75" s="336">
        <f t="shared" si="111"/>
        <v>4.9877567419805868E-2</v>
      </c>
      <c r="T75" s="336">
        <f t="shared" si="111"/>
        <v>4.8909852942099437E-2</v>
      </c>
      <c r="U75" s="336">
        <f t="shared" si="111"/>
        <v>4.8937420910379406E-2</v>
      </c>
      <c r="V75" s="336">
        <f t="shared" si="111"/>
        <v>4.8149977420956815E-2</v>
      </c>
      <c r="W75" s="336">
        <f t="shared" si="111"/>
        <v>4.1374588162793199E-2</v>
      </c>
      <c r="X75" s="336">
        <f t="shared" si="111"/>
        <v>4.0862163995524337E-2</v>
      </c>
      <c r="Y75" s="336">
        <f t="shared" si="111"/>
        <v>4.0292771514085307E-2</v>
      </c>
      <c r="Z75" s="336">
        <f t="shared" si="111"/>
        <v>3.9751477584601451E-2</v>
      </c>
      <c r="AA75" s="336">
        <f t="shared" si="111"/>
        <v>3.9234508958181542E-2</v>
      </c>
      <c r="AB75" s="336">
        <f t="shared" si="111"/>
        <v>3.8758567543182902E-2</v>
      </c>
      <c r="AC75" s="336">
        <f t="shared" si="111"/>
        <v>3.8265473851440336E-2</v>
      </c>
      <c r="AD75" s="336">
        <f t="shared" si="111"/>
        <v>3.7773972082210887E-2</v>
      </c>
      <c r="AE75" s="336">
        <f t="shared" ref="AE75:AL75" si="112">AE28/AE$49</f>
        <v>3.7275571297814933E-2</v>
      </c>
      <c r="AF75" s="336">
        <f t="shared" si="112"/>
        <v>3.6780644420236284E-2</v>
      </c>
      <c r="AG75" s="336">
        <f t="shared" si="112"/>
        <v>3.6304422419195313E-2</v>
      </c>
      <c r="AH75" s="336">
        <f t="shared" si="112"/>
        <v>3.5844263466280217E-2</v>
      </c>
      <c r="AI75" s="336">
        <f t="shared" si="112"/>
        <v>3.5381370865357989E-2</v>
      </c>
      <c r="AJ75" s="336">
        <f t="shared" si="112"/>
        <v>3.4906023124044491E-2</v>
      </c>
      <c r="AK75" s="336">
        <f t="shared" si="112"/>
        <v>3.4447084483406422E-2</v>
      </c>
      <c r="AL75" s="336">
        <f t="shared" si="112"/>
        <v>3.3981958853498681E-2</v>
      </c>
      <c r="AM75" s="11"/>
      <c r="AN75" s="11"/>
      <c r="AO75" s="11"/>
      <c r="AP75" s="11"/>
      <c r="AQ75" s="11"/>
      <c r="AR75" s="11"/>
      <c r="AS75" s="11"/>
      <c r="AT75" s="11"/>
      <c r="AU75" s="11"/>
      <c r="AV75" s="11"/>
      <c r="AW75" s="11"/>
      <c r="AX75" s="11"/>
    </row>
    <row r="76" spans="12:50" x14ac:dyDescent="0.2">
      <c r="L76" s="232" t="str">
        <f>'Occ T3'!A31</f>
        <v>53 Skilled construction and building trades</v>
      </c>
      <c r="M76" s="336">
        <f t="shared" ref="M76:AD76" si="113">M29/M$49</f>
        <v>4.7533916112211173E-2</v>
      </c>
      <c r="N76" s="336">
        <f t="shared" si="113"/>
        <v>4.3278760927981476E-2</v>
      </c>
      <c r="O76" s="336">
        <f t="shared" si="113"/>
        <v>4.1319940297438386E-2</v>
      </c>
      <c r="P76" s="336">
        <f t="shared" si="113"/>
        <v>4.3104071410004871E-2</v>
      </c>
      <c r="Q76" s="336">
        <f t="shared" si="113"/>
        <v>3.8665577380252072E-2</v>
      </c>
      <c r="R76" s="336">
        <f t="shared" si="113"/>
        <v>3.6909741183986974E-2</v>
      </c>
      <c r="S76" s="336">
        <f t="shared" si="113"/>
        <v>3.5653520954672266E-2</v>
      </c>
      <c r="T76" s="336">
        <f t="shared" si="113"/>
        <v>3.7505331638378415E-2</v>
      </c>
      <c r="U76" s="336">
        <f t="shared" si="113"/>
        <v>3.8800970856048403E-2</v>
      </c>
      <c r="V76" s="336">
        <f t="shared" si="113"/>
        <v>4.1095121119507853E-2</v>
      </c>
      <c r="W76" s="336">
        <f t="shared" si="113"/>
        <v>3.3591183814109873E-2</v>
      </c>
      <c r="X76" s="336">
        <f t="shared" si="113"/>
        <v>3.4777483973468186E-2</v>
      </c>
      <c r="Y76" s="336">
        <f t="shared" si="113"/>
        <v>3.4384533123474441E-2</v>
      </c>
      <c r="Z76" s="336">
        <f t="shared" si="113"/>
        <v>3.3705694771141839E-2</v>
      </c>
      <c r="AA76" s="336">
        <f t="shared" si="113"/>
        <v>3.3159919927468542E-2</v>
      </c>
      <c r="AB76" s="336">
        <f t="shared" si="113"/>
        <v>3.2777651609545343E-2</v>
      </c>
      <c r="AC76" s="336">
        <f t="shared" si="113"/>
        <v>3.2382074741646234E-2</v>
      </c>
      <c r="AD76" s="336">
        <f t="shared" si="113"/>
        <v>3.1969513473738803E-2</v>
      </c>
      <c r="AE76" s="336">
        <f t="shared" ref="AE76:AL76" si="114">AE29/AE$49</f>
        <v>3.1592588049278482E-2</v>
      </c>
      <c r="AF76" s="336">
        <f t="shared" si="114"/>
        <v>3.1200887612884275E-2</v>
      </c>
      <c r="AG76" s="336">
        <f t="shared" si="114"/>
        <v>3.0804668799123396E-2</v>
      </c>
      <c r="AH76" s="336">
        <f t="shared" si="114"/>
        <v>3.0410115957311228E-2</v>
      </c>
      <c r="AI76" s="336">
        <f t="shared" si="114"/>
        <v>3.0024166658009114E-2</v>
      </c>
      <c r="AJ76" s="336">
        <f t="shared" si="114"/>
        <v>2.9632960312459666E-2</v>
      </c>
      <c r="AK76" s="336">
        <f t="shared" si="114"/>
        <v>2.9247597470567422E-2</v>
      </c>
      <c r="AL76" s="336">
        <f t="shared" si="114"/>
        <v>2.8858376132633246E-2</v>
      </c>
      <c r="AM76" s="11"/>
      <c r="AN76" s="11"/>
      <c r="AO76" s="11"/>
      <c r="AP76" s="11"/>
      <c r="AQ76" s="11"/>
      <c r="AR76" s="11"/>
      <c r="AS76" s="11"/>
      <c r="AT76" s="11"/>
      <c r="AU76" s="11"/>
      <c r="AV76" s="11"/>
      <c r="AW76" s="11"/>
      <c r="AX76" s="11"/>
    </row>
    <row r="77" spans="12:50" x14ac:dyDescent="0.2">
      <c r="L77" s="232" t="str">
        <f>'Occ T3'!A32</f>
        <v>54 Textiles, printing and other skilled trades</v>
      </c>
      <c r="M77" s="336">
        <f t="shared" ref="M77:AD77" si="115">M30/M$49</f>
        <v>1.8291264874820669E-2</v>
      </c>
      <c r="N77" s="336">
        <f t="shared" si="115"/>
        <v>1.9279019038261257E-2</v>
      </c>
      <c r="O77" s="336">
        <f t="shared" si="115"/>
        <v>2.0058640977363717E-2</v>
      </c>
      <c r="P77" s="336">
        <f t="shared" si="115"/>
        <v>1.9607035731579844E-2</v>
      </c>
      <c r="Q77" s="336">
        <f t="shared" si="115"/>
        <v>1.9104613524398309E-2</v>
      </c>
      <c r="R77" s="336">
        <f t="shared" si="115"/>
        <v>2.1556202642677057E-2</v>
      </c>
      <c r="S77" s="336">
        <f t="shared" si="115"/>
        <v>1.9680281679069333E-2</v>
      </c>
      <c r="T77" s="336">
        <f t="shared" si="115"/>
        <v>2.0140144092095916E-2</v>
      </c>
      <c r="U77" s="336">
        <f t="shared" si="115"/>
        <v>1.7691842479632184E-2</v>
      </c>
      <c r="V77" s="336">
        <f t="shared" si="115"/>
        <v>1.850994543076228E-2</v>
      </c>
      <c r="W77" s="336">
        <f t="shared" si="115"/>
        <v>1.7599564186524516E-2</v>
      </c>
      <c r="X77" s="336">
        <f t="shared" si="115"/>
        <v>1.7494144489644814E-2</v>
      </c>
      <c r="Y77" s="336">
        <f t="shared" si="115"/>
        <v>1.7399682172350668E-2</v>
      </c>
      <c r="Z77" s="336">
        <f t="shared" si="115"/>
        <v>1.728606920946972E-2</v>
      </c>
      <c r="AA77" s="336">
        <f t="shared" si="115"/>
        <v>1.7184651189566882E-2</v>
      </c>
      <c r="AB77" s="336">
        <f t="shared" si="115"/>
        <v>1.7077130985489453E-2</v>
      </c>
      <c r="AC77" s="336">
        <f t="shared" si="115"/>
        <v>1.6971943415058435E-2</v>
      </c>
      <c r="AD77" s="336">
        <f t="shared" si="115"/>
        <v>1.6849280998020248E-2</v>
      </c>
      <c r="AE77" s="336">
        <f t="shared" ref="AE77:AL77" si="116">AE30/AE$49</f>
        <v>1.674434991931192E-2</v>
      </c>
      <c r="AF77" s="336">
        <f t="shared" si="116"/>
        <v>1.6643566395192249E-2</v>
      </c>
      <c r="AG77" s="336">
        <f t="shared" si="116"/>
        <v>1.6539359251186672E-2</v>
      </c>
      <c r="AH77" s="336">
        <f t="shared" si="116"/>
        <v>1.6451120900507477E-2</v>
      </c>
      <c r="AI77" s="336">
        <f t="shared" si="116"/>
        <v>1.63670921448291E-2</v>
      </c>
      <c r="AJ77" s="336">
        <f t="shared" si="116"/>
        <v>1.6246010185694226E-2</v>
      </c>
      <c r="AK77" s="336">
        <f t="shared" si="116"/>
        <v>1.6103107532017335E-2</v>
      </c>
      <c r="AL77" s="336">
        <f t="shared" si="116"/>
        <v>1.5873124449393029E-2</v>
      </c>
      <c r="AM77" s="11"/>
      <c r="AN77" s="11"/>
      <c r="AO77" s="11"/>
      <c r="AP77" s="11"/>
      <c r="AQ77" s="11"/>
      <c r="AR77" s="11"/>
      <c r="AS77" s="11"/>
      <c r="AT77" s="11"/>
      <c r="AU77" s="11"/>
      <c r="AV77" s="11"/>
      <c r="AW77" s="11"/>
      <c r="AX77" s="11"/>
    </row>
    <row r="78" spans="12:50" x14ac:dyDescent="0.2">
      <c r="L78" s="232"/>
      <c r="M78" s="336"/>
      <c r="N78" s="336"/>
      <c r="O78" s="336"/>
      <c r="P78" s="336"/>
      <c r="Q78" s="336"/>
      <c r="R78" s="336"/>
      <c r="S78" s="336"/>
      <c r="T78" s="336"/>
      <c r="U78" s="336"/>
      <c r="V78" s="336"/>
      <c r="W78" s="336"/>
      <c r="X78" s="336"/>
      <c r="Y78" s="336"/>
      <c r="Z78" s="336"/>
      <c r="AA78" s="336"/>
      <c r="AB78" s="336"/>
      <c r="AC78" s="336"/>
      <c r="AD78" s="336"/>
      <c r="AE78" s="336"/>
      <c r="AF78" s="336"/>
      <c r="AG78" s="336"/>
      <c r="AH78" s="336"/>
      <c r="AI78" s="336"/>
      <c r="AJ78" s="336"/>
      <c r="AK78" s="336"/>
      <c r="AL78" s="336"/>
      <c r="AM78" s="11"/>
      <c r="AN78" s="11"/>
      <c r="AO78" s="11"/>
      <c r="AP78" s="11"/>
      <c r="AQ78" s="11"/>
      <c r="AR78" s="11"/>
      <c r="AS78" s="11"/>
      <c r="AT78" s="11"/>
      <c r="AU78" s="11"/>
      <c r="AV78" s="11"/>
      <c r="AW78" s="11"/>
      <c r="AX78" s="11"/>
    </row>
    <row r="79" spans="12:50" x14ac:dyDescent="0.2">
      <c r="L79" s="17" t="str">
        <f>'Occ T3'!A34</f>
        <v>Caring, leisure and other service occupations</v>
      </c>
      <c r="M79" s="337">
        <f t="shared" ref="M79:AD79" si="117">M32/M$49</f>
        <v>9.1934758420229995E-2</v>
      </c>
      <c r="N79" s="337">
        <f t="shared" si="117"/>
        <v>8.7465066379806375E-2</v>
      </c>
      <c r="O79" s="337">
        <f t="shared" si="117"/>
        <v>9.0487084142843413E-2</v>
      </c>
      <c r="P79" s="337">
        <f t="shared" si="117"/>
        <v>8.8107617364008878E-2</v>
      </c>
      <c r="Q79" s="337">
        <f t="shared" si="117"/>
        <v>9.2840854793893229E-2</v>
      </c>
      <c r="R79" s="337">
        <f t="shared" si="117"/>
        <v>9.1663336334940296E-2</v>
      </c>
      <c r="S79" s="337">
        <f t="shared" si="117"/>
        <v>9.0057867790609022E-2</v>
      </c>
      <c r="T79" s="337">
        <f t="shared" si="117"/>
        <v>9.0078835443050051E-2</v>
      </c>
      <c r="U79" s="337">
        <f t="shared" si="117"/>
        <v>8.8784874427031799E-2</v>
      </c>
      <c r="V79" s="337">
        <f t="shared" si="117"/>
        <v>8.9403758384578022E-2</v>
      </c>
      <c r="W79" s="337">
        <f t="shared" si="117"/>
        <v>8.9454574905111245E-2</v>
      </c>
      <c r="X79" s="337">
        <f t="shared" si="117"/>
        <v>9.1144399623154973E-2</v>
      </c>
      <c r="Y79" s="337">
        <f t="shared" si="117"/>
        <v>9.157765081064613E-2</v>
      </c>
      <c r="Z79" s="337">
        <f t="shared" si="117"/>
        <v>9.1954356752335625E-2</v>
      </c>
      <c r="AA79" s="337">
        <f t="shared" si="117"/>
        <v>9.2192535244265947E-2</v>
      </c>
      <c r="AB79" s="337">
        <f t="shared" si="117"/>
        <v>9.234626078611477E-2</v>
      </c>
      <c r="AC79" s="337">
        <f t="shared" si="117"/>
        <v>9.2440018068611948E-2</v>
      </c>
      <c r="AD79" s="337">
        <f t="shared" si="117"/>
        <v>9.2505842062749644E-2</v>
      </c>
      <c r="AE79" s="337">
        <f t="shared" ref="AE79:AL79" si="118">AE32/AE$49</f>
        <v>9.2600423496996473E-2</v>
      </c>
      <c r="AF79" s="337">
        <f t="shared" si="118"/>
        <v>9.2649265703593192E-2</v>
      </c>
      <c r="AG79" s="337">
        <f t="shared" si="118"/>
        <v>9.2738912061461953E-2</v>
      </c>
      <c r="AH79" s="337">
        <f t="shared" si="118"/>
        <v>9.2857849040434426E-2</v>
      </c>
      <c r="AI79" s="337">
        <f t="shared" si="118"/>
        <v>9.3003596951616863E-2</v>
      </c>
      <c r="AJ79" s="337">
        <f t="shared" si="118"/>
        <v>9.3155464966645146E-2</v>
      </c>
      <c r="AK79" s="337">
        <f t="shared" si="118"/>
        <v>9.3316073641314154E-2</v>
      </c>
      <c r="AL79" s="337">
        <f t="shared" si="118"/>
        <v>9.3450713883013375E-2</v>
      </c>
      <c r="AM79" s="11"/>
      <c r="AN79" s="11"/>
      <c r="AO79" s="11"/>
      <c r="AP79" s="11"/>
      <c r="AQ79" s="11"/>
      <c r="AR79" s="11"/>
      <c r="AS79" s="11"/>
      <c r="AT79" s="11"/>
      <c r="AU79" s="11"/>
      <c r="AV79" s="11"/>
      <c r="AW79" s="11"/>
      <c r="AX79" s="11"/>
    </row>
    <row r="80" spans="12:50" x14ac:dyDescent="0.2">
      <c r="L80" s="232" t="str">
        <f>'Occ T3'!A35</f>
        <v>61 Caring personal service occupations</v>
      </c>
      <c r="M80" s="336">
        <f t="shared" ref="M80:AD80" si="119">M33/M$49</f>
        <v>7.0507291493878008E-2</v>
      </c>
      <c r="N80" s="336">
        <f t="shared" si="119"/>
        <v>6.481204580983807E-2</v>
      </c>
      <c r="O80" s="336">
        <f t="shared" si="119"/>
        <v>6.8532997243162336E-2</v>
      </c>
      <c r="P80" s="336">
        <f t="shared" si="119"/>
        <v>6.6694779409695107E-2</v>
      </c>
      <c r="Q80" s="336">
        <f t="shared" si="119"/>
        <v>7.0386448071403165E-2</v>
      </c>
      <c r="R80" s="336">
        <f t="shared" si="119"/>
        <v>6.8636244079245387E-2</v>
      </c>
      <c r="S80" s="336">
        <f t="shared" si="119"/>
        <v>6.876390510104978E-2</v>
      </c>
      <c r="T80" s="336">
        <f t="shared" si="119"/>
        <v>6.7743659427978734E-2</v>
      </c>
      <c r="U80" s="336">
        <f t="shared" si="119"/>
        <v>6.4881302451679751E-2</v>
      </c>
      <c r="V80" s="336">
        <f t="shared" si="119"/>
        <v>6.4845229989592149E-2</v>
      </c>
      <c r="W80" s="336">
        <f t="shared" si="119"/>
        <v>6.6002221473728029E-2</v>
      </c>
      <c r="X80" s="336">
        <f t="shared" si="119"/>
        <v>6.8438986482258754E-2</v>
      </c>
      <c r="Y80" s="336">
        <f t="shared" si="119"/>
        <v>6.9012276297399894E-2</v>
      </c>
      <c r="Z80" s="336">
        <f t="shared" si="119"/>
        <v>6.9358722885039595E-2</v>
      </c>
      <c r="AA80" s="336">
        <f t="shared" si="119"/>
        <v>6.9555079399898509E-2</v>
      </c>
      <c r="AB80" s="336">
        <f t="shared" si="119"/>
        <v>6.968112656822395E-2</v>
      </c>
      <c r="AC80" s="336">
        <f t="shared" si="119"/>
        <v>6.9745802048105307E-2</v>
      </c>
      <c r="AD80" s="336">
        <f t="shared" si="119"/>
        <v>6.9782776894807233E-2</v>
      </c>
      <c r="AE80" s="336">
        <f t="shared" ref="AE80:AL80" si="120">AE33/AE$49</f>
        <v>6.9864262620729492E-2</v>
      </c>
      <c r="AF80" s="336">
        <f t="shared" si="120"/>
        <v>6.9907401073424191E-2</v>
      </c>
      <c r="AG80" s="336">
        <f t="shared" si="120"/>
        <v>6.9991475989533911E-2</v>
      </c>
      <c r="AH80" s="336">
        <f t="shared" si="120"/>
        <v>7.0107001287990717E-2</v>
      </c>
      <c r="AI80" s="336">
        <f t="shared" si="120"/>
        <v>7.0257825111226135E-2</v>
      </c>
      <c r="AJ80" s="336">
        <f t="shared" si="120"/>
        <v>7.0400191084775146E-2</v>
      </c>
      <c r="AK80" s="336">
        <f t="shared" si="120"/>
        <v>7.0579769283605182E-2</v>
      </c>
      <c r="AL80" s="336">
        <f t="shared" si="120"/>
        <v>7.0779572129042845E-2</v>
      </c>
      <c r="AM80" s="11"/>
      <c r="AN80" s="11"/>
      <c r="AO80" s="11"/>
      <c r="AP80" s="11"/>
      <c r="AQ80" s="11"/>
      <c r="AR80" s="11"/>
      <c r="AS80" s="11"/>
      <c r="AT80" s="11"/>
      <c r="AU80" s="11"/>
      <c r="AV80" s="11"/>
      <c r="AW80" s="11"/>
      <c r="AX80" s="11"/>
    </row>
    <row r="81" spans="12:50" x14ac:dyDescent="0.2">
      <c r="L81" s="232" t="str">
        <f>'Occ T3'!A36</f>
        <v>62 Leisure, travel and related personal service occupations</v>
      </c>
      <c r="M81" s="336">
        <f t="shared" ref="M81:AD81" si="121">M34/M$49</f>
        <v>1.9411076681451204E-2</v>
      </c>
      <c r="N81" s="336">
        <f t="shared" si="121"/>
        <v>2.122490150826015E-2</v>
      </c>
      <c r="O81" s="336">
        <f t="shared" si="121"/>
        <v>2.0572966149088347E-2</v>
      </c>
      <c r="P81" s="336">
        <f t="shared" si="121"/>
        <v>2.0073471972308212E-2</v>
      </c>
      <c r="Q81" s="336">
        <f t="shared" si="121"/>
        <v>2.1070756106435169E-2</v>
      </c>
      <c r="R81" s="336">
        <f t="shared" si="121"/>
        <v>2.1838328480311645E-2</v>
      </c>
      <c r="S81" s="336">
        <f t="shared" si="121"/>
        <v>2.0208134906752488E-2</v>
      </c>
      <c r="T81" s="336">
        <f t="shared" si="121"/>
        <v>2.1151130281459835E-2</v>
      </c>
      <c r="U81" s="336">
        <f t="shared" si="121"/>
        <v>2.2768390082266506E-2</v>
      </c>
      <c r="V81" s="336">
        <f t="shared" si="121"/>
        <v>2.3471680201483502E-2</v>
      </c>
      <c r="W81" s="336">
        <f t="shared" si="121"/>
        <v>2.2112220200775599E-2</v>
      </c>
      <c r="X81" s="336">
        <f t="shared" si="121"/>
        <v>2.160719604455762E-2</v>
      </c>
      <c r="Y81" s="336">
        <f t="shared" si="121"/>
        <v>2.1469212721785511E-2</v>
      </c>
      <c r="Z81" s="336">
        <f t="shared" si="121"/>
        <v>2.1498344746731905E-2</v>
      </c>
      <c r="AA81" s="336">
        <f t="shared" si="121"/>
        <v>2.1540483577264603E-2</v>
      </c>
      <c r="AB81" s="336">
        <f t="shared" si="121"/>
        <v>2.1563839950239437E-2</v>
      </c>
      <c r="AC81" s="336">
        <f t="shared" si="121"/>
        <v>2.1588538621019275E-2</v>
      </c>
      <c r="AD81" s="336">
        <f t="shared" si="121"/>
        <v>2.1612834128703212E-2</v>
      </c>
      <c r="AE81" s="336">
        <f t="shared" ref="AE81:AL81" si="122">AE34/AE$49</f>
        <v>2.1622021966227881E-2</v>
      </c>
      <c r="AF81" s="336">
        <f t="shared" si="122"/>
        <v>2.1623011376910046E-2</v>
      </c>
      <c r="AG81" s="336">
        <f t="shared" si="122"/>
        <v>2.1625604365092088E-2</v>
      </c>
      <c r="AH81" s="336">
        <f t="shared" si="122"/>
        <v>2.1626306837798804E-2</v>
      </c>
      <c r="AI81" s="336">
        <f t="shared" si="122"/>
        <v>2.1618257454150042E-2</v>
      </c>
      <c r="AJ81" s="336">
        <f t="shared" si="122"/>
        <v>2.1624056614678092E-2</v>
      </c>
      <c r="AK81" s="336">
        <f t="shared" si="122"/>
        <v>2.1602999856147786E-2</v>
      </c>
      <c r="AL81" s="336">
        <f t="shared" si="122"/>
        <v>2.1534738293232034E-2</v>
      </c>
      <c r="AM81" s="11"/>
      <c r="AN81" s="11"/>
      <c r="AO81" s="11"/>
      <c r="AP81" s="11"/>
      <c r="AQ81" s="11"/>
      <c r="AR81" s="11"/>
      <c r="AS81" s="11"/>
      <c r="AT81" s="11"/>
      <c r="AU81" s="11"/>
      <c r="AV81" s="11"/>
      <c r="AW81" s="11"/>
      <c r="AX81" s="11"/>
    </row>
    <row r="82" spans="12:50" x14ac:dyDescent="0.2">
      <c r="L82" s="232" t="str">
        <f>'Occ T3'!A37</f>
        <v>63 Community and civil enforcement occupations</v>
      </c>
      <c r="M82" s="336">
        <f t="shared" ref="M82:AD82" si="123">M35/M$49</f>
        <v>2.016390244900787E-3</v>
      </c>
      <c r="N82" s="336">
        <f t="shared" si="123"/>
        <v>1.4281190617081484E-3</v>
      </c>
      <c r="O82" s="336">
        <f t="shared" si="123"/>
        <v>1.3811207505927234E-3</v>
      </c>
      <c r="P82" s="336">
        <f t="shared" si="123"/>
        <v>1.3393659820055549E-3</v>
      </c>
      <c r="Q82" s="336">
        <f t="shared" si="123"/>
        <v>1.3836506160548911E-3</v>
      </c>
      <c r="R82" s="336">
        <f t="shared" si="123"/>
        <v>1.1887637753832648E-3</v>
      </c>
      <c r="S82" s="336">
        <f t="shared" si="123"/>
        <v>1.085827782806746E-3</v>
      </c>
      <c r="T82" s="336">
        <f t="shared" si="123"/>
        <v>1.1840457336114963E-3</v>
      </c>
      <c r="U82" s="336">
        <f t="shared" si="123"/>
        <v>1.1351818930855333E-3</v>
      </c>
      <c r="V82" s="336">
        <f t="shared" si="123"/>
        <v>1.0868481935023798E-3</v>
      </c>
      <c r="W82" s="336">
        <f t="shared" si="123"/>
        <v>1.340133230607614E-3</v>
      </c>
      <c r="X82" s="336">
        <f t="shared" si="123"/>
        <v>1.0982170963386062E-3</v>
      </c>
      <c r="Y82" s="336">
        <f t="shared" si="123"/>
        <v>1.0961617914607266E-3</v>
      </c>
      <c r="Z82" s="336">
        <f t="shared" si="123"/>
        <v>1.0972891205641309E-3</v>
      </c>
      <c r="AA82" s="336">
        <f t="shared" si="123"/>
        <v>1.0969722671028408E-3</v>
      </c>
      <c r="AB82" s="336">
        <f t="shared" si="123"/>
        <v>1.1012942676513814E-3</v>
      </c>
      <c r="AC82" s="336">
        <f t="shared" si="123"/>
        <v>1.1056773994873692E-3</v>
      </c>
      <c r="AD82" s="336">
        <f t="shared" si="123"/>
        <v>1.1102310392392025E-3</v>
      </c>
      <c r="AE82" s="336">
        <f t="shared" ref="AE82:AL82" si="124">AE35/AE$49</f>
        <v>1.1141389100391018E-3</v>
      </c>
      <c r="AF82" s="336">
        <f t="shared" si="124"/>
        <v>1.1188532532589554E-3</v>
      </c>
      <c r="AG82" s="336">
        <f t="shared" si="124"/>
        <v>1.1218317068359511E-3</v>
      </c>
      <c r="AH82" s="336">
        <f t="shared" si="124"/>
        <v>1.1245409146449117E-3</v>
      </c>
      <c r="AI82" s="336">
        <f t="shared" si="124"/>
        <v>1.1275143862406814E-3</v>
      </c>
      <c r="AJ82" s="336">
        <f t="shared" si="124"/>
        <v>1.1312172671919167E-3</v>
      </c>
      <c r="AK82" s="336">
        <f t="shared" si="124"/>
        <v>1.1333045015611929E-3</v>
      </c>
      <c r="AL82" s="336">
        <f t="shared" si="124"/>
        <v>1.1364034607385051E-3</v>
      </c>
      <c r="AM82" s="11"/>
      <c r="AN82" s="11"/>
      <c r="AO82" s="11"/>
      <c r="AP82" s="11"/>
      <c r="AQ82" s="11"/>
      <c r="AR82" s="11"/>
      <c r="AS82" s="11"/>
      <c r="AT82" s="11"/>
      <c r="AU82" s="11"/>
      <c r="AV82" s="11"/>
      <c r="AW82" s="11"/>
      <c r="AX82" s="11"/>
    </row>
    <row r="83" spans="12:50" x14ac:dyDescent="0.2">
      <c r="L83" s="232"/>
      <c r="M83" s="336"/>
      <c r="N83" s="336"/>
      <c r="O83" s="336"/>
      <c r="P83" s="336"/>
      <c r="Q83" s="336"/>
      <c r="R83" s="336"/>
      <c r="S83" s="336"/>
      <c r="T83" s="336"/>
      <c r="U83" s="336"/>
      <c r="V83" s="336"/>
      <c r="W83" s="336"/>
      <c r="X83" s="336"/>
      <c r="Y83" s="336"/>
      <c r="Z83" s="336"/>
      <c r="AA83" s="336"/>
      <c r="AB83" s="336"/>
      <c r="AC83" s="336"/>
      <c r="AD83" s="336"/>
      <c r="AE83" s="336"/>
      <c r="AF83" s="336"/>
      <c r="AG83" s="336"/>
      <c r="AH83" s="336"/>
      <c r="AI83" s="336"/>
      <c r="AJ83" s="336"/>
      <c r="AK83" s="336"/>
      <c r="AL83" s="336"/>
      <c r="AM83" s="11"/>
      <c r="AN83" s="11"/>
      <c r="AO83" s="11"/>
      <c r="AP83" s="11"/>
      <c r="AQ83" s="11"/>
      <c r="AR83" s="11"/>
      <c r="AS83" s="11"/>
      <c r="AT83" s="11"/>
      <c r="AU83" s="11"/>
      <c r="AV83" s="11"/>
      <c r="AW83" s="11"/>
      <c r="AX83" s="11"/>
    </row>
    <row r="84" spans="12:50" x14ac:dyDescent="0.2">
      <c r="L84" s="17" t="str">
        <f>'Occ T3'!A39</f>
        <v>Sales and customer service occupations</v>
      </c>
      <c r="M84" s="337">
        <f t="shared" ref="M84:AD84" si="125">M37/M$49</f>
        <v>0.10389489082987133</v>
      </c>
      <c r="N84" s="337">
        <f t="shared" si="125"/>
        <v>0.10630578916634632</v>
      </c>
      <c r="O84" s="337">
        <f t="shared" si="125"/>
        <v>0.1114482589183336</v>
      </c>
      <c r="P84" s="337">
        <f t="shared" si="125"/>
        <v>0.10363660804645149</v>
      </c>
      <c r="Q84" s="337">
        <f t="shared" si="125"/>
        <v>0.11453035977411531</v>
      </c>
      <c r="R84" s="337">
        <f t="shared" si="125"/>
        <v>0.11471919232703945</v>
      </c>
      <c r="S84" s="337">
        <f t="shared" si="125"/>
        <v>0.11697653620480608</v>
      </c>
      <c r="T84" s="337">
        <f t="shared" si="125"/>
        <v>0.11074035640464809</v>
      </c>
      <c r="U84" s="337">
        <f t="shared" si="125"/>
        <v>0.10329691498533074</v>
      </c>
      <c r="V84" s="337">
        <f t="shared" si="125"/>
        <v>0.10518387235294412</v>
      </c>
      <c r="W84" s="337">
        <f t="shared" si="125"/>
        <v>0.10767479991301118</v>
      </c>
      <c r="X84" s="337">
        <f t="shared" si="125"/>
        <v>0.10614419013821898</v>
      </c>
      <c r="Y84" s="337">
        <f t="shared" si="125"/>
        <v>0.10629762771253329</v>
      </c>
      <c r="Z84" s="337">
        <f t="shared" si="125"/>
        <v>0.10646182243201165</v>
      </c>
      <c r="AA84" s="337">
        <f t="shared" si="125"/>
        <v>0.10659309587776321</v>
      </c>
      <c r="AB84" s="337">
        <f t="shared" si="125"/>
        <v>0.10662765465791386</v>
      </c>
      <c r="AC84" s="337">
        <f t="shared" si="125"/>
        <v>0.10664185583920241</v>
      </c>
      <c r="AD84" s="337">
        <f t="shared" si="125"/>
        <v>0.1066038292717192</v>
      </c>
      <c r="AE84" s="337">
        <f t="shared" ref="AE84:AL84" si="126">AE37/AE$49</f>
        <v>0.10653610498557547</v>
      </c>
      <c r="AF84" s="337">
        <f t="shared" si="126"/>
        <v>0.10648826152221051</v>
      </c>
      <c r="AG84" s="337">
        <f t="shared" si="126"/>
        <v>0.10638263384196649</v>
      </c>
      <c r="AH84" s="337">
        <f t="shared" si="126"/>
        <v>0.1062522789392109</v>
      </c>
      <c r="AI84" s="337">
        <f t="shared" si="126"/>
        <v>0.10603935564193209</v>
      </c>
      <c r="AJ84" s="337">
        <f t="shared" si="126"/>
        <v>0.10586794390703219</v>
      </c>
      <c r="AK84" s="337">
        <f t="shared" si="126"/>
        <v>0.10565416134578813</v>
      </c>
      <c r="AL84" s="337">
        <f t="shared" si="126"/>
        <v>0.10535216529133838</v>
      </c>
      <c r="AM84" s="11"/>
      <c r="AN84" s="11"/>
      <c r="AO84" s="11"/>
      <c r="AP84" s="11"/>
      <c r="AQ84" s="11"/>
      <c r="AR84" s="11"/>
      <c r="AS84" s="11"/>
      <c r="AT84" s="11"/>
      <c r="AU84" s="11"/>
      <c r="AV84" s="11"/>
      <c r="AW84" s="11"/>
      <c r="AX84" s="11"/>
    </row>
    <row r="85" spans="12:50" x14ac:dyDescent="0.2">
      <c r="L85" s="232" t="str">
        <f>'Occ T3'!A40</f>
        <v>71 Sales occupations</v>
      </c>
      <c r="M85" s="336">
        <f t="shared" ref="M85:AD85" si="127">M38/M$49</f>
        <v>8.7736397765801041E-2</v>
      </c>
      <c r="N85" s="336">
        <f t="shared" si="127"/>
        <v>9.0221234126214397E-2</v>
      </c>
      <c r="O85" s="336">
        <f t="shared" si="127"/>
        <v>9.470884293278195E-2</v>
      </c>
      <c r="P85" s="336">
        <f t="shared" si="127"/>
        <v>8.7386681820669485E-2</v>
      </c>
      <c r="Q85" s="336">
        <f t="shared" si="127"/>
        <v>9.8855831031123095E-2</v>
      </c>
      <c r="R85" s="336">
        <f t="shared" si="127"/>
        <v>9.7823006059409801E-2</v>
      </c>
      <c r="S85" s="336">
        <f t="shared" si="127"/>
        <v>0.10024455290271687</v>
      </c>
      <c r="T85" s="336">
        <f t="shared" si="127"/>
        <v>9.2643439687166457E-2</v>
      </c>
      <c r="U85" s="336">
        <f t="shared" si="127"/>
        <v>8.4957394825648444E-2</v>
      </c>
      <c r="V85" s="336">
        <f t="shared" si="127"/>
        <v>8.7621149114891758E-2</v>
      </c>
      <c r="W85" s="336">
        <f t="shared" si="127"/>
        <v>8.911203215862569E-2</v>
      </c>
      <c r="X85" s="336">
        <f t="shared" si="127"/>
        <v>8.3860366295923222E-2</v>
      </c>
      <c r="Y85" s="336">
        <f t="shared" si="127"/>
        <v>8.3719547023178326E-2</v>
      </c>
      <c r="Z85" s="336">
        <f t="shared" si="127"/>
        <v>8.3599573361893748E-2</v>
      </c>
      <c r="AA85" s="336">
        <f t="shared" si="127"/>
        <v>8.3427275945859372E-2</v>
      </c>
      <c r="AB85" s="336">
        <f t="shared" si="127"/>
        <v>8.3153724329005974E-2</v>
      </c>
      <c r="AC85" s="336">
        <f t="shared" si="127"/>
        <v>8.2870077499568873E-2</v>
      </c>
      <c r="AD85" s="336">
        <f t="shared" si="127"/>
        <v>8.2536868551387449E-2</v>
      </c>
      <c r="AE85" s="336">
        <f t="shared" ref="AE85:AL85" si="128">AE38/AE$49</f>
        <v>8.2159472974786985E-2</v>
      </c>
      <c r="AF85" s="336">
        <f t="shared" si="128"/>
        <v>8.1776317918959632E-2</v>
      </c>
      <c r="AG85" s="336">
        <f t="shared" si="128"/>
        <v>8.1341571103230023E-2</v>
      </c>
      <c r="AH85" s="336">
        <f t="shared" si="128"/>
        <v>8.0865789314828615E-2</v>
      </c>
      <c r="AI85" s="336">
        <f t="shared" si="128"/>
        <v>8.031643472395425E-2</v>
      </c>
      <c r="AJ85" s="336">
        <f t="shared" si="128"/>
        <v>7.9809912846119421E-2</v>
      </c>
      <c r="AK85" s="336">
        <f t="shared" si="128"/>
        <v>7.9273612169606905E-2</v>
      </c>
      <c r="AL85" s="336">
        <f t="shared" si="128"/>
        <v>7.863701604255334E-2</v>
      </c>
      <c r="AM85" s="11"/>
      <c r="AN85" s="11"/>
      <c r="AO85" s="11"/>
      <c r="AP85" s="11"/>
      <c r="AQ85" s="11"/>
      <c r="AR85" s="11"/>
      <c r="AS85" s="11"/>
      <c r="AT85" s="11"/>
      <c r="AU85" s="11"/>
      <c r="AV85" s="11"/>
      <c r="AW85" s="11"/>
      <c r="AX85" s="11"/>
    </row>
    <row r="86" spans="12:50" x14ac:dyDescent="0.2">
      <c r="L86" s="232" t="str">
        <f>'Occ T3'!A41</f>
        <v>72 Customer service occupations</v>
      </c>
      <c r="M86" s="336">
        <f t="shared" ref="M86:AD86" si="129">M39/M$49</f>
        <v>1.6158493064070287E-2</v>
      </c>
      <c r="N86" s="336">
        <f t="shared" si="129"/>
        <v>1.6084555040131933E-2</v>
      </c>
      <c r="O86" s="336">
        <f t="shared" si="129"/>
        <v>1.6739415985551641E-2</v>
      </c>
      <c r="P86" s="336">
        <f t="shared" si="129"/>
        <v>1.6249926225782002E-2</v>
      </c>
      <c r="Q86" s="336">
        <f t="shared" si="129"/>
        <v>1.5674528742992206E-2</v>
      </c>
      <c r="R86" s="336">
        <f t="shared" si="129"/>
        <v>1.6896186267629659E-2</v>
      </c>
      <c r="S86" s="336">
        <f t="shared" si="129"/>
        <v>1.6731983302089196E-2</v>
      </c>
      <c r="T86" s="336">
        <f t="shared" si="129"/>
        <v>1.8096916717481638E-2</v>
      </c>
      <c r="U86" s="336">
        <f t="shared" si="129"/>
        <v>1.8339520159682279E-2</v>
      </c>
      <c r="V86" s="336">
        <f t="shared" si="129"/>
        <v>1.7562723238052354E-2</v>
      </c>
      <c r="W86" s="336">
        <f t="shared" si="129"/>
        <v>1.8562767754385496E-2</v>
      </c>
      <c r="X86" s="336">
        <f t="shared" si="129"/>
        <v>2.2283823842295755E-2</v>
      </c>
      <c r="Y86" s="336">
        <f t="shared" si="129"/>
        <v>2.2578080689354983E-2</v>
      </c>
      <c r="Z86" s="336">
        <f t="shared" si="129"/>
        <v>2.2862249070117916E-2</v>
      </c>
      <c r="AA86" s="336">
        <f t="shared" si="129"/>
        <v>2.3165819931903829E-2</v>
      </c>
      <c r="AB86" s="336">
        <f t="shared" si="129"/>
        <v>2.3473930328907898E-2</v>
      </c>
      <c r="AC86" s="336">
        <f t="shared" si="129"/>
        <v>2.377177833963354E-2</v>
      </c>
      <c r="AD86" s="336">
        <f t="shared" si="129"/>
        <v>2.4066960720331765E-2</v>
      </c>
      <c r="AE86" s="336">
        <f t="shared" ref="AE86:AL86" si="130">AE39/AE$49</f>
        <v>2.437663201078849E-2</v>
      </c>
      <c r="AF86" s="336">
        <f t="shared" si="130"/>
        <v>2.471194360325089E-2</v>
      </c>
      <c r="AG86" s="336">
        <f t="shared" si="130"/>
        <v>2.5041062738736467E-2</v>
      </c>
      <c r="AH86" s="336">
        <f t="shared" si="130"/>
        <v>2.538648962438228E-2</v>
      </c>
      <c r="AI86" s="336">
        <f t="shared" si="130"/>
        <v>2.5722920917977843E-2</v>
      </c>
      <c r="AJ86" s="336">
        <f t="shared" si="130"/>
        <v>2.6058031060912777E-2</v>
      </c>
      <c r="AK86" s="336">
        <f t="shared" si="130"/>
        <v>2.6380549176181229E-2</v>
      </c>
      <c r="AL86" s="336">
        <f t="shared" si="130"/>
        <v>2.6715149248785042E-2</v>
      </c>
      <c r="AM86" s="11"/>
      <c r="AN86" s="11"/>
      <c r="AO86" s="11"/>
      <c r="AP86" s="11"/>
      <c r="AQ86" s="11"/>
      <c r="AR86" s="11"/>
      <c r="AS86" s="11"/>
      <c r="AT86" s="11"/>
      <c r="AU86" s="11"/>
      <c r="AV86" s="11"/>
      <c r="AW86" s="11"/>
      <c r="AX86" s="11"/>
    </row>
    <row r="87" spans="12:50" x14ac:dyDescent="0.2">
      <c r="L87" s="232"/>
      <c r="M87" s="336"/>
      <c r="N87" s="336"/>
      <c r="O87" s="336"/>
      <c r="P87" s="336"/>
      <c r="Q87" s="336"/>
      <c r="R87" s="336"/>
      <c r="S87" s="336"/>
      <c r="T87" s="336"/>
      <c r="U87" s="336"/>
      <c r="V87" s="336"/>
      <c r="W87" s="336"/>
      <c r="X87" s="336"/>
      <c r="Y87" s="336"/>
      <c r="Z87" s="336"/>
      <c r="AA87" s="336"/>
      <c r="AB87" s="336"/>
      <c r="AC87" s="336"/>
      <c r="AD87" s="336"/>
      <c r="AE87" s="336"/>
      <c r="AF87" s="336"/>
      <c r="AG87" s="336"/>
      <c r="AH87" s="336"/>
      <c r="AI87" s="336"/>
      <c r="AJ87" s="336"/>
      <c r="AK87" s="336"/>
      <c r="AL87" s="336"/>
      <c r="AM87" s="11"/>
      <c r="AN87" s="11"/>
      <c r="AO87" s="11"/>
      <c r="AP87" s="11"/>
      <c r="AQ87" s="11"/>
      <c r="AR87" s="11"/>
      <c r="AS87" s="11"/>
      <c r="AT87" s="11"/>
      <c r="AU87" s="11"/>
      <c r="AV87" s="11"/>
      <c r="AW87" s="11"/>
      <c r="AX87" s="11"/>
    </row>
    <row r="88" spans="12:50" x14ac:dyDescent="0.2">
      <c r="L88" s="17" t="str">
        <f>'Occ T3'!A43</f>
        <v>Process, plant and machine operatives</v>
      </c>
      <c r="M88" s="337">
        <f t="shared" ref="M88:AD88" si="131">M41/M$49</f>
        <v>8.1353893589240528E-2</v>
      </c>
      <c r="N88" s="337">
        <f t="shared" si="131"/>
        <v>8.1175264576143699E-2</v>
      </c>
      <c r="O88" s="337">
        <f t="shared" si="131"/>
        <v>7.9293721052602933E-2</v>
      </c>
      <c r="P88" s="337">
        <f t="shared" si="131"/>
        <v>8.880418687297785E-2</v>
      </c>
      <c r="Q88" s="337">
        <f t="shared" si="131"/>
        <v>8.0353782696804765E-2</v>
      </c>
      <c r="R88" s="337">
        <f t="shared" si="131"/>
        <v>7.8159691232888809E-2</v>
      </c>
      <c r="S88" s="337">
        <f t="shared" si="131"/>
        <v>8.3249176906002961E-2</v>
      </c>
      <c r="T88" s="337">
        <f t="shared" si="131"/>
        <v>8.4835896676955722E-2</v>
      </c>
      <c r="U88" s="337">
        <f t="shared" si="131"/>
        <v>9.1860058087376711E-2</v>
      </c>
      <c r="V88" s="337">
        <f t="shared" si="131"/>
        <v>8.3211915741237125E-2</v>
      </c>
      <c r="W88" s="337">
        <f t="shared" si="131"/>
        <v>7.4289536775577231E-2</v>
      </c>
      <c r="X88" s="337">
        <f t="shared" si="131"/>
        <v>8.2040647896510749E-2</v>
      </c>
      <c r="Y88" s="337">
        <f t="shared" si="131"/>
        <v>8.1275403148109826E-2</v>
      </c>
      <c r="Z88" s="337">
        <f t="shared" si="131"/>
        <v>8.0638270608060239E-2</v>
      </c>
      <c r="AA88" s="337">
        <f t="shared" si="131"/>
        <v>8.0010203885186745E-2</v>
      </c>
      <c r="AB88" s="337">
        <f t="shared" si="131"/>
        <v>7.9327040912217484E-2</v>
      </c>
      <c r="AC88" s="337">
        <f t="shared" si="131"/>
        <v>7.87162019730787E-2</v>
      </c>
      <c r="AD88" s="337">
        <f t="shared" si="131"/>
        <v>7.807884589568384E-2</v>
      </c>
      <c r="AE88" s="337">
        <f t="shared" ref="AE88:AL88" si="132">AE41/AE$49</f>
        <v>7.7394361917629065E-2</v>
      </c>
      <c r="AF88" s="337">
        <f t="shared" si="132"/>
        <v>7.673570986475213E-2</v>
      </c>
      <c r="AG88" s="337">
        <f t="shared" si="132"/>
        <v>7.6097379317180552E-2</v>
      </c>
      <c r="AH88" s="337">
        <f t="shared" si="132"/>
        <v>7.5526080460664793E-2</v>
      </c>
      <c r="AI88" s="337">
        <f t="shared" si="132"/>
        <v>7.4997289607007731E-2</v>
      </c>
      <c r="AJ88" s="337">
        <f t="shared" si="132"/>
        <v>7.4434348855589264E-2</v>
      </c>
      <c r="AK88" s="337">
        <f t="shared" si="132"/>
        <v>7.3860388403156549E-2</v>
      </c>
      <c r="AL88" s="337">
        <f t="shared" si="132"/>
        <v>7.3320833681890352E-2</v>
      </c>
      <c r="AM88" s="11"/>
      <c r="AN88" s="11"/>
      <c r="AO88" s="11"/>
      <c r="AP88" s="11"/>
      <c r="AQ88" s="11"/>
      <c r="AR88" s="11"/>
      <c r="AS88" s="11"/>
      <c r="AT88" s="11"/>
      <c r="AU88" s="11"/>
      <c r="AV88" s="11"/>
      <c r="AW88" s="11"/>
      <c r="AX88" s="11"/>
    </row>
    <row r="89" spans="12:50" x14ac:dyDescent="0.2">
      <c r="L89" s="232" t="str">
        <f>'Occ T3'!A44</f>
        <v>81 Process, plant and machine operatives</v>
      </c>
      <c r="M89" s="336">
        <f t="shared" ref="M89:AD89" si="133">M42/M$49</f>
        <v>4.4018367981260104E-2</v>
      </c>
      <c r="N89" s="336">
        <f t="shared" si="133"/>
        <v>3.9628253307707535E-2</v>
      </c>
      <c r="O89" s="336">
        <f t="shared" si="133"/>
        <v>4.2068973463282346E-2</v>
      </c>
      <c r="P89" s="336">
        <f t="shared" si="133"/>
        <v>4.6335731501856423E-2</v>
      </c>
      <c r="Q89" s="336">
        <f t="shared" si="133"/>
        <v>4.2682156786047164E-2</v>
      </c>
      <c r="R89" s="336">
        <f t="shared" si="133"/>
        <v>4.1855502390030004E-2</v>
      </c>
      <c r="S89" s="336">
        <f t="shared" si="133"/>
        <v>4.2241562761581766E-2</v>
      </c>
      <c r="T89" s="336">
        <f t="shared" si="133"/>
        <v>4.3642877670905834E-2</v>
      </c>
      <c r="U89" s="336">
        <f t="shared" si="133"/>
        <v>4.3684333211157195E-2</v>
      </c>
      <c r="V89" s="336">
        <f t="shared" si="133"/>
        <v>3.9096384711478423E-2</v>
      </c>
      <c r="W89" s="336">
        <f t="shared" si="133"/>
        <v>3.4438036843251217E-2</v>
      </c>
      <c r="X89" s="336">
        <f t="shared" si="133"/>
        <v>4.0938150890987714E-2</v>
      </c>
      <c r="Y89" s="336">
        <f t="shared" si="133"/>
        <v>4.0711787836976598E-2</v>
      </c>
      <c r="Z89" s="336">
        <f t="shared" si="133"/>
        <v>4.0493493454955995E-2</v>
      </c>
      <c r="AA89" s="336">
        <f t="shared" si="133"/>
        <v>4.0221162475871444E-2</v>
      </c>
      <c r="AB89" s="336">
        <f t="shared" si="133"/>
        <v>3.9851112272402268E-2</v>
      </c>
      <c r="AC89" s="336">
        <f t="shared" si="133"/>
        <v>3.9555392987302124E-2</v>
      </c>
      <c r="AD89" s="336">
        <f t="shared" si="133"/>
        <v>3.924859613383766E-2</v>
      </c>
      <c r="AE89" s="336">
        <f t="shared" ref="AE89:AL89" si="134">AE42/AE$49</f>
        <v>3.8912276961864771E-2</v>
      </c>
      <c r="AF89" s="336">
        <f t="shared" si="134"/>
        <v>3.8590283392179771E-2</v>
      </c>
      <c r="AG89" s="336">
        <f t="shared" si="134"/>
        <v>3.8300312052688766E-2</v>
      </c>
      <c r="AH89" s="336">
        <f t="shared" si="134"/>
        <v>3.8032061442363652E-2</v>
      </c>
      <c r="AI89" s="336">
        <f t="shared" si="134"/>
        <v>3.7778096585260747E-2</v>
      </c>
      <c r="AJ89" s="336">
        <f t="shared" si="134"/>
        <v>3.7511646224439275E-2</v>
      </c>
      <c r="AK89" s="336">
        <f t="shared" si="134"/>
        <v>3.7238800717893733E-2</v>
      </c>
      <c r="AL89" s="336">
        <f t="shared" si="134"/>
        <v>3.6991972443864131E-2</v>
      </c>
      <c r="AM89" s="11"/>
      <c r="AN89" s="11"/>
      <c r="AO89" s="11"/>
      <c r="AP89" s="11"/>
      <c r="AQ89" s="11"/>
      <c r="AR89" s="11"/>
      <c r="AS89" s="11"/>
      <c r="AT89" s="11"/>
      <c r="AU89" s="11"/>
      <c r="AV89" s="11"/>
      <c r="AW89" s="11"/>
      <c r="AX89" s="11"/>
    </row>
    <row r="90" spans="12:50" x14ac:dyDescent="0.2">
      <c r="L90" s="232" t="str">
        <f>'Occ T3'!A45</f>
        <v>82 Transport and mobile machine drivers and operatives</v>
      </c>
      <c r="M90" s="336">
        <f t="shared" ref="M90:AD90" si="135">M43/M$49</f>
        <v>3.7335525607980424E-2</v>
      </c>
      <c r="N90" s="336">
        <f t="shared" si="135"/>
        <v>4.1547011268436171E-2</v>
      </c>
      <c r="O90" s="336">
        <f t="shared" si="135"/>
        <v>3.7224747589320588E-2</v>
      </c>
      <c r="P90" s="336">
        <f t="shared" si="135"/>
        <v>4.2468455371121434E-2</v>
      </c>
      <c r="Q90" s="336">
        <f t="shared" si="135"/>
        <v>3.7671625910757588E-2</v>
      </c>
      <c r="R90" s="336">
        <f t="shared" si="135"/>
        <v>3.6304188842858805E-2</v>
      </c>
      <c r="S90" s="336">
        <f t="shared" si="135"/>
        <v>4.1007614144421181E-2</v>
      </c>
      <c r="T90" s="336">
        <f t="shared" si="135"/>
        <v>4.1193019006049887E-2</v>
      </c>
      <c r="U90" s="336">
        <f t="shared" si="135"/>
        <v>4.8175724876219517E-2</v>
      </c>
      <c r="V90" s="336">
        <f t="shared" si="135"/>
        <v>4.4115531029758709E-2</v>
      </c>
      <c r="W90" s="336">
        <f t="shared" si="135"/>
        <v>3.9851499932326007E-2</v>
      </c>
      <c r="X90" s="336">
        <f t="shared" si="135"/>
        <v>4.1102497005523035E-2</v>
      </c>
      <c r="Y90" s="336">
        <f t="shared" si="135"/>
        <v>4.0563615311133221E-2</v>
      </c>
      <c r="Z90" s="336">
        <f t="shared" si="135"/>
        <v>4.0144777153104244E-2</v>
      </c>
      <c r="AA90" s="336">
        <f t="shared" si="135"/>
        <v>3.9789041409315301E-2</v>
      </c>
      <c r="AB90" s="336">
        <f t="shared" si="135"/>
        <v>3.9475928639815215E-2</v>
      </c>
      <c r="AC90" s="336">
        <f t="shared" si="135"/>
        <v>3.9160808985776577E-2</v>
      </c>
      <c r="AD90" s="336">
        <f t="shared" si="135"/>
        <v>3.8830249761846181E-2</v>
      </c>
      <c r="AE90" s="336">
        <f t="shared" ref="AE90:AL90" si="136">AE43/AE$49</f>
        <v>3.8482084955764301E-2</v>
      </c>
      <c r="AF90" s="336">
        <f t="shared" si="136"/>
        <v>3.8145426472572352E-2</v>
      </c>
      <c r="AG90" s="336">
        <f t="shared" si="136"/>
        <v>3.7797067264491772E-2</v>
      </c>
      <c r="AH90" s="336">
        <f t="shared" si="136"/>
        <v>3.7494019018301142E-2</v>
      </c>
      <c r="AI90" s="336">
        <f t="shared" si="136"/>
        <v>3.7219193021746984E-2</v>
      </c>
      <c r="AJ90" s="336">
        <f t="shared" si="136"/>
        <v>3.6922702631149981E-2</v>
      </c>
      <c r="AK90" s="336">
        <f t="shared" si="136"/>
        <v>3.6621587685262823E-2</v>
      </c>
      <c r="AL90" s="336">
        <f t="shared" si="136"/>
        <v>3.6328861238026214E-2</v>
      </c>
      <c r="AM90" s="11"/>
      <c r="AN90" s="11"/>
      <c r="AO90" s="11"/>
      <c r="AP90" s="11"/>
      <c r="AQ90" s="11"/>
      <c r="AR90" s="11"/>
      <c r="AS90" s="11"/>
      <c r="AT90" s="11"/>
      <c r="AU90" s="11"/>
      <c r="AV90" s="11"/>
      <c r="AW90" s="11"/>
      <c r="AX90" s="11"/>
    </row>
    <row r="91" spans="12:50" x14ac:dyDescent="0.2">
      <c r="L91" s="232"/>
      <c r="M91" s="336"/>
      <c r="N91" s="336"/>
      <c r="O91" s="336"/>
      <c r="P91" s="336"/>
      <c r="Q91" s="336"/>
      <c r="R91" s="336"/>
      <c r="S91" s="336"/>
      <c r="T91" s="336"/>
      <c r="U91" s="336"/>
      <c r="V91" s="336"/>
      <c r="W91" s="336"/>
      <c r="X91" s="336"/>
      <c r="Y91" s="336"/>
      <c r="Z91" s="336"/>
      <c r="AA91" s="336"/>
      <c r="AB91" s="336"/>
      <c r="AC91" s="336"/>
      <c r="AD91" s="336"/>
      <c r="AE91" s="336"/>
      <c r="AF91" s="336"/>
      <c r="AG91" s="336"/>
      <c r="AH91" s="336"/>
      <c r="AI91" s="336"/>
      <c r="AJ91" s="336"/>
      <c r="AK91" s="336"/>
      <c r="AL91" s="336"/>
      <c r="AM91" s="11"/>
      <c r="AN91" s="11"/>
      <c r="AO91" s="11"/>
      <c r="AP91" s="11"/>
      <c r="AQ91" s="11"/>
      <c r="AR91" s="11"/>
      <c r="AS91" s="11"/>
      <c r="AT91" s="11"/>
      <c r="AU91" s="11"/>
      <c r="AV91" s="11"/>
      <c r="AW91" s="11"/>
      <c r="AX91" s="11"/>
    </row>
    <row r="92" spans="12:50" x14ac:dyDescent="0.2">
      <c r="L92" s="17" t="str">
        <f>'Occ T3'!A47</f>
        <v>Elementary occupations</v>
      </c>
      <c r="M92" s="337">
        <f t="shared" ref="M92:AD92" si="137">M45/M$49</f>
        <v>0.12513353670762595</v>
      </c>
      <c r="N92" s="337">
        <f t="shared" si="137"/>
        <v>0.12221425813570176</v>
      </c>
      <c r="O92" s="337">
        <f t="shared" si="137"/>
        <v>0.11971074126133403</v>
      </c>
      <c r="P92" s="337">
        <f t="shared" si="137"/>
        <v>0.12025398160627412</v>
      </c>
      <c r="Q92" s="337">
        <f t="shared" si="137"/>
        <v>0.11985433683023447</v>
      </c>
      <c r="R92" s="337">
        <f t="shared" si="137"/>
        <v>0.12329972036066499</v>
      </c>
      <c r="S92" s="337">
        <f t="shared" si="137"/>
        <v>0.12548224594232638</v>
      </c>
      <c r="T92" s="337">
        <f t="shared" si="137"/>
        <v>0.12793884671054762</v>
      </c>
      <c r="U92" s="337">
        <f t="shared" si="137"/>
        <v>0.11935390624377973</v>
      </c>
      <c r="V92" s="337">
        <f t="shared" si="137"/>
        <v>0.11664239825344762</v>
      </c>
      <c r="W92" s="337">
        <f t="shared" si="137"/>
        <v>0.11024240084177628</v>
      </c>
      <c r="X92" s="337">
        <f t="shared" si="137"/>
        <v>0.11047788448320696</v>
      </c>
      <c r="Y92" s="337">
        <f t="shared" si="137"/>
        <v>0.10908914285342694</v>
      </c>
      <c r="Z92" s="337">
        <f t="shared" si="137"/>
        <v>0.10799137197894239</v>
      </c>
      <c r="AA92" s="337">
        <f t="shared" si="137"/>
        <v>0.1070849241566125</v>
      </c>
      <c r="AB92" s="337">
        <f t="shared" si="137"/>
        <v>0.10630828236727459</v>
      </c>
      <c r="AC92" s="337">
        <f t="shared" si="137"/>
        <v>0.1056724459987676</v>
      </c>
      <c r="AD92" s="337">
        <f t="shared" si="137"/>
        <v>0.10506284602569396</v>
      </c>
      <c r="AE92" s="337">
        <f t="shared" ref="AE92:AL92" si="138">AE45/AE$49</f>
        <v>0.10454251273880764</v>
      </c>
      <c r="AF92" s="337">
        <f t="shared" si="138"/>
        <v>0.10402746489283521</v>
      </c>
      <c r="AG92" s="337">
        <f t="shared" si="138"/>
        <v>0.10349279985252771</v>
      </c>
      <c r="AH92" s="337">
        <f t="shared" si="138"/>
        <v>0.10295999195545116</v>
      </c>
      <c r="AI92" s="337">
        <f t="shared" si="138"/>
        <v>0.10249148509068112</v>
      </c>
      <c r="AJ92" s="337">
        <f t="shared" si="138"/>
        <v>0.10198690994827685</v>
      </c>
      <c r="AK92" s="337">
        <f t="shared" si="138"/>
        <v>0.1014569489345787</v>
      </c>
      <c r="AL92" s="337">
        <f t="shared" si="138"/>
        <v>0.10090593685355331</v>
      </c>
      <c r="AM92" s="11"/>
      <c r="AN92" s="11"/>
      <c r="AO92" s="11"/>
      <c r="AP92" s="11"/>
      <c r="AQ92" s="11"/>
      <c r="AR92" s="11"/>
      <c r="AS92" s="11"/>
      <c r="AT92" s="11"/>
      <c r="AU92" s="11"/>
      <c r="AV92" s="11"/>
      <c r="AW92" s="11"/>
      <c r="AX92" s="11"/>
    </row>
    <row r="93" spans="12:50" x14ac:dyDescent="0.2">
      <c r="L93" s="232" t="str">
        <f>'Occ T3'!A48</f>
        <v>91 Elementary trades and related occupations</v>
      </c>
      <c r="M93" s="336">
        <f t="shared" ref="M93:AD93" si="139">M46/M$49</f>
        <v>1.6809227111361888E-2</v>
      </c>
      <c r="N93" s="336">
        <f t="shared" si="139"/>
        <v>1.6673081805146431E-2</v>
      </c>
      <c r="O93" s="336">
        <f t="shared" si="139"/>
        <v>1.6490776208983066E-2</v>
      </c>
      <c r="P93" s="336">
        <f t="shared" si="139"/>
        <v>1.6837453004341935E-2</v>
      </c>
      <c r="Q93" s="336">
        <f t="shared" si="139"/>
        <v>1.8470587805773587E-2</v>
      </c>
      <c r="R93" s="336">
        <f t="shared" si="139"/>
        <v>1.7781714968417503E-2</v>
      </c>
      <c r="S93" s="336">
        <f t="shared" si="139"/>
        <v>1.807959517263345E-2</v>
      </c>
      <c r="T93" s="336">
        <f t="shared" si="139"/>
        <v>1.6934952797408837E-2</v>
      </c>
      <c r="U93" s="336">
        <f t="shared" si="139"/>
        <v>1.7865057503460846E-2</v>
      </c>
      <c r="V93" s="336">
        <f t="shared" si="139"/>
        <v>1.5767671573198111E-2</v>
      </c>
      <c r="W93" s="336">
        <f t="shared" si="139"/>
        <v>1.3978475394105287E-2</v>
      </c>
      <c r="X93" s="336">
        <f t="shared" si="139"/>
        <v>1.1574798869537601E-2</v>
      </c>
      <c r="Y93" s="336">
        <f t="shared" si="139"/>
        <v>1.1454914690755311E-2</v>
      </c>
      <c r="Z93" s="336">
        <f t="shared" si="139"/>
        <v>1.1317227266481905E-2</v>
      </c>
      <c r="AA93" s="336">
        <f t="shared" si="139"/>
        <v>1.1189767079364218E-2</v>
      </c>
      <c r="AB93" s="336">
        <f t="shared" si="139"/>
        <v>1.1067635057886174E-2</v>
      </c>
      <c r="AC93" s="336">
        <f t="shared" si="139"/>
        <v>1.0943213434233554E-2</v>
      </c>
      <c r="AD93" s="336">
        <f t="shared" si="139"/>
        <v>1.0822662824671528E-2</v>
      </c>
      <c r="AE93" s="336">
        <f t="shared" ref="AE93:AL93" si="140">AE46/AE$49</f>
        <v>1.0703327560785294E-2</v>
      </c>
      <c r="AF93" s="336">
        <f t="shared" si="140"/>
        <v>1.0583676280302047E-2</v>
      </c>
      <c r="AG93" s="336">
        <f t="shared" si="140"/>
        <v>1.0465871144634018E-2</v>
      </c>
      <c r="AH93" s="336">
        <f t="shared" si="140"/>
        <v>1.0352457548515855E-2</v>
      </c>
      <c r="AI93" s="336">
        <f t="shared" si="140"/>
        <v>1.0237006184658498E-2</v>
      </c>
      <c r="AJ93" s="336">
        <f t="shared" si="140"/>
        <v>1.0122624696098722E-2</v>
      </c>
      <c r="AK93" s="336">
        <f t="shared" si="140"/>
        <v>1.0015489735385592E-2</v>
      </c>
      <c r="AL93" s="336">
        <f t="shared" si="140"/>
        <v>9.9053630212913562E-3</v>
      </c>
      <c r="AM93" s="11"/>
      <c r="AN93" s="11"/>
      <c r="AO93" s="11"/>
      <c r="AP93" s="11"/>
      <c r="AQ93" s="11"/>
      <c r="AR93" s="11"/>
      <c r="AS93" s="11"/>
      <c r="AT93" s="11"/>
      <c r="AU93" s="11"/>
      <c r="AV93" s="11"/>
      <c r="AW93" s="11"/>
      <c r="AX93" s="11"/>
    </row>
    <row r="94" spans="12:50" x14ac:dyDescent="0.2">
      <c r="L94" s="232" t="str">
        <f>'Occ T3'!A49</f>
        <v>92 Elementary administration and service occupations</v>
      </c>
      <c r="M94" s="336">
        <f t="shared" ref="M94:AD94" si="141">M47/M$49</f>
        <v>0.10832430959626405</v>
      </c>
      <c r="N94" s="336">
        <f t="shared" si="141"/>
        <v>0.10554117633055533</v>
      </c>
      <c r="O94" s="336">
        <f t="shared" si="141"/>
        <v>0.10321996505235095</v>
      </c>
      <c r="P94" s="336">
        <f t="shared" si="141"/>
        <v>0.10341652860193221</v>
      </c>
      <c r="Q94" s="336">
        <f t="shared" si="141"/>
        <v>0.10138374902446089</v>
      </c>
      <c r="R94" s="336">
        <f t="shared" si="141"/>
        <v>0.10551800539224748</v>
      </c>
      <c r="S94" s="336">
        <f t="shared" si="141"/>
        <v>0.10740265076969292</v>
      </c>
      <c r="T94" s="336">
        <f t="shared" si="141"/>
        <v>0.11100389391313877</v>
      </c>
      <c r="U94" s="336">
        <f t="shared" si="141"/>
        <v>0.10148884874031888</v>
      </c>
      <c r="V94" s="336">
        <f t="shared" si="141"/>
        <v>0.10087472668024951</v>
      </c>
      <c r="W94" s="336">
        <f t="shared" si="141"/>
        <v>9.6263925447670998E-2</v>
      </c>
      <c r="X94" s="336">
        <f t="shared" si="141"/>
        <v>9.8903085613669367E-2</v>
      </c>
      <c r="Y94" s="336">
        <f t="shared" si="141"/>
        <v>9.7634228162671616E-2</v>
      </c>
      <c r="Z94" s="336">
        <f t="shared" si="141"/>
        <v>9.6674144712460483E-2</v>
      </c>
      <c r="AA94" s="336">
        <f t="shared" si="141"/>
        <v>9.5895157077248272E-2</v>
      </c>
      <c r="AB94" s="336">
        <f t="shared" si="141"/>
        <v>9.5240647309388415E-2</v>
      </c>
      <c r="AC94" s="336">
        <f t="shared" si="141"/>
        <v>9.4729232564534041E-2</v>
      </c>
      <c r="AD94" s="336">
        <f t="shared" si="141"/>
        <v>9.424018320102244E-2</v>
      </c>
      <c r="AE94" s="336">
        <f t="shared" ref="AE94:AL94" si="142">AE47/AE$49</f>
        <v>9.3839185178022352E-2</v>
      </c>
      <c r="AF94" s="336">
        <f t="shared" si="142"/>
        <v>9.3443788612533149E-2</v>
      </c>
      <c r="AG94" s="336">
        <f t="shared" si="142"/>
        <v>9.3026928707893683E-2</v>
      </c>
      <c r="AH94" s="336">
        <f t="shared" si="142"/>
        <v>9.260753440693531E-2</v>
      </c>
      <c r="AI94" s="336">
        <f t="shared" si="142"/>
        <v>9.2254478906022633E-2</v>
      </c>
      <c r="AJ94" s="336">
        <f t="shared" si="142"/>
        <v>9.1864285252178129E-2</v>
      </c>
      <c r="AK94" s="336">
        <f t="shared" si="142"/>
        <v>9.1441459199193095E-2</v>
      </c>
      <c r="AL94" s="336">
        <f t="shared" si="142"/>
        <v>9.1000573832261969E-2</v>
      </c>
      <c r="AM94" s="11"/>
      <c r="AN94" s="11"/>
      <c r="AO94" s="11"/>
      <c r="AP94" s="11"/>
      <c r="AQ94" s="11"/>
      <c r="AR94" s="11"/>
      <c r="AS94" s="11"/>
      <c r="AT94" s="11"/>
      <c r="AU94" s="11"/>
      <c r="AV94" s="11"/>
      <c r="AW94" s="11"/>
      <c r="AX94" s="11"/>
    </row>
    <row r="95" spans="12:50" x14ac:dyDescent="0.2">
      <c r="L95" s="232"/>
      <c r="M95" s="336"/>
      <c r="N95" s="336"/>
      <c r="O95" s="336"/>
      <c r="P95" s="336"/>
      <c r="Q95" s="336"/>
      <c r="R95" s="336"/>
      <c r="S95" s="336"/>
      <c r="T95" s="336"/>
      <c r="U95" s="336"/>
      <c r="V95" s="336"/>
      <c r="W95" s="336"/>
      <c r="X95" s="336"/>
      <c r="Y95" s="336"/>
      <c r="Z95" s="336"/>
      <c r="AA95" s="336"/>
      <c r="AB95" s="336"/>
      <c r="AC95" s="336"/>
      <c r="AD95" s="336"/>
      <c r="AE95" s="336"/>
      <c r="AF95" s="336"/>
      <c r="AG95" s="336"/>
      <c r="AH95" s="336"/>
      <c r="AI95" s="336"/>
      <c r="AJ95" s="336"/>
      <c r="AK95" s="336"/>
      <c r="AL95" s="336"/>
      <c r="AM95" s="11"/>
      <c r="AN95" s="11"/>
      <c r="AO95" s="11"/>
      <c r="AP95" s="11"/>
      <c r="AQ95" s="11"/>
      <c r="AR95" s="11"/>
      <c r="AS95" s="11"/>
      <c r="AT95" s="11"/>
      <c r="AU95" s="11"/>
      <c r="AV95" s="11"/>
      <c r="AW95" s="11"/>
      <c r="AX95" s="11"/>
    </row>
    <row r="96" spans="12:50" x14ac:dyDescent="0.2">
      <c r="L96" s="17" t="str">
        <f>'Occ T3'!A51</f>
        <v>All occupations</v>
      </c>
      <c r="M96" s="337">
        <f t="shared" ref="M96:AD96" si="143">M49/M$49</f>
        <v>1</v>
      </c>
      <c r="N96" s="337">
        <f t="shared" si="143"/>
        <v>1</v>
      </c>
      <c r="O96" s="337">
        <f t="shared" si="143"/>
        <v>1</v>
      </c>
      <c r="P96" s="337">
        <f t="shared" si="143"/>
        <v>1</v>
      </c>
      <c r="Q96" s="337">
        <f t="shared" si="143"/>
        <v>1</v>
      </c>
      <c r="R96" s="337">
        <f t="shared" si="143"/>
        <v>1</v>
      </c>
      <c r="S96" s="337">
        <f t="shared" si="143"/>
        <v>1</v>
      </c>
      <c r="T96" s="337">
        <f t="shared" si="143"/>
        <v>1</v>
      </c>
      <c r="U96" s="337">
        <f t="shared" si="143"/>
        <v>1</v>
      </c>
      <c r="V96" s="337">
        <f t="shared" si="143"/>
        <v>1</v>
      </c>
      <c r="W96" s="337">
        <f t="shared" si="143"/>
        <v>1</v>
      </c>
      <c r="X96" s="337">
        <f t="shared" si="143"/>
        <v>1</v>
      </c>
      <c r="Y96" s="337">
        <f t="shared" si="143"/>
        <v>1</v>
      </c>
      <c r="Z96" s="337">
        <f t="shared" si="143"/>
        <v>1</v>
      </c>
      <c r="AA96" s="337">
        <f t="shared" si="143"/>
        <v>1</v>
      </c>
      <c r="AB96" s="337">
        <f t="shared" si="143"/>
        <v>1</v>
      </c>
      <c r="AC96" s="337">
        <f t="shared" si="143"/>
        <v>1</v>
      </c>
      <c r="AD96" s="337">
        <f t="shared" si="143"/>
        <v>1</v>
      </c>
      <c r="AE96" s="337">
        <f t="shared" ref="AE96:AL96" si="144">AE49/AE$49</f>
        <v>1</v>
      </c>
      <c r="AF96" s="337">
        <f t="shared" si="144"/>
        <v>1</v>
      </c>
      <c r="AG96" s="337">
        <f t="shared" si="144"/>
        <v>1</v>
      </c>
      <c r="AH96" s="337">
        <f t="shared" si="144"/>
        <v>1</v>
      </c>
      <c r="AI96" s="337">
        <f t="shared" si="144"/>
        <v>1</v>
      </c>
      <c r="AJ96" s="337">
        <f t="shared" si="144"/>
        <v>1</v>
      </c>
      <c r="AK96" s="337">
        <f t="shared" si="144"/>
        <v>1</v>
      </c>
      <c r="AL96" s="337">
        <f t="shared" si="144"/>
        <v>1</v>
      </c>
      <c r="AM96" s="11"/>
      <c r="AN96" s="11"/>
      <c r="AO96" s="11"/>
      <c r="AP96" s="11"/>
      <c r="AQ96" s="11"/>
      <c r="AR96" s="11"/>
      <c r="AS96" s="11"/>
      <c r="AT96" s="11"/>
      <c r="AU96" s="11"/>
      <c r="AV96" s="11"/>
      <c r="AW96" s="11"/>
      <c r="AX96" s="11"/>
    </row>
    <row r="97" spans="12:53" x14ac:dyDescent="0.2">
      <c r="L97" s="13"/>
      <c r="M97" s="11"/>
      <c r="N97" s="11"/>
      <c r="O97" s="11"/>
      <c r="P97" s="11"/>
      <c r="Q97" s="11"/>
      <c r="R97" s="11"/>
      <c r="S97" s="11"/>
      <c r="T97" s="11"/>
      <c r="U97" s="11"/>
      <c r="V97" s="11"/>
      <c r="W97" s="11"/>
      <c r="X97" s="11"/>
      <c r="Y97" s="11"/>
      <c r="Z97" s="11"/>
      <c r="AA97" s="11"/>
      <c r="AB97" s="11"/>
      <c r="AC97" s="11"/>
      <c r="AD97" s="11"/>
      <c r="AE97" s="11"/>
      <c r="AF97" s="11"/>
      <c r="AG97" s="11"/>
      <c r="AH97" s="11"/>
      <c r="AI97" s="11"/>
      <c r="AJ97" s="11"/>
      <c r="AK97" s="11"/>
      <c r="AL97" s="11"/>
      <c r="AM97" s="11"/>
      <c r="AN97" s="11"/>
      <c r="AO97" s="11"/>
      <c r="AP97" s="11"/>
      <c r="AQ97" s="11"/>
      <c r="AR97" s="11"/>
      <c r="AS97" s="11"/>
      <c r="AT97" s="11"/>
      <c r="AU97" s="11"/>
      <c r="AV97" s="11"/>
      <c r="AW97" s="11"/>
      <c r="AX97" s="11"/>
      <c r="AY97" s="11"/>
      <c r="AZ97" s="11"/>
      <c r="BA97" s="11"/>
    </row>
    <row r="98" spans="12:53" x14ac:dyDescent="0.2">
      <c r="L98" s="13"/>
      <c r="M98" s="11"/>
      <c r="N98" s="11"/>
      <c r="O98" s="11"/>
      <c r="P98" s="11"/>
      <c r="Q98" s="11"/>
      <c r="R98" s="11"/>
      <c r="S98" s="11"/>
      <c r="T98" s="11"/>
      <c r="U98" s="11"/>
      <c r="V98" s="11"/>
      <c r="W98" s="11"/>
      <c r="X98" s="11"/>
      <c r="Y98" s="11"/>
      <c r="Z98" s="11"/>
      <c r="AA98" s="11"/>
      <c r="AB98" s="11"/>
      <c r="AC98" s="11"/>
      <c r="AD98" s="11"/>
      <c r="AE98" s="11"/>
      <c r="AF98" s="11"/>
      <c r="AG98" s="11"/>
      <c r="AH98" s="11"/>
      <c r="AI98" s="11"/>
      <c r="AJ98" s="11"/>
      <c r="AK98" s="11"/>
      <c r="AL98" s="11"/>
      <c r="AM98" s="11"/>
      <c r="AN98" s="11"/>
      <c r="AO98" s="11"/>
      <c r="AP98" s="11"/>
      <c r="AQ98" s="11"/>
      <c r="AR98" s="11"/>
      <c r="AS98" s="11"/>
      <c r="AT98" s="11"/>
      <c r="AU98" s="11"/>
      <c r="AV98" s="11"/>
      <c r="AW98" s="11"/>
      <c r="AX98" s="11"/>
      <c r="AY98" s="11"/>
      <c r="AZ98" s="11"/>
      <c r="BA98" s="11"/>
    </row>
    <row r="99" spans="12:53" x14ac:dyDescent="0.2">
      <c r="L99" s="13"/>
      <c r="M99" s="11"/>
      <c r="N99" s="11"/>
      <c r="O99" s="11"/>
      <c r="P99" s="11"/>
      <c r="Q99" s="11"/>
      <c r="R99" s="11"/>
      <c r="S99" s="11"/>
      <c r="T99" s="11"/>
      <c r="U99" s="11"/>
      <c r="V99" s="11"/>
      <c r="W99" s="11"/>
      <c r="X99" s="11"/>
      <c r="Y99" s="11"/>
      <c r="Z99" s="11"/>
      <c r="AA99" s="11"/>
      <c r="AB99" s="11"/>
      <c r="AC99" s="11"/>
      <c r="AD99" s="11"/>
      <c r="AE99" s="11"/>
      <c r="AF99" s="11"/>
      <c r="AG99" s="11"/>
      <c r="AH99" s="11"/>
      <c r="AI99" s="11"/>
      <c r="AJ99" s="11"/>
      <c r="AK99" s="11"/>
      <c r="AL99" s="11"/>
      <c r="AM99" s="11"/>
      <c r="AN99" s="11"/>
      <c r="AO99" s="11"/>
      <c r="AP99" s="11"/>
      <c r="AQ99" s="11"/>
      <c r="AR99" s="11"/>
      <c r="AS99" s="11"/>
      <c r="AT99" s="11"/>
      <c r="AU99" s="11"/>
      <c r="AV99" s="11"/>
      <c r="AW99" s="11"/>
      <c r="AX99" s="11"/>
      <c r="AY99" s="11"/>
      <c r="AZ99" s="11"/>
      <c r="BA99" s="11"/>
    </row>
    <row r="100" spans="12:53" x14ac:dyDescent="0.2">
      <c r="L100" s="13"/>
      <c r="M100" s="11"/>
      <c r="N100" s="11"/>
      <c r="O100" s="11"/>
      <c r="P100" s="11"/>
      <c r="Q100" s="11"/>
      <c r="R100" s="11"/>
      <c r="S100" s="11"/>
      <c r="T100" s="11"/>
      <c r="U100" s="11"/>
      <c r="V100" s="11"/>
      <c r="W100" s="11"/>
      <c r="X100" s="11"/>
      <c r="Y100" s="11"/>
      <c r="Z100" s="11"/>
      <c r="AA100" s="11"/>
      <c r="AB100" s="11"/>
      <c r="AC100" s="11"/>
      <c r="AD100" s="11"/>
      <c r="AE100" s="11"/>
      <c r="AF100" s="11"/>
      <c r="AG100" s="11"/>
      <c r="AH100" s="11"/>
      <c r="AI100" s="11"/>
      <c r="AJ100" s="11"/>
      <c r="AK100" s="11"/>
      <c r="AL100" s="11"/>
      <c r="AM100" s="11"/>
      <c r="AN100" s="11"/>
      <c r="AO100" s="11"/>
      <c r="AP100" s="11"/>
      <c r="AQ100" s="11"/>
      <c r="AR100" s="11"/>
      <c r="AS100" s="11"/>
      <c r="AT100" s="11"/>
      <c r="AU100" s="11"/>
      <c r="AV100" s="11"/>
      <c r="AW100" s="11"/>
      <c r="AX100" s="11"/>
      <c r="AY100" s="11"/>
      <c r="AZ100" s="11"/>
      <c r="BA100" s="11"/>
    </row>
    <row r="101" spans="12:53" x14ac:dyDescent="0.2">
      <c r="L101" s="13"/>
      <c r="M101" s="11"/>
      <c r="N101" s="11"/>
      <c r="O101" s="11"/>
      <c r="P101" s="11"/>
      <c r="Q101" s="11"/>
      <c r="R101" s="11"/>
      <c r="S101" s="11"/>
      <c r="T101" s="11"/>
      <c r="U101" s="11"/>
      <c r="V101" s="11"/>
      <c r="W101" s="11"/>
      <c r="X101" s="11"/>
      <c r="Y101" s="11"/>
      <c r="Z101" s="11"/>
      <c r="AA101" s="11"/>
      <c r="AB101" s="11"/>
      <c r="AC101" s="11"/>
      <c r="AD101" s="11"/>
      <c r="AE101" s="11"/>
      <c r="AF101" s="11"/>
      <c r="AG101" s="11"/>
      <c r="AH101" s="11"/>
      <c r="AI101" s="11"/>
      <c r="AJ101" s="11"/>
      <c r="AK101" s="11"/>
      <c r="AL101" s="11"/>
      <c r="AM101" s="11"/>
      <c r="AN101" s="11"/>
      <c r="AO101" s="11"/>
      <c r="AP101" s="11"/>
      <c r="AQ101" s="11"/>
      <c r="AR101" s="11"/>
      <c r="AS101" s="11"/>
      <c r="AT101" s="11"/>
      <c r="AU101" s="11"/>
      <c r="AV101" s="11"/>
      <c r="AW101" s="11"/>
      <c r="AX101" s="11"/>
      <c r="AY101" s="11"/>
      <c r="AZ101" s="11"/>
      <c r="BA101" s="11"/>
    </row>
    <row r="102" spans="12:53" x14ac:dyDescent="0.2">
      <c r="L102" s="13"/>
      <c r="M102" s="11"/>
      <c r="N102" s="11"/>
      <c r="O102" s="11"/>
      <c r="P102" s="11"/>
      <c r="Q102" s="11"/>
      <c r="R102" s="11"/>
      <c r="S102" s="11"/>
      <c r="T102" s="11"/>
      <c r="U102" s="11"/>
      <c r="V102" s="11"/>
      <c r="W102" s="11"/>
      <c r="X102" s="11"/>
      <c r="Y102" s="11"/>
      <c r="Z102" s="11"/>
      <c r="AA102" s="11"/>
      <c r="AB102" s="11"/>
      <c r="AC102" s="11"/>
      <c r="AD102" s="11"/>
      <c r="AE102" s="11"/>
      <c r="AF102" s="11"/>
      <c r="AG102" s="11"/>
      <c r="AH102" s="11"/>
      <c r="AI102" s="11"/>
      <c r="AJ102" s="11"/>
      <c r="AK102" s="11"/>
      <c r="AL102" s="11"/>
      <c r="AM102" s="11"/>
      <c r="AN102" s="11"/>
      <c r="AO102" s="11"/>
      <c r="AP102" s="11"/>
      <c r="AQ102" s="11"/>
      <c r="AR102" s="11"/>
      <c r="AS102" s="11"/>
      <c r="AT102" s="11"/>
      <c r="AU102" s="11"/>
      <c r="AV102" s="11"/>
      <c r="AW102" s="11"/>
      <c r="AX102" s="11"/>
      <c r="AY102" s="11"/>
      <c r="AZ102" s="11"/>
      <c r="BA102" s="11"/>
    </row>
    <row r="103" spans="12:53" x14ac:dyDescent="0.2">
      <c r="L103" s="13"/>
      <c r="M103" s="11"/>
      <c r="N103" s="11"/>
      <c r="O103" s="11"/>
      <c r="P103" s="11"/>
      <c r="Q103" s="11"/>
      <c r="R103" s="11"/>
      <c r="S103" s="11"/>
      <c r="T103" s="11"/>
      <c r="U103" s="11"/>
      <c r="V103" s="11"/>
      <c r="W103" s="11"/>
      <c r="X103" s="11"/>
      <c r="Y103" s="11"/>
      <c r="Z103" s="11"/>
      <c r="AA103" s="11"/>
      <c r="AB103" s="11"/>
      <c r="AC103" s="11"/>
      <c r="AD103" s="11"/>
      <c r="AE103" s="11"/>
      <c r="AF103" s="11"/>
      <c r="AG103" s="11"/>
      <c r="AH103" s="11"/>
      <c r="AI103" s="11"/>
      <c r="AJ103" s="11"/>
      <c r="AK103" s="11"/>
      <c r="AL103" s="11"/>
      <c r="AM103" s="11"/>
      <c r="AN103" s="11"/>
      <c r="AO103" s="11"/>
      <c r="AP103" s="11"/>
      <c r="AQ103" s="11"/>
      <c r="AR103" s="11"/>
      <c r="AS103" s="11"/>
      <c r="AT103" s="11"/>
      <c r="AU103" s="11"/>
      <c r="AV103" s="11"/>
      <c r="AW103" s="11"/>
      <c r="AX103" s="11"/>
      <c r="AY103" s="11"/>
      <c r="AZ103" s="11"/>
      <c r="BA103" s="11"/>
    </row>
    <row r="104" spans="12:53" x14ac:dyDescent="0.2">
      <c r="L104" s="13"/>
      <c r="M104" s="11"/>
      <c r="N104" s="11"/>
      <c r="O104" s="11"/>
      <c r="P104" s="11"/>
      <c r="Q104" s="11"/>
      <c r="R104" s="11"/>
      <c r="S104" s="11"/>
      <c r="T104" s="11"/>
      <c r="U104" s="11"/>
      <c r="V104" s="11"/>
      <c r="W104" s="11"/>
      <c r="X104" s="11"/>
      <c r="Y104" s="11"/>
      <c r="Z104" s="11"/>
      <c r="AA104" s="11"/>
      <c r="AB104" s="11"/>
      <c r="AC104" s="11"/>
      <c r="AD104" s="11"/>
      <c r="AE104" s="11"/>
      <c r="AF104" s="11"/>
      <c r="AG104" s="11"/>
      <c r="AH104" s="11"/>
      <c r="AI104" s="11"/>
      <c r="AJ104" s="11"/>
      <c r="AK104" s="11"/>
      <c r="AL104" s="11"/>
      <c r="AM104" s="11"/>
      <c r="AN104" s="11"/>
      <c r="AO104" s="11"/>
      <c r="AP104" s="11"/>
      <c r="AQ104" s="11"/>
      <c r="AR104" s="11"/>
      <c r="AS104" s="11"/>
      <c r="AT104" s="11"/>
      <c r="AU104" s="11"/>
      <c r="AV104" s="11"/>
      <c r="AW104" s="11"/>
      <c r="AX104" s="11"/>
      <c r="AY104" s="11"/>
      <c r="AZ104" s="11"/>
      <c r="BA104" s="11"/>
    </row>
    <row r="105" spans="12:53" x14ac:dyDescent="0.2">
      <c r="L105" s="13"/>
      <c r="M105" s="11"/>
      <c r="N105" s="11"/>
      <c r="O105" s="11"/>
      <c r="P105" s="11"/>
      <c r="Q105" s="11"/>
      <c r="R105" s="11"/>
      <c r="S105" s="11"/>
      <c r="T105" s="11"/>
      <c r="U105" s="11"/>
      <c r="V105" s="11"/>
      <c r="W105" s="11"/>
      <c r="X105" s="11"/>
      <c r="Y105" s="11"/>
      <c r="Z105" s="11"/>
      <c r="AA105" s="11"/>
      <c r="AB105" s="11"/>
      <c r="AC105" s="11"/>
      <c r="AD105" s="11"/>
      <c r="AE105" s="11"/>
      <c r="AF105" s="11"/>
      <c r="AG105" s="11"/>
      <c r="AH105" s="11"/>
      <c r="AI105" s="11"/>
      <c r="AJ105" s="11"/>
      <c r="AK105" s="11"/>
      <c r="AL105" s="11"/>
    </row>
    <row r="106" spans="12:53" x14ac:dyDescent="0.2">
      <c r="L106" s="13"/>
      <c r="M106" s="11"/>
      <c r="N106" s="11"/>
      <c r="O106" s="11"/>
      <c r="P106" s="11"/>
      <c r="Q106" s="11"/>
      <c r="R106" s="11"/>
      <c r="S106" s="11"/>
      <c r="T106" s="11"/>
      <c r="U106" s="11"/>
      <c r="V106" s="11"/>
      <c r="W106" s="11"/>
      <c r="X106" s="11"/>
      <c r="Y106" s="11"/>
      <c r="Z106" s="11"/>
      <c r="AA106" s="11"/>
      <c r="AB106" s="11"/>
      <c r="AC106" s="11"/>
      <c r="AD106" s="11"/>
      <c r="AE106" s="11"/>
      <c r="AF106" s="11"/>
      <c r="AG106" s="11"/>
    </row>
    <row r="107" spans="12:53" x14ac:dyDescent="0.2">
      <c r="L107" s="13"/>
      <c r="M107" s="11"/>
      <c r="N107" s="11"/>
      <c r="O107" s="11"/>
      <c r="P107" s="11"/>
      <c r="Q107" s="11"/>
      <c r="R107" s="11"/>
      <c r="S107" s="11"/>
      <c r="T107" s="11"/>
      <c r="U107" s="11"/>
      <c r="V107" s="11"/>
      <c r="W107" s="11"/>
      <c r="X107" s="11"/>
      <c r="Y107" s="11"/>
      <c r="Z107" s="11"/>
      <c r="AA107" s="11"/>
      <c r="AB107" s="11"/>
      <c r="AC107" s="11"/>
      <c r="AD107" s="11"/>
      <c r="AE107" s="11"/>
      <c r="AF107" s="11"/>
      <c r="AG107" s="11"/>
    </row>
    <row r="108" spans="12:53" x14ac:dyDescent="0.2">
      <c r="L108" s="13"/>
      <c r="M108" s="11"/>
      <c r="N108" s="11"/>
      <c r="O108" s="11"/>
      <c r="P108" s="11"/>
      <c r="Q108" s="11"/>
      <c r="R108" s="11"/>
      <c r="S108" s="11"/>
      <c r="T108" s="11"/>
      <c r="U108" s="11"/>
      <c r="V108" s="11"/>
      <c r="W108" s="11"/>
      <c r="X108" s="11"/>
      <c r="Y108" s="11"/>
      <c r="Z108" s="11"/>
      <c r="AA108" s="11"/>
      <c r="AB108" s="11"/>
      <c r="AC108" s="11"/>
      <c r="AD108" s="11"/>
      <c r="AE108" s="11"/>
      <c r="AF108" s="11"/>
    </row>
    <row r="109" spans="12:53" x14ac:dyDescent="0.2">
      <c r="L109" s="13"/>
      <c r="M109" s="11"/>
      <c r="N109" s="11"/>
      <c r="O109" s="11"/>
      <c r="P109" s="11"/>
      <c r="Q109" s="11"/>
      <c r="R109" s="11"/>
      <c r="S109" s="11"/>
      <c r="T109" s="11"/>
      <c r="U109" s="11"/>
      <c r="V109" s="11"/>
      <c r="W109" s="11"/>
      <c r="X109" s="11"/>
      <c r="Y109" s="11"/>
      <c r="Z109" s="11"/>
      <c r="AA109" s="11"/>
      <c r="AB109" s="11"/>
      <c r="AC109" s="11"/>
      <c r="AD109" s="11"/>
      <c r="AE109" s="11"/>
      <c r="AF109" s="11"/>
    </row>
    <row r="110" spans="12:53" x14ac:dyDescent="0.2">
      <c r="L110" s="13"/>
      <c r="M110" s="11"/>
      <c r="N110" s="11"/>
      <c r="O110" s="11"/>
      <c r="P110" s="11"/>
    </row>
    <row r="111" spans="12:53" x14ac:dyDescent="0.2">
      <c r="L111" s="13"/>
      <c r="M111" s="11"/>
      <c r="N111" s="11"/>
      <c r="O111" s="11"/>
      <c r="P111" s="11"/>
    </row>
    <row r="112" spans="12:53" x14ac:dyDescent="0.2">
      <c r="L112" s="13"/>
      <c r="M112" s="11"/>
      <c r="N112" s="11"/>
      <c r="O112" s="11"/>
      <c r="P112" s="11"/>
    </row>
    <row r="113" spans="1:16" x14ac:dyDescent="0.2">
      <c r="L113" s="13"/>
      <c r="M113" s="11"/>
      <c r="N113" s="11"/>
      <c r="O113" s="11"/>
      <c r="P113" s="11"/>
    </row>
    <row r="114" spans="1:16" x14ac:dyDescent="0.2">
      <c r="L114" s="13"/>
      <c r="M114" s="11"/>
      <c r="N114" s="11"/>
      <c r="O114" s="11"/>
      <c r="P114" s="11"/>
    </row>
    <row r="115" spans="1:16" x14ac:dyDescent="0.2">
      <c r="L115" s="13"/>
      <c r="M115" s="11"/>
      <c r="N115" s="11"/>
      <c r="O115" s="11"/>
      <c r="P115" s="11"/>
    </row>
    <row r="116" spans="1:16" ht="15.75" x14ac:dyDescent="0.25">
      <c r="A116" s="80" t="str">
        <f>CONCATENATE("Occupation Figure 2.2  Employment by Occupation, ",$M$2,"-",$O$2,", ",Info!B5)</f>
        <v>Occupation Figure 2.2  Employment by Occupation, 2010-2035, North East</v>
      </c>
      <c r="L116" s="13"/>
      <c r="M116" s="11"/>
      <c r="N116" s="11"/>
      <c r="O116" s="11"/>
      <c r="P116" s="11"/>
    </row>
    <row r="117" spans="1:16" x14ac:dyDescent="0.2">
      <c r="L117" s="13"/>
    </row>
    <row r="143" spans="12:63" s="81" customFormat="1" x14ac:dyDescent="0.2"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</row>
    <row r="162" spans="1:1" ht="15.75" x14ac:dyDescent="0.25">
      <c r="A162" s="80" t="str">
        <f>CONCATENATE("Occupation Figure 2.3  Change in Employment in ",$L$5,", ",$M$2,"-",$O$2,", ",Info!B5)</f>
        <v>Occupation Figure 2.3  Change in Employment in Managers, directors and senior officials, 2010-2035, North East</v>
      </c>
    </row>
    <row r="178" spans="12:63" s="81" customFormat="1" x14ac:dyDescent="0.2"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  <c r="AM178"/>
      <c r="AN178"/>
      <c r="AO178"/>
      <c r="AP178"/>
      <c r="AQ178"/>
      <c r="AR178"/>
      <c r="AS178"/>
      <c r="AT178"/>
      <c r="AU178"/>
      <c r="AV178"/>
      <c r="AW178"/>
      <c r="AX178"/>
      <c r="AY178"/>
      <c r="AZ178"/>
      <c r="BA178"/>
      <c r="BB178"/>
      <c r="BC178"/>
      <c r="BD178"/>
      <c r="BE178"/>
      <c r="BF178"/>
      <c r="BG178"/>
      <c r="BH178"/>
      <c r="BI178"/>
      <c r="BJ178"/>
      <c r="BK178"/>
    </row>
    <row r="197" spans="1:1" ht="15.75" x14ac:dyDescent="0.25">
      <c r="A197" s="80" t="str">
        <f>CONCATENATE("Occupation Figure 2.4  Change in Employment in ",$L$9,", ",$M$2,"-",$O$2,", ",Info!B5)</f>
        <v>Occupation Figure 2.4  Change in Employment in Professional occupations, 2010-2035, North East</v>
      </c>
    </row>
    <row r="213" spans="12:63" s="81" customFormat="1" x14ac:dyDescent="0.2">
      <c r="L213"/>
      <c r="M213"/>
      <c r="N213"/>
      <c r="O213"/>
      <c r="P213"/>
      <c r="Q213"/>
      <c r="R213"/>
      <c r="S213"/>
      <c r="T213"/>
      <c r="U213"/>
      <c r="V213"/>
      <c r="W213"/>
      <c r="X213"/>
      <c r="Y213"/>
      <c r="Z213"/>
      <c r="AA213"/>
      <c r="AB213"/>
      <c r="AC213"/>
      <c r="AD213"/>
      <c r="AE213"/>
      <c r="AF213"/>
      <c r="AG213"/>
      <c r="AH213"/>
      <c r="AI213"/>
      <c r="AJ213"/>
      <c r="AK213"/>
      <c r="AL213"/>
      <c r="AM213"/>
      <c r="AN213"/>
      <c r="AO213"/>
      <c r="AP213"/>
      <c r="AQ213"/>
      <c r="AR213"/>
      <c r="AS213"/>
      <c r="AT213"/>
      <c r="AU213"/>
      <c r="AV213"/>
      <c r="AW213"/>
      <c r="AX213"/>
      <c r="AY213"/>
      <c r="AZ213"/>
      <c r="BA213"/>
      <c r="BB213"/>
      <c r="BC213"/>
      <c r="BD213"/>
      <c r="BE213"/>
      <c r="BF213"/>
      <c r="BG213"/>
      <c r="BH213"/>
      <c r="BI213"/>
      <c r="BJ213"/>
      <c r="BK213"/>
    </row>
    <row r="232" spans="1:1" ht="15.75" x14ac:dyDescent="0.25">
      <c r="A232" s="80" t="str">
        <f>CONCATENATE("Occupation Figure 2.5  Change in Employment in ",$L$15,", ",$M$2,"-",$O$2,", ",Info!B5)</f>
        <v>Occupation Figure 2.5  Change in Employment in Associate professional occupations, 2010-2035, North East</v>
      </c>
    </row>
    <row r="248" spans="12:63" s="81" customFormat="1" x14ac:dyDescent="0.2">
      <c r="L248"/>
      <c r="M248"/>
      <c r="N248"/>
      <c r="O248"/>
      <c r="P248"/>
      <c r="Q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  <c r="AF248"/>
      <c r="AG248"/>
      <c r="AH248"/>
      <c r="AI248"/>
      <c r="AJ248"/>
      <c r="AK248"/>
      <c r="AL248"/>
      <c r="AM248"/>
      <c r="AN248"/>
      <c r="AO248"/>
      <c r="AP248"/>
      <c r="AQ248"/>
      <c r="AR248"/>
      <c r="AS248"/>
      <c r="AT248"/>
      <c r="AU248"/>
      <c r="AV248"/>
      <c r="AW248"/>
      <c r="AX248"/>
      <c r="AY248"/>
      <c r="AZ248"/>
      <c r="BA248"/>
      <c r="BB248"/>
      <c r="BC248"/>
      <c r="BD248"/>
      <c r="BE248"/>
      <c r="BF248"/>
      <c r="BG248"/>
      <c r="BH248"/>
      <c r="BI248"/>
      <c r="BJ248"/>
      <c r="BK248"/>
    </row>
    <row r="267" spans="1:1" ht="15.75" x14ac:dyDescent="0.25">
      <c r="A267" s="80" t="str">
        <f>CONCATENATE("Occupation Figure 2.6  Change in Employment in ",$L$22,", ",$M$2,"-",$O$2,", ",Info!B5)</f>
        <v>Occupation Figure 2.6  Change in Employment in Administrative and secretarial occupations, 2010-2035, North East</v>
      </c>
    </row>
    <row r="283" spans="12:63" s="81" customFormat="1" x14ac:dyDescent="0.2">
      <c r="L283"/>
      <c r="M283"/>
      <c r="N283"/>
      <c r="O283"/>
      <c r="P283"/>
      <c r="Q283"/>
      <c r="R283"/>
      <c r="S283"/>
      <c r="T283"/>
      <c r="U283"/>
      <c r="V283"/>
      <c r="W283"/>
      <c r="X283"/>
      <c r="Y283"/>
      <c r="Z283"/>
      <c r="AA283"/>
      <c r="AB283"/>
      <c r="AC283"/>
      <c r="AD283"/>
      <c r="AE283"/>
      <c r="AF283"/>
      <c r="AG283"/>
      <c r="AH283"/>
      <c r="AI283"/>
      <c r="AJ283"/>
      <c r="AK283"/>
      <c r="AL283"/>
      <c r="AM283"/>
      <c r="AN283"/>
      <c r="AO283"/>
      <c r="AP283"/>
      <c r="AQ283"/>
      <c r="AR283"/>
      <c r="AS283"/>
      <c r="AT283"/>
      <c r="AU283"/>
      <c r="AV283"/>
      <c r="AW283"/>
      <c r="AX283"/>
      <c r="AY283"/>
      <c r="AZ283"/>
      <c r="BA283"/>
      <c r="BB283"/>
      <c r="BC283"/>
      <c r="BD283"/>
      <c r="BE283"/>
      <c r="BF283"/>
      <c r="BG283"/>
      <c r="BH283"/>
      <c r="BI283"/>
      <c r="BJ283"/>
      <c r="BK283"/>
    </row>
    <row r="302" spans="1:1" ht="15.75" x14ac:dyDescent="0.25">
      <c r="A302" s="80" t="str">
        <f>CONCATENATE("Occupation Figure 2.7  Change in Employment in ",$L$26,", ",$M$2,"- ",$O$2,", ",Info!B5)</f>
        <v>Occupation Figure 2.7  Change in Employment in Skilled trades occupations, 2010- 2035, North East</v>
      </c>
    </row>
    <row r="318" spans="12:63" s="81" customFormat="1" x14ac:dyDescent="0.2">
      <c r="L318"/>
      <c r="M318"/>
      <c r="N318"/>
      <c r="O318"/>
      <c r="P318"/>
      <c r="Q318"/>
      <c r="R318"/>
      <c r="S318"/>
      <c r="T318"/>
      <c r="U318"/>
      <c r="V318"/>
      <c r="W318"/>
      <c r="X318"/>
      <c r="Y318"/>
      <c r="Z318"/>
      <c r="AA318"/>
      <c r="AB318"/>
      <c r="AC318"/>
      <c r="AD318"/>
      <c r="AE318"/>
      <c r="AF318"/>
      <c r="AG318"/>
      <c r="AH318"/>
      <c r="AI318"/>
      <c r="AJ318"/>
      <c r="AK318"/>
      <c r="AL318"/>
      <c r="AM318"/>
      <c r="AN318"/>
      <c r="AO318"/>
      <c r="AP318"/>
      <c r="AQ318"/>
      <c r="AR318"/>
      <c r="AS318"/>
      <c r="AT318"/>
      <c r="AU318"/>
      <c r="AV318"/>
      <c r="AW318"/>
      <c r="AX318"/>
      <c r="AY318"/>
      <c r="AZ318"/>
      <c r="BA318"/>
      <c r="BB318"/>
      <c r="BC318"/>
      <c r="BD318"/>
      <c r="BE318"/>
      <c r="BF318"/>
      <c r="BG318"/>
      <c r="BH318"/>
      <c r="BI318"/>
      <c r="BJ318"/>
      <c r="BK318"/>
    </row>
    <row r="337" spans="1:1" ht="15.75" x14ac:dyDescent="0.25">
      <c r="A337" s="80" t="str">
        <f>CONCATENATE("Occupation Figure 2.8  Change in Employment in ",$L$32,", ",$M$2,"-",$O$2,", ",Info!B5)</f>
        <v>Occupation Figure 2.8  Change in Employment in Caring, leisure and other service occupations, 2010-2035, North East</v>
      </c>
    </row>
    <row r="353" spans="12:63" s="81" customFormat="1" x14ac:dyDescent="0.2">
      <c r="L353"/>
      <c r="M353"/>
      <c r="N353"/>
      <c r="O353"/>
      <c r="P353"/>
      <c r="Q353"/>
      <c r="R353"/>
      <c r="S353"/>
      <c r="T353"/>
      <c r="U353"/>
      <c r="V353"/>
      <c r="W353"/>
      <c r="X353"/>
      <c r="Y353"/>
      <c r="Z353"/>
      <c r="AA353"/>
      <c r="AB353"/>
      <c r="AC353"/>
      <c r="AD353"/>
      <c r="AE353"/>
      <c r="AF353"/>
      <c r="AG353"/>
      <c r="AH353"/>
      <c r="AI353"/>
      <c r="AJ353"/>
      <c r="AK353"/>
      <c r="AL353"/>
      <c r="AM353"/>
      <c r="AN353"/>
      <c r="AO353"/>
      <c r="AP353"/>
      <c r="AQ353"/>
      <c r="AR353"/>
      <c r="AS353"/>
      <c r="AT353"/>
      <c r="AU353"/>
      <c r="AV353"/>
      <c r="AW353"/>
      <c r="AX353"/>
      <c r="AY353"/>
      <c r="AZ353"/>
      <c r="BA353"/>
      <c r="BB353"/>
      <c r="BC353"/>
      <c r="BD353"/>
      <c r="BE353"/>
      <c r="BF353"/>
      <c r="BG353"/>
      <c r="BH353"/>
      <c r="BI353"/>
      <c r="BJ353"/>
      <c r="BK353"/>
    </row>
    <row r="372" spans="1:1" ht="15.75" x14ac:dyDescent="0.25">
      <c r="A372" s="80" t="str">
        <f>CONCATENATE("Occupation Figure 2.9  Change in Employment in ",$L$37,", ",$M$2,"-",$O$2,", ",Info!B5)</f>
        <v>Occupation Figure 2.9  Change in Employment in Sales and customer service occupations, 2010-2035, North East</v>
      </c>
    </row>
    <row r="388" spans="12:63" s="81" customFormat="1" x14ac:dyDescent="0.2">
      <c r="L388"/>
      <c r="M388"/>
      <c r="N388"/>
      <c r="O388"/>
      <c r="P388"/>
      <c r="Q388"/>
      <c r="R388"/>
      <c r="S388"/>
      <c r="T388"/>
      <c r="U388"/>
      <c r="V388"/>
      <c r="W388"/>
      <c r="X388"/>
      <c r="Y388"/>
      <c r="Z388"/>
      <c r="AA388"/>
      <c r="AB388"/>
      <c r="AC388"/>
      <c r="AD388"/>
      <c r="AE388"/>
      <c r="AF388"/>
      <c r="AG388"/>
      <c r="AH388"/>
      <c r="AI388"/>
      <c r="AJ388"/>
      <c r="AK388"/>
      <c r="AL388"/>
      <c r="AM388"/>
      <c r="AN388"/>
      <c r="AO388"/>
      <c r="AP388"/>
      <c r="AQ388"/>
      <c r="AR388"/>
      <c r="AS388"/>
      <c r="AT388"/>
      <c r="AU388"/>
      <c r="AV388"/>
      <c r="AW388"/>
      <c r="AX388"/>
      <c r="AY388"/>
      <c r="AZ388"/>
      <c r="BA388"/>
      <c r="BB388"/>
      <c r="BC388"/>
      <c r="BD388"/>
      <c r="BE388"/>
      <c r="BF388"/>
      <c r="BG388"/>
      <c r="BH388"/>
      <c r="BI388"/>
      <c r="BJ388"/>
      <c r="BK388"/>
    </row>
    <row r="407" spans="1:1" ht="15.75" x14ac:dyDescent="0.25">
      <c r="A407" s="80" t="str">
        <f>CONCATENATE("Occupation Figure 2.10  Change in Employment in ",$L$41,", ",$M$2,"-",$O$2,", ",Info!B5)</f>
        <v>Occupation Figure 2.10  Change in Employment in Process, plant and machine operatives, 2010-2035, North East</v>
      </c>
    </row>
    <row r="442" spans="1:1" ht="15.75" x14ac:dyDescent="0.25">
      <c r="A442" s="80" t="str">
        <f>CONCATENATE("Occupation Figure 2.11  Change in Employment in ",$L$45,", ",$M$2,"-",$O$2,", ",Info!B5)</f>
        <v>Occupation Figure 2.11  Change in Employment in Elementary occupations, 2010-2035, North East</v>
      </c>
    </row>
    <row r="477" spans="1:12" ht="15.75" x14ac:dyDescent="0.25">
      <c r="A477" s="80" t="str">
        <f>CONCATENATE("Occupation Figure 2.12  Employment Level by Occupation (SOC 2020), ",'Occ T1'!D6," and ",'Occ T1'!F6," (000s)",", ",Info!B5)</f>
        <v>Occupation Figure 2.12  Employment Level by Occupation (SOC 2020), 2020 and 2035 (000s), North East</v>
      </c>
    </row>
    <row r="479" spans="1:12" x14ac:dyDescent="0.2">
      <c r="L479" s="46" t="s">
        <v>412</v>
      </c>
    </row>
    <row r="480" spans="1:12" x14ac:dyDescent="0.2">
      <c r="L480" s="30" t="s">
        <v>413</v>
      </c>
    </row>
    <row r="505" spans="1:12" ht="15.75" x14ac:dyDescent="0.25">
      <c r="A505" s="80" t="str">
        <f>CONCATENATE("Occupation Figure 2.13  Employment Share by Occupation (SOC 2020), ",'Occ T1'!B24,", ",'Occ T1'!D24," and ",'Occ T1'!F24," (%)",", ",Info!B5)</f>
        <v>Occupation Figure 2.13  Employment Share by Occupation (SOC 2020), 2015, 2020 and 2035 (%), North East</v>
      </c>
    </row>
    <row r="507" spans="1:12" x14ac:dyDescent="0.2">
      <c r="L507" s="46" t="s">
        <v>414</v>
      </c>
    </row>
    <row r="508" spans="1:12" x14ac:dyDescent="0.2">
      <c r="L508" s="30" t="s">
        <v>413</v>
      </c>
    </row>
  </sheetData>
  <conditionalFormatting sqref="L4:AM4 L51:AL51">
    <cfRule type="cellIs" dxfId="7" priority="2" stopIfTrue="1" operator="equal">
      <formula>0</formula>
    </cfRule>
  </conditionalFormatting>
  <pageMargins left="0.19685039370078741" right="0.19685039370078741" top="0.78740157480314965" bottom="0.78740157480314965" header="0.51181102362204722" footer="0.51181102362204722"/>
  <pageSetup paperSize="9" scale="80" orientation="portrait" r:id="rId1"/>
  <headerFooter alignWithMargins="0"/>
  <rowBreaks count="8" manualBreakCount="8">
    <brk id="57" max="9" man="1"/>
    <brk id="115" max="9" man="1"/>
    <brk id="161" max="9" man="1"/>
    <brk id="231" max="9" man="1"/>
    <brk id="301" max="9" man="1"/>
    <brk id="371" max="9" man="1"/>
    <brk id="441" max="9" man="1"/>
    <brk id="476" max="9" man="1"/>
  </rowBreaks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Sheet8"/>
  <dimension ref="A1:AC28"/>
  <sheetViews>
    <sheetView showGridLines="0" zoomScale="75" zoomScaleNormal="75" workbookViewId="0"/>
  </sheetViews>
  <sheetFormatPr defaultRowHeight="12.75" x14ac:dyDescent="0.2"/>
  <cols>
    <col min="18" max="18" width="9" customWidth="1"/>
    <col min="19" max="22" width="16" customWidth="1"/>
    <col min="23" max="23" width="42.42578125" customWidth="1"/>
    <col min="24" max="29" width="11.42578125" customWidth="1"/>
  </cols>
  <sheetData>
    <row r="1" spans="1:29" ht="15.75" x14ac:dyDescent="0.25">
      <c r="A1" s="80" t="str">
        <f>CONCATENATE("Occupation Figure 3  Changes in Occupational Employment Structure (000s) (SOC 2020), ",$W$1,"-",$X$1,", ",Info!B5)</f>
        <v>Occupation Figure 3  Changes in Occupational Employment Structure (000s) (SOC 2020), 2015-2035, North East</v>
      </c>
      <c r="W1" t="str">
        <f>LEFT(X3,4)</f>
        <v>2015</v>
      </c>
      <c r="X1" t="str">
        <f>RIGHT(AC3,4)</f>
        <v>2035</v>
      </c>
    </row>
    <row r="2" spans="1:29" x14ac:dyDescent="0.2">
      <c r="A2" s="364" t="s">
        <v>517</v>
      </c>
      <c r="X2" t="s">
        <v>416</v>
      </c>
    </row>
    <row r="3" spans="1:29" x14ac:dyDescent="0.2">
      <c r="W3" s="1" t="s">
        <v>0</v>
      </c>
      <c r="X3" s="10" t="str">
        <f>'Occ T1'!B6&amp;"-"&amp;'Occ T1'!C6</f>
        <v>2015-2019</v>
      </c>
      <c r="Y3" s="10" t="str">
        <f>'Occ T1'!C6&amp;"-"&amp;'Occ T1'!D6</f>
        <v>2019-2020</v>
      </c>
      <c r="Z3" s="10" t="str">
        <f>'Occ T1'!D6&amp;"-"&amp;'Occ T1'!E6</f>
        <v>2020-2025</v>
      </c>
      <c r="AA3" s="10" t="str">
        <f>'Occ T1'!E6&amp;"-"&amp;'Occ T1'!F6</f>
        <v>2025-2035</v>
      </c>
      <c r="AB3" s="10" t="str">
        <f>'Occ T1'!B6&amp;"-"&amp;'Occ T1'!D6</f>
        <v>2015-2020</v>
      </c>
      <c r="AC3" s="10" t="str">
        <f>'Occ T1'!D6&amp;"-"&amp;'Occ T1'!F6</f>
        <v>2020-2035</v>
      </c>
    </row>
    <row r="4" spans="1:29" x14ac:dyDescent="0.2">
      <c r="W4" s="10" t="str">
        <f>name!E4</f>
        <v>Managers, directors and senior officials</v>
      </c>
      <c r="X4" s="11">
        <f>'Occ T1'!C8-'Occ T1'!B8</f>
        <v>3.9614627100283855</v>
      </c>
      <c r="Y4" s="11">
        <f>'Occ T1'!D8-'Occ T1'!C8</f>
        <v>0.27741005246551254</v>
      </c>
      <c r="Z4" s="11">
        <f>'Occ T1'!E8-'Occ T1'!D8</f>
        <v>0.61744195875795782</v>
      </c>
      <c r="AA4" s="11">
        <f>'Occ T1'!F8-'Occ T1'!E8</f>
        <v>4.8266171323967839</v>
      </c>
      <c r="AB4" s="11">
        <f>'Occ T1'!D8-'Occ T1'!B8</f>
        <v>4.238872762493898</v>
      </c>
      <c r="AC4" s="11">
        <f>'Occ T1'!F8-'Occ T1'!D8</f>
        <v>5.4440590911547417</v>
      </c>
    </row>
    <row r="5" spans="1:29" x14ac:dyDescent="0.2">
      <c r="W5" s="10" t="str">
        <f>name!E5</f>
        <v>Professional occupations</v>
      </c>
      <c r="X5" s="11">
        <f>'Occ T1'!C9-'Occ T1'!B9</f>
        <v>2.7534289111392667</v>
      </c>
      <c r="Y5" s="11">
        <f>'Occ T1'!D9-'Occ T1'!C9</f>
        <v>6.1888254120013215</v>
      </c>
      <c r="Z5" s="11">
        <f>'Occ T1'!E9-'Occ T1'!D9</f>
        <v>7.4289707805171759</v>
      </c>
      <c r="AA5" s="11">
        <f>'Occ T1'!F9-'Occ T1'!E9</f>
        <v>10.307399393722378</v>
      </c>
      <c r="AB5" s="11">
        <f>'Occ T1'!D9-'Occ T1'!B9</f>
        <v>8.9422543231405882</v>
      </c>
      <c r="AC5" s="11">
        <f>'Occ T1'!F9-'Occ T1'!D9</f>
        <v>17.736370174239553</v>
      </c>
    </row>
    <row r="6" spans="1:29" x14ac:dyDescent="0.2">
      <c r="W6" s="10" t="str">
        <f>name!E6</f>
        <v>Associate professional occupations</v>
      </c>
      <c r="X6" s="11">
        <f>'Occ T1'!C10-'Occ T1'!B10</f>
        <v>1.9827161134915059</v>
      </c>
      <c r="Y6" s="11">
        <f>'Occ T1'!D10-'Occ T1'!C10</f>
        <v>2.5474151950468809</v>
      </c>
      <c r="Z6" s="11">
        <f>'Occ T1'!E10-'Occ T1'!D10</f>
        <v>-2.2849553287423845</v>
      </c>
      <c r="AA6" s="11">
        <f>'Occ T1'!F10-'Occ T1'!E10</f>
        <v>3.6269718865474232</v>
      </c>
      <c r="AB6" s="11">
        <f>'Occ T1'!D10-'Occ T1'!B10</f>
        <v>4.5301313085383867</v>
      </c>
      <c r="AC6" s="11">
        <f>'Occ T1'!F10-'Occ T1'!D10</f>
        <v>1.3420165578050387</v>
      </c>
    </row>
    <row r="7" spans="1:29" x14ac:dyDescent="0.2">
      <c r="W7" s="10" t="str">
        <f>name!E7</f>
        <v>Administrative and secretarial occupations</v>
      </c>
      <c r="X7" s="11">
        <f>'Occ T1'!C11-'Occ T1'!B11</f>
        <v>-4.8542142627349492</v>
      </c>
      <c r="Y7" s="11">
        <f>'Occ T1'!D11-'Occ T1'!C11</f>
        <v>2.0716838826073456</v>
      </c>
      <c r="Z7" s="11">
        <f>'Occ T1'!E11-'Occ T1'!D11</f>
        <v>-3.3064610380051036</v>
      </c>
      <c r="AA7" s="11">
        <f>'Occ T1'!F11-'Occ T1'!E11</f>
        <v>-3.3280387602877539</v>
      </c>
      <c r="AB7" s="11">
        <f>'Occ T1'!D11-'Occ T1'!B11</f>
        <v>-2.7825303801276036</v>
      </c>
      <c r="AC7" s="11">
        <f>'Occ T1'!F11-'Occ T1'!D11</f>
        <v>-6.6344997982928575</v>
      </c>
    </row>
    <row r="8" spans="1:29" x14ac:dyDescent="0.2">
      <c r="W8" s="10" t="str">
        <f>name!E8</f>
        <v>Skilled trades occupations</v>
      </c>
      <c r="X8" s="11">
        <f>'Occ T1'!C12-'Occ T1'!B12</f>
        <v>-0.99697249132374566</v>
      </c>
      <c r="Y8" s="11">
        <f>'Occ T1'!D12-'Occ T1'!C12</f>
        <v>-7.7795968377166815</v>
      </c>
      <c r="Z8" s="11">
        <f>'Occ T1'!E12-'Occ T1'!D12</f>
        <v>-1.5129652560734854</v>
      </c>
      <c r="AA8" s="11">
        <f>'Occ T1'!F12-'Occ T1'!E12</f>
        <v>-3.5562597740539772</v>
      </c>
      <c r="AB8" s="11">
        <f>'Occ T1'!D12-'Occ T1'!B12</f>
        <v>-8.7765693290404272</v>
      </c>
      <c r="AC8" s="11">
        <f>'Occ T1'!F12-'Occ T1'!D12</f>
        <v>-5.0692250301274626</v>
      </c>
    </row>
    <row r="9" spans="1:29" x14ac:dyDescent="0.2">
      <c r="W9" s="10" t="str">
        <f>name!E9</f>
        <v>Caring, leisure and other service occupations</v>
      </c>
      <c r="X9" s="11">
        <f>'Occ T1'!C13-'Occ T1'!B13</f>
        <v>-1.6551216390976506</v>
      </c>
      <c r="Y9" s="11">
        <f>'Occ T1'!D13-'Occ T1'!C13</f>
        <v>-0.39130071981698933</v>
      </c>
      <c r="Z9" s="11">
        <f>'Occ T1'!E13-'Occ T1'!D13</f>
        <v>1.7381279997523507</v>
      </c>
      <c r="AA9" s="11">
        <f>'Occ T1'!F13-'Occ T1'!E13</f>
        <v>1.4702061450858892</v>
      </c>
      <c r="AB9" s="11">
        <f>'Occ T1'!D13-'Occ T1'!B13</f>
        <v>-2.04642235891464</v>
      </c>
      <c r="AC9" s="11">
        <f>'Occ T1'!F13-'Occ T1'!D13</f>
        <v>3.2083341448382399</v>
      </c>
    </row>
    <row r="10" spans="1:29" x14ac:dyDescent="0.2">
      <c r="W10" s="10" t="str">
        <f>name!E10</f>
        <v>Sales and customer service occupations</v>
      </c>
      <c r="X10" s="11">
        <f>'Occ T1'!C14-'Occ T1'!B14</f>
        <v>-5.3149593205918961</v>
      </c>
      <c r="Y10" s="11">
        <f>'Occ T1'!D14-'Occ T1'!C14</f>
        <v>0.7039701500638742</v>
      </c>
      <c r="Z10" s="11">
        <f>'Occ T1'!E14-'Occ T1'!D14</f>
        <v>-9.3654309376255185E-2</v>
      </c>
      <c r="AA10" s="11">
        <f>'Occ T1'!F14-'Occ T1'!E14</f>
        <v>0.44062239417257842</v>
      </c>
      <c r="AB10" s="11">
        <f>'Occ T1'!D14-'Occ T1'!B14</f>
        <v>-4.6109891705280219</v>
      </c>
      <c r="AC10" s="11">
        <f>'Occ T1'!F14-'Occ T1'!D14</f>
        <v>0.34696808479632324</v>
      </c>
    </row>
    <row r="11" spans="1:29" x14ac:dyDescent="0.2">
      <c r="W11" s="10" t="str">
        <f>name!E11</f>
        <v>Process, plant and machine operatives</v>
      </c>
      <c r="X11" s="11">
        <f>'Occ T1'!C15-'Occ T1'!B15</f>
        <v>1.9635416012195108</v>
      </c>
      <c r="Y11" s="11">
        <f>'Occ T1'!D15-'Occ T1'!C15</f>
        <v>-4.6600114647886244</v>
      </c>
      <c r="Z11" s="11">
        <f>'Occ T1'!E15-'Occ T1'!D15</f>
        <v>2.7160176376337759</v>
      </c>
      <c r="AA11" s="11">
        <f>'Occ T1'!F15-'Occ T1'!E15</f>
        <v>-2.1643145473193286</v>
      </c>
      <c r="AB11" s="11">
        <f>'Occ T1'!D15-'Occ T1'!B15</f>
        <v>-2.6964698635691136</v>
      </c>
      <c r="AC11" s="11">
        <f>'Occ T1'!F15-'Occ T1'!D15</f>
        <v>0.55170309031444731</v>
      </c>
    </row>
    <row r="12" spans="1:29" x14ac:dyDescent="0.2">
      <c r="W12" s="10" t="str">
        <f>name!E12</f>
        <v>Elementary occupations</v>
      </c>
      <c r="X12" s="11">
        <f>'Occ T1'!C16-'Occ T1'!B16</f>
        <v>-3.9758816221307072</v>
      </c>
      <c r="Y12" s="11">
        <f>'Occ T1'!D16-'Occ T1'!C16</f>
        <v>-3.6073956698623562</v>
      </c>
      <c r="Z12" s="11">
        <f>'Occ T1'!E16-'Occ T1'!D16</f>
        <v>-1.4775224444644053</v>
      </c>
      <c r="AA12" s="11">
        <f>'Occ T1'!F16-'Occ T1'!E16</f>
        <v>-1.5962038702638708</v>
      </c>
      <c r="AB12" s="11">
        <f>'Occ T1'!D16-'Occ T1'!B16</f>
        <v>-7.5832772919930633</v>
      </c>
      <c r="AC12" s="11">
        <f>'Occ T1'!F16-'Occ T1'!D16</f>
        <v>-3.0737263147282761</v>
      </c>
    </row>
    <row r="14" spans="1:29" x14ac:dyDescent="0.2">
      <c r="W14" s="10" t="str">
        <f>name!E3</f>
        <v>All occupations</v>
      </c>
      <c r="X14" s="11">
        <f>'Occ T1'!C18-'Occ T1'!B18</f>
        <v>-6.1360000000002515</v>
      </c>
      <c r="Y14" s="11">
        <f>'Occ T1'!D18-'Occ T1'!C18</f>
        <v>-4.6489999999997167</v>
      </c>
      <c r="Z14" s="11">
        <f>'Occ T1'!E18-'Occ T1'!D18</f>
        <v>3.8249999999996476</v>
      </c>
      <c r="AA14" s="11">
        <f>'Occ T1'!F18-'Occ T1'!E18</f>
        <v>10.0270000000001</v>
      </c>
      <c r="AB14" s="11">
        <f>'Occ T1'!D18-'Occ T1'!B18</f>
        <v>-10.784999999999968</v>
      </c>
      <c r="AC14" s="11">
        <f>'Occ T1'!F18-'Occ T1'!D18</f>
        <v>13.851999999999748</v>
      </c>
    </row>
    <row r="17" spans="23:26" x14ac:dyDescent="0.2">
      <c r="Y17" s="83" t="s">
        <v>439</v>
      </c>
      <c r="Z17" s="83" t="s">
        <v>440</v>
      </c>
    </row>
    <row r="18" spans="23:26" x14ac:dyDescent="0.2">
      <c r="W18" s="83" t="s">
        <v>437</v>
      </c>
      <c r="X18">
        <f>CEILING(MAX(X4:AA12),IF(MAX(X4:AA12)&lt;100,10,IF(MAX(X4:AA12)&lt;1000,100,1000)))</f>
        <v>20</v>
      </c>
      <c r="Y18">
        <f>MAX(X18,(X19*-1))</f>
        <v>20</v>
      </c>
      <c r="Z18">
        <f>IF(Y18&gt;1000,1000,IF(Y18&gt;500,500,IF(Y18&gt;100,100,IF(Y18&gt;40,20,10))))</f>
        <v>10</v>
      </c>
    </row>
    <row r="19" spans="23:26" x14ac:dyDescent="0.2">
      <c r="W19" s="83" t="s">
        <v>438</v>
      </c>
      <c r="X19">
        <f>FLOOR(MIN(X4:AA12),IF(MIN(X4:AA12)&gt;-100,10,IF(MIN(X4:AA12)&gt;-1000,100,1000)))</f>
        <v>-10</v>
      </c>
      <c r="Y19">
        <f>Y18*-1</f>
        <v>-20</v>
      </c>
    </row>
    <row r="26" spans="23:26" x14ac:dyDescent="0.2">
      <c r="Z26" s="83"/>
    </row>
    <row r="27" spans="23:26" x14ac:dyDescent="0.2">
      <c r="Z27" s="83"/>
    </row>
    <row r="28" spans="23:26" x14ac:dyDescent="0.2">
      <c r="Z28" s="83"/>
    </row>
  </sheetData>
  <pageMargins left="0.7" right="0.7" top="0.75" bottom="0.75" header="0.3" footer="0.3"/>
  <pageSetup paperSize="9" scale="74" orientation="landscape" r:id="rId1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Sheet61"/>
  <dimension ref="A1:P13"/>
  <sheetViews>
    <sheetView showGridLines="0" zoomScale="75" zoomScaleNormal="75" workbookViewId="0"/>
  </sheetViews>
  <sheetFormatPr defaultRowHeight="12.75" x14ac:dyDescent="0.2"/>
  <cols>
    <col min="13" max="13" width="36" customWidth="1"/>
  </cols>
  <sheetData>
    <row r="1" spans="1:16" ht="15.75" x14ac:dyDescent="0.25">
      <c r="A1" s="80" t="str">
        <f>CONCATENATE("Occupation Figure 4  Occupational Change by Gender (000s) (SOC 2020), ",N1,", ",Info!B5)</f>
        <v>Occupation Figure 4  Occupational Change by Gender (000s) (SOC 2020), 2020-2035, North East</v>
      </c>
      <c r="M1" s="83" t="s">
        <v>19</v>
      </c>
      <c r="N1" t="str">
        <f>'Occ T1'!F62</f>
        <v>2020-2035</v>
      </c>
    </row>
    <row r="2" spans="1:16" x14ac:dyDescent="0.2">
      <c r="A2" s="364" t="s">
        <v>517</v>
      </c>
      <c r="M2" s="1" t="s">
        <v>0</v>
      </c>
      <c r="N2" s="83" t="s">
        <v>33</v>
      </c>
      <c r="O2" s="83" t="s">
        <v>105</v>
      </c>
      <c r="P2" s="83" t="s">
        <v>104</v>
      </c>
    </row>
    <row r="3" spans="1:16" x14ac:dyDescent="0.2">
      <c r="M3" s="10" t="str">
        <f>name!E4</f>
        <v>Managers, directors and senior officials</v>
      </c>
      <c r="N3" s="11">
        <f>'Occ T1'!F64</f>
        <v>5.4440590911547417</v>
      </c>
      <c r="O3" s="11">
        <f>'Occ T1'!AB64</f>
        <v>3.0976990623843452</v>
      </c>
      <c r="P3" s="11">
        <f>'Occ T1'!Q64</f>
        <v>2.3463600287704551</v>
      </c>
    </row>
    <row r="4" spans="1:16" x14ac:dyDescent="0.2">
      <c r="M4" s="10" t="str">
        <f>name!E5</f>
        <v>Professional occupations</v>
      </c>
      <c r="N4" s="11">
        <f>'Occ T1'!F65</f>
        <v>17.736370174239553</v>
      </c>
      <c r="O4" s="11">
        <f>'Occ T1'!AB65</f>
        <v>11.605378712437236</v>
      </c>
      <c r="P4" s="11">
        <f>'Occ T1'!Q65</f>
        <v>6.1309914618022745</v>
      </c>
    </row>
    <row r="5" spans="1:16" x14ac:dyDescent="0.2">
      <c r="M5" s="10" t="str">
        <f>name!E6</f>
        <v>Associate professional occupations</v>
      </c>
      <c r="N5" s="11">
        <f>'Occ T1'!F66</f>
        <v>1.3420165578050387</v>
      </c>
      <c r="O5" s="11">
        <f>'Occ T1'!AB66</f>
        <v>3.5508720292119982</v>
      </c>
      <c r="P5" s="11">
        <f>'Occ T1'!Q66</f>
        <v>-2.2088554714069382</v>
      </c>
    </row>
    <row r="6" spans="1:16" x14ac:dyDescent="0.2">
      <c r="M6" s="10" t="str">
        <f>name!E7</f>
        <v>Administrative and secretarial occupations</v>
      </c>
      <c r="N6" s="11">
        <f>'Occ T1'!F67</f>
        <v>-6.6344997982928575</v>
      </c>
      <c r="O6" s="11">
        <f>'Occ T1'!AB67</f>
        <v>-7.4278573083043504</v>
      </c>
      <c r="P6" s="11">
        <f>'Occ T1'!Q67</f>
        <v>0.7933575100115835</v>
      </c>
    </row>
    <row r="7" spans="1:16" x14ac:dyDescent="0.2">
      <c r="M7" s="10" t="str">
        <f>name!E8</f>
        <v>Skilled trades occupations</v>
      </c>
      <c r="N7" s="11">
        <f>'Occ T1'!F68</f>
        <v>-5.0692250301274626</v>
      </c>
      <c r="O7" s="11">
        <f>'Occ T1'!AB68</f>
        <v>0.66099707484255177</v>
      </c>
      <c r="P7" s="11">
        <f>'Occ T1'!Q68</f>
        <v>-5.7302221049699966</v>
      </c>
    </row>
    <row r="8" spans="1:16" x14ac:dyDescent="0.2">
      <c r="M8" s="10" t="str">
        <f>name!E9</f>
        <v>Caring, leisure and other service occupations</v>
      </c>
      <c r="N8" s="11">
        <f>'Occ T1'!F69</f>
        <v>3.2083341448382399</v>
      </c>
      <c r="O8" s="11">
        <f>'Occ T1'!AB69</f>
        <v>1.7633860662969667</v>
      </c>
      <c r="P8" s="11">
        <f>'Occ T1'!Q69</f>
        <v>1.4449480785413007</v>
      </c>
    </row>
    <row r="9" spans="1:16" x14ac:dyDescent="0.2">
      <c r="M9" s="10" t="str">
        <f>name!E10</f>
        <v>Sales and customer service occupations</v>
      </c>
      <c r="N9" s="11">
        <f>'Occ T1'!F70</f>
        <v>0.34696808479632324</v>
      </c>
      <c r="O9" s="11">
        <f>'Occ T1'!AB70</f>
        <v>-1.1223091635011997</v>
      </c>
      <c r="P9" s="11">
        <f>'Occ T1'!Q70</f>
        <v>1.4692772482974483</v>
      </c>
    </row>
    <row r="10" spans="1:16" x14ac:dyDescent="0.2">
      <c r="M10" s="10" t="str">
        <f>name!E11</f>
        <v>Process, plant and machine operatives</v>
      </c>
      <c r="N10" s="11">
        <f>'Occ T1'!F71</f>
        <v>0.55170309031444731</v>
      </c>
      <c r="O10" s="11">
        <f>'Occ T1'!AB71</f>
        <v>0.51458990274583183</v>
      </c>
      <c r="P10" s="11">
        <f>'Occ T1'!Q71</f>
        <v>3.711318756866433E-2</v>
      </c>
    </row>
    <row r="11" spans="1:16" x14ac:dyDescent="0.2">
      <c r="M11" s="10" t="str">
        <f>name!E12</f>
        <v>Elementary occupations</v>
      </c>
      <c r="N11" s="11">
        <f>'Occ T1'!F72</f>
        <v>-3.0737263147282761</v>
      </c>
      <c r="O11" s="11">
        <f>'Occ T1'!AB72</f>
        <v>-1.3329575646116147</v>
      </c>
      <c r="P11" s="11">
        <f>'Occ T1'!Q72</f>
        <v>-1.740768750116672</v>
      </c>
    </row>
    <row r="12" spans="1:16" x14ac:dyDescent="0.2">
      <c r="M12" s="10"/>
      <c r="N12" s="11"/>
      <c r="O12" s="11"/>
      <c r="P12" s="11"/>
    </row>
    <row r="13" spans="1:16" x14ac:dyDescent="0.2">
      <c r="M13" s="10" t="str">
        <f>name!E3</f>
        <v>All occupations</v>
      </c>
      <c r="N13" s="11">
        <f>'Occ T1'!F74</f>
        <v>13.851999999999748</v>
      </c>
      <c r="O13" s="11">
        <f>'Occ T1'!AB74</f>
        <v>11.309798811501736</v>
      </c>
      <c r="P13" s="11">
        <f>'Occ T1'!Q74</f>
        <v>2.5422011884981259</v>
      </c>
    </row>
  </sheetData>
  <pageMargins left="0.7" right="0.7" top="0.75" bottom="0.75" header="0.3" footer="0.3"/>
  <pageSetup paperSize="9" scale="97" orientation="portrait" r:id="rId1"/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Sheet62"/>
  <dimension ref="A1:P79"/>
  <sheetViews>
    <sheetView showGridLines="0" zoomScale="75" zoomScaleNormal="75" workbookViewId="0"/>
  </sheetViews>
  <sheetFormatPr defaultColWidth="9.140625" defaultRowHeight="12.75" x14ac:dyDescent="0.2"/>
  <cols>
    <col min="12" max="12" width="24.7109375" customWidth="1"/>
    <col min="13" max="13" width="36" customWidth="1"/>
    <col min="14" max="14" width="19.5703125" customWidth="1"/>
  </cols>
  <sheetData>
    <row r="1" spans="1:16" ht="15.75" x14ac:dyDescent="0.25">
      <c r="A1" s="80" t="str">
        <f>CONCATENATE("Occupation Figure 5  Occupational Change by Status (000s) (SOC 2020), ",N1,", ",Info!B5)</f>
        <v>Occupation Figure 5  Occupational Change by Status (000s) (SOC 2020), 2020-2035, North East</v>
      </c>
      <c r="M1" s="83" t="s">
        <v>19</v>
      </c>
      <c r="N1" t="str">
        <f>'Ind Occ T2'!G6&amp;"-"&amp;'Ind Occ T2'!L6</f>
        <v>2020-2035</v>
      </c>
    </row>
    <row r="2" spans="1:16" x14ac:dyDescent="0.2">
      <c r="A2" s="364" t="s">
        <v>517</v>
      </c>
      <c r="M2" s="1" t="s">
        <v>337</v>
      </c>
      <c r="N2" s="83" t="s">
        <v>344</v>
      </c>
      <c r="O2" s="83" t="s">
        <v>421</v>
      </c>
      <c r="P2" s="83" t="s">
        <v>422</v>
      </c>
    </row>
    <row r="3" spans="1:16" x14ac:dyDescent="0.2">
      <c r="M3" s="10" t="str">
        <f>name!E4</f>
        <v>Managers, directors and senior officials</v>
      </c>
      <c r="N3" s="11">
        <f>'Occ T5'!I44</f>
        <v>0.5598437980776243</v>
      </c>
      <c r="O3" s="11">
        <f>'Occ T5'!H44</f>
        <v>1.2985169547471269</v>
      </c>
      <c r="P3" s="11">
        <f>'Occ T5'!G44</f>
        <v>3.5856983383300296</v>
      </c>
    </row>
    <row r="4" spans="1:16" x14ac:dyDescent="0.2">
      <c r="M4" s="10" t="str">
        <f>name!E5</f>
        <v>Professional occupations</v>
      </c>
      <c r="N4" s="11">
        <f>'Occ T5'!I45</f>
        <v>-0.98958963027354052</v>
      </c>
      <c r="O4" s="11">
        <f>'Occ T5'!H45</f>
        <v>4.9086939253513542</v>
      </c>
      <c r="P4" s="11">
        <f>'Occ T5'!G45</f>
        <v>13.817265879161752</v>
      </c>
    </row>
    <row r="5" spans="1:16" x14ac:dyDescent="0.2">
      <c r="M5" s="10" t="str">
        <f>name!E6</f>
        <v>Associate professional occupations</v>
      </c>
      <c r="N5" s="11">
        <f>'Occ T5'!I46</f>
        <v>-0.1886846303128964</v>
      </c>
      <c r="O5" s="11">
        <f>'Occ T5'!H46</f>
        <v>0.80131775800554372</v>
      </c>
      <c r="P5" s="11">
        <f>'Occ T5'!G46</f>
        <v>0.72938343011242068</v>
      </c>
    </row>
    <row r="6" spans="1:16" x14ac:dyDescent="0.2">
      <c r="M6" s="10" t="str">
        <f>name!E7</f>
        <v>Administrative and secretarial occupations</v>
      </c>
      <c r="N6" s="11">
        <f>'Occ T5'!I47</f>
        <v>0.54582256997110656</v>
      </c>
      <c r="O6" s="11">
        <f>'Occ T5'!H47</f>
        <v>-3.0943569672340523</v>
      </c>
      <c r="P6" s="11">
        <f>'Occ T5'!G47</f>
        <v>-4.0859654010298634</v>
      </c>
    </row>
    <row r="7" spans="1:16" x14ac:dyDescent="0.2">
      <c r="M7" s="10" t="str">
        <f>name!E8</f>
        <v>Skilled trades occupations</v>
      </c>
      <c r="N7" s="11">
        <f>'Occ T5'!I48</f>
        <v>0.28726352660506471</v>
      </c>
      <c r="O7" s="11">
        <f>'Occ T5'!H48</f>
        <v>0.29560911954775237</v>
      </c>
      <c r="P7" s="11">
        <f>'Occ T5'!G48</f>
        <v>-5.652097676280281</v>
      </c>
    </row>
    <row r="8" spans="1:16" x14ac:dyDescent="0.2">
      <c r="M8" s="10" t="str">
        <f>name!E9</f>
        <v>Caring, leisure and other service occupations</v>
      </c>
      <c r="N8" s="11">
        <f>'Occ T5'!I49</f>
        <v>0.34186061767711617</v>
      </c>
      <c r="O8" s="11">
        <f>'Occ T5'!H49</f>
        <v>0.85966007855075688</v>
      </c>
      <c r="P8" s="11">
        <f>'Occ T5'!G49</f>
        <v>2.006813448610405</v>
      </c>
    </row>
    <row r="9" spans="1:16" x14ac:dyDescent="0.2">
      <c r="M9" s="10" t="str">
        <f>name!E10</f>
        <v>Sales and customer service occupations</v>
      </c>
      <c r="N9" s="11">
        <f>'Occ T5'!I50</f>
        <v>-0.41760998559237894</v>
      </c>
      <c r="O9" s="11">
        <f>'Occ T5'!H50</f>
        <v>0.10401726393461175</v>
      </c>
      <c r="P9" s="11">
        <f>'Occ T5'!G50</f>
        <v>0.66056080645400428</v>
      </c>
    </row>
    <row r="10" spans="1:16" x14ac:dyDescent="0.2">
      <c r="M10" s="10" t="str">
        <f>name!E11</f>
        <v>Process, plant and machine operatives</v>
      </c>
      <c r="N10" s="11">
        <f>'Occ T5'!I51</f>
        <v>0.63464871684575908</v>
      </c>
      <c r="O10" s="11">
        <f>'Occ T5'!H51</f>
        <v>0.92950162517594048</v>
      </c>
      <c r="P10" s="11">
        <f>'Occ T5'!G51</f>
        <v>-1.0124472517072078</v>
      </c>
    </row>
    <row r="11" spans="1:16" x14ac:dyDescent="0.2">
      <c r="M11" s="10" t="str">
        <f>name!E12</f>
        <v>Elementary occupations</v>
      </c>
      <c r="N11" s="11">
        <f>'Occ T5'!I52</f>
        <v>0.9758943132917377</v>
      </c>
      <c r="O11" s="11">
        <f>'Occ T5'!H52</f>
        <v>-3.6878929894635348</v>
      </c>
      <c r="P11" s="11">
        <f>'Occ T5'!G52</f>
        <v>-0.36172763855647716</v>
      </c>
    </row>
    <row r="12" spans="1:16" x14ac:dyDescent="0.2">
      <c r="M12" s="10"/>
      <c r="N12" s="11"/>
      <c r="O12" s="11"/>
      <c r="P12" s="11"/>
    </row>
    <row r="13" spans="1:16" x14ac:dyDescent="0.2">
      <c r="M13" s="10" t="str">
        <f>name!E3</f>
        <v>All occupations</v>
      </c>
      <c r="N13" s="11">
        <f>'Occ T5'!I54</f>
        <v>1.7494492962895904</v>
      </c>
      <c r="O13" s="11">
        <f>'Occ T5'!H54</f>
        <v>2.4150667686155032</v>
      </c>
      <c r="P13" s="11">
        <f>'Occ T5'!G54</f>
        <v>9.6874839350947468</v>
      </c>
    </row>
    <row r="16" spans="1:16" x14ac:dyDescent="0.2">
      <c r="M16" s="83" t="s">
        <v>19</v>
      </c>
      <c r="N16" t="str">
        <f>N1</f>
        <v>2020-2035</v>
      </c>
    </row>
    <row r="17" spans="13:16" x14ac:dyDescent="0.2">
      <c r="M17" s="1" t="s">
        <v>105</v>
      </c>
      <c r="N17" s="83" t="s">
        <v>344</v>
      </c>
      <c r="O17" s="83" t="s">
        <v>421</v>
      </c>
      <c r="P17" s="83" t="s">
        <v>422</v>
      </c>
    </row>
    <row r="18" spans="13:16" x14ac:dyDescent="0.2">
      <c r="M18" s="10" t="str">
        <f>M3</f>
        <v>Managers, directors and senior officials</v>
      </c>
      <c r="N18" s="11">
        <f>'Occ T5'!AO44</f>
        <v>-0.12704881815653701</v>
      </c>
      <c r="O18" s="11">
        <f>'Occ T5'!AN44</f>
        <v>0.65503181593431226</v>
      </c>
      <c r="P18" s="11">
        <f>'Occ T5'!AM44</f>
        <v>2.5697160646065633</v>
      </c>
    </row>
    <row r="19" spans="13:16" x14ac:dyDescent="0.2">
      <c r="M19" s="10" t="str">
        <f t="shared" ref="M19:M28" si="0">M4</f>
        <v>Professional occupations</v>
      </c>
      <c r="N19" s="11">
        <f>'Occ T5'!AO45</f>
        <v>-0.56946480904959396</v>
      </c>
      <c r="O19" s="11">
        <f>'Occ T5'!AN45</f>
        <v>3.8997459296202308</v>
      </c>
      <c r="P19" s="11">
        <f>'Occ T5'!AM45</f>
        <v>8.2750975918666398</v>
      </c>
    </row>
    <row r="20" spans="13:16" x14ac:dyDescent="0.2">
      <c r="M20" s="10" t="str">
        <f t="shared" si="0"/>
        <v>Associate professional occupations</v>
      </c>
      <c r="N20" s="11">
        <f>'Occ T5'!AO46</f>
        <v>-0.14697362033303873</v>
      </c>
      <c r="O20" s="11">
        <f>'Occ T5'!AN46</f>
        <v>1.0477969302692731</v>
      </c>
      <c r="P20" s="11">
        <f>'Occ T5'!AM46</f>
        <v>2.6500487192757536</v>
      </c>
    </row>
    <row r="21" spans="13:16" x14ac:dyDescent="0.2">
      <c r="M21" s="10" t="str">
        <f t="shared" si="0"/>
        <v>Administrative and secretarial occupations</v>
      </c>
      <c r="N21" s="11">
        <f>'Occ T5'!AO47</f>
        <v>0.32080666309933759</v>
      </c>
      <c r="O21" s="11">
        <f>'Occ T5'!AN47</f>
        <v>-3.0889350137671343</v>
      </c>
      <c r="P21" s="11">
        <f>'Occ T5'!AM47</f>
        <v>-4.6597289576365739</v>
      </c>
    </row>
    <row r="22" spans="13:16" x14ac:dyDescent="0.2">
      <c r="M22" s="10" t="str">
        <f t="shared" si="0"/>
        <v>Skilled trades occupations</v>
      </c>
      <c r="N22" s="11">
        <f>'Occ T5'!AO48</f>
        <v>0.45284921414816859</v>
      </c>
      <c r="O22" s="11">
        <f>'Occ T5'!AN48</f>
        <v>4.9862376867201075E-2</v>
      </c>
      <c r="P22" s="11">
        <f>'Occ T5'!AM48</f>
        <v>0.15828548382718521</v>
      </c>
    </row>
    <row r="23" spans="13:16" x14ac:dyDescent="0.2">
      <c r="M23" s="10" t="str">
        <f t="shared" si="0"/>
        <v>Caring, leisure and other service occupations</v>
      </c>
      <c r="N23" s="11">
        <f>'Occ T5'!AO49</f>
        <v>0.10976999768489382</v>
      </c>
      <c r="O23" s="11">
        <f>'Occ T5'!AN49</f>
        <v>0.42461888676871595</v>
      </c>
      <c r="P23" s="11">
        <f>'Occ T5'!AM49</f>
        <v>1.2289971818433685</v>
      </c>
    </row>
    <row r="24" spans="13:16" x14ac:dyDescent="0.2">
      <c r="M24" s="10" t="str">
        <f t="shared" si="0"/>
        <v>Sales and customer service occupations</v>
      </c>
      <c r="N24" s="11">
        <f>'Occ T5'!AO50</f>
        <v>-0.26202390725082647</v>
      </c>
      <c r="O24" s="11">
        <f>'Occ T5'!AN50</f>
        <v>-0.37907675961211851</v>
      </c>
      <c r="P24" s="11">
        <f>'Occ T5'!AM50</f>
        <v>-0.48120849663825283</v>
      </c>
    </row>
    <row r="25" spans="13:16" x14ac:dyDescent="0.2">
      <c r="M25" s="10" t="str">
        <f t="shared" si="0"/>
        <v>Process, plant and machine operatives</v>
      </c>
      <c r="N25" s="11">
        <f>'Occ T5'!AO51</f>
        <v>7.3540547675437995E-2</v>
      </c>
      <c r="O25" s="11">
        <f>'Occ T5'!AN51</f>
        <v>0.36565026929804723</v>
      </c>
      <c r="P25" s="11">
        <f>'Occ T5'!AM51</f>
        <v>7.5399085772343888E-2</v>
      </c>
    </row>
    <row r="26" spans="13:16" x14ac:dyDescent="0.2">
      <c r="M26" s="10" t="str">
        <f t="shared" si="0"/>
        <v>Elementary occupations</v>
      </c>
      <c r="N26" s="11">
        <f>'Occ T5'!AO52</f>
        <v>0.41082384113225601</v>
      </c>
      <c r="O26" s="11">
        <f>'Occ T5'!AN52</f>
        <v>-3.2440394841289297</v>
      </c>
      <c r="P26" s="11">
        <f>'Occ T5'!AM52</f>
        <v>1.5002580783850483</v>
      </c>
    </row>
    <row r="27" spans="13:16" x14ac:dyDescent="0.2">
      <c r="M27" s="10"/>
      <c r="N27" s="11"/>
      <c r="O27" s="11"/>
      <c r="P27" s="11"/>
    </row>
    <row r="28" spans="13:16" x14ac:dyDescent="0.2">
      <c r="M28" s="10" t="str">
        <f t="shared" si="0"/>
        <v>All occupations</v>
      </c>
      <c r="N28" s="11">
        <f>'Occ T5'!AO54</f>
        <v>0.26227910895009643</v>
      </c>
      <c r="O28" s="11">
        <f>'Occ T5'!AN54</f>
        <v>-0.26934504875040943</v>
      </c>
      <c r="P28" s="11">
        <f>'Occ T5'!AM54</f>
        <v>11.316864751302077</v>
      </c>
    </row>
    <row r="31" spans="13:16" x14ac:dyDescent="0.2">
      <c r="M31" s="83" t="s">
        <v>19</v>
      </c>
      <c r="N31" t="str">
        <f>N1</f>
        <v>2020-2035</v>
      </c>
    </row>
    <row r="32" spans="13:16" x14ac:dyDescent="0.2">
      <c r="M32" s="1" t="s">
        <v>104</v>
      </c>
      <c r="N32" s="83" t="s">
        <v>344</v>
      </c>
      <c r="O32" s="83" t="s">
        <v>421</v>
      </c>
      <c r="P32" s="83" t="s">
        <v>422</v>
      </c>
    </row>
    <row r="33" spans="1:16" x14ac:dyDescent="0.2">
      <c r="M33" s="10" t="str">
        <f>M3</f>
        <v>Managers, directors and senior officials</v>
      </c>
      <c r="N33" s="11">
        <f>'Occ T5'!Y44</f>
        <v>0.68689261623415243</v>
      </c>
      <c r="O33" s="11">
        <f>'Occ T5'!X44</f>
        <v>0.64348513881281288</v>
      </c>
      <c r="P33" s="11">
        <f>'Occ T5'!W44</f>
        <v>1.0159822737234663</v>
      </c>
    </row>
    <row r="34" spans="1:16" x14ac:dyDescent="0.2">
      <c r="M34" s="10" t="str">
        <f t="shared" ref="M34:M43" si="1">M4</f>
        <v>Professional occupations</v>
      </c>
      <c r="N34" s="11">
        <f>'Occ T5'!Y45</f>
        <v>-0.42012482122394346</v>
      </c>
      <c r="O34" s="11">
        <f>'Occ T5'!X45</f>
        <v>1.0089479957311229</v>
      </c>
      <c r="P34" s="11">
        <f>'Occ T5'!W45</f>
        <v>5.5421682872951195</v>
      </c>
    </row>
    <row r="35" spans="1:16" x14ac:dyDescent="0.2">
      <c r="M35" s="10" t="str">
        <f t="shared" si="1"/>
        <v>Associate professional occupations</v>
      </c>
      <c r="N35" s="11">
        <f>'Occ T5'!Y46</f>
        <v>-4.1711009979861213E-2</v>
      </c>
      <c r="O35" s="11">
        <f>'Occ T5'!X46</f>
        <v>-0.24647917226372407</v>
      </c>
      <c r="P35" s="11">
        <f>'Occ T5'!W46</f>
        <v>-1.9206652891633489</v>
      </c>
    </row>
    <row r="36" spans="1:16" x14ac:dyDescent="0.2">
      <c r="M36" s="10" t="str">
        <f t="shared" si="1"/>
        <v>Administrative and secretarial occupations</v>
      </c>
      <c r="N36" s="11">
        <f>'Occ T5'!Y47</f>
        <v>0.22501590687176903</v>
      </c>
      <c r="O36" s="11">
        <f>'Occ T5'!X47</f>
        <v>-5.4219534669126546E-3</v>
      </c>
      <c r="P36" s="11">
        <f>'Occ T5'!W47</f>
        <v>0.57376355660669098</v>
      </c>
    </row>
    <row r="37" spans="1:16" x14ac:dyDescent="0.2">
      <c r="M37" s="10" t="str">
        <f t="shared" si="1"/>
        <v>Skilled trades occupations</v>
      </c>
      <c r="N37" s="11">
        <f>'Occ T5'!Y48</f>
        <v>-0.16558568754310521</v>
      </c>
      <c r="O37" s="11">
        <f>'Occ T5'!X48</f>
        <v>0.24574674268055086</v>
      </c>
      <c r="P37" s="11">
        <f>'Occ T5'!W48</f>
        <v>-5.8103831601074525</v>
      </c>
    </row>
    <row r="38" spans="1:16" x14ac:dyDescent="0.2">
      <c r="M38" s="10" t="str">
        <f t="shared" si="1"/>
        <v>Caring, leisure and other service occupations</v>
      </c>
      <c r="N38" s="11">
        <f>'Occ T5'!Y49</f>
        <v>0.23209061999222264</v>
      </c>
      <c r="O38" s="11">
        <f>'Occ T5'!X49</f>
        <v>0.43504119178204448</v>
      </c>
      <c r="P38" s="11">
        <f>'Occ T5'!W49</f>
        <v>0.77781626676704629</v>
      </c>
    </row>
    <row r="39" spans="1:16" x14ac:dyDescent="0.2">
      <c r="M39" s="10" t="str">
        <f t="shared" si="1"/>
        <v>Sales and customer service occupations</v>
      </c>
      <c r="N39" s="11">
        <f>'Occ T5'!Y50</f>
        <v>-0.1555860783415528</v>
      </c>
      <c r="O39" s="11">
        <f>'Occ T5'!X50</f>
        <v>0.48309402354671604</v>
      </c>
      <c r="P39" s="11">
        <f>'Occ T5'!W50</f>
        <v>1.141769303092274</v>
      </c>
    </row>
    <row r="40" spans="1:16" ht="15.75" x14ac:dyDescent="0.25">
      <c r="A40" s="80" t="str">
        <f>CONCATENATE("Occupation Figure 5.1 Females:  Occupational Change by Status (000s) (SOC 2020), ",N1,", ",Info!B5)</f>
        <v>Occupation Figure 5.1 Females:  Occupational Change by Status (000s) (SOC 2020), 2020-2035, North East</v>
      </c>
      <c r="M40" s="10" t="str">
        <f t="shared" si="1"/>
        <v>Process, plant and machine operatives</v>
      </c>
      <c r="N40" s="11">
        <f>'Occ T5'!Y51</f>
        <v>0.56110816917031681</v>
      </c>
      <c r="O40" s="11">
        <f>'Occ T5'!X51</f>
        <v>0.56385135587789081</v>
      </c>
      <c r="P40" s="11">
        <f>'Occ T5'!W51</f>
        <v>-1.0878463374795366</v>
      </c>
    </row>
    <row r="41" spans="1:16" x14ac:dyDescent="0.2">
      <c r="M41" s="10" t="str">
        <f t="shared" si="1"/>
        <v>Elementary occupations</v>
      </c>
      <c r="N41" s="11">
        <f>'Occ T5'!Y52</f>
        <v>0.56507047215948014</v>
      </c>
      <c r="O41" s="11">
        <f>'Occ T5'!X52</f>
        <v>-0.44385350533462642</v>
      </c>
      <c r="P41" s="11">
        <f>'Occ T5'!W52</f>
        <v>-1.8619857169415397</v>
      </c>
    </row>
    <row r="42" spans="1:16" x14ac:dyDescent="0.2">
      <c r="M42" s="10"/>
      <c r="N42" s="11"/>
      <c r="O42" s="11"/>
      <c r="P42" s="11"/>
    </row>
    <row r="43" spans="1:16" x14ac:dyDescent="0.2">
      <c r="M43" s="10" t="str">
        <f t="shared" si="1"/>
        <v>All occupations</v>
      </c>
      <c r="N43" s="11">
        <f>'Occ T5'!Y54</f>
        <v>1.4871701873394798</v>
      </c>
      <c r="O43" s="11">
        <f>'Occ T5'!X54</f>
        <v>2.6844118173658842</v>
      </c>
      <c r="P43" s="11">
        <f>'Occ T5'!W54</f>
        <v>-1.6293808162072594</v>
      </c>
    </row>
    <row r="79" spans="1:1" ht="15.75" x14ac:dyDescent="0.25">
      <c r="A79" s="80" t="str">
        <f>CONCATENATE("Occupation Figure 5.2 Males:  Occupational Change by Status (000s) (SOC 2020), ",N1,", ",Info!B5)</f>
        <v>Occupation Figure 5.2 Males:  Occupational Change by Status (000s) (SOC 2020), 2020-2035, North East</v>
      </c>
    </row>
  </sheetData>
  <pageMargins left="0.7" right="0.7" top="0.75" bottom="0.75" header="0.3" footer="0.3"/>
  <pageSetup paperSize="9" scale="76" orientation="portrait" r:id="rId1"/>
  <rowBreaks count="1" manualBreakCount="1">
    <brk id="39" max="9" man="1"/>
  </rowBreaks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Sheet32"/>
  <dimension ref="A1:G57"/>
  <sheetViews>
    <sheetView showGridLines="0" zoomScale="85" zoomScaleNormal="85" workbookViewId="0"/>
  </sheetViews>
  <sheetFormatPr defaultRowHeight="12.75" x14ac:dyDescent="0.2"/>
  <cols>
    <col min="1" max="1" width="36.7109375" customWidth="1"/>
    <col min="2" max="6" width="11.7109375" customWidth="1"/>
  </cols>
  <sheetData>
    <row r="1" spans="1:7" ht="15.75" x14ac:dyDescent="0.25">
      <c r="A1" s="19" t="str">
        <f>CONCATENATE("Qualification Table 1  Employment by Qualification, ",B$3,"-",F$3,", ",Info!B5,", ",Info!B5)</f>
        <v>Qualification Table 1  Employment by Qualification, 2015-2035, North East, North East</v>
      </c>
    </row>
    <row r="2" spans="1:7" x14ac:dyDescent="0.2">
      <c r="A2" s="1" t="s">
        <v>520</v>
      </c>
    </row>
    <row r="3" spans="1:7" x14ac:dyDescent="0.2">
      <c r="A3" s="22"/>
      <c r="B3" s="23">
        <f>'Occ T3'!B5</f>
        <v>2015</v>
      </c>
      <c r="C3" s="23">
        <f>'Occ T3'!C5</f>
        <v>2019</v>
      </c>
      <c r="D3" s="23">
        <f>'Occ T3'!D5</f>
        <v>2020</v>
      </c>
      <c r="E3" s="23">
        <f>'Occ T3'!E5</f>
        <v>2025</v>
      </c>
      <c r="F3" s="23">
        <f>'Occ T3'!F5</f>
        <v>2035</v>
      </c>
      <c r="G3" s="10"/>
    </row>
    <row r="4" spans="1:7" x14ac:dyDescent="0.2">
      <c r="A4" s="1" t="s">
        <v>13</v>
      </c>
      <c r="C4" s="10"/>
      <c r="D4" s="10"/>
      <c r="E4" s="10"/>
      <c r="F4" s="10"/>
    </row>
    <row r="5" spans="1:7" x14ac:dyDescent="0.2">
      <c r="A5" t="str">
        <f>name!F4</f>
        <v>RQF8 Doctorate</v>
      </c>
      <c r="B5" s="11">
        <f>HLOOKUP(B$3,'Qual F1'!$M$4:$BW$14,11,FALSE)</f>
        <v>5.3938869372483458</v>
      </c>
      <c r="C5" s="11">
        <f>HLOOKUP(C$3,'Qual F1'!$M$4:$BW$14,11,FALSE)</f>
        <v>7.010765620991668</v>
      </c>
      <c r="D5" s="11">
        <f>HLOOKUP(D$3,'Qual F1'!$M$4:$BW$14,11,FALSE)</f>
        <v>6.2191239061433228</v>
      </c>
      <c r="E5" s="11">
        <f>HLOOKUP(E$3,'Qual F1'!$M$4:$BW$14,11,FALSE)</f>
        <v>7.6363712242585455</v>
      </c>
      <c r="F5" s="11">
        <f>HLOOKUP(F$3,'Qual F1'!$M$4:$BW$14,11,FALSE)</f>
        <v>9.5144226538408123</v>
      </c>
      <c r="G5" s="11"/>
    </row>
    <row r="6" spans="1:7" x14ac:dyDescent="0.2">
      <c r="A6" t="str">
        <f>name!F5</f>
        <v>RQF7 Other higher degree</v>
      </c>
      <c r="B6" s="11">
        <f>HLOOKUP(B$3,'Qual F1'!$M$4:$BW$14,10,FALSE)</f>
        <v>34.137453238772807</v>
      </c>
      <c r="C6" s="11">
        <f>HLOOKUP(C$3,'Qual F1'!$M$4:$BW$14,10,FALSE)</f>
        <v>45.314710901695712</v>
      </c>
      <c r="D6" s="11">
        <f>HLOOKUP(D$3,'Qual F1'!$M$4:$BW$14,10,FALSE)</f>
        <v>39.987739972030006</v>
      </c>
      <c r="E6" s="11">
        <f>HLOOKUP(E$3,'Qual F1'!$M$4:$BW$14,10,FALSE)</f>
        <v>47.604731550028291</v>
      </c>
      <c r="F6" s="11">
        <f>HLOOKUP(F$3,'Qual F1'!$M$4:$BW$14,10,FALSE)</f>
        <v>57.86380678340101</v>
      </c>
      <c r="G6" s="11"/>
    </row>
    <row r="7" spans="1:7" x14ac:dyDescent="0.2">
      <c r="A7" t="str">
        <f>name!F6</f>
        <v>RQF6 First degree</v>
      </c>
      <c r="B7" s="11">
        <f>HLOOKUP(B$3,'Qual F1'!$M$4:$BW$14,9,FALSE)</f>
        <v>77.667960417349221</v>
      </c>
      <c r="C7" s="11">
        <f>HLOOKUP(C$3,'Qual F1'!$M$4:$BW$14,9,FALSE)</f>
        <v>75.155034915430335</v>
      </c>
      <c r="D7" s="11">
        <f>HLOOKUP(D$3,'Qual F1'!$M$4:$BW$14,9,FALSE)</f>
        <v>82.75056463531584</v>
      </c>
      <c r="E7" s="11">
        <f>HLOOKUP(E$3,'Qual F1'!$M$4:$BW$14,9,FALSE)</f>
        <v>92.194326075888512</v>
      </c>
      <c r="F7" s="11">
        <f>HLOOKUP(F$3,'Qual F1'!$M$4:$BW$14,9,FALSE)</f>
        <v>113.11901698064986</v>
      </c>
      <c r="G7" s="11"/>
    </row>
    <row r="8" spans="1:7" x14ac:dyDescent="0.2">
      <c r="A8" t="str">
        <f>name!F7</f>
        <v>RQF5 Foundation degree;Nursing;Teaching</v>
      </c>
      <c r="B8" s="11">
        <f>HLOOKUP(B$3,'Qual F1'!$M$4:$BW$14,8,FALSE)</f>
        <v>26.800248489582696</v>
      </c>
      <c r="C8" s="11">
        <f>HLOOKUP(C$3,'Qual F1'!$M$4:$BW$14,8,FALSE)</f>
        <v>23.202473803976289</v>
      </c>
      <c r="D8" s="11">
        <f>HLOOKUP(D$3,'Qual F1'!$M$4:$BW$14,8,FALSE)</f>
        <v>25.327567248455264</v>
      </c>
      <c r="E8" s="11">
        <f>HLOOKUP(E$3,'Qual F1'!$M$4:$BW$14,8,FALSE)</f>
        <v>24.707546523062941</v>
      </c>
      <c r="F8" s="11">
        <f>HLOOKUP(F$3,'Qual F1'!$M$4:$BW$14,8,FALSE)</f>
        <v>27.26079744831635</v>
      </c>
      <c r="G8" s="11"/>
    </row>
    <row r="9" spans="1:7" x14ac:dyDescent="0.2">
      <c r="A9" t="str">
        <f>name!F8</f>
        <v>RQF4 HE below degree level</v>
      </c>
      <c r="B9" s="11">
        <f>HLOOKUP(B$3,'Qual F1'!$M$4:$BW$14,7,FALSE)</f>
        <v>22.807149274523638</v>
      </c>
      <c r="C9" s="11">
        <f>HLOOKUP(C$3,'Qual F1'!$M$4:$BW$14,7,FALSE)</f>
        <v>21.16552937411738</v>
      </c>
      <c r="D9" s="11">
        <f>HLOOKUP(D$3,'Qual F1'!$M$4:$BW$14,7,FALSE)</f>
        <v>22.536999605775797</v>
      </c>
      <c r="E9" s="11">
        <f>HLOOKUP(E$3,'Qual F1'!$M$4:$BW$14,7,FALSE)</f>
        <v>23.861334773563094</v>
      </c>
      <c r="F9" s="11">
        <f>HLOOKUP(F$3,'Qual F1'!$M$4:$BW$14,7,FALSE)</f>
        <v>27.320613571405762</v>
      </c>
      <c r="G9" s="11"/>
    </row>
    <row r="10" spans="1:7" x14ac:dyDescent="0.2">
      <c r="A10" t="str">
        <f>name!F9</f>
        <v>RQF3 A level &amp; equivalent</v>
      </c>
      <c r="B10" s="11">
        <f>HLOOKUP(B$3,'Qual F1'!$M$4:$BW$14,6,FALSE)</f>
        <v>113.00883849411312</v>
      </c>
      <c r="C10" s="11">
        <f>HLOOKUP(C$3,'Qual F1'!$M$4:$BW$14,6,FALSE)</f>
        <v>109.16601579797461</v>
      </c>
      <c r="D10" s="11">
        <f>HLOOKUP(D$3,'Qual F1'!$M$4:$BW$14,6,FALSE)</f>
        <v>121.8506142823144</v>
      </c>
      <c r="E10" s="11">
        <f>HLOOKUP(E$3,'Qual F1'!$M$4:$BW$14,6,FALSE)</f>
        <v>117.13492343992273</v>
      </c>
      <c r="F10" s="11">
        <f>HLOOKUP(F$3,'Qual F1'!$M$4:$BW$14,6,FALSE)</f>
        <v>121.86308167785648</v>
      </c>
      <c r="G10" s="11"/>
    </row>
    <row r="11" spans="1:7" x14ac:dyDescent="0.2">
      <c r="A11" t="str">
        <f>name!F10</f>
        <v>RQF2 GCSE(A-C) &amp; equivalent</v>
      </c>
      <c r="B11" s="11">
        <f>HLOOKUP(B$3,'Qual F1'!$M$4:$BW$14,5,FALSE)</f>
        <v>115.75528457445073</v>
      </c>
      <c r="C11" s="11">
        <f>HLOOKUP(C$3,'Qual F1'!$M$4:$BW$14,5,FALSE)</f>
        <v>109.79657864625133</v>
      </c>
      <c r="D11" s="11">
        <f>HLOOKUP(D$3,'Qual F1'!$M$4:$BW$14,5,FALSE)</f>
        <v>108.45541532556361</v>
      </c>
      <c r="E11" s="11">
        <f>HLOOKUP(E$3,'Qual F1'!$M$4:$BW$14,5,FALSE)</f>
        <v>104.31154617294385</v>
      </c>
      <c r="F11" s="11">
        <f>HLOOKUP(F$3,'Qual F1'!$M$4:$BW$14,5,FALSE)</f>
        <v>93.890909211004313</v>
      </c>
      <c r="G11" s="11"/>
    </row>
    <row r="12" spans="1:7" x14ac:dyDescent="0.2">
      <c r="A12" t="str">
        <f>name!F11</f>
        <v>RQF1 GCSE(below grade C) &amp; equivalent</v>
      </c>
      <c r="B12" s="11">
        <f>HLOOKUP(B$3,'Qual F1'!$M$4:$BW$14,4,FALSE)</f>
        <v>62.923603548818974</v>
      </c>
      <c r="C12" s="11">
        <f>HLOOKUP(C$3,'Qual F1'!$M$4:$BW$14,4,FALSE)</f>
        <v>67.319812004646266</v>
      </c>
      <c r="D12" s="11">
        <f>HLOOKUP(D$3,'Qual F1'!$M$4:$BW$14,4,FALSE)</f>
        <v>52.426261327252483</v>
      </c>
      <c r="E12" s="11">
        <f>HLOOKUP(E$3,'Qual F1'!$M$4:$BW$14,4,FALSE)</f>
        <v>49.211328820675682</v>
      </c>
      <c r="F12" s="11">
        <f>HLOOKUP(F$3,'Qual F1'!$M$4:$BW$14,4,FALSE)</f>
        <v>30.548341935264546</v>
      </c>
      <c r="G12" s="11"/>
    </row>
    <row r="13" spans="1:7" x14ac:dyDescent="0.2">
      <c r="A13" t="str">
        <f>name!F12</f>
        <v>No Qualification</v>
      </c>
      <c r="B13" s="11">
        <f>HLOOKUP(B$3,'Qual F1'!$M$4:$BW$14,3,FALSE)</f>
        <v>31.216575025140632</v>
      </c>
      <c r="C13" s="11">
        <f>HLOOKUP(C$3,'Qual F1'!$M$4:$BW$14,3,FALSE)</f>
        <v>25.444078934916227</v>
      </c>
      <c r="D13" s="11">
        <f>HLOOKUP(D$3,'Qual F1'!$M$4:$BW$14,3,FALSE)</f>
        <v>19.371713697149644</v>
      </c>
      <c r="E13" s="11">
        <f>HLOOKUP(E$3,'Qual F1'!$M$4:$BW$14,3,FALSE)</f>
        <v>16.088891419655756</v>
      </c>
      <c r="F13" s="11">
        <f>HLOOKUP(F$3,'Qual F1'!$M$4:$BW$14,3,FALSE)</f>
        <v>11.397009738261021</v>
      </c>
      <c r="G13" s="11"/>
    </row>
    <row r="14" spans="1:7" x14ac:dyDescent="0.2">
      <c r="B14" s="11"/>
      <c r="C14" s="11"/>
      <c r="D14" s="11"/>
      <c r="E14" s="11"/>
      <c r="F14" s="11"/>
      <c r="G14" s="11"/>
    </row>
    <row r="15" spans="1:7" x14ac:dyDescent="0.2">
      <c r="A15" t="str">
        <f>name!F3</f>
        <v>All qualifications</v>
      </c>
      <c r="B15" s="11">
        <f>SUM(B5:B13)</f>
        <v>489.71100000000018</v>
      </c>
      <c r="C15" s="11">
        <f t="shared" ref="C15:F15" si="0">SUM(C5:C13)</f>
        <v>483.57499999999976</v>
      </c>
      <c r="D15" s="11">
        <f t="shared" si="0"/>
        <v>478.92600000000033</v>
      </c>
      <c r="E15" s="11">
        <f t="shared" si="0"/>
        <v>482.75099999999941</v>
      </c>
      <c r="F15" s="11">
        <f t="shared" si="0"/>
        <v>492.77800000000019</v>
      </c>
      <c r="G15" s="11"/>
    </row>
    <row r="16" spans="1:7" x14ac:dyDescent="0.2">
      <c r="B16" s="11"/>
      <c r="C16" s="11"/>
      <c r="D16" s="11"/>
      <c r="E16" s="11"/>
      <c r="F16" s="11"/>
      <c r="G16" s="11"/>
    </row>
    <row r="17" spans="1:7" x14ac:dyDescent="0.2">
      <c r="B17" s="11"/>
      <c r="C17" s="11"/>
      <c r="D17" s="11"/>
      <c r="E17" s="11"/>
      <c r="F17" s="11"/>
      <c r="G17" s="11"/>
    </row>
    <row r="18" spans="1:7" x14ac:dyDescent="0.2">
      <c r="A18" s="1" t="s">
        <v>14</v>
      </c>
      <c r="B18" s="17">
        <f>B$3</f>
        <v>2015</v>
      </c>
      <c r="C18" s="17">
        <f>C$3</f>
        <v>2019</v>
      </c>
      <c r="D18" s="17">
        <f>D$3</f>
        <v>2020</v>
      </c>
      <c r="E18" s="17">
        <f>E$3</f>
        <v>2025</v>
      </c>
      <c r="F18" s="17">
        <f>F$3</f>
        <v>2035</v>
      </c>
      <c r="G18" s="11"/>
    </row>
    <row r="19" spans="1:7" x14ac:dyDescent="0.2">
      <c r="A19" t="str">
        <f>$A5</f>
        <v>RQF8 Doctorate</v>
      </c>
      <c r="B19" s="18">
        <f t="shared" ref="B19:F21" si="1">B5/B$15*100</f>
        <v>1.1014428790140192</v>
      </c>
      <c r="C19" s="18">
        <f t="shared" si="1"/>
        <v>1.4497783427579325</v>
      </c>
      <c r="D19" s="18">
        <f t="shared" si="1"/>
        <v>1.2985563335762349</v>
      </c>
      <c r="E19" s="18">
        <f t="shared" si="1"/>
        <v>1.5818447241452747</v>
      </c>
      <c r="F19" s="18">
        <f t="shared" si="1"/>
        <v>1.9307726103520872</v>
      </c>
      <c r="G19" s="11"/>
    </row>
    <row r="20" spans="1:7" x14ac:dyDescent="0.2">
      <c r="A20" t="str">
        <f>$A6</f>
        <v>RQF7 Other higher degree</v>
      </c>
      <c r="B20" s="18">
        <f t="shared" si="1"/>
        <v>6.9709386227331622</v>
      </c>
      <c r="C20" s="18">
        <f t="shared" si="1"/>
        <v>9.3707720419160907</v>
      </c>
      <c r="D20" s="18">
        <f t="shared" si="1"/>
        <v>8.349461080006094</v>
      </c>
      <c r="E20" s="18">
        <f t="shared" si="1"/>
        <v>9.8611357718634132</v>
      </c>
      <c r="F20" s="18">
        <f t="shared" si="1"/>
        <v>11.742368121831937</v>
      </c>
      <c r="G20" s="11"/>
    </row>
    <row r="21" spans="1:7" x14ac:dyDescent="0.2">
      <c r="A21" t="str">
        <f>$A7</f>
        <v>RQF6 First degree</v>
      </c>
      <c r="B21" s="18">
        <f t="shared" si="1"/>
        <v>15.859958305480006</v>
      </c>
      <c r="C21" s="18">
        <f t="shared" si="1"/>
        <v>15.541546795312074</v>
      </c>
      <c r="D21" s="18">
        <f t="shared" si="1"/>
        <v>17.278361299097519</v>
      </c>
      <c r="E21" s="18">
        <f t="shared" si="1"/>
        <v>19.097697586517405</v>
      </c>
      <c r="F21" s="18">
        <f t="shared" si="1"/>
        <v>22.955370771554293</v>
      </c>
      <c r="G21" s="11"/>
    </row>
    <row r="22" spans="1:7" x14ac:dyDescent="0.2">
      <c r="A22" t="str">
        <f t="shared" ref="A22:A27" si="2">$A8</f>
        <v>RQF5 Foundation degree;Nursing;Teaching</v>
      </c>
      <c r="B22" s="18">
        <f t="shared" ref="B22:F22" si="3">B8/B$15*100</f>
        <v>5.4726662234629586</v>
      </c>
      <c r="C22" s="18">
        <f t="shared" si="3"/>
        <v>4.7981127651297726</v>
      </c>
      <c r="D22" s="18">
        <f t="shared" si="3"/>
        <v>5.2884093259616822</v>
      </c>
      <c r="E22" s="18">
        <f t="shared" si="3"/>
        <v>5.1180725722086482</v>
      </c>
      <c r="F22" s="18">
        <f t="shared" si="3"/>
        <v>5.5320646311962669</v>
      </c>
      <c r="G22" s="11"/>
    </row>
    <row r="23" spans="1:7" x14ac:dyDescent="0.2">
      <c r="A23" t="str">
        <f t="shared" si="2"/>
        <v>RQF4 HE below degree level</v>
      </c>
      <c r="B23" s="18">
        <f t="shared" ref="B23:F23" si="4">B9/B$15*100</f>
        <v>4.6572670972315571</v>
      </c>
      <c r="C23" s="18">
        <f t="shared" si="4"/>
        <v>4.3768865996210291</v>
      </c>
      <c r="D23" s="18">
        <f t="shared" si="4"/>
        <v>4.7057373384981771</v>
      </c>
      <c r="E23" s="18">
        <f t="shared" si="4"/>
        <v>4.9427830855996415</v>
      </c>
      <c r="F23" s="18">
        <f t="shared" si="4"/>
        <v>5.5442031850865403</v>
      </c>
      <c r="G23" s="11"/>
    </row>
    <row r="24" spans="1:7" x14ac:dyDescent="0.2">
      <c r="A24" t="str">
        <f t="shared" si="2"/>
        <v>RQF3 A level &amp; equivalent</v>
      </c>
      <c r="B24" s="18">
        <f t="shared" ref="B24:F24" si="5">B10/B$15*100</f>
        <v>23.076638771461756</v>
      </c>
      <c r="C24" s="18">
        <f t="shared" si="5"/>
        <v>22.574784841642902</v>
      </c>
      <c r="D24" s="18">
        <f t="shared" si="5"/>
        <v>25.442472173637327</v>
      </c>
      <c r="E24" s="18">
        <f t="shared" si="5"/>
        <v>24.264045737848885</v>
      </c>
      <c r="F24" s="18">
        <f t="shared" si="5"/>
        <v>24.729813765601637</v>
      </c>
      <c r="G24" s="11"/>
    </row>
    <row r="25" spans="1:7" x14ac:dyDescent="0.2">
      <c r="A25" t="str">
        <f t="shared" si="2"/>
        <v>RQF2 GCSE(A-C) &amp; equivalent</v>
      </c>
      <c r="B25" s="18">
        <f t="shared" ref="B25:F25" si="6">B11/B$15*100</f>
        <v>23.637468746760984</v>
      </c>
      <c r="C25" s="18">
        <f t="shared" si="6"/>
        <v>22.705180922556252</v>
      </c>
      <c r="D25" s="18">
        <f t="shared" si="6"/>
        <v>22.645547605593251</v>
      </c>
      <c r="E25" s="18">
        <f t="shared" si="6"/>
        <v>21.607732800749034</v>
      </c>
      <c r="F25" s="18">
        <f t="shared" si="6"/>
        <v>19.053388992813048</v>
      </c>
      <c r="G25" s="11"/>
    </row>
    <row r="26" spans="1:7" x14ac:dyDescent="0.2">
      <c r="A26" t="str">
        <f t="shared" si="2"/>
        <v>RQF1 GCSE(below grade C) &amp; equivalent</v>
      </c>
      <c r="B26" s="18">
        <f t="shared" ref="B26:F26" si="7">B12/B$15*100</f>
        <v>12.849130109149876</v>
      </c>
      <c r="C26" s="18">
        <f>C12/C$15*100</f>
        <v>13.921276328314388</v>
      </c>
      <c r="D26" s="18">
        <f t="shared" si="7"/>
        <v>10.946630863067039</v>
      </c>
      <c r="E26" s="18">
        <f t="shared" si="7"/>
        <v>10.193936174275297</v>
      </c>
      <c r="F26" s="18">
        <f t="shared" si="7"/>
        <v>6.1992097730143252</v>
      </c>
      <c r="G26" s="11"/>
    </row>
    <row r="27" spans="1:7" x14ac:dyDescent="0.2">
      <c r="A27" t="str">
        <f t="shared" si="2"/>
        <v>No Qualification</v>
      </c>
      <c r="B27" s="18">
        <f t="shared" ref="B27:F27" si="8">B13/B$15*100</f>
        <v>6.3744892447056776</v>
      </c>
      <c r="C27" s="18">
        <f>C13/C$15*100</f>
        <v>5.2616613627495719</v>
      </c>
      <c r="D27" s="18">
        <f t="shared" si="8"/>
        <v>4.0448239805626818</v>
      </c>
      <c r="E27" s="18">
        <f t="shared" si="8"/>
        <v>3.3327515467923994</v>
      </c>
      <c r="F27" s="18">
        <f t="shared" si="8"/>
        <v>2.3128081485498573</v>
      </c>
      <c r="G27" s="11"/>
    </row>
    <row r="28" spans="1:7" x14ac:dyDescent="0.2">
      <c r="B28" s="18"/>
      <c r="C28" s="18"/>
      <c r="D28" s="18"/>
      <c r="E28" s="18"/>
      <c r="F28" s="18"/>
      <c r="G28" s="11"/>
    </row>
    <row r="29" spans="1:7" x14ac:dyDescent="0.2">
      <c r="A29" t="str">
        <f>$A15</f>
        <v>All qualifications</v>
      </c>
      <c r="B29" s="18">
        <f>B15/B$15*100</f>
        <v>100</v>
      </c>
      <c r="C29" s="18">
        <f>C15/C$15*100</f>
        <v>100</v>
      </c>
      <c r="D29" s="18">
        <f>D15/D$15*100</f>
        <v>100</v>
      </c>
      <c r="E29" s="18">
        <f>E15/E$15*100</f>
        <v>100</v>
      </c>
      <c r="F29" s="18">
        <f>F15/F$15*100</f>
        <v>100</v>
      </c>
      <c r="G29" s="11"/>
    </row>
    <row r="30" spans="1:7" x14ac:dyDescent="0.2">
      <c r="B30" s="18"/>
      <c r="C30" s="18"/>
      <c r="D30" s="18"/>
      <c r="E30" s="18"/>
      <c r="F30" s="18"/>
      <c r="G30" s="11"/>
    </row>
    <row r="32" spans="1:7" x14ac:dyDescent="0.2">
      <c r="A32" s="1" t="s">
        <v>15</v>
      </c>
      <c r="B32" s="20" t="str">
        <f>CONCATENATE(B$3,"-",C$3)</f>
        <v>2015-2019</v>
      </c>
      <c r="C32" s="20" t="str">
        <f>CONCATENATE(C$3,"-",D$3)</f>
        <v>2019-2020</v>
      </c>
      <c r="D32" s="20" t="str">
        <f>CONCATENATE(D$3,"-",E$3)</f>
        <v>2020-2025</v>
      </c>
      <c r="E32" s="20" t="str">
        <f>CONCATENATE(E$3,"-",F$3)</f>
        <v>2025-2035</v>
      </c>
      <c r="F32" s="20" t="str">
        <f>CONCATENATE(D$3,"-",F$3)</f>
        <v>2020-2035</v>
      </c>
    </row>
    <row r="33" spans="1:6" x14ac:dyDescent="0.2">
      <c r="A33" t="str">
        <f>$A19</f>
        <v>RQF8 Doctorate</v>
      </c>
      <c r="B33" s="18">
        <f t="shared" ref="B33:E35" si="9">IF(C$3-B$3 &lt;&gt; 0,(EXP(LN(C5/B5)/(C$3-B$3))-1)*100,0)</f>
        <v>6.7740958028179143</v>
      </c>
      <c r="C33" s="18">
        <f t="shared" si="9"/>
        <v>-11.291801176151262</v>
      </c>
      <c r="D33" s="18">
        <f t="shared" si="9"/>
        <v>4.1913258634666439</v>
      </c>
      <c r="E33" s="18">
        <f t="shared" si="9"/>
        <v>2.2232161802188122</v>
      </c>
      <c r="F33" s="18">
        <f>IF(F$3-D$3 &lt;&gt; 0,(EXP(LN(F5/D5)/(F$3-D$3))-1)*100,0)</f>
        <v>2.875086967601459</v>
      </c>
    </row>
    <row r="34" spans="1:6" x14ac:dyDescent="0.2">
      <c r="A34" t="str">
        <f>$A20</f>
        <v>RQF7 Other higher degree</v>
      </c>
      <c r="B34" s="18">
        <f t="shared" si="9"/>
        <v>7.3376354247918441</v>
      </c>
      <c r="C34" s="18">
        <f t="shared" si="9"/>
        <v>-11.7555001977655</v>
      </c>
      <c r="D34" s="18">
        <f t="shared" si="9"/>
        <v>3.548700308771946</v>
      </c>
      <c r="E34" s="18">
        <f t="shared" si="9"/>
        <v>1.9707675096826804</v>
      </c>
      <c r="F34" s="18">
        <f t="shared" ref="F34:F43" si="10">IF(F$3-D$3 &lt;&gt; 0,(EXP(LN(F6/D6)/(F$3-D$3))-1)*100,0)</f>
        <v>2.49405513893175</v>
      </c>
    </row>
    <row r="35" spans="1:6" x14ac:dyDescent="0.2">
      <c r="A35" t="str">
        <f>$A21</f>
        <v>RQF6 First degree</v>
      </c>
      <c r="B35" s="18">
        <f t="shared" si="9"/>
        <v>-0.81887158851677855</v>
      </c>
      <c r="C35" s="18">
        <f t="shared" si="9"/>
        <v>10.106481526397438</v>
      </c>
      <c r="D35" s="18">
        <f t="shared" si="9"/>
        <v>2.1848815038580938</v>
      </c>
      <c r="E35" s="18">
        <f t="shared" si="9"/>
        <v>2.0664812833210089</v>
      </c>
      <c r="F35" s="18">
        <f t="shared" si="10"/>
        <v>2.1059327724547439</v>
      </c>
    </row>
    <row r="36" spans="1:6" x14ac:dyDescent="0.2">
      <c r="A36" t="str">
        <f t="shared" ref="A36:A41" si="11">$A22</f>
        <v>RQF5 Foundation degree;Nursing;Teaching</v>
      </c>
      <c r="B36" s="18">
        <f>IF(C$3-B$3 &lt;&gt; 0,(EXP(LN(C8/B8)/(C$3-B$3))-1)*100,0)</f>
        <v>-3.539642412824151</v>
      </c>
      <c r="C36" s="18">
        <f t="shared" ref="C36:E36" si="12">IF(D$3-C$3 &lt;&gt; 0,(EXP(LN(D8/C8)/(D$3-C$3))-1)*100,0)</f>
        <v>9.1589089268351529</v>
      </c>
      <c r="D36" s="18">
        <f t="shared" si="12"/>
        <v>-0.49446732302040886</v>
      </c>
      <c r="E36" s="18">
        <f t="shared" si="12"/>
        <v>0.9882609120382746</v>
      </c>
      <c r="F36" s="18">
        <f t="shared" si="10"/>
        <v>0.49157938744133212</v>
      </c>
    </row>
    <row r="37" spans="1:6" x14ac:dyDescent="0.2">
      <c r="A37" t="str">
        <f t="shared" si="11"/>
        <v>RQF4 HE below degree level</v>
      </c>
      <c r="B37" s="18">
        <f t="shared" ref="B37:E37" si="13">IF(C$3-B$3 &lt;&gt; 0,(EXP(LN(C9/B9)/(C$3-B$3))-1)*100,0)</f>
        <v>-1.8501743385010316</v>
      </c>
      <c r="C37" s="18">
        <f t="shared" si="13"/>
        <v>6.4797350796977682</v>
      </c>
      <c r="D37" s="18">
        <f t="shared" si="13"/>
        <v>1.14856536584651</v>
      </c>
      <c r="E37" s="18">
        <f t="shared" si="13"/>
        <v>1.3630270186239413</v>
      </c>
      <c r="F37" s="18">
        <f t="shared" si="10"/>
        <v>1.2914893246608328</v>
      </c>
    </row>
    <row r="38" spans="1:6" x14ac:dyDescent="0.2">
      <c r="A38" t="str">
        <f t="shared" si="11"/>
        <v>RQF3 A level &amp; equivalent</v>
      </c>
      <c r="B38" s="18">
        <f t="shared" ref="B38:E38" si="14">IF(C$3-B$3 &lt;&gt; 0,(EXP(LN(C10/B10)/(C$3-B$3))-1)*100,0)</f>
        <v>-0.86117615527215863</v>
      </c>
      <c r="C38" s="18">
        <f t="shared" si="14"/>
        <v>11.61954880520164</v>
      </c>
      <c r="D38" s="18">
        <f t="shared" si="14"/>
        <v>-0.78627970504099309</v>
      </c>
      <c r="E38" s="18">
        <f t="shared" si="14"/>
        <v>0.39650070234014123</v>
      </c>
      <c r="F38" s="18">
        <f t="shared" si="10"/>
        <v>6.8208110737266736E-4</v>
      </c>
    </row>
    <row r="39" spans="1:6" x14ac:dyDescent="0.2">
      <c r="A39" t="str">
        <f t="shared" si="11"/>
        <v>RQF2 GCSE(A-C) &amp; equivalent</v>
      </c>
      <c r="B39" s="18">
        <f t="shared" ref="B39:E39" si="15">IF(C$3-B$3 &lt;&gt; 0,(EXP(LN(C11/B11)/(C$3-B$3))-1)*100,0)</f>
        <v>-1.3125345994950077</v>
      </c>
      <c r="C39" s="18">
        <f t="shared" si="15"/>
        <v>-1.2214982809334751</v>
      </c>
      <c r="D39" s="18">
        <f t="shared" si="15"/>
        <v>-0.77611480318451331</v>
      </c>
      <c r="E39" s="18">
        <f t="shared" si="15"/>
        <v>-1.0469656520595727</v>
      </c>
      <c r="F39" s="18">
        <f t="shared" si="10"/>
        <v>-0.95676428447303286</v>
      </c>
    </row>
    <row r="40" spans="1:6" x14ac:dyDescent="0.2">
      <c r="A40" t="str">
        <f t="shared" si="11"/>
        <v>RQF1 GCSE(below grade C) &amp; equivalent</v>
      </c>
      <c r="B40" s="18">
        <f t="shared" ref="B40:E40" si="16">IF(C$3-B$3 &lt;&gt; 0,(EXP(LN(C12/B12)/(C$3-B$3))-1)*100,0)</f>
        <v>1.7026635585371874</v>
      </c>
      <c r="C40" s="18">
        <f t="shared" si="16"/>
        <v>-22.123577345055367</v>
      </c>
      <c r="D40" s="18">
        <f t="shared" si="16"/>
        <v>-1.2576995837487392</v>
      </c>
      <c r="E40" s="18">
        <f t="shared" si="16"/>
        <v>-4.6562443415747339</v>
      </c>
      <c r="F40" s="18">
        <f t="shared" si="10"/>
        <v>-3.5365959025573046</v>
      </c>
    </row>
    <row r="41" spans="1:6" x14ac:dyDescent="0.2">
      <c r="A41" t="str">
        <f t="shared" si="11"/>
        <v>No Qualification</v>
      </c>
      <c r="B41" s="18">
        <f t="shared" ref="B41:E41" si="17">IF(C$3-B$3 &lt;&gt; 0,(EXP(LN(C13/B13)/(C$3-B$3))-1)*100,0)</f>
        <v>-4.9832064558660738</v>
      </c>
      <c r="C41" s="18">
        <f t="shared" si="17"/>
        <v>-23.865533719256149</v>
      </c>
      <c r="D41" s="18">
        <f t="shared" si="17"/>
        <v>-3.6455857136052927</v>
      </c>
      <c r="E41" s="18">
        <f t="shared" si="17"/>
        <v>-3.3890217028279324</v>
      </c>
      <c r="F41" s="18">
        <f t="shared" si="10"/>
        <v>-3.4746188562803981</v>
      </c>
    </row>
    <row r="42" spans="1:6" x14ac:dyDescent="0.2">
      <c r="B42" s="18"/>
      <c r="C42" s="18"/>
      <c r="D42" s="18"/>
      <c r="E42" s="18"/>
      <c r="F42" s="18"/>
    </row>
    <row r="43" spans="1:6" x14ac:dyDescent="0.2">
      <c r="A43" t="str">
        <f>$A29</f>
        <v>All qualifications</v>
      </c>
      <c r="B43" s="18">
        <f>IF(C$3-B$3 &lt;&gt; 0,(EXP(LN(C15/B15)/(C$3-B$3))-1)*100,0)</f>
        <v>-0.31472867268407256</v>
      </c>
      <c r="C43" s="18">
        <f t="shared" ref="C43" si="18">IF(D$3-C$3 &lt;&gt; 0,(EXP(LN(D15/C15)/(D$3-C$3))-1)*100,0)</f>
        <v>-0.96138137827626036</v>
      </c>
      <c r="D43" s="18">
        <f>IF(E$3-D$3 &lt;&gt; 0,(EXP(LN(E15/D15)/(E$3-D$3))-1)*100,0)</f>
        <v>0.15922454414898368</v>
      </c>
      <c r="E43" s="18">
        <f>IF(F$3-E$3 &lt;&gt; 0,(EXP(LN(F15/E15)/(F$3-E$3))-1)*100,0)</f>
        <v>0.20578921188203481</v>
      </c>
      <c r="F43" s="18">
        <f t="shared" si="10"/>
        <v>0.1902652511108327</v>
      </c>
    </row>
    <row r="44" spans="1:6" x14ac:dyDescent="0.2">
      <c r="B44" s="18"/>
      <c r="C44" s="18"/>
      <c r="D44" s="18"/>
      <c r="E44" s="18"/>
      <c r="F44" s="18"/>
    </row>
    <row r="46" spans="1:6" x14ac:dyDescent="0.2">
      <c r="A46" s="1" t="s">
        <v>16</v>
      </c>
      <c r="B46" s="20" t="str">
        <f>CONCATENATE(B$3,"-",C$3)</f>
        <v>2015-2019</v>
      </c>
      <c r="C46" s="20" t="str">
        <f>CONCATENATE(C$3,"-",D$3)</f>
        <v>2019-2020</v>
      </c>
      <c r="D46" s="20" t="str">
        <f>CONCATENATE(D$3,"-",E$3)</f>
        <v>2020-2025</v>
      </c>
      <c r="E46" s="20" t="str">
        <f>CONCATENATE(E$3,"-",F$3)</f>
        <v>2025-2035</v>
      </c>
      <c r="F46" s="20" t="str">
        <f>CONCATENATE(D$3,"-",F$3)</f>
        <v>2020-2035</v>
      </c>
    </row>
    <row r="47" spans="1:6" x14ac:dyDescent="0.2">
      <c r="A47" t="str">
        <f>$A33</f>
        <v>RQF8 Doctorate</v>
      </c>
      <c r="B47" s="27">
        <f>C5-B5</f>
        <v>1.6168786837433222</v>
      </c>
      <c r="C47" s="27">
        <f>D5-C5</f>
        <v>-0.79164171484834522</v>
      </c>
      <c r="D47" s="27">
        <f>E5-D5</f>
        <v>1.4172473181152228</v>
      </c>
      <c r="E47" s="27">
        <f>F5-E5</f>
        <v>1.8780514295822668</v>
      </c>
      <c r="F47" s="27">
        <f>F5-D5</f>
        <v>3.2952987476974895</v>
      </c>
    </row>
    <row r="48" spans="1:6" x14ac:dyDescent="0.2">
      <c r="A48" t="str">
        <f t="shared" ref="A48:A55" si="19">$A34</f>
        <v>RQF7 Other higher degree</v>
      </c>
      <c r="B48" s="27">
        <f t="shared" ref="B48:E48" si="20">C6-B6</f>
        <v>11.177257662922905</v>
      </c>
      <c r="C48" s="27">
        <f t="shared" si="20"/>
        <v>-5.3269709296657055</v>
      </c>
      <c r="D48" s="27">
        <f t="shared" si="20"/>
        <v>7.6169915779982844</v>
      </c>
      <c r="E48" s="27">
        <f t="shared" si="20"/>
        <v>10.25907523337272</v>
      </c>
      <c r="F48" s="27">
        <f t="shared" ref="F48:F57" si="21">F6-D6</f>
        <v>17.876066811371004</v>
      </c>
    </row>
    <row r="49" spans="1:6" x14ac:dyDescent="0.2">
      <c r="A49" t="str">
        <f t="shared" si="19"/>
        <v>RQF6 First degree</v>
      </c>
      <c r="B49" s="27">
        <f t="shared" ref="B49:E49" si="22">C7-B7</f>
        <v>-2.5129255019188861</v>
      </c>
      <c r="C49" s="27">
        <f t="shared" si="22"/>
        <v>7.595529719885505</v>
      </c>
      <c r="D49" s="27">
        <f t="shared" si="22"/>
        <v>9.443761440572672</v>
      </c>
      <c r="E49" s="27">
        <f t="shared" si="22"/>
        <v>20.924690904761349</v>
      </c>
      <c r="F49" s="27">
        <f t="shared" si="21"/>
        <v>30.36845234533402</v>
      </c>
    </row>
    <row r="50" spans="1:6" x14ac:dyDescent="0.2">
      <c r="A50" t="str">
        <f t="shared" si="19"/>
        <v>RQF5 Foundation degree;Nursing;Teaching</v>
      </c>
      <c r="B50" s="27">
        <f t="shared" ref="B50:E50" si="23">C8-B8</f>
        <v>-3.5977746856064066</v>
      </c>
      <c r="C50" s="27">
        <f t="shared" si="23"/>
        <v>2.1250934444789742</v>
      </c>
      <c r="D50" s="27">
        <f t="shared" si="23"/>
        <v>-0.62002072539232245</v>
      </c>
      <c r="E50" s="27">
        <f t="shared" si="23"/>
        <v>2.5532509252534084</v>
      </c>
      <c r="F50" s="27">
        <f t="shared" si="21"/>
        <v>1.9332301998610859</v>
      </c>
    </row>
    <row r="51" spans="1:6" x14ac:dyDescent="0.2">
      <c r="A51" t="str">
        <f t="shared" si="19"/>
        <v>RQF4 HE below degree level</v>
      </c>
      <c r="B51" s="27">
        <f t="shared" ref="B51:E51" si="24">C9-B9</f>
        <v>-1.6416199004062584</v>
      </c>
      <c r="C51" s="27">
        <f t="shared" si="24"/>
        <v>1.3714702316584173</v>
      </c>
      <c r="D51" s="27">
        <f t="shared" si="24"/>
        <v>1.3243351677872965</v>
      </c>
      <c r="E51" s="27">
        <f t="shared" si="24"/>
        <v>3.4592787978426678</v>
      </c>
      <c r="F51" s="27">
        <f t="shared" si="21"/>
        <v>4.7836139656299643</v>
      </c>
    </row>
    <row r="52" spans="1:6" x14ac:dyDescent="0.2">
      <c r="A52" t="str">
        <f t="shared" si="19"/>
        <v>RQF3 A level &amp; equivalent</v>
      </c>
      <c r="B52" s="27">
        <f t="shared" ref="B52:E52" si="25">C10-B10</f>
        <v>-3.8428226961385121</v>
      </c>
      <c r="C52" s="27">
        <f t="shared" si="25"/>
        <v>12.684598484339787</v>
      </c>
      <c r="D52" s="27">
        <f t="shared" si="25"/>
        <v>-4.7156908423916661</v>
      </c>
      <c r="E52" s="27">
        <f t="shared" si="25"/>
        <v>4.728158237933755</v>
      </c>
      <c r="F52" s="27">
        <f t="shared" si="21"/>
        <v>1.2467395542088866E-2</v>
      </c>
    </row>
    <row r="53" spans="1:6" x14ac:dyDescent="0.2">
      <c r="A53" t="str">
        <f t="shared" si="19"/>
        <v>RQF2 GCSE(A-C) &amp; equivalent</v>
      </c>
      <c r="B53" s="27">
        <f t="shared" ref="B53:E53" si="26">C11-B11</f>
        <v>-5.958705928199393</v>
      </c>
      <c r="C53" s="27">
        <f>D11-C11</f>
        <v>-1.3411633206877269</v>
      </c>
      <c r="D53" s="27">
        <f t="shared" si="26"/>
        <v>-4.1438691526197573</v>
      </c>
      <c r="E53" s="27">
        <f t="shared" si="26"/>
        <v>-10.420636961939536</v>
      </c>
      <c r="F53" s="27">
        <f t="shared" si="21"/>
        <v>-14.564506114559293</v>
      </c>
    </row>
    <row r="54" spans="1:6" x14ac:dyDescent="0.2">
      <c r="A54" t="str">
        <f t="shared" si="19"/>
        <v>RQF1 GCSE(below grade C) &amp; equivalent</v>
      </c>
      <c r="B54" s="27">
        <f t="shared" ref="B54:E54" si="27">C12-B12</f>
        <v>4.396208455827292</v>
      </c>
      <c r="C54" s="27">
        <f t="shared" si="27"/>
        <v>-14.893550677393783</v>
      </c>
      <c r="D54" s="27">
        <f t="shared" si="27"/>
        <v>-3.2149325065768011</v>
      </c>
      <c r="E54" s="27">
        <f t="shared" si="27"/>
        <v>-18.662986885411136</v>
      </c>
      <c r="F54" s="27">
        <f t="shared" si="21"/>
        <v>-21.877919391987938</v>
      </c>
    </row>
    <row r="55" spans="1:6" x14ac:dyDescent="0.2">
      <c r="A55" t="str">
        <f t="shared" si="19"/>
        <v>No Qualification</v>
      </c>
      <c r="B55" s="27">
        <f t="shared" ref="B55:E55" si="28">C13-B13</f>
        <v>-5.7724960902244042</v>
      </c>
      <c r="C55" s="27">
        <f t="shared" si="28"/>
        <v>-6.0723652377665829</v>
      </c>
      <c r="D55" s="27">
        <f t="shared" si="28"/>
        <v>-3.2828222774938887</v>
      </c>
      <c r="E55" s="27">
        <f t="shared" si="28"/>
        <v>-4.6918816813947348</v>
      </c>
      <c r="F55" s="27">
        <f t="shared" si="21"/>
        <v>-7.9747039588886235</v>
      </c>
    </row>
    <row r="56" spans="1:6" x14ac:dyDescent="0.2">
      <c r="B56" s="21"/>
      <c r="C56" s="27"/>
      <c r="D56" s="21"/>
      <c r="E56" s="21"/>
      <c r="F56" s="27"/>
    </row>
    <row r="57" spans="1:6" x14ac:dyDescent="0.2">
      <c r="A57" s="24" t="str">
        <f>$A43</f>
        <v>All qualifications</v>
      </c>
      <c r="B57" s="29">
        <f>C15-B15</f>
        <v>-6.136000000000422</v>
      </c>
      <c r="C57" s="29">
        <f t="shared" ref="C57" si="29">D15-C15</f>
        <v>-4.6489999999994325</v>
      </c>
      <c r="D57" s="29">
        <f>E15-D15</f>
        <v>3.8249999999990791</v>
      </c>
      <c r="E57" s="29">
        <f>F15-E15</f>
        <v>10.027000000000783</v>
      </c>
      <c r="F57" s="29">
        <f t="shared" si="21"/>
        <v>13.851999999999862</v>
      </c>
    </row>
  </sheetData>
  <phoneticPr fontId="4" type="noConversion"/>
  <pageMargins left="0.74803149606299213" right="0.74803149606299213" top="0.78740157480314965" bottom="0.78740157480314965" header="0.51181102362204722" footer="0.51181102362204722"/>
  <pageSetup paperSize="9" scale="92" orientation="portrait" r:id="rId1"/>
  <headerFooter alignWithMargins="0"/>
  <ignoredErrors>
    <ignoredError sqref="C44:C45" formula="1"/>
  </ignoredErrors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Sheet24"/>
  <dimension ref="A1:BP52"/>
  <sheetViews>
    <sheetView zoomScale="75" zoomScaleNormal="75" workbookViewId="0"/>
  </sheetViews>
  <sheetFormatPr defaultRowHeight="12.75" x14ac:dyDescent="0.2"/>
  <cols>
    <col min="1" max="1" width="17" style="81" customWidth="1"/>
    <col min="2" max="8" width="9.140625" style="81"/>
    <col min="9" max="9" width="31.85546875" style="81" customWidth="1"/>
    <col min="10" max="10" width="11.28515625" style="81" customWidth="1"/>
    <col min="11" max="11" width="6.140625" style="81" customWidth="1"/>
    <col min="12" max="12" width="27.140625" customWidth="1"/>
    <col min="13" max="33" width="7.7109375" customWidth="1"/>
    <col min="34" max="37" width="6.42578125" customWidth="1"/>
    <col min="38" max="38" width="7.140625" customWidth="1"/>
    <col min="39" max="68" width="6.28515625" customWidth="1"/>
  </cols>
  <sheetData>
    <row r="1" spans="1:68" ht="15.75" x14ac:dyDescent="0.25">
      <c r="A1" s="80" t="str">
        <f>CONCATENATE("Qualification Figure 1  Employment by Qualification, ",$M$2,"-",$O$2,", ",Info!B5)</f>
        <v>Qualification Figure 1  Employment by Qualification, 2010-2035, North East</v>
      </c>
      <c r="H1"/>
      <c r="L1" s="46"/>
    </row>
    <row r="2" spans="1:68" x14ac:dyDescent="0.2">
      <c r="A2" s="1" t="s">
        <v>520</v>
      </c>
      <c r="L2" s="16" t="s">
        <v>29</v>
      </c>
      <c r="M2" s="48">
        <f>M4</f>
        <v>2010</v>
      </c>
      <c r="N2" s="47" t="s">
        <v>28</v>
      </c>
      <c r="O2" s="48">
        <f>MAX(M4:BM4)</f>
        <v>2035</v>
      </c>
    </row>
    <row r="3" spans="1:68" x14ac:dyDescent="0.2">
      <c r="L3" s="16"/>
      <c r="M3" s="16"/>
      <c r="N3" s="47"/>
      <c r="O3" s="16"/>
    </row>
    <row r="4" spans="1:68" x14ac:dyDescent="0.2">
      <c r="L4" s="13"/>
      <c r="M4" s="48">
        <v>2010</v>
      </c>
      <c r="N4" s="48">
        <v>2011</v>
      </c>
      <c r="O4" s="48">
        <v>2012</v>
      </c>
      <c r="P4" s="48">
        <v>2013</v>
      </c>
      <c r="Q4" s="48">
        <v>2014</v>
      </c>
      <c r="R4" s="48">
        <v>2015</v>
      </c>
      <c r="S4" s="48">
        <v>2016</v>
      </c>
      <c r="T4" s="48">
        <v>2017</v>
      </c>
      <c r="U4" s="48">
        <v>2018</v>
      </c>
      <c r="V4" s="48">
        <v>2019</v>
      </c>
      <c r="W4" s="48">
        <v>2020</v>
      </c>
      <c r="X4" s="48">
        <v>2021</v>
      </c>
      <c r="Y4" s="48">
        <v>2022</v>
      </c>
      <c r="Z4" s="48">
        <v>2023</v>
      </c>
      <c r="AA4" s="48">
        <v>2024</v>
      </c>
      <c r="AB4" s="48">
        <v>2025</v>
      </c>
      <c r="AC4" s="48">
        <v>2026</v>
      </c>
      <c r="AD4" s="48">
        <v>2027</v>
      </c>
      <c r="AE4" s="48">
        <v>2028</v>
      </c>
      <c r="AF4" s="48">
        <v>2029</v>
      </c>
      <c r="AG4" s="48">
        <v>2030</v>
      </c>
      <c r="AH4" s="48">
        <v>2031</v>
      </c>
      <c r="AI4" s="48">
        <v>2032</v>
      </c>
      <c r="AJ4" s="48">
        <v>2033</v>
      </c>
      <c r="AK4" s="48">
        <v>2034</v>
      </c>
      <c r="AL4" s="48">
        <v>2035</v>
      </c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</row>
    <row r="5" spans="1:68" x14ac:dyDescent="0.2">
      <c r="L5" s="1"/>
      <c r="M5" s="11"/>
      <c r="N5" s="11"/>
      <c r="O5" s="11"/>
      <c r="P5" s="11"/>
      <c r="Q5" s="11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11"/>
      <c r="AL5" s="11"/>
      <c r="AM5" s="11"/>
      <c r="AN5" s="11"/>
      <c r="AO5" s="11"/>
      <c r="AP5" s="11"/>
      <c r="AQ5" s="11"/>
      <c r="AR5" s="11"/>
      <c r="AS5" s="11"/>
      <c r="AT5" s="11"/>
      <c r="AU5" s="11"/>
      <c r="AV5" s="11"/>
      <c r="AW5" s="11"/>
      <c r="AX5" s="11"/>
      <c r="AY5" s="11"/>
      <c r="AZ5" s="11"/>
      <c r="BA5" s="11"/>
      <c r="BB5" s="11"/>
      <c r="BC5" s="11"/>
      <c r="BD5" s="11"/>
      <c r="BE5" s="11"/>
      <c r="BF5" s="11"/>
      <c r="BG5" s="11"/>
      <c r="BH5" s="11"/>
      <c r="BI5" s="11"/>
      <c r="BJ5" s="11"/>
      <c r="BK5" s="11"/>
      <c r="BL5" s="11"/>
      <c r="BM5" s="11"/>
    </row>
    <row r="6" spans="1:68" x14ac:dyDescent="0.2">
      <c r="L6" s="232" t="str">
        <f>name!F12</f>
        <v>No Qualification</v>
      </c>
      <c r="M6" s="11">
        <v>33.76839223457786</v>
      </c>
      <c r="N6" s="11">
        <v>29.612061554877968</v>
      </c>
      <c r="O6" s="11">
        <v>29.846940533026753</v>
      </c>
      <c r="P6" s="11">
        <v>30.106700887424402</v>
      </c>
      <c r="Q6" s="11">
        <v>28.627623663957369</v>
      </c>
      <c r="R6" s="11">
        <v>31.216575025140632</v>
      </c>
      <c r="S6" s="11">
        <v>24.578428608479722</v>
      </c>
      <c r="T6" s="11">
        <v>28.016969022884208</v>
      </c>
      <c r="U6" s="11">
        <v>26.697670723411719</v>
      </c>
      <c r="V6" s="11">
        <v>25.444078934916227</v>
      </c>
      <c r="W6" s="11">
        <v>19.371713697149644</v>
      </c>
      <c r="X6" s="11">
        <v>19.616651875737372</v>
      </c>
      <c r="Y6" s="11">
        <v>19.267233878120447</v>
      </c>
      <c r="Z6" s="11">
        <v>17.997445610335578</v>
      </c>
      <c r="AA6" s="11">
        <v>16.769114171161995</v>
      </c>
      <c r="AB6" s="11">
        <v>16.088891419655756</v>
      </c>
      <c r="AC6" s="11">
        <v>15.503051834905987</v>
      </c>
      <c r="AD6" s="11">
        <v>14.930075176666296</v>
      </c>
      <c r="AE6" s="11">
        <v>14.384333246822926</v>
      </c>
      <c r="AF6" s="11">
        <v>13.8569470939907</v>
      </c>
      <c r="AG6" s="11">
        <v>13.349426150310016</v>
      </c>
      <c r="AH6" s="11">
        <v>12.857535062853838</v>
      </c>
      <c r="AI6" s="11">
        <v>12.381352570659178</v>
      </c>
      <c r="AJ6" s="11">
        <v>11.920592275055718</v>
      </c>
      <c r="AK6" s="11">
        <v>11.495691572809616</v>
      </c>
      <c r="AL6" s="11">
        <v>11.397009738261021</v>
      </c>
      <c r="AM6" s="11"/>
      <c r="AN6" s="11"/>
      <c r="AO6" s="11"/>
      <c r="AP6" s="11"/>
      <c r="AQ6" s="11"/>
      <c r="AR6" s="11"/>
      <c r="AS6" s="11"/>
      <c r="AT6" s="11"/>
      <c r="AU6" s="11"/>
      <c r="AV6" s="11"/>
      <c r="AW6" s="11"/>
      <c r="AX6" s="11"/>
      <c r="AY6" s="11"/>
      <c r="AZ6" s="11"/>
      <c r="BA6" s="11"/>
      <c r="BB6" s="11"/>
      <c r="BC6" s="11"/>
      <c r="BD6" s="11"/>
      <c r="BE6" s="11"/>
      <c r="BF6" s="11"/>
      <c r="BG6" s="11"/>
      <c r="BH6" s="11"/>
      <c r="BI6" s="11"/>
      <c r="BJ6" s="11"/>
      <c r="BK6" s="11"/>
      <c r="BL6" s="11"/>
      <c r="BM6" s="11"/>
    </row>
    <row r="7" spans="1:68" x14ac:dyDescent="0.2">
      <c r="L7" s="232" t="str">
        <f>name!F11</f>
        <v>RQF1 GCSE(below grade C) &amp; equivalent</v>
      </c>
      <c r="M7" s="11">
        <v>75.594426936912427</v>
      </c>
      <c r="N7" s="11">
        <v>70.090391948901171</v>
      </c>
      <c r="O7" s="11">
        <v>73.117447603519423</v>
      </c>
      <c r="P7" s="11">
        <v>72.696732998440012</v>
      </c>
      <c r="Q7" s="11">
        <v>74.761815755269524</v>
      </c>
      <c r="R7" s="11">
        <v>62.923603548818974</v>
      </c>
      <c r="S7" s="11">
        <v>59.271450238244086</v>
      </c>
      <c r="T7" s="11">
        <v>70.663254311101042</v>
      </c>
      <c r="U7" s="11">
        <v>66.719837019998863</v>
      </c>
      <c r="V7" s="11">
        <v>67.319812004646266</v>
      </c>
      <c r="W7" s="11">
        <v>52.426261327252483</v>
      </c>
      <c r="X7" s="11">
        <v>58.847826151421806</v>
      </c>
      <c r="Y7" s="11">
        <v>54.929396826717024</v>
      </c>
      <c r="Z7" s="11">
        <v>52.98439880361348</v>
      </c>
      <c r="AA7" s="11">
        <v>51.128888307333909</v>
      </c>
      <c r="AB7" s="11">
        <v>49.211328820675682</v>
      </c>
      <c r="AC7" s="11">
        <v>47.266021184818733</v>
      </c>
      <c r="AD7" s="11">
        <v>45.322624088401994</v>
      </c>
      <c r="AE7" s="11">
        <v>43.397803709200794</v>
      </c>
      <c r="AF7" s="11">
        <v>41.492173768878828</v>
      </c>
      <c r="AG7" s="11">
        <v>39.621108070349102</v>
      </c>
      <c r="AH7" s="11">
        <v>37.765330308962966</v>
      </c>
      <c r="AI7" s="11">
        <v>35.933133422633986</v>
      </c>
      <c r="AJ7" s="11">
        <v>34.12758343016354</v>
      </c>
      <c r="AK7" s="11">
        <v>32.340278960750773</v>
      </c>
      <c r="AL7" s="11">
        <v>30.548341935264546</v>
      </c>
      <c r="AM7" s="11"/>
      <c r="AN7" s="11"/>
      <c r="AO7" s="11"/>
      <c r="AP7" s="11"/>
      <c r="AQ7" s="11"/>
      <c r="AR7" s="11"/>
      <c r="AS7" s="11"/>
      <c r="AT7" s="11"/>
      <c r="AU7" s="11"/>
      <c r="AV7" s="11"/>
      <c r="AW7" s="11"/>
      <c r="AX7" s="11"/>
      <c r="AY7" s="11"/>
      <c r="AZ7" s="11"/>
      <c r="BA7" s="11"/>
      <c r="BB7" s="11"/>
      <c r="BC7" s="11"/>
      <c r="BD7" s="11"/>
      <c r="BE7" s="11"/>
      <c r="BF7" s="11"/>
      <c r="BG7" s="11"/>
      <c r="BH7" s="11"/>
      <c r="BI7" s="11"/>
      <c r="BJ7" s="11"/>
      <c r="BK7" s="11"/>
      <c r="BL7" s="11"/>
      <c r="BM7" s="11"/>
    </row>
    <row r="8" spans="1:68" x14ac:dyDescent="0.2">
      <c r="L8" s="232" t="str">
        <f>name!F10</f>
        <v>RQF2 GCSE(A-C) &amp; equivalent</v>
      </c>
      <c r="M8" s="11">
        <v>116.92069037394677</v>
      </c>
      <c r="N8" s="11">
        <v>117.74311896107139</v>
      </c>
      <c r="O8" s="11">
        <v>112.60743044938482</v>
      </c>
      <c r="P8" s="11">
        <v>113.93570992301484</v>
      </c>
      <c r="Q8" s="11">
        <v>113.6132648036841</v>
      </c>
      <c r="R8" s="11">
        <v>115.75528457445073</v>
      </c>
      <c r="S8" s="11">
        <v>106.13079632535847</v>
      </c>
      <c r="T8" s="11">
        <v>106.54965267111766</v>
      </c>
      <c r="U8" s="11">
        <v>118.70579836680666</v>
      </c>
      <c r="V8" s="11">
        <v>109.79657864625133</v>
      </c>
      <c r="W8" s="11">
        <v>108.45541532556361</v>
      </c>
      <c r="X8" s="11">
        <v>109.72349595605932</v>
      </c>
      <c r="Y8" s="11">
        <v>106.80836300493527</v>
      </c>
      <c r="Z8" s="11">
        <v>105.94821041942502</v>
      </c>
      <c r="AA8" s="11">
        <v>105.21933449880198</v>
      </c>
      <c r="AB8" s="11">
        <v>104.31154617294385</v>
      </c>
      <c r="AC8" s="11">
        <v>103.2976354255121</v>
      </c>
      <c r="AD8" s="11">
        <v>102.25073089531666</v>
      </c>
      <c r="AE8" s="11">
        <v>101.20273424015051</v>
      </c>
      <c r="AF8" s="11">
        <v>100.15491428586283</v>
      </c>
      <c r="AG8" s="11">
        <v>99.143665394850032</v>
      </c>
      <c r="AH8" s="11">
        <v>98.115483472318857</v>
      </c>
      <c r="AI8" s="11">
        <v>97.084014047110372</v>
      </c>
      <c r="AJ8" s="11">
        <v>96.056421417382751</v>
      </c>
      <c r="AK8" s="11">
        <v>95.013446150829566</v>
      </c>
      <c r="AL8" s="11">
        <v>93.890909211004313</v>
      </c>
      <c r="AM8" s="11"/>
      <c r="AN8" s="11"/>
      <c r="AO8" s="11"/>
      <c r="AP8" s="11"/>
      <c r="AQ8" s="11"/>
      <c r="AR8" s="11"/>
      <c r="AS8" s="11"/>
      <c r="AT8" s="11"/>
      <c r="AU8" s="11"/>
      <c r="AV8" s="11"/>
      <c r="AW8" s="11"/>
      <c r="AX8" s="11"/>
      <c r="AY8" s="11"/>
      <c r="AZ8" s="11"/>
      <c r="BA8" s="11"/>
      <c r="BB8" s="11"/>
      <c r="BC8" s="11"/>
      <c r="BD8" s="11"/>
      <c r="BE8" s="11"/>
      <c r="BF8" s="11"/>
      <c r="BG8" s="11"/>
      <c r="BH8" s="11"/>
      <c r="BI8" s="11"/>
      <c r="BJ8" s="11"/>
      <c r="BK8" s="11"/>
      <c r="BL8" s="11"/>
      <c r="BM8" s="11"/>
    </row>
    <row r="9" spans="1:68" x14ac:dyDescent="0.2">
      <c r="L9" s="232" t="str">
        <f>name!F9</f>
        <v>RQF3 A level &amp; equivalent</v>
      </c>
      <c r="M9" s="11">
        <v>102.83281182436333</v>
      </c>
      <c r="N9" s="11">
        <v>109.79507621565187</v>
      </c>
      <c r="O9" s="11">
        <v>104.03845963080531</v>
      </c>
      <c r="P9" s="11">
        <v>109.98166301162661</v>
      </c>
      <c r="Q9" s="11">
        <v>113.85408717761294</v>
      </c>
      <c r="R9" s="11">
        <v>113.00883849411312</v>
      </c>
      <c r="S9" s="11">
        <v>115.26063116849357</v>
      </c>
      <c r="T9" s="11">
        <v>108.20501333606812</v>
      </c>
      <c r="U9" s="11">
        <v>115.87224065027844</v>
      </c>
      <c r="V9" s="11">
        <v>109.16601579797461</v>
      </c>
      <c r="W9" s="11">
        <v>121.8506142823144</v>
      </c>
      <c r="X9" s="11">
        <v>113.22997847759522</v>
      </c>
      <c r="Y9" s="11">
        <v>115.02256862375509</v>
      </c>
      <c r="Z9" s="11">
        <v>115.66894051332827</v>
      </c>
      <c r="AA9" s="11">
        <v>116.49239039606745</v>
      </c>
      <c r="AB9" s="11">
        <v>117.13492343992273</v>
      </c>
      <c r="AC9" s="11">
        <v>117.64998916133383</v>
      </c>
      <c r="AD9" s="11">
        <v>118.09649530881309</v>
      </c>
      <c r="AE9" s="11">
        <v>118.53496279837466</v>
      </c>
      <c r="AF9" s="11">
        <v>118.98137142903229</v>
      </c>
      <c r="AG9" s="11">
        <v>119.4726113966156</v>
      </c>
      <c r="AH9" s="11">
        <v>119.95490252983392</v>
      </c>
      <c r="AI9" s="11">
        <v>120.44233186213688</v>
      </c>
      <c r="AJ9" s="11">
        <v>120.94401387704175</v>
      </c>
      <c r="AK9" s="11">
        <v>121.44254323757582</v>
      </c>
      <c r="AL9" s="11">
        <v>121.86308167785648</v>
      </c>
      <c r="AM9" s="11"/>
      <c r="AN9" s="11"/>
      <c r="AO9" s="11"/>
      <c r="AP9" s="11"/>
      <c r="AQ9" s="11"/>
      <c r="AR9" s="11"/>
      <c r="AS9" s="11"/>
      <c r="AT9" s="11"/>
      <c r="AU9" s="11"/>
      <c r="AV9" s="11"/>
      <c r="AW9" s="11"/>
      <c r="AX9" s="11"/>
      <c r="AY9" s="11"/>
      <c r="AZ9" s="11"/>
      <c r="BA9" s="11"/>
      <c r="BB9" s="11"/>
      <c r="BC9" s="11"/>
    </row>
    <row r="10" spans="1:68" x14ac:dyDescent="0.2">
      <c r="L10" s="232" t="str">
        <f>name!F8</f>
        <v>RQF4 HE below degree level</v>
      </c>
      <c r="M10" s="11">
        <v>19.796783552462195</v>
      </c>
      <c r="N10" s="11">
        <v>20.92720420893243</v>
      </c>
      <c r="O10" s="11">
        <v>19.378806902953439</v>
      </c>
      <c r="P10" s="11">
        <v>18.71677732310733</v>
      </c>
      <c r="Q10" s="11">
        <v>19.692441619075218</v>
      </c>
      <c r="R10" s="11">
        <v>22.807149274523638</v>
      </c>
      <c r="S10" s="11">
        <v>22.52809794972929</v>
      </c>
      <c r="T10" s="11">
        <v>21.724934214355279</v>
      </c>
      <c r="U10" s="11">
        <v>21.942568780788655</v>
      </c>
      <c r="V10" s="11">
        <v>21.16552937411738</v>
      </c>
      <c r="W10" s="11">
        <v>22.536999605775797</v>
      </c>
      <c r="X10" s="11">
        <v>23.195793291142913</v>
      </c>
      <c r="Y10" s="11">
        <v>22.843459665992388</v>
      </c>
      <c r="Z10" s="11">
        <v>23.162521671355194</v>
      </c>
      <c r="AA10" s="11">
        <v>23.529669349610472</v>
      </c>
      <c r="AB10" s="11">
        <v>23.861334773563094</v>
      </c>
      <c r="AC10" s="11">
        <v>24.178889342472132</v>
      </c>
      <c r="AD10" s="11">
        <v>24.510018315621949</v>
      </c>
      <c r="AE10">
        <v>24.839304991127406</v>
      </c>
      <c r="AF10">
        <v>25.168700796281065</v>
      </c>
      <c r="AG10">
        <v>25.519258585894132</v>
      </c>
      <c r="AH10">
        <v>25.871570344102583</v>
      </c>
      <c r="AI10" s="11">
        <v>26.228633084329449</v>
      </c>
      <c r="AJ10" s="11">
        <v>26.594483641056925</v>
      </c>
      <c r="AK10" s="11">
        <v>26.957727197693668</v>
      </c>
      <c r="AL10" s="11">
        <v>27.320613571405762</v>
      </c>
      <c r="AM10" s="11"/>
      <c r="AN10" s="11"/>
      <c r="AO10" s="11"/>
      <c r="AP10" s="11"/>
      <c r="AQ10" s="11"/>
      <c r="AR10" s="11"/>
      <c r="AS10" s="11"/>
      <c r="AT10" s="11"/>
      <c r="AU10" s="11"/>
      <c r="AV10" s="11"/>
      <c r="AW10" s="11"/>
      <c r="AX10" s="11"/>
      <c r="AY10" s="11"/>
      <c r="AZ10" s="11"/>
      <c r="BA10" s="11"/>
      <c r="BB10" s="11"/>
      <c r="BC10" s="11"/>
      <c r="BD10" s="11"/>
      <c r="BE10" s="11"/>
      <c r="BF10" s="11"/>
      <c r="BG10" s="11"/>
      <c r="BH10" s="11"/>
      <c r="BI10" s="11"/>
      <c r="BJ10" s="11"/>
      <c r="BK10" s="11"/>
      <c r="BL10" s="11"/>
      <c r="BM10" s="11"/>
    </row>
    <row r="11" spans="1:68" x14ac:dyDescent="0.2">
      <c r="L11" s="232" t="str">
        <f>name!F7</f>
        <v>RQF5 Foundation degree;Nursing;Teaching</v>
      </c>
      <c r="M11" s="11">
        <v>24.629444817772299</v>
      </c>
      <c r="N11" s="11">
        <v>25.170655622207427</v>
      </c>
      <c r="O11" s="11">
        <v>24.359941049432305</v>
      </c>
      <c r="P11" s="11">
        <v>22.741706679797161</v>
      </c>
      <c r="Q11" s="11">
        <v>24.002921162738744</v>
      </c>
      <c r="R11" s="11">
        <v>26.800248489582696</v>
      </c>
      <c r="S11" s="11">
        <v>25.324211796653593</v>
      </c>
      <c r="T11" s="11">
        <v>23.60412609489293</v>
      </c>
      <c r="U11" s="11">
        <v>22.878431629561533</v>
      </c>
      <c r="V11" s="11">
        <v>23.202473803976289</v>
      </c>
      <c r="W11" s="11">
        <v>25.327567248455264</v>
      </c>
      <c r="X11" s="11">
        <v>24.774488870453542</v>
      </c>
      <c r="Y11" s="11">
        <v>24.252381785775732</v>
      </c>
      <c r="Z11" s="11">
        <v>24.380979644890996</v>
      </c>
      <c r="AA11" s="11">
        <v>24.564276836085536</v>
      </c>
      <c r="AB11" s="11">
        <v>24.707546523062941</v>
      </c>
      <c r="AC11" s="11">
        <v>24.828960785195864</v>
      </c>
      <c r="AD11" s="11">
        <v>24.959960226124604</v>
      </c>
      <c r="AE11">
        <v>25.156314518552062</v>
      </c>
      <c r="AF11">
        <v>25.414097580328441</v>
      </c>
      <c r="AG11">
        <v>25.690638680539209</v>
      </c>
      <c r="AH11">
        <v>25.974392972776371</v>
      </c>
      <c r="AI11" s="11">
        <v>26.277805743948441</v>
      </c>
      <c r="AJ11" s="11">
        <v>26.599515981153225</v>
      </c>
      <c r="AK11" s="11">
        <v>26.937020956252269</v>
      </c>
      <c r="AL11" s="11">
        <v>27.26079744831635</v>
      </c>
      <c r="AM11" s="11"/>
      <c r="AN11" s="11"/>
      <c r="AO11" s="11"/>
      <c r="AP11" s="11"/>
      <c r="AQ11" s="11"/>
      <c r="AR11" s="11"/>
      <c r="AS11" s="11"/>
      <c r="AT11" s="11"/>
      <c r="AU11" s="11"/>
      <c r="AV11" s="11"/>
      <c r="AW11" s="11"/>
      <c r="AX11" s="11"/>
      <c r="AY11" s="11"/>
      <c r="AZ11" s="11"/>
      <c r="BA11" s="11"/>
      <c r="BB11" s="11"/>
      <c r="BC11" s="11"/>
      <c r="BD11" s="11"/>
      <c r="BE11" s="11"/>
      <c r="BF11" s="11"/>
      <c r="BG11" s="11"/>
      <c r="BH11" s="11"/>
      <c r="BI11" s="11"/>
      <c r="BJ11" s="11"/>
      <c r="BK11" s="11"/>
      <c r="BL11" s="11"/>
      <c r="BM11" s="11"/>
    </row>
    <row r="12" spans="1:68" x14ac:dyDescent="0.2">
      <c r="L12" s="232" t="str">
        <f>name!F6</f>
        <v>RQF6 First degree</v>
      </c>
      <c r="M12" s="11">
        <v>58.990693534324727</v>
      </c>
      <c r="N12" s="11">
        <v>64.114254123225066</v>
      </c>
      <c r="O12" s="11">
        <v>64.025580455441499</v>
      </c>
      <c r="P12" s="11">
        <v>61.530371486332356</v>
      </c>
      <c r="Q12" s="11">
        <v>66.590571144773563</v>
      </c>
      <c r="R12" s="11">
        <v>77.667960417349221</v>
      </c>
      <c r="S12" s="11">
        <v>75.43398320720533</v>
      </c>
      <c r="T12" s="11">
        <v>72.539613397397659</v>
      </c>
      <c r="U12" s="11">
        <v>75.108498150344843</v>
      </c>
      <c r="V12" s="11">
        <v>75.155034915430335</v>
      </c>
      <c r="W12" s="11">
        <v>82.75056463531584</v>
      </c>
      <c r="X12" s="11">
        <v>85.711755082763645</v>
      </c>
      <c r="Y12" s="11">
        <v>85.483399220550254</v>
      </c>
      <c r="Z12" s="11">
        <v>87.681862215851467</v>
      </c>
      <c r="AA12" s="11">
        <v>90.00449861542188</v>
      </c>
      <c r="AB12" s="11">
        <v>92.194326075888512</v>
      </c>
      <c r="AC12" s="11">
        <v>94.306930499539476</v>
      </c>
      <c r="AD12" s="11">
        <v>96.403148254636093</v>
      </c>
      <c r="AE12">
        <v>98.472740012514436</v>
      </c>
      <c r="AF12">
        <v>100.50399363865731</v>
      </c>
      <c r="AG12">
        <v>102.5849698988159</v>
      </c>
      <c r="AH12">
        <v>104.67654026037397</v>
      </c>
      <c r="AI12">
        <v>106.77539452126685</v>
      </c>
      <c r="AJ12">
        <v>108.89600473008919</v>
      </c>
      <c r="AK12">
        <v>111.0275152323966</v>
      </c>
      <c r="AL12">
        <v>113.11901698064986</v>
      </c>
      <c r="AS12" s="11"/>
      <c r="AT12" s="11"/>
      <c r="AU12" s="11"/>
      <c r="AV12" s="11"/>
      <c r="AW12" s="11"/>
      <c r="AX12" s="11"/>
      <c r="AY12" s="11"/>
      <c r="AZ12" s="11"/>
      <c r="BA12" s="11"/>
      <c r="BB12" s="11"/>
      <c r="BC12" s="11"/>
      <c r="BD12" s="11"/>
      <c r="BE12" s="11"/>
      <c r="BF12" s="11"/>
      <c r="BG12" s="11"/>
      <c r="BH12" s="11"/>
      <c r="BI12" s="11"/>
      <c r="BJ12" s="11"/>
      <c r="BK12" s="11"/>
      <c r="BL12" s="11"/>
      <c r="BM12" s="11"/>
    </row>
    <row r="13" spans="1:68" x14ac:dyDescent="0.2">
      <c r="L13" s="232" t="str">
        <f>name!F5</f>
        <v>RQF7 Other higher degree</v>
      </c>
      <c r="M13" s="11">
        <v>29.093903096013332</v>
      </c>
      <c r="N13" s="11">
        <v>24.271123779434401</v>
      </c>
      <c r="O13" s="11">
        <v>22.8579609726238</v>
      </c>
      <c r="P13" s="11">
        <v>27.979838271981503</v>
      </c>
      <c r="Q13" s="11">
        <v>29.865497261679948</v>
      </c>
      <c r="R13" s="11">
        <v>34.137453238772807</v>
      </c>
      <c r="S13" s="11">
        <v>31.668383223498044</v>
      </c>
      <c r="T13" s="11">
        <v>39.009529651504906</v>
      </c>
      <c r="U13" s="11">
        <v>32.376096848601769</v>
      </c>
      <c r="V13" s="11">
        <v>45.314710901695712</v>
      </c>
      <c r="W13" s="11">
        <v>39.987739972030006</v>
      </c>
      <c r="X13" s="11">
        <v>37.935539905238848</v>
      </c>
      <c r="Y13" s="11">
        <v>43.256452833803316</v>
      </c>
      <c r="Z13" s="11">
        <v>44.733716863944984</v>
      </c>
      <c r="AA13" s="11">
        <v>46.23208981660148</v>
      </c>
      <c r="AB13" s="11">
        <v>47.604731550028291</v>
      </c>
      <c r="AC13" s="11">
        <v>48.8784953127725</v>
      </c>
      <c r="AD13" s="11">
        <v>50.090579849527415</v>
      </c>
      <c r="AE13">
        <v>51.251882274693934</v>
      </c>
      <c r="AF13">
        <v>52.359986512881072</v>
      </c>
      <c r="AG13">
        <v>53.430332060109251</v>
      </c>
      <c r="AH13">
        <v>54.441382157883304</v>
      </c>
      <c r="AI13">
        <v>55.393454231641464</v>
      </c>
      <c r="AJ13">
        <v>56.295128671248712</v>
      </c>
      <c r="AK13">
        <v>57.128542236224447</v>
      </c>
      <c r="AL13">
        <v>57.86380678340101</v>
      </c>
      <c r="AS13" s="11"/>
      <c r="AT13" s="11"/>
      <c r="AU13" s="11"/>
      <c r="AV13" s="11"/>
      <c r="AW13" s="11"/>
      <c r="AX13" s="11"/>
      <c r="AY13" s="11"/>
      <c r="AZ13" s="11"/>
      <c r="BA13" s="11"/>
      <c r="BB13" s="11"/>
      <c r="BC13" s="11"/>
      <c r="BD13" s="11"/>
      <c r="BE13" s="11"/>
      <c r="BF13" s="11"/>
      <c r="BG13" s="11"/>
      <c r="BH13" s="11"/>
      <c r="BI13" s="11"/>
      <c r="BJ13" s="11"/>
      <c r="BK13" s="11"/>
      <c r="BL13" s="11"/>
      <c r="BM13" s="11"/>
    </row>
    <row r="14" spans="1:68" x14ac:dyDescent="0.2">
      <c r="L14" s="232" t="str">
        <f>name!F4</f>
        <v>RQF8 Doctorate</v>
      </c>
      <c r="M14" s="11">
        <v>4.6488536296268581</v>
      </c>
      <c r="N14" s="11">
        <v>3.9171135856983099</v>
      </c>
      <c r="O14" s="11">
        <v>3.5624324028133802</v>
      </c>
      <c r="P14" s="11">
        <v>4.5264994182747618</v>
      </c>
      <c r="Q14" s="11">
        <v>4.6597774112080748</v>
      </c>
      <c r="R14" s="11">
        <v>5.3938869372483458</v>
      </c>
      <c r="S14" s="11">
        <v>5.0990174823375094</v>
      </c>
      <c r="T14" s="11">
        <v>6.2949073006785472</v>
      </c>
      <c r="U14" s="11">
        <v>5.5108578302076117</v>
      </c>
      <c r="V14" s="11">
        <v>7.010765620991668</v>
      </c>
      <c r="W14" s="11">
        <v>6.2191239061433228</v>
      </c>
      <c r="X14" s="11">
        <v>5.9084703895872668</v>
      </c>
      <c r="Y14" s="11">
        <v>6.8797441603508718</v>
      </c>
      <c r="Z14" s="11">
        <v>7.1379242572547721</v>
      </c>
      <c r="AA14" s="11">
        <v>7.3977380089155558</v>
      </c>
      <c r="AB14" s="11">
        <v>7.6363712242585455</v>
      </c>
      <c r="AC14" s="11">
        <v>7.8610264534494281</v>
      </c>
      <c r="AD14" s="11">
        <v>8.076367884891555</v>
      </c>
      <c r="AE14">
        <v>8.2859242085633671</v>
      </c>
      <c r="AF14">
        <v>8.4848148940873021</v>
      </c>
      <c r="AG14">
        <v>8.6799897625167297</v>
      </c>
      <c r="AH14">
        <v>8.8648628908941998</v>
      </c>
      <c r="AI14">
        <v>9.0418805162731388</v>
      </c>
      <c r="AJ14">
        <v>9.2092559768084463</v>
      </c>
      <c r="AK14">
        <v>9.3702344554677293</v>
      </c>
      <c r="AL14">
        <v>9.5144226538408123</v>
      </c>
      <c r="AS14" s="11"/>
      <c r="AT14" s="11"/>
      <c r="AU14" s="11"/>
      <c r="AV14" s="11"/>
      <c r="AW14" s="11"/>
      <c r="AX14" s="11"/>
      <c r="AY14" s="11"/>
      <c r="AZ14" s="11"/>
      <c r="BA14" s="11"/>
      <c r="BB14" s="11"/>
      <c r="BC14" s="11"/>
    </row>
    <row r="15" spans="1:68" x14ac:dyDescent="0.2">
      <c r="L15" s="232"/>
      <c r="AV15" s="11"/>
      <c r="AW15" s="11"/>
      <c r="AX15" s="11"/>
      <c r="AY15" s="11"/>
      <c r="AZ15" s="11"/>
      <c r="BA15" s="11"/>
      <c r="BB15" s="11"/>
      <c r="BC15" s="11"/>
      <c r="BD15" s="11"/>
      <c r="BE15" s="11"/>
      <c r="BF15" s="11"/>
      <c r="BG15" s="11"/>
      <c r="BH15" s="11"/>
      <c r="BI15" s="11"/>
      <c r="BJ15" s="11"/>
      <c r="BK15" s="11"/>
      <c r="BL15" s="11"/>
      <c r="BM15" s="11"/>
      <c r="BN15" s="11"/>
      <c r="BO15" s="11"/>
      <c r="BP15" s="11"/>
    </row>
    <row r="16" spans="1:68" x14ac:dyDescent="0.2">
      <c r="L16" s="232"/>
      <c r="AV16" s="11"/>
      <c r="AW16" s="11"/>
      <c r="AX16" s="11"/>
      <c r="AY16" s="11"/>
      <c r="AZ16" s="11"/>
      <c r="BA16" s="11"/>
      <c r="BB16" s="11"/>
      <c r="BC16" s="11"/>
      <c r="BD16" s="11"/>
      <c r="BE16" s="11"/>
      <c r="BF16" s="11"/>
    </row>
    <row r="17" spans="48:68" x14ac:dyDescent="0.2">
      <c r="AV17" s="11"/>
      <c r="AW17" s="11"/>
      <c r="AX17" s="11"/>
      <c r="AY17" s="11"/>
      <c r="AZ17" s="11"/>
      <c r="BA17" s="11"/>
      <c r="BB17" s="11"/>
      <c r="BC17" s="11"/>
      <c r="BD17" s="11"/>
      <c r="BE17" s="11"/>
      <c r="BF17" s="11"/>
      <c r="BG17" s="11"/>
      <c r="BH17" s="11"/>
      <c r="BI17" s="11"/>
      <c r="BJ17" s="11"/>
      <c r="BK17" s="11"/>
      <c r="BL17" s="11"/>
      <c r="BM17" s="11"/>
      <c r="BN17" s="11"/>
      <c r="BO17" s="11"/>
      <c r="BP17" s="11"/>
    </row>
    <row r="18" spans="48:68" x14ac:dyDescent="0.2">
      <c r="AV18" s="11"/>
      <c r="AW18" s="11"/>
      <c r="AX18" s="11"/>
      <c r="AY18" s="11"/>
      <c r="AZ18" s="11"/>
      <c r="BA18" s="11"/>
      <c r="BB18" s="11"/>
      <c r="BC18" s="11"/>
      <c r="BD18" s="11"/>
      <c r="BE18" s="11"/>
      <c r="BF18" s="11"/>
      <c r="BG18" s="11"/>
      <c r="BH18" s="11"/>
      <c r="BI18" s="11"/>
      <c r="BJ18" s="11"/>
      <c r="BK18" s="11"/>
      <c r="BL18" s="11"/>
      <c r="BM18" s="11"/>
      <c r="BN18" s="11"/>
      <c r="BO18" s="11"/>
      <c r="BP18" s="11"/>
    </row>
    <row r="19" spans="48:68" x14ac:dyDescent="0.2">
      <c r="AV19" s="11"/>
      <c r="AW19" s="11"/>
      <c r="AX19" s="11"/>
      <c r="AY19" s="11"/>
      <c r="AZ19" s="11"/>
      <c r="BA19" s="11"/>
      <c r="BB19" s="11"/>
      <c r="BC19" s="11"/>
      <c r="BD19" s="11"/>
      <c r="BE19" s="11"/>
      <c r="BF19" s="11"/>
      <c r="BG19" s="11"/>
      <c r="BH19" s="11"/>
      <c r="BI19" s="11"/>
      <c r="BJ19" s="11"/>
      <c r="BK19" s="11"/>
      <c r="BL19" s="11"/>
      <c r="BM19" s="11"/>
      <c r="BN19" s="11"/>
      <c r="BO19" s="11"/>
      <c r="BP19" s="11"/>
    </row>
    <row r="20" spans="48:68" x14ac:dyDescent="0.2">
      <c r="AV20" s="11"/>
      <c r="AW20" s="11"/>
      <c r="AX20" s="11"/>
      <c r="AY20" s="11"/>
      <c r="AZ20" s="11"/>
      <c r="BA20" s="11"/>
      <c r="BB20" s="11"/>
      <c r="BC20" s="11"/>
      <c r="BD20" s="11"/>
      <c r="BE20" s="11"/>
      <c r="BF20" s="11"/>
      <c r="BG20" s="11"/>
      <c r="BH20" s="11"/>
      <c r="BI20" s="11"/>
      <c r="BJ20" s="11"/>
      <c r="BK20" s="11"/>
      <c r="BL20" s="11"/>
      <c r="BM20" s="11"/>
      <c r="BN20" s="11"/>
      <c r="BO20" s="11"/>
      <c r="BP20" s="11"/>
    </row>
    <row r="21" spans="48:68" x14ac:dyDescent="0.2">
      <c r="AV21" s="11"/>
      <c r="AW21" s="11"/>
      <c r="AX21" s="11"/>
      <c r="AY21" s="11"/>
      <c r="AZ21" s="11"/>
      <c r="BA21" s="11"/>
      <c r="BB21" s="11"/>
      <c r="BC21" s="11"/>
      <c r="BD21" s="11"/>
      <c r="BE21" s="11"/>
      <c r="BF21" s="11"/>
    </row>
    <row r="22" spans="48:68" x14ac:dyDescent="0.2">
      <c r="AV22" s="11"/>
      <c r="AW22" s="11"/>
      <c r="AX22" s="11"/>
      <c r="AY22" s="11"/>
      <c r="AZ22" s="11"/>
      <c r="BA22" s="11"/>
      <c r="BB22" s="11"/>
      <c r="BC22" s="11"/>
      <c r="BD22" s="11"/>
      <c r="BE22" s="11"/>
      <c r="BF22" s="11"/>
      <c r="BG22" s="11"/>
      <c r="BH22" s="11"/>
      <c r="BI22" s="11"/>
      <c r="BJ22" s="11"/>
      <c r="BK22" s="11"/>
      <c r="BL22" s="11"/>
      <c r="BM22" s="11"/>
      <c r="BN22" s="11"/>
      <c r="BO22" s="11"/>
      <c r="BP22" s="11"/>
    </row>
    <row r="23" spans="48:68" x14ac:dyDescent="0.2">
      <c r="AV23" s="11"/>
      <c r="AW23" s="11"/>
      <c r="AX23" s="11"/>
      <c r="AY23" s="11"/>
      <c r="AZ23" s="11"/>
      <c r="BA23" s="11"/>
      <c r="BB23" s="11"/>
      <c r="BC23" s="11"/>
      <c r="BD23" s="11"/>
      <c r="BE23" s="11"/>
      <c r="BF23" s="11"/>
      <c r="BG23" s="11"/>
      <c r="BH23" s="11"/>
      <c r="BI23" s="11"/>
      <c r="BJ23" s="11"/>
      <c r="BK23" s="11"/>
      <c r="BL23" s="11"/>
      <c r="BM23" s="11"/>
      <c r="BN23" s="11"/>
      <c r="BO23" s="11"/>
      <c r="BP23" s="11"/>
    </row>
    <row r="24" spans="48:68" x14ac:dyDescent="0.2">
      <c r="AV24" s="11"/>
      <c r="AW24" s="11"/>
      <c r="AX24" s="11"/>
      <c r="AY24" s="11"/>
      <c r="AZ24" s="11"/>
      <c r="BA24" s="11"/>
      <c r="BB24" s="11"/>
      <c r="BC24" s="11"/>
      <c r="BD24" s="11"/>
      <c r="BE24" s="11"/>
      <c r="BF24" s="11"/>
      <c r="BG24" s="11"/>
      <c r="BH24" s="11"/>
      <c r="BI24" s="11"/>
      <c r="BJ24" s="11"/>
      <c r="BK24" s="11"/>
      <c r="BL24" s="11"/>
      <c r="BM24" s="11"/>
      <c r="BN24" s="11"/>
      <c r="BO24" s="11"/>
      <c r="BP24" s="11"/>
    </row>
    <row r="25" spans="48:68" x14ac:dyDescent="0.2">
      <c r="AV25" s="11"/>
      <c r="AW25" s="11"/>
      <c r="AX25" s="11"/>
      <c r="AY25" s="11"/>
      <c r="AZ25" s="11"/>
      <c r="BA25" s="11"/>
      <c r="BB25" s="11"/>
      <c r="BC25" s="11"/>
      <c r="BD25" s="11"/>
      <c r="BE25" s="11"/>
      <c r="BF25" s="11"/>
      <c r="BG25" s="11"/>
      <c r="BH25" s="11"/>
      <c r="BI25" s="11"/>
      <c r="BJ25" s="11"/>
      <c r="BK25" s="11"/>
      <c r="BL25" s="11"/>
      <c r="BM25" s="11"/>
      <c r="BN25" s="11"/>
      <c r="BO25" s="11"/>
      <c r="BP25" s="11"/>
    </row>
    <row r="26" spans="48:68" x14ac:dyDescent="0.2">
      <c r="AV26" s="11"/>
      <c r="AW26" s="11"/>
      <c r="AX26" s="11"/>
      <c r="AY26" s="11"/>
      <c r="AZ26" s="11"/>
      <c r="BA26" s="11"/>
      <c r="BB26" s="11"/>
      <c r="BC26" s="11"/>
      <c r="BD26" s="11"/>
      <c r="BE26" s="11"/>
      <c r="BF26" s="11"/>
    </row>
    <row r="27" spans="48:68" x14ac:dyDescent="0.2">
      <c r="AV27" s="11"/>
      <c r="AW27" s="11"/>
      <c r="AX27" s="11"/>
      <c r="AY27" s="11"/>
      <c r="AZ27" s="11"/>
      <c r="BA27" s="11"/>
      <c r="BB27" s="11"/>
      <c r="BC27" s="11"/>
      <c r="BD27" s="11"/>
      <c r="BE27" s="11"/>
      <c r="BF27" s="11"/>
      <c r="BG27" s="11"/>
      <c r="BH27" s="11"/>
      <c r="BI27" s="11"/>
      <c r="BJ27" s="11"/>
      <c r="BK27" s="11"/>
      <c r="BL27" s="11"/>
      <c r="BM27" s="11"/>
      <c r="BN27" s="11"/>
      <c r="BO27" s="11"/>
      <c r="BP27" s="11"/>
    </row>
    <row r="28" spans="48:68" x14ac:dyDescent="0.2">
      <c r="AV28" s="11"/>
      <c r="AW28" s="11"/>
      <c r="AX28" s="11"/>
      <c r="AY28" s="11"/>
      <c r="AZ28" s="11"/>
      <c r="BA28" s="11"/>
      <c r="BB28" s="11"/>
      <c r="BC28" s="11"/>
      <c r="BD28" s="11"/>
      <c r="BE28" s="11"/>
      <c r="BF28" s="11"/>
      <c r="BG28" s="11"/>
      <c r="BH28" s="11"/>
      <c r="BI28" s="11"/>
      <c r="BJ28" s="11"/>
      <c r="BK28" s="11"/>
      <c r="BL28" s="11"/>
      <c r="BM28" s="11"/>
      <c r="BN28" s="11"/>
      <c r="BO28" s="11"/>
      <c r="BP28" s="11"/>
    </row>
    <row r="29" spans="48:68" x14ac:dyDescent="0.2">
      <c r="AV29" s="11"/>
      <c r="AW29" s="11"/>
      <c r="AX29" s="11"/>
      <c r="AY29" s="11"/>
      <c r="AZ29" s="11"/>
      <c r="BA29" s="11"/>
      <c r="BB29" s="11"/>
      <c r="BC29" s="11"/>
      <c r="BD29" s="11"/>
      <c r="BE29" s="11"/>
      <c r="BF29" s="11"/>
      <c r="BG29" s="11"/>
      <c r="BH29" s="11"/>
      <c r="BI29" s="11"/>
      <c r="BJ29" s="11"/>
      <c r="BK29" s="11"/>
      <c r="BL29" s="11"/>
      <c r="BM29" s="11"/>
      <c r="BN29" s="11"/>
      <c r="BO29" s="11"/>
      <c r="BP29" s="11"/>
    </row>
    <row r="30" spans="48:68" x14ac:dyDescent="0.2">
      <c r="AV30" s="11"/>
      <c r="AW30" s="11"/>
      <c r="AX30" s="11"/>
      <c r="AY30" s="11"/>
      <c r="AZ30" s="11"/>
      <c r="BA30" s="11"/>
      <c r="BB30" s="11"/>
      <c r="BC30" s="11"/>
      <c r="BD30" s="11"/>
      <c r="BE30" s="11"/>
      <c r="BF30" s="11"/>
      <c r="BG30" s="11"/>
      <c r="BH30" s="11"/>
      <c r="BI30" s="11"/>
      <c r="BJ30" s="11"/>
      <c r="BK30" s="11"/>
      <c r="BL30" s="11"/>
      <c r="BM30" s="11"/>
      <c r="BN30" s="11"/>
      <c r="BO30" s="11"/>
      <c r="BP30" s="11"/>
    </row>
    <row r="32" spans="48:68" x14ac:dyDescent="0.2">
      <c r="AV32" s="11"/>
      <c r="AW32" s="11"/>
      <c r="AX32" s="11"/>
      <c r="AY32" s="11"/>
      <c r="AZ32" s="11"/>
      <c r="BA32" s="11"/>
      <c r="BB32" s="11"/>
      <c r="BC32" s="11"/>
      <c r="BD32" s="11"/>
      <c r="BE32" s="11"/>
      <c r="BF32" s="11"/>
    </row>
    <row r="34" spans="1:58" x14ac:dyDescent="0.2">
      <c r="AV34" s="11"/>
      <c r="AW34" s="11"/>
      <c r="AX34" s="11"/>
      <c r="AY34" s="11"/>
      <c r="AZ34" s="11"/>
      <c r="BA34" s="11"/>
      <c r="BB34" s="11"/>
      <c r="BC34" s="11"/>
      <c r="BD34" s="11"/>
      <c r="BE34" s="11"/>
      <c r="BF34" s="11"/>
    </row>
    <row r="35" spans="1:58" x14ac:dyDescent="0.2">
      <c r="AV35" s="11"/>
      <c r="AW35" s="11"/>
      <c r="AX35" s="11"/>
      <c r="AY35" s="11"/>
      <c r="AZ35" s="11"/>
      <c r="BA35" s="11"/>
      <c r="BB35" s="11"/>
      <c r="BC35" s="11"/>
      <c r="BD35" s="11"/>
      <c r="BE35" s="11"/>
      <c r="BF35" s="11"/>
    </row>
    <row r="36" spans="1:58" x14ac:dyDescent="0.2">
      <c r="AV36" s="11"/>
      <c r="AW36" s="11"/>
      <c r="AX36" s="11"/>
      <c r="AY36" s="11"/>
      <c r="AZ36" s="11"/>
      <c r="BA36" s="11"/>
      <c r="BB36" s="11"/>
      <c r="BC36" s="11"/>
      <c r="BD36" s="11"/>
      <c r="BE36" s="11"/>
      <c r="BF36" s="11"/>
    </row>
    <row r="37" spans="1:58" x14ac:dyDescent="0.2">
      <c r="AV37" s="11"/>
      <c r="AW37" s="11"/>
      <c r="AX37" s="11"/>
      <c r="AY37" s="11"/>
      <c r="AZ37" s="11"/>
      <c r="BA37" s="11"/>
      <c r="BB37" s="11"/>
      <c r="BC37" s="11"/>
      <c r="BD37" s="11"/>
      <c r="BE37" s="11"/>
      <c r="BF37" s="11"/>
    </row>
    <row r="38" spans="1:58" x14ac:dyDescent="0.2">
      <c r="AV38" s="11"/>
      <c r="AW38" s="11"/>
      <c r="AX38" s="11"/>
      <c r="AY38" s="11"/>
      <c r="AZ38" s="11"/>
      <c r="BA38" s="11"/>
      <c r="BB38" s="11"/>
      <c r="BC38" s="11"/>
      <c r="BD38" s="11"/>
      <c r="BE38" s="11"/>
      <c r="BF38" s="11"/>
    </row>
    <row r="40" spans="1:58" x14ac:dyDescent="0.2">
      <c r="AV40" s="11"/>
      <c r="AW40" s="11"/>
      <c r="AX40" s="11"/>
      <c r="AY40" s="11"/>
      <c r="AZ40" s="11"/>
      <c r="BA40" s="11"/>
      <c r="BB40" s="11"/>
      <c r="BC40" s="11"/>
      <c r="BD40" s="11"/>
      <c r="BE40" s="11"/>
      <c r="BF40" s="11"/>
    </row>
    <row r="41" spans="1:58" x14ac:dyDescent="0.2">
      <c r="AV41" s="11"/>
      <c r="AW41" s="11"/>
      <c r="AX41" s="11"/>
      <c r="AY41" s="11"/>
      <c r="AZ41" s="11"/>
      <c r="BA41" s="11"/>
      <c r="BB41" s="11"/>
      <c r="BC41" s="11"/>
      <c r="BD41" s="11"/>
      <c r="BE41" s="11"/>
      <c r="BF41" s="11"/>
    </row>
    <row r="42" spans="1:58" x14ac:dyDescent="0.2">
      <c r="AV42" s="11"/>
      <c r="AW42" s="11"/>
      <c r="AX42" s="11"/>
      <c r="AY42" s="11"/>
      <c r="AZ42" s="11"/>
      <c r="BA42" s="11"/>
      <c r="BB42" s="11"/>
      <c r="BC42" s="11"/>
      <c r="BD42" s="11"/>
      <c r="BE42" s="11"/>
      <c r="BF42" s="11"/>
    </row>
    <row r="43" spans="1:58" x14ac:dyDescent="0.2">
      <c r="AV43" s="11"/>
      <c r="AW43" s="11"/>
      <c r="AX43" s="11"/>
      <c r="AY43" s="11"/>
      <c r="AZ43" s="11"/>
      <c r="BA43" s="11"/>
      <c r="BB43" s="11"/>
      <c r="BC43" s="11"/>
      <c r="BD43" s="11"/>
      <c r="BE43" s="11"/>
      <c r="BF43" s="11"/>
    </row>
    <row r="45" spans="1:58" x14ac:dyDescent="0.2">
      <c r="AV45" s="11"/>
      <c r="AW45" s="11"/>
      <c r="AX45" s="11"/>
      <c r="AY45" s="11"/>
      <c r="AZ45" s="11"/>
      <c r="BA45" s="11"/>
      <c r="BB45" s="11"/>
      <c r="BC45" s="11"/>
      <c r="BD45" s="11"/>
      <c r="BE45" s="11"/>
      <c r="BF45" s="11"/>
    </row>
    <row r="46" spans="1:58" x14ac:dyDescent="0.2">
      <c r="AV46" s="11"/>
      <c r="AW46" s="11"/>
      <c r="AX46" s="11"/>
      <c r="AY46" s="11"/>
      <c r="AZ46" s="11"/>
      <c r="BA46" s="11"/>
      <c r="BB46" s="11"/>
      <c r="BC46" s="11"/>
      <c r="BD46" s="11"/>
      <c r="BE46" s="11"/>
      <c r="BF46" s="11"/>
    </row>
    <row r="47" spans="1:58" x14ac:dyDescent="0.2">
      <c r="AV47" s="11"/>
      <c r="AW47" s="11"/>
      <c r="AX47" s="11"/>
      <c r="AY47" s="11"/>
      <c r="AZ47" s="11"/>
      <c r="BA47" s="11"/>
      <c r="BB47" s="11"/>
      <c r="BC47" s="11"/>
      <c r="BD47" s="11"/>
      <c r="BE47" s="11"/>
      <c r="BF47" s="11"/>
    </row>
    <row r="48" spans="1:58" ht="12.75" customHeight="1" x14ac:dyDescent="0.25">
      <c r="A48" s="80"/>
      <c r="AV48" s="11"/>
      <c r="AW48" s="11"/>
      <c r="AX48" s="11"/>
      <c r="AY48" s="11"/>
      <c r="AZ48" s="11"/>
      <c r="BA48" s="11"/>
      <c r="BB48" s="11"/>
      <c r="BC48" s="11"/>
      <c r="BD48" s="11"/>
      <c r="BE48" s="11"/>
      <c r="BF48" s="11"/>
    </row>
    <row r="51" spans="1:1" ht="15.75" x14ac:dyDescent="0.25">
      <c r="A51" s="80" t="str">
        <f>CONCATENATE("Qualification Figure 1.1  Employment by Qualification, ",$M$2,"-",$O$2,Info!B9,", ",Info!B5)</f>
        <v>Qualification Figure 1.1  Employment by Qualification, 2010-2035, North East</v>
      </c>
    </row>
    <row r="52" spans="1:1" x14ac:dyDescent="0.2">
      <c r="A52"/>
    </row>
  </sheetData>
  <phoneticPr fontId="4" type="noConversion"/>
  <conditionalFormatting sqref="L4:AL4">
    <cfRule type="cellIs" dxfId="6" priority="1" stopIfTrue="1" operator="equal">
      <formula>0</formula>
    </cfRule>
  </conditionalFormatting>
  <pageMargins left="0.19685039370078741" right="0.19685039370078741" top="0.78740157480314965" bottom="0.78740157480314965" header="0.51181102362204722" footer="0.51181102362204722"/>
  <pageSetup paperSize="9" scale="80" orientation="portrait" r:id="rId1"/>
  <headerFooter alignWithMargins="0"/>
  <rowBreaks count="1" manualBreakCount="1">
    <brk id="50" max="9" man="1"/>
  </rowBreaks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Sheet35"/>
  <dimension ref="A1:L23"/>
  <sheetViews>
    <sheetView zoomScale="85" zoomScaleNormal="85" workbookViewId="0">
      <selection activeCell="A8" sqref="A8"/>
    </sheetView>
  </sheetViews>
  <sheetFormatPr defaultColWidth="9.140625" defaultRowHeight="12.75" x14ac:dyDescent="0.2"/>
  <cols>
    <col min="1" max="1" width="57.85546875" style="91" customWidth="1"/>
    <col min="2" max="6" width="11.7109375" style="91" customWidth="1"/>
    <col min="7" max="7" width="5.7109375" style="91" customWidth="1"/>
    <col min="8" max="12" width="11.7109375" style="91" customWidth="1"/>
    <col min="13" max="16384" width="9.140625" style="91"/>
  </cols>
  <sheetData>
    <row r="1" spans="1:12" ht="15.75" x14ac:dyDescent="0.25">
      <c r="A1" s="19" t="str">
        <f>CONCATENATE("Summary Table 12  Employment Change by ISCED Qualifications in Broad Qualifications, ",B$5,"-",F$5)</f>
        <v>Summary Table 12  Employment Change by ISCED Qualifications in Broad Qualifications, 2008-2020</v>
      </c>
    </row>
    <row r="3" spans="1:12" x14ac:dyDescent="0.2">
      <c r="F3" s="117"/>
      <c r="L3" s="117" t="s">
        <v>20</v>
      </c>
    </row>
    <row r="4" spans="1:12" x14ac:dyDescent="0.2">
      <c r="A4" s="96"/>
      <c r="B4" s="118" t="s">
        <v>18</v>
      </c>
      <c r="C4" s="96"/>
      <c r="D4" s="96"/>
      <c r="E4" s="96"/>
      <c r="F4" s="119"/>
      <c r="H4" s="118" t="s">
        <v>19</v>
      </c>
      <c r="I4" s="96"/>
      <c r="J4" s="96"/>
      <c r="K4" s="96"/>
      <c r="L4" s="96"/>
    </row>
    <row r="5" spans="1:12" x14ac:dyDescent="0.2">
      <c r="A5" s="92"/>
      <c r="B5" s="120">
        <v>2008</v>
      </c>
      <c r="C5" s="120">
        <v>2010</v>
      </c>
      <c r="D5" s="120">
        <v>2012</v>
      </c>
      <c r="E5" s="120">
        <v>2015</v>
      </c>
      <c r="F5" s="120">
        <v>2020</v>
      </c>
      <c r="H5" s="121" t="str">
        <f>CONCATENATE(B$5,"-",C$5)</f>
        <v>2008-2010</v>
      </c>
      <c r="I5" s="121" t="str">
        <f>CONCATENATE(B$5,"-",D$5)</f>
        <v>2008-2012</v>
      </c>
      <c r="J5" s="121" t="str">
        <f>CONCATENATE(D$5,"-",E$5)</f>
        <v>2012-2015</v>
      </c>
      <c r="K5" s="121" t="str">
        <f>CONCATENATE(E$5,"-",F$5)</f>
        <v>2015-2020</v>
      </c>
      <c r="L5" s="121" t="str">
        <f>CONCATENATE(D$5,"-",F$5)</f>
        <v>2012-2020</v>
      </c>
    </row>
    <row r="7" spans="1:12" s="122" customFormat="1" x14ac:dyDescent="0.2">
      <c r="A7" s="122" t="str">
        <f>name!F4</f>
        <v>RQF8 Doctorate</v>
      </c>
      <c r="B7" s="123">
        <v>71325.851049592791</v>
      </c>
      <c r="C7" s="123">
        <v>67875.205285452204</v>
      </c>
      <c r="D7" s="123">
        <v>65953.088065984106</v>
      </c>
      <c r="E7" s="123">
        <v>63161.5699830265</v>
      </c>
      <c r="F7" s="123">
        <v>59517.030027737295</v>
      </c>
      <c r="H7" s="123">
        <f>C7-B7</f>
        <v>-3450.6457641405868</v>
      </c>
      <c r="I7" s="123">
        <f>D7-B7</f>
        <v>-5372.7629836086853</v>
      </c>
      <c r="J7" s="123">
        <f>E7-D7</f>
        <v>-2791.5180829576057</v>
      </c>
      <c r="K7" s="123">
        <f>F7-E7</f>
        <v>-3644.539955289205</v>
      </c>
      <c r="L7" s="123">
        <f>F7-D7</f>
        <v>-6436.0580382468106</v>
      </c>
    </row>
    <row r="8" spans="1:12" x14ac:dyDescent="0.2">
      <c r="A8" s="91" t="str">
        <f>name!J4</f>
        <v>SE</v>
      </c>
      <c r="B8" s="94">
        <v>21828.171692536111</v>
      </c>
      <c r="C8" s="94">
        <v>20792.172573048945</v>
      </c>
      <c r="D8" s="94">
        <v>20234.216118009812</v>
      </c>
      <c r="E8" s="94">
        <v>19430.497541178578</v>
      </c>
      <c r="F8" s="94">
        <v>18413.968008235337</v>
      </c>
      <c r="H8" s="94">
        <f>C8-B8</f>
        <v>-1035.9991194871654</v>
      </c>
      <c r="I8" s="94">
        <f>D8-B8</f>
        <v>-1593.9555745262987</v>
      </c>
      <c r="J8" s="94">
        <f t="shared" ref="J8:K10" si="0">E8-D8</f>
        <v>-803.7185768312338</v>
      </c>
      <c r="K8" s="94">
        <f t="shared" si="0"/>
        <v>-1016.5295329432411</v>
      </c>
      <c r="L8" s="94">
        <f>F8-D8</f>
        <v>-1820.2481097744749</v>
      </c>
    </row>
    <row r="9" spans="1:12" x14ac:dyDescent="0.2">
      <c r="A9" s="91" t="str">
        <f>name!J5</f>
        <v>FT</v>
      </c>
      <c r="B9" s="94">
        <v>49497.679357056688</v>
      </c>
      <c r="C9" s="94">
        <v>47083.032712403263</v>
      </c>
      <c r="D9" s="94">
        <v>45718.871947974287</v>
      </c>
      <c r="E9" s="94">
        <v>43731.072441847915</v>
      </c>
      <c r="F9" s="94">
        <v>41103.062019501958</v>
      </c>
      <c r="H9" s="94">
        <f>C9-B9</f>
        <v>-2414.646644653425</v>
      </c>
      <c r="I9" s="94">
        <f>D9-B9</f>
        <v>-3778.8074090824011</v>
      </c>
      <c r="J9" s="94">
        <f t="shared" si="0"/>
        <v>-1987.7995061263719</v>
      </c>
      <c r="K9" s="94">
        <f t="shared" si="0"/>
        <v>-2628.0104223459566</v>
      </c>
      <c r="L9" s="94">
        <f>F9-D9</f>
        <v>-4615.8099284723285</v>
      </c>
    </row>
    <row r="10" spans="1:12" x14ac:dyDescent="0.2">
      <c r="A10" s="91" t="str">
        <f>name!J6</f>
        <v>PT</v>
      </c>
      <c r="B10" s="94">
        <v>0</v>
      </c>
      <c r="C10" s="94">
        <v>0</v>
      </c>
      <c r="D10" s="94">
        <v>0</v>
      </c>
      <c r="E10" s="94">
        <v>0</v>
      </c>
      <c r="F10" s="94">
        <v>0</v>
      </c>
      <c r="H10" s="94">
        <f>C10-B10</f>
        <v>0</v>
      </c>
      <c r="I10" s="94">
        <f>D10-B10</f>
        <v>0</v>
      </c>
      <c r="J10" s="94">
        <f t="shared" si="0"/>
        <v>0</v>
      </c>
      <c r="K10" s="94">
        <f t="shared" si="0"/>
        <v>0</v>
      </c>
      <c r="L10" s="94">
        <f>F10-D10</f>
        <v>0</v>
      </c>
    </row>
    <row r="11" spans="1:12" x14ac:dyDescent="0.2">
      <c r="H11" s="94"/>
      <c r="I11" s="94"/>
      <c r="J11" s="94"/>
      <c r="K11" s="94"/>
      <c r="L11" s="94"/>
    </row>
    <row r="12" spans="1:12" s="122" customFormat="1" x14ac:dyDescent="0.2">
      <c r="A12" s="122" t="str">
        <f>name!F5</f>
        <v>RQF7 Other higher degree</v>
      </c>
      <c r="B12" s="123">
        <v>117603.36216609999</v>
      </c>
      <c r="C12" s="123">
        <v>115939.95604983499</v>
      </c>
      <c r="D12" s="123">
        <v>117782.27837055401</v>
      </c>
      <c r="E12" s="123">
        <v>118889.39584623399</v>
      </c>
      <c r="F12" s="123">
        <v>120707.41471465</v>
      </c>
      <c r="H12" s="123">
        <f>C12-B12</f>
        <v>-1663.4061162650032</v>
      </c>
      <c r="I12" s="123">
        <f>D12-B12</f>
        <v>178.9162044540135</v>
      </c>
      <c r="J12" s="123">
        <f t="shared" ref="J12:K14" si="1">E12-D12</f>
        <v>1107.1174756799883</v>
      </c>
      <c r="K12" s="123">
        <f t="shared" si="1"/>
        <v>1818.0188684160094</v>
      </c>
      <c r="L12" s="123">
        <f>F12-D12</f>
        <v>2925.1363440959976</v>
      </c>
    </row>
    <row r="13" spans="1:12" x14ac:dyDescent="0.2">
      <c r="A13" s="91">
        <f>name!J7</f>
        <v>0</v>
      </c>
      <c r="B13" s="94">
        <v>85684.696366442135</v>
      </c>
      <c r="C13" s="94">
        <v>84496.661838978005</v>
      </c>
      <c r="D13" s="94">
        <v>85862.536135946357</v>
      </c>
      <c r="E13" s="94">
        <v>86649.544796460745</v>
      </c>
      <c r="F13" s="94">
        <v>87931.502704386687</v>
      </c>
      <c r="H13" s="94">
        <f>C13-B13</f>
        <v>-1188.0345274641295</v>
      </c>
      <c r="I13" s="94">
        <f>D13-B13</f>
        <v>177.8397695042222</v>
      </c>
      <c r="J13" s="94">
        <f t="shared" si="1"/>
        <v>787.00866051438788</v>
      </c>
      <c r="K13" s="94">
        <f t="shared" si="1"/>
        <v>1281.957907925942</v>
      </c>
      <c r="L13" s="94">
        <f>F13-D13</f>
        <v>2068.9665684403299</v>
      </c>
    </row>
    <row r="14" spans="1:12" x14ac:dyDescent="0.2">
      <c r="A14" s="91">
        <f>name!J8</f>
        <v>0</v>
      </c>
      <c r="B14" s="94">
        <v>31918.665799657861</v>
      </c>
      <c r="C14" s="94">
        <v>31443.29421085698</v>
      </c>
      <c r="D14" s="94">
        <v>31919.742234607653</v>
      </c>
      <c r="E14" s="94">
        <v>32239.851049773246</v>
      </c>
      <c r="F14" s="94">
        <v>32775.912010263324</v>
      </c>
      <c r="H14" s="94">
        <f>C14-B14</f>
        <v>-475.371588800881</v>
      </c>
      <c r="I14" s="94">
        <f>D14-B14</f>
        <v>1.0764349497912917</v>
      </c>
      <c r="J14" s="94">
        <f t="shared" si="1"/>
        <v>320.10881516559311</v>
      </c>
      <c r="K14" s="94">
        <f t="shared" si="1"/>
        <v>536.06096049007829</v>
      </c>
      <c r="L14" s="94">
        <f>F14-D14</f>
        <v>856.1697756556714</v>
      </c>
    </row>
    <row r="15" spans="1:12" x14ac:dyDescent="0.2">
      <c r="H15" s="94"/>
      <c r="I15" s="94"/>
      <c r="J15" s="94"/>
      <c r="K15" s="94"/>
      <c r="L15" s="94"/>
    </row>
    <row r="16" spans="1:12" s="122" customFormat="1" x14ac:dyDescent="0.2">
      <c r="A16" s="122" t="str">
        <f>name!F6</f>
        <v>RQF6 First degree</v>
      </c>
      <c r="B16" s="123">
        <v>10699.858351711669</v>
      </c>
      <c r="C16" s="123">
        <v>10970.73916072664</v>
      </c>
      <c r="D16" s="123">
        <v>11301.540359819686</v>
      </c>
      <c r="E16" s="123">
        <v>11603.888290360199</v>
      </c>
      <c r="F16" s="123">
        <v>11675.073262162417</v>
      </c>
      <c r="H16" s="123">
        <f>C16-B16</f>
        <v>270.88080901497051</v>
      </c>
      <c r="I16" s="123">
        <f>D16-B16</f>
        <v>601.68200810801682</v>
      </c>
      <c r="J16" s="123">
        <f t="shared" ref="J16:K18" si="2">E16-D16</f>
        <v>302.34793054051261</v>
      </c>
      <c r="K16" s="123">
        <f t="shared" si="2"/>
        <v>71.18497180221857</v>
      </c>
      <c r="L16" s="123">
        <f>F16-D16</f>
        <v>373.53290234273118</v>
      </c>
    </row>
    <row r="17" spans="1:12" x14ac:dyDescent="0.2">
      <c r="A17" s="91">
        <f>name!J9</f>
        <v>0</v>
      </c>
      <c r="B17" s="94">
        <v>8525.1872183076739</v>
      </c>
      <c r="C17" s="94">
        <v>8709.9422108052859</v>
      </c>
      <c r="D17" s="94">
        <v>8966.579956519352</v>
      </c>
      <c r="E17" s="94">
        <v>9198.0093388787081</v>
      </c>
      <c r="F17" s="94">
        <v>9243.5195858644965</v>
      </c>
      <c r="H17" s="94">
        <f>C17-B17</f>
        <v>184.75499249761197</v>
      </c>
      <c r="I17" s="94">
        <f>D17-B17</f>
        <v>441.39273821167808</v>
      </c>
      <c r="J17" s="94">
        <f t="shared" si="2"/>
        <v>231.42938235935617</v>
      </c>
      <c r="K17" s="94">
        <f t="shared" si="2"/>
        <v>45.510246985788399</v>
      </c>
      <c r="L17" s="94">
        <f>F17-D17</f>
        <v>276.93962934514457</v>
      </c>
    </row>
    <row r="18" spans="1:12" x14ac:dyDescent="0.2">
      <c r="A18" s="91">
        <f>name!J10</f>
        <v>0</v>
      </c>
      <c r="B18" s="94">
        <v>2174.6711334039956</v>
      </c>
      <c r="C18" s="94">
        <v>2260.7969499213555</v>
      </c>
      <c r="D18" s="94">
        <v>2334.9604033003338</v>
      </c>
      <c r="E18" s="94">
        <v>2405.8789514814907</v>
      </c>
      <c r="F18" s="94">
        <v>2431.5536762979191</v>
      </c>
      <c r="H18" s="94">
        <f>C18-B18</f>
        <v>86.125816517359908</v>
      </c>
      <c r="I18" s="94">
        <f>D18-B18</f>
        <v>160.28926989633828</v>
      </c>
      <c r="J18" s="94">
        <f t="shared" si="2"/>
        <v>70.918548181156893</v>
      </c>
      <c r="K18" s="94">
        <f t="shared" si="2"/>
        <v>25.674724816428352</v>
      </c>
      <c r="L18" s="94">
        <f>F18-D18</f>
        <v>96.593272997585245</v>
      </c>
    </row>
    <row r="19" spans="1:12" x14ac:dyDescent="0.2">
      <c r="H19" s="94"/>
      <c r="I19" s="94"/>
      <c r="J19" s="94"/>
      <c r="K19" s="94"/>
      <c r="L19" s="94"/>
    </row>
    <row r="20" spans="1:12" x14ac:dyDescent="0.2">
      <c r="A20" s="92" t="str">
        <f>name!J3</f>
        <v>EE</v>
      </c>
      <c r="B20" s="93">
        <v>199629.07156740446</v>
      </c>
      <c r="C20" s="93">
        <v>194785.90049601384</v>
      </c>
      <c r="D20" s="93">
        <v>195036.90679635777</v>
      </c>
      <c r="E20" s="93">
        <v>193654.85411962072</v>
      </c>
      <c r="F20" s="93">
        <v>191899.51800454973</v>
      </c>
      <c r="H20" s="93">
        <f>C20-B20</f>
        <v>-4843.1710713906214</v>
      </c>
      <c r="I20" s="93">
        <f>D20-B20</f>
        <v>-4592.1647710466932</v>
      </c>
      <c r="J20" s="93">
        <f>E20-D20</f>
        <v>-1382.0526767370466</v>
      </c>
      <c r="K20" s="93">
        <f>F20-E20</f>
        <v>-1755.336115070997</v>
      </c>
      <c r="L20" s="93">
        <f>F20-D20</f>
        <v>-3137.3887918080436</v>
      </c>
    </row>
    <row r="23" spans="1:12" x14ac:dyDescent="0.2">
      <c r="A23" s="91" t="str">
        <f>CONCATENATE("Note: For ",Info!$A$1," there is no European LFS data for some of the ISCED Qualifications.")</f>
        <v>Note: For MCA there is no European LFS data for some of the ISCED Qualifications.</v>
      </c>
    </row>
  </sheetData>
  <pageMargins left="0.51181102362204722" right="0.31496062992125984" top="0.74803149606299213" bottom="0.74803149606299213" header="0.31496062992125984" footer="0.31496062992125984"/>
  <pageSetup paperSize="9" scale="75" orientation="landscape" r:id="rId1"/>
  <ignoredErrors>
    <ignoredError sqref="I5:I20" formula="1"/>
  </ignoredErrors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Sheet55"/>
  <dimension ref="A1:CS101"/>
  <sheetViews>
    <sheetView showGridLines="0" zoomScale="85" zoomScaleNormal="85" zoomScaleSheetLayoutView="85" workbookViewId="0"/>
  </sheetViews>
  <sheetFormatPr defaultColWidth="9.140625" defaultRowHeight="12.75" x14ac:dyDescent="0.2"/>
  <cols>
    <col min="1" max="1" width="50.7109375" style="130" customWidth="1"/>
    <col min="2" max="2" width="13" style="130" customWidth="1"/>
    <col min="3" max="3" width="10.140625" style="130" customWidth="1"/>
    <col min="4" max="4" width="3.7109375" style="130" customWidth="1"/>
    <col min="5" max="6" width="10.140625" style="130" customWidth="1"/>
    <col min="7" max="7" width="3.7109375" style="130" customWidth="1"/>
    <col min="8" max="9" width="10.140625" style="130" customWidth="1"/>
    <col min="10" max="10" width="3.7109375" style="130" customWidth="1"/>
    <col min="11" max="12" width="10.140625" style="130" customWidth="1"/>
    <col min="13" max="13" width="3.7109375" style="130" customWidth="1"/>
    <col min="14" max="15" width="10.140625" style="130" customWidth="1"/>
    <col min="16" max="16" width="3.7109375" style="130" customWidth="1"/>
    <col min="17" max="18" width="10.140625" style="130" customWidth="1"/>
    <col min="19" max="19" width="9.140625" style="130"/>
    <col min="20" max="20" width="16.7109375" style="130" customWidth="1"/>
    <col min="21" max="21" width="9.140625" style="130"/>
    <col min="22" max="22" width="8.85546875" style="130" customWidth="1"/>
    <col min="23" max="41" width="9.140625" style="130"/>
    <col min="42" max="46" width="9.140625" style="137" customWidth="1"/>
    <col min="47" max="49" width="9.140625" style="130"/>
    <col min="50" max="50" width="9.140625" style="130" customWidth="1"/>
    <col min="51" max="16384" width="9.140625" style="130"/>
  </cols>
  <sheetData>
    <row r="1" spans="1:97" ht="18.75" customHeight="1" x14ac:dyDescent="0.25">
      <c r="A1" s="276" t="str">
        <f>CONCATENATE("ShiftShare Table 1  Shift-share by occupation, ",I4,", ",Info!B5)</f>
        <v>ShiftShare Table 1  Shift-share by occupation, 2015-2020, North East</v>
      </c>
      <c r="W1" s="203" t="str">
        <f>CONCATENATE("Shift-share Figure 1: Levels of Employment, ",C4," - ",F40,", ",Info!B5)</f>
        <v>Shift-share Figure 1: Levels of Employment, 2015 - 2035, North East</v>
      </c>
      <c r="AK1" s="203" t="str">
        <f>CONCATENATE("Shift-share Figure 1.1: Net Changes, ",C4,"-",F40,", ",Info!B5)</f>
        <v>Shift-share Figure 1.1: Net Changes, 2015-2035, North East</v>
      </c>
    </row>
    <row r="2" spans="1:97" ht="18.75" customHeight="1" x14ac:dyDescent="0.25">
      <c r="A2" s="136" t="s">
        <v>518</v>
      </c>
      <c r="W2" s="203"/>
      <c r="AK2" s="203"/>
    </row>
    <row r="3" spans="1:97" x14ac:dyDescent="0.2">
      <c r="A3" s="146"/>
      <c r="B3" s="275"/>
      <c r="C3" s="275"/>
      <c r="D3" s="275"/>
      <c r="E3" s="275"/>
      <c r="F3" s="275"/>
      <c r="G3" s="275"/>
      <c r="H3" s="275"/>
      <c r="I3" s="275"/>
      <c r="J3" s="275"/>
      <c r="K3" s="380" t="s">
        <v>59</v>
      </c>
      <c r="L3" s="380"/>
      <c r="M3" s="380"/>
      <c r="N3" s="380"/>
      <c r="O3" s="380"/>
      <c r="P3" s="380"/>
      <c r="Q3" s="380"/>
      <c r="R3" s="380"/>
      <c r="AT3" s="138"/>
      <c r="AU3" s="126"/>
      <c r="AW3" s="138"/>
      <c r="AX3" s="137"/>
      <c r="AY3" s="139"/>
      <c r="AZ3" s="126"/>
      <c r="BA3" s="126"/>
      <c r="BB3" s="126"/>
      <c r="BC3" s="126"/>
      <c r="BD3" s="126"/>
      <c r="BE3" s="126"/>
      <c r="BF3" s="126"/>
      <c r="BG3" s="126"/>
      <c r="BH3" s="126"/>
      <c r="BI3" s="126"/>
      <c r="BJ3" s="126"/>
      <c r="BK3" s="126"/>
      <c r="BL3" s="126"/>
      <c r="BM3" s="126"/>
      <c r="BN3" s="126"/>
      <c r="BO3" s="126"/>
      <c r="BP3" s="126"/>
      <c r="BQ3" s="126"/>
      <c r="BR3" s="126"/>
      <c r="BS3" s="126"/>
      <c r="BT3" s="126"/>
      <c r="BU3" s="126"/>
      <c r="BV3" s="126"/>
      <c r="BW3" s="126"/>
      <c r="BX3" s="126"/>
      <c r="BY3" s="126"/>
      <c r="BZ3" s="126"/>
      <c r="CA3" s="126"/>
      <c r="CB3" s="126"/>
      <c r="CC3" s="126"/>
      <c r="CD3" s="126"/>
      <c r="CE3" s="126"/>
      <c r="CF3" s="126"/>
      <c r="CG3" s="126"/>
      <c r="CH3" s="126"/>
      <c r="CI3" s="126"/>
      <c r="CJ3" s="126"/>
      <c r="CK3" s="126"/>
      <c r="CL3" s="126"/>
      <c r="CM3" s="126"/>
      <c r="CN3" s="126"/>
      <c r="CO3" s="126"/>
      <c r="CP3" s="126"/>
      <c r="CQ3" s="126"/>
      <c r="CR3" s="126"/>
      <c r="CS3" s="126"/>
    </row>
    <row r="4" spans="1:97" x14ac:dyDescent="0.2">
      <c r="B4" s="270" t="s">
        <v>60</v>
      </c>
      <c r="C4" s="271">
        <v>2015</v>
      </c>
      <c r="D4" s="136"/>
      <c r="E4" s="270" t="s">
        <v>61</v>
      </c>
      <c r="F4" s="271">
        <v>2020</v>
      </c>
      <c r="G4" s="136"/>
      <c r="H4" s="270" t="s">
        <v>19</v>
      </c>
      <c r="I4" s="270" t="str">
        <f>CONCATENATE(C4,"-",F4)</f>
        <v>2015-2020</v>
      </c>
      <c r="J4" s="136"/>
      <c r="K4" s="379" t="s">
        <v>62</v>
      </c>
      <c r="L4" s="379"/>
      <c r="M4" s="136"/>
      <c r="N4" s="379" t="s">
        <v>63</v>
      </c>
      <c r="O4" s="379"/>
      <c r="P4" s="136"/>
      <c r="Q4" s="379" t="s">
        <v>64</v>
      </c>
      <c r="R4" s="379"/>
      <c r="AW4" s="137"/>
      <c r="AX4" s="137"/>
      <c r="AY4" s="139"/>
    </row>
    <row r="5" spans="1:97" x14ac:dyDescent="0.2">
      <c r="A5" s="143" t="s">
        <v>503</v>
      </c>
      <c r="B5" s="272" t="s">
        <v>66</v>
      </c>
      <c r="C5" s="272" t="s">
        <v>67</v>
      </c>
      <c r="D5" s="136"/>
      <c r="E5" s="272" t="str">
        <f>B5</f>
        <v>000s</v>
      </c>
      <c r="F5" s="272" t="str">
        <f>C5</f>
        <v>% share</v>
      </c>
      <c r="G5" s="136"/>
      <c r="H5" s="272" t="str">
        <f>E5</f>
        <v>000s</v>
      </c>
      <c r="I5" s="272" t="s">
        <v>68</v>
      </c>
      <c r="J5" s="136"/>
      <c r="K5" s="272" t="str">
        <f>H5</f>
        <v>000s</v>
      </c>
      <c r="L5" s="272" t="str">
        <f>I5</f>
        <v xml:space="preserve">%   </v>
      </c>
      <c r="M5" s="136"/>
      <c r="N5" s="272" t="str">
        <f>K5</f>
        <v>000s</v>
      </c>
      <c r="O5" s="272" t="str">
        <f>L5</f>
        <v xml:space="preserve">%   </v>
      </c>
      <c r="P5" s="136"/>
      <c r="Q5" s="272" t="str">
        <f>N5</f>
        <v>000s</v>
      </c>
      <c r="R5" s="272" t="str">
        <f>O5</f>
        <v xml:space="preserve">%   </v>
      </c>
      <c r="Z5" s="139" t="e">
        <f>"Levels of Employment, "&amp;#REF!&amp;"-"&amp;#REF!</f>
        <v>#REF!</v>
      </c>
      <c r="AM5" s="130" t="e">
        <f>"Net Changes, "&amp;#REF!&amp;"-"&amp;#REF!</f>
        <v>#REF!</v>
      </c>
      <c r="AV5" s="137"/>
      <c r="AW5" s="137"/>
      <c r="AX5" s="137"/>
    </row>
    <row r="6" spans="1:97" x14ac:dyDescent="0.2">
      <c r="A6" s="143"/>
      <c r="B6" s="270"/>
      <c r="C6" s="270"/>
      <c r="D6" s="136"/>
      <c r="E6" s="270"/>
      <c r="F6" s="270"/>
      <c r="G6" s="136"/>
      <c r="H6" s="270"/>
      <c r="I6" s="270"/>
      <c r="J6" s="136"/>
      <c r="K6" s="270"/>
      <c r="L6" s="270"/>
      <c r="M6" s="136"/>
      <c r="N6" s="270"/>
      <c r="O6" s="270"/>
      <c r="P6" s="136"/>
      <c r="Q6" s="270"/>
      <c r="R6" s="270"/>
      <c r="T6" s="136"/>
      <c r="AV6" s="137"/>
      <c r="AW6" s="137"/>
      <c r="AX6" s="137"/>
      <c r="AY6" s="139"/>
    </row>
    <row r="7" spans="1:97" x14ac:dyDescent="0.2">
      <c r="A7" s="277"/>
      <c r="B7" s="270"/>
      <c r="C7" s="270"/>
      <c r="D7" s="275"/>
      <c r="E7" s="270"/>
      <c r="F7" s="270"/>
      <c r="G7" s="275"/>
      <c r="H7" s="270"/>
      <c r="I7" s="270"/>
      <c r="J7" s="275"/>
      <c r="K7" s="270"/>
      <c r="L7" s="270"/>
      <c r="M7" s="275"/>
      <c r="N7" s="270"/>
      <c r="O7" s="270"/>
      <c r="P7" s="275"/>
      <c r="Q7" s="270"/>
      <c r="R7" s="270"/>
      <c r="T7" s="136"/>
      <c r="AV7" s="137"/>
      <c r="AW7" s="137"/>
      <c r="AX7" s="137"/>
      <c r="AY7" s="139"/>
    </row>
    <row r="8" spans="1:97" x14ac:dyDescent="0.2">
      <c r="A8" s="10" t="str">
        <f>name!$D4</f>
        <v>11 Corporate managers and directors</v>
      </c>
      <c r="B8" s="151">
        <v>21.732746128315462</v>
      </c>
      <c r="C8" s="141">
        <f t="shared" ref="C8:C33" si="0">B8/B$35*100</f>
        <v>4.4378717505458232</v>
      </c>
      <c r="E8" s="151">
        <v>25.412554043295046</v>
      </c>
      <c r="F8" s="141">
        <f t="shared" ref="F8:F33" si="1">E8/E$35*100</f>
        <v>5.306154613300393</v>
      </c>
      <c r="H8" s="151">
        <f>E8-B8</f>
        <v>3.6798079149795839</v>
      </c>
      <c r="I8" s="141">
        <f>IF(B8&lt;&gt;0,((E8/B8)-1)*100,0)</f>
        <v>16.932088992587936</v>
      </c>
      <c r="K8" s="207">
        <f t="shared" ref="K8:K33" si="2">(($E$35/$B$35)-1)*B8</f>
        <v>-0.47862446829636612</v>
      </c>
      <c r="L8" s="141">
        <f>IF(B8&lt;&gt;0,K8/B8*100,0)</f>
        <v>-2.2023193271133334</v>
      </c>
      <c r="N8" s="151">
        <f>H8-(K8+Q8)</f>
        <v>4.3085597291835036</v>
      </c>
      <c r="O8" s="141">
        <f>IF(B8&lt;&gt;0,N8/B8*100,0)</f>
        <v>19.825196980375654</v>
      </c>
      <c r="Q8" s="151">
        <v>-0.15012734590755397</v>
      </c>
      <c r="R8" s="141">
        <f>IF(B8&lt;&gt;0,Q8/B8*100,0)</f>
        <v>-0.69078866067438194</v>
      </c>
      <c r="AT8" s="137" t="e">
        <f ca="1">CONCATENATE("C:",INT(CELL("col",#REF!))," R:",INT(CELL("row",#REF!)))</f>
        <v>#REF!</v>
      </c>
    </row>
    <row r="9" spans="1:97" x14ac:dyDescent="0.2">
      <c r="A9" s="10" t="str">
        <f>name!$D5</f>
        <v>12 Other managers and proprietors</v>
      </c>
      <c r="B9" s="151">
        <v>14.273459833951772</v>
      </c>
      <c r="C9" s="141">
        <f t="shared" si="0"/>
        <v>2.9146700470178883</v>
      </c>
      <c r="E9" s="151">
        <v>14.832524681466086</v>
      </c>
      <c r="F9" s="141">
        <f t="shared" si="1"/>
        <v>3.0970389332519188</v>
      </c>
      <c r="H9" s="151">
        <f t="shared" ref="H9:H32" si="3">E9-B9</f>
        <v>0.55906484751431407</v>
      </c>
      <c r="I9" s="141">
        <f t="shared" ref="I9:I32" si="4">IF(B9&lt;&gt;0,((E9/B9)-1)*100,0)</f>
        <v>3.916813821022469</v>
      </c>
      <c r="K9" s="207">
        <f t="shared" si="2"/>
        <v>-0.31434716457087858</v>
      </c>
      <c r="L9" s="141">
        <f t="shared" ref="L9:L32" si="5">IF(B9&lt;&gt;0,K9/B9*100,0)</f>
        <v>-2.2023193271133334</v>
      </c>
      <c r="N9" s="151">
        <f t="shared" ref="N9:N31" si="6">H9-(K9+Q9)</f>
        <v>0.71436117680804734</v>
      </c>
      <c r="O9" s="141">
        <f>IF(B9&lt;&gt;0,N9/B9*100,0)</f>
        <v>5.0048214316533244</v>
      </c>
      <c r="Q9" s="151">
        <v>0.15905083527714536</v>
      </c>
      <c r="R9" s="141">
        <f>IF(B9&lt;&gt;0,Q9/B9*100,0)</f>
        <v>1.1143117164824803</v>
      </c>
      <c r="T9" s="136"/>
    </row>
    <row r="10" spans="1:97" x14ac:dyDescent="0.2">
      <c r="A10" s="10" t="str">
        <f>name!$D6</f>
        <v>21 Science, research, engineering and technology professionals</v>
      </c>
      <c r="B10" s="151">
        <v>21.426021449350184</v>
      </c>
      <c r="C10" s="141">
        <f t="shared" si="0"/>
        <v>4.3752379361195031</v>
      </c>
      <c r="E10" s="151">
        <v>23.469639078952422</v>
      </c>
      <c r="F10" s="141">
        <f t="shared" si="1"/>
        <v>4.9004729496733148</v>
      </c>
      <c r="H10" s="151">
        <f t="shared" si="3"/>
        <v>2.0436176296022381</v>
      </c>
      <c r="I10" s="141">
        <f t="shared" si="4"/>
        <v>9.538017286285406</v>
      </c>
      <c r="K10" s="207">
        <f t="shared" si="2"/>
        <v>-0.47186941141048749</v>
      </c>
      <c r="L10" s="141">
        <f t="shared" si="5"/>
        <v>-2.2023193271133334</v>
      </c>
      <c r="N10" s="151">
        <f t="shared" si="6"/>
        <v>3.4710860260068186</v>
      </c>
      <c r="O10" s="141">
        <f t="shared" ref="O10:O32" si="7">IF(B10&lt;&gt;0,N10/B10*100,0)</f>
        <v>16.20032927817353</v>
      </c>
      <c r="Q10" s="151">
        <v>-0.95559898499409268</v>
      </c>
      <c r="R10" s="141">
        <f t="shared" ref="R10:R32" si="8">IF(B10&lt;&gt;0,Q10/B10*100,0)</f>
        <v>-4.4599926647747967</v>
      </c>
      <c r="AT10" s="137" t="e">
        <f ca="1">CONCATENATE("C:",INT(CELL("col",#REF!))," R:",INT(CELL("row",#REF!)))</f>
        <v>#REF!</v>
      </c>
    </row>
    <row r="11" spans="1:97" x14ac:dyDescent="0.2">
      <c r="A11" s="10" t="str">
        <f>name!$D7</f>
        <v>22 Health professionals</v>
      </c>
      <c r="B11" s="151">
        <v>27.572687353088558</v>
      </c>
      <c r="C11" s="141">
        <f t="shared" si="0"/>
        <v>5.6303998384942453</v>
      </c>
      <c r="E11" s="151">
        <v>29.027771962856097</v>
      </c>
      <c r="F11" s="141">
        <f t="shared" si="1"/>
        <v>6.0610140111115474</v>
      </c>
      <c r="H11" s="151">
        <f>E11-B11</f>
        <v>1.455084609767539</v>
      </c>
      <c r="I11" s="141">
        <f>IF(B11&lt;&gt;0,((E11/B11)-1)*100,0)</f>
        <v>5.2772680121241367</v>
      </c>
      <c r="K11" s="207">
        <f t="shared" si="2"/>
        <v>-0.6072386225816031</v>
      </c>
      <c r="L11" s="141">
        <f t="shared" si="5"/>
        <v>-2.2023193271133334</v>
      </c>
      <c r="N11" s="151">
        <f t="shared" si="6"/>
        <v>2.5372066736119541</v>
      </c>
      <c r="O11" s="141">
        <f t="shared" si="7"/>
        <v>9.2018838828481062</v>
      </c>
      <c r="Q11" s="151">
        <v>-0.4748834412628119</v>
      </c>
      <c r="R11" s="141">
        <f>IF(B11&lt;&gt;0,Q11/B11*100,0)</f>
        <v>-1.7222965436106388</v>
      </c>
      <c r="T11" s="136"/>
    </row>
    <row r="12" spans="1:97" x14ac:dyDescent="0.2">
      <c r="A12" s="10" t="str">
        <f>name!$D8</f>
        <v>23 Teaching and other educational professionals</v>
      </c>
      <c r="B12" s="151">
        <v>21.073206393473654</v>
      </c>
      <c r="C12" s="141">
        <f t="shared" si="0"/>
        <v>4.3031923713115798</v>
      </c>
      <c r="E12" s="151">
        <v>22.082745267226372</v>
      </c>
      <c r="F12" s="141">
        <f t="shared" si="1"/>
        <v>4.6108887943495169</v>
      </c>
      <c r="H12" s="151">
        <f t="shared" si="3"/>
        <v>1.0095388737527173</v>
      </c>
      <c r="I12" s="141">
        <f t="shared" si="4"/>
        <v>4.7906277521458263</v>
      </c>
      <c r="K12" s="207">
        <f t="shared" si="2"/>
        <v>-0.46409929724595295</v>
      </c>
      <c r="L12" s="141">
        <f t="shared" si="5"/>
        <v>-2.2023193271133334</v>
      </c>
      <c r="N12" s="151">
        <f t="shared" si="6"/>
        <v>1.5616952199825347</v>
      </c>
      <c r="O12" s="141">
        <f t="shared" si="7"/>
        <v>7.4108096832677051</v>
      </c>
      <c r="Q12" s="151">
        <v>-8.8057048983864517E-2</v>
      </c>
      <c r="R12" s="141">
        <f t="shared" si="8"/>
        <v>-0.41786260400854647</v>
      </c>
      <c r="AT12" s="137" t="e">
        <f ca="1">CONCATENATE("C:",INT(CELL("col",#REF!))," R:",INT(CELL("row",#REF!)))</f>
        <v>#REF!</v>
      </c>
    </row>
    <row r="13" spans="1:97" x14ac:dyDescent="0.2">
      <c r="A13" s="10" t="str">
        <f>name!$D9</f>
        <v>24 Business, media and public service professionals</v>
      </c>
      <c r="B13" s="151">
        <v>20.053361439408231</v>
      </c>
      <c r="C13" s="141">
        <f t="shared" si="0"/>
        <v>4.0949379204077969</v>
      </c>
      <c r="E13" s="151">
        <v>24.487374649426325</v>
      </c>
      <c r="F13" s="141">
        <f t="shared" si="1"/>
        <v>5.1129766705976127</v>
      </c>
      <c r="H13" s="151">
        <f t="shared" si="3"/>
        <v>4.4340132100180938</v>
      </c>
      <c r="I13" s="141">
        <f t="shared" si="4"/>
        <v>22.111072118335784</v>
      </c>
      <c r="K13" s="207">
        <f t="shared" si="2"/>
        <v>-0.44163905471598003</v>
      </c>
      <c r="L13" s="141">
        <f t="shared" si="5"/>
        <v>-2.2023193271133334</v>
      </c>
      <c r="N13" s="151">
        <f>H13-(K13+Q13)</f>
        <v>5.218684594120365</v>
      </c>
      <c r="O13" s="141">
        <f>IF(B13&lt;&gt;0,N13/B13*100,0)</f>
        <v>26.023989094739854</v>
      </c>
      <c r="Q13" s="151">
        <v>-0.34303232938629141</v>
      </c>
      <c r="R13" s="141">
        <f t="shared" si="8"/>
        <v>-1.7105976492907324</v>
      </c>
      <c r="T13" s="136"/>
    </row>
    <row r="14" spans="1:97" x14ac:dyDescent="0.2">
      <c r="A14" s="10" t="str">
        <f>name!$D10</f>
        <v>31 Science, engineering and technology associate professionals</v>
      </c>
      <c r="B14" s="151">
        <v>9.0554566906705691</v>
      </c>
      <c r="C14" s="141">
        <f t="shared" si="0"/>
        <v>1.8491430028466926</v>
      </c>
      <c r="E14" s="151">
        <v>10.70984051084127</v>
      </c>
      <c r="F14" s="141">
        <f t="shared" si="1"/>
        <v>2.2362203160490908</v>
      </c>
      <c r="H14" s="151">
        <f t="shared" si="3"/>
        <v>1.6543838201707004</v>
      </c>
      <c r="I14" s="141">
        <f t="shared" si="4"/>
        <v>18.269468638452423</v>
      </c>
      <c r="K14" s="207">
        <f t="shared" si="2"/>
        <v>-0.19943007285701542</v>
      </c>
      <c r="L14" s="141">
        <f>IF(B14&lt;&gt;0,K14/B14*100,0)</f>
        <v>-2.2023193271133334</v>
      </c>
      <c r="N14" s="151">
        <f t="shared" si="6"/>
        <v>2.0508095985138244</v>
      </c>
      <c r="O14" s="141">
        <f t="shared" si="7"/>
        <v>22.647224414718714</v>
      </c>
      <c r="Q14" s="151">
        <v>-0.1969957054861084</v>
      </c>
      <c r="R14" s="141">
        <f t="shared" si="8"/>
        <v>-2.175436449152965</v>
      </c>
      <c r="AT14" s="137" t="e">
        <f ca="1">CONCATENATE("C:",INT(CELL("col",#REF!))," R:",INT(CELL("row",#REF!)))</f>
        <v>#REF!</v>
      </c>
    </row>
    <row r="15" spans="1:97" x14ac:dyDescent="0.2">
      <c r="A15" s="10" t="str">
        <f>name!$D11</f>
        <v>32 Health and social care associate professionals</v>
      </c>
      <c r="B15" s="151">
        <v>9.6622274795413947</v>
      </c>
      <c r="C15" s="141">
        <f t="shared" si="0"/>
        <v>1.973046854071359</v>
      </c>
      <c r="E15" s="151">
        <v>10.403152312211862</v>
      </c>
      <c r="F15" s="141">
        <f t="shared" si="1"/>
        <v>2.1721836593151886</v>
      </c>
      <c r="H15" s="151">
        <f t="shared" si="3"/>
        <v>0.74092483267046738</v>
      </c>
      <c r="I15" s="141">
        <f t="shared" si="4"/>
        <v>7.6682611151443814</v>
      </c>
      <c r="K15" s="207">
        <f t="shared" si="2"/>
        <v>-0.21279310321159564</v>
      </c>
      <c r="L15" s="141">
        <f t="shared" si="5"/>
        <v>-2.2023193271133334</v>
      </c>
      <c r="N15" s="151">
        <f t="shared" si="6"/>
        <v>1.0960509803592497</v>
      </c>
      <c r="O15" s="141">
        <f t="shared" si="7"/>
        <v>11.343667727550462</v>
      </c>
      <c r="Q15" s="151">
        <v>-0.14233304447718687</v>
      </c>
      <c r="R15" s="141">
        <f t="shared" si="8"/>
        <v>-1.4730872852927546</v>
      </c>
      <c r="T15" s="11"/>
    </row>
    <row r="16" spans="1:97" x14ac:dyDescent="0.2">
      <c r="A16" s="10" t="str">
        <f>name!$D12</f>
        <v>33 Protective service occupations</v>
      </c>
      <c r="B16" s="151">
        <v>6.3572759436806443</v>
      </c>
      <c r="C16" s="141">
        <f t="shared" si="0"/>
        <v>1.298168908535982</v>
      </c>
      <c r="E16" s="151">
        <v>7.0494931142783734</v>
      </c>
      <c r="F16" s="141">
        <f t="shared" si="1"/>
        <v>1.4719378597692279</v>
      </c>
      <c r="H16" s="151">
        <f t="shared" si="3"/>
        <v>0.69221717059772914</v>
      </c>
      <c r="I16" s="141">
        <f t="shared" si="4"/>
        <v>10.88858147310432</v>
      </c>
      <c r="K16" s="207">
        <f t="shared" si="2"/>
        <v>-0.14000751678560538</v>
      </c>
      <c r="L16" s="141">
        <f t="shared" si="5"/>
        <v>-2.2023193271133334</v>
      </c>
      <c r="N16" s="151">
        <f t="shared" si="6"/>
        <v>0.61156190833998658</v>
      </c>
      <c r="O16" s="141">
        <f t="shared" si="7"/>
        <v>9.6198735709734393</v>
      </c>
      <c r="Q16" s="151">
        <v>0.220662779043348</v>
      </c>
      <c r="R16" s="141">
        <f t="shared" si="8"/>
        <v>3.4710272292442257</v>
      </c>
      <c r="T16" s="11"/>
    </row>
    <row r="17" spans="1:20" x14ac:dyDescent="0.2">
      <c r="A17" s="10" t="str">
        <f>name!$D13</f>
        <v>34 Culture, media and sports occupations</v>
      </c>
      <c r="B17" s="151">
        <v>5.8966157276684097</v>
      </c>
      <c r="C17" s="141">
        <f t="shared" si="0"/>
        <v>1.204101138767234</v>
      </c>
      <c r="E17" s="151">
        <v>5.720866276556551</v>
      </c>
      <c r="F17" s="141">
        <f t="shared" si="1"/>
        <v>1.194519879178944</v>
      </c>
      <c r="H17" s="151">
        <f t="shared" si="3"/>
        <v>-0.17574945111185869</v>
      </c>
      <c r="I17" s="141">
        <f t="shared" si="4"/>
        <v>-2.980513895236514</v>
      </c>
      <c r="K17" s="207">
        <f t="shared" si="2"/>
        <v>-0.12986230781604591</v>
      </c>
      <c r="L17" s="141">
        <f t="shared" si="5"/>
        <v>-2.2023193271133334</v>
      </c>
      <c r="N17" s="151">
        <f t="shared" si="6"/>
        <v>-8.0205289125732368E-2</v>
      </c>
      <c r="O17" s="141">
        <f t="shared" si="7"/>
        <v>-1.3601918936210968</v>
      </c>
      <c r="Q17" s="151">
        <v>3.4318145829919586E-2</v>
      </c>
      <c r="R17" s="141">
        <f t="shared" si="8"/>
        <v>0.58199732549791539</v>
      </c>
      <c r="T17" s="11"/>
    </row>
    <row r="18" spans="1:20" x14ac:dyDescent="0.2">
      <c r="A18" s="10" t="str">
        <f>name!$D14</f>
        <v>35 Business and public service associate professionals</v>
      </c>
      <c r="B18" s="151">
        <v>20.575349082820939</v>
      </c>
      <c r="C18" s="141">
        <f t="shared" si="0"/>
        <v>4.2015288778117981</v>
      </c>
      <c r="E18" s="151">
        <v>22.193704019032278</v>
      </c>
      <c r="F18" s="141">
        <f t="shared" si="1"/>
        <v>4.6340570399252234</v>
      </c>
      <c r="H18" s="151">
        <f t="shared" si="3"/>
        <v>1.6183549362113396</v>
      </c>
      <c r="I18" s="141">
        <f t="shared" si="4"/>
        <v>7.8655041510938828</v>
      </c>
      <c r="K18" s="207">
        <f t="shared" si="2"/>
        <v>-0.45313488947200153</v>
      </c>
      <c r="L18" s="141">
        <f t="shared" si="5"/>
        <v>-2.2023193271133334</v>
      </c>
      <c r="N18" s="151">
        <f t="shared" si="6"/>
        <v>2.1506166224546783</v>
      </c>
      <c r="O18" s="141">
        <f t="shared" si="7"/>
        <v>10.452394337505076</v>
      </c>
      <c r="Q18" s="151">
        <v>-7.9126796771337146E-2</v>
      </c>
      <c r="R18" s="141">
        <f t="shared" si="8"/>
        <v>-0.38457085929785179</v>
      </c>
      <c r="T18" s="11"/>
    </row>
    <row r="19" spans="1:20" x14ac:dyDescent="0.2">
      <c r="A19" s="10" t="str">
        <f>name!$D15</f>
        <v>41 Administrative occupations</v>
      </c>
      <c r="B19" s="151">
        <v>45.581332961093828</v>
      </c>
      <c r="C19" s="141">
        <f t="shared" si="0"/>
        <v>9.3078025531576412</v>
      </c>
      <c r="E19" s="151">
        <v>44.153660141328722</v>
      </c>
      <c r="F19" s="141">
        <f t="shared" si="1"/>
        <v>9.2193073964096151</v>
      </c>
      <c r="H19" s="151">
        <f t="shared" si="3"/>
        <v>-1.4276728197651067</v>
      </c>
      <c r="I19" s="141">
        <f t="shared" si="4"/>
        <v>-3.1321436364831756</v>
      </c>
      <c r="K19" s="207">
        <f t="shared" si="2"/>
        <v>-1.0038465053580496</v>
      </c>
      <c r="L19" s="141">
        <f t="shared" si="5"/>
        <v>-2.2023193271133334</v>
      </c>
      <c r="N19" s="151">
        <f t="shared" si="6"/>
        <v>-0.20591866683241977</v>
      </c>
      <c r="O19" s="141">
        <f t="shared" si="7"/>
        <v>-0.45176095882975309</v>
      </c>
      <c r="Q19" s="151">
        <v>-0.21790764757463724</v>
      </c>
      <c r="R19" s="141">
        <f t="shared" si="8"/>
        <v>-0.47806335054008492</v>
      </c>
      <c r="T19" s="11"/>
    </row>
    <row r="20" spans="1:20" x14ac:dyDescent="0.2">
      <c r="A20" s="10" t="str">
        <f>name!$D16</f>
        <v>42 Secretarial and related occupations</v>
      </c>
      <c r="B20" s="151">
        <v>9.7042932340862489</v>
      </c>
      <c r="C20" s="141">
        <f t="shared" si="0"/>
        <v>1.9816367682339682</v>
      </c>
      <c r="E20" s="151">
        <v>8.3494356737237503</v>
      </c>
      <c r="F20" s="141">
        <f t="shared" si="1"/>
        <v>1.7433665480102871</v>
      </c>
      <c r="H20" s="151">
        <f t="shared" si="3"/>
        <v>-1.3548575603624986</v>
      </c>
      <c r="I20" s="141">
        <f t="shared" si="4"/>
        <v>-13.961424368377207</v>
      </c>
      <c r="K20" s="207">
        <f t="shared" si="2"/>
        <v>-0.21371952545403303</v>
      </c>
      <c r="L20" s="141">
        <f t="shared" si="5"/>
        <v>-2.2023193271133334</v>
      </c>
      <c r="N20" s="151">
        <f t="shared" si="6"/>
        <v>-1.0601166498151255</v>
      </c>
      <c r="O20" s="141">
        <f t="shared" si="7"/>
        <v>-10.924202559043399</v>
      </c>
      <c r="Q20" s="151">
        <v>-8.1021385093339893E-2</v>
      </c>
      <c r="R20" s="141">
        <f t="shared" si="8"/>
        <v>-0.83490248222047692</v>
      </c>
      <c r="T20" s="11"/>
    </row>
    <row r="21" spans="1:20" x14ac:dyDescent="0.2">
      <c r="A21" s="10" t="str">
        <f>name!$D17</f>
        <v>51 Skilled agricultural and related trades</v>
      </c>
      <c r="B21" s="151">
        <v>4.6441267016966554</v>
      </c>
      <c r="C21" s="141">
        <f t="shared" si="0"/>
        <v>0.94834028676028403</v>
      </c>
      <c r="E21" s="151">
        <v>3.9137663619264487</v>
      </c>
      <c r="F21" s="141">
        <f t="shared" si="1"/>
        <v>0.81719646916777289</v>
      </c>
      <c r="H21" s="151">
        <f t="shared" si="3"/>
        <v>-0.73036033977020676</v>
      </c>
      <c r="I21" s="141">
        <f t="shared" si="4"/>
        <v>-15.726537768734461</v>
      </c>
      <c r="K21" s="207">
        <f t="shared" si="2"/>
        <v>-0.10227849992709642</v>
      </c>
      <c r="L21" s="141">
        <f t="shared" si="5"/>
        <v>-2.2023193271133334</v>
      </c>
      <c r="N21" s="151">
        <f t="shared" si="6"/>
        <v>-0.20010606775873918</v>
      </c>
      <c r="O21" s="141">
        <f t="shared" si="7"/>
        <v>-4.3087986313042173</v>
      </c>
      <c r="Q21" s="151">
        <v>-0.4279757720843711</v>
      </c>
      <c r="R21" s="141">
        <f t="shared" si="8"/>
        <v>-9.2154198103169147</v>
      </c>
      <c r="T21" s="11"/>
    </row>
    <row r="22" spans="1:20" x14ac:dyDescent="0.2">
      <c r="A22" s="10" t="str">
        <f>name!$D18</f>
        <v>52 Skilled metal, electrical and electronic trades</v>
      </c>
      <c r="B22" s="151">
        <v>23.746739359376484</v>
      </c>
      <c r="C22" s="141">
        <f t="shared" si="0"/>
        <v>4.8491333376984551</v>
      </c>
      <c r="E22" s="151">
        <v>19.8153660104539</v>
      </c>
      <c r="F22" s="141">
        <f t="shared" si="1"/>
        <v>4.1374588162793202</v>
      </c>
      <c r="H22" s="151">
        <f t="shared" si="3"/>
        <v>-3.9313733489225839</v>
      </c>
      <c r="I22" s="141">
        <f t="shared" si="4"/>
        <v>-16.555423839148119</v>
      </c>
      <c r="K22" s="207">
        <f t="shared" si="2"/>
        <v>-0.52297903047077732</v>
      </c>
      <c r="L22" s="141">
        <f t="shared" si="5"/>
        <v>-2.2023193271133334</v>
      </c>
      <c r="N22" s="151">
        <f t="shared" si="6"/>
        <v>-2.6060936326765431</v>
      </c>
      <c r="O22" s="141">
        <f t="shared" si="7"/>
        <v>-10.974532516808535</v>
      </c>
      <c r="Q22" s="151">
        <v>-0.80230068577526359</v>
      </c>
      <c r="R22" s="141">
        <f t="shared" si="8"/>
        <v>-3.3785719952262512</v>
      </c>
      <c r="T22" s="11"/>
    </row>
    <row r="23" spans="1:20" x14ac:dyDescent="0.2">
      <c r="A23" s="10" t="str">
        <f>name!$D19</f>
        <v>53 Skilled construction and building trades</v>
      </c>
      <c r="B23" s="151">
        <v>18.075106264951447</v>
      </c>
      <c r="C23" s="141">
        <f t="shared" si="0"/>
        <v>3.6909741183986973</v>
      </c>
      <c r="E23" s="151">
        <v>16.08769129935639</v>
      </c>
      <c r="F23" s="141">
        <f t="shared" si="1"/>
        <v>3.3591183814109873</v>
      </c>
      <c r="H23" s="151">
        <f t="shared" si="3"/>
        <v>-1.9874149655950575</v>
      </c>
      <c r="I23" s="141">
        <f t="shared" si="4"/>
        <v>-10.995315526574556</v>
      </c>
      <c r="K23" s="207">
        <f t="shared" si="2"/>
        <v>-0.39807155866929872</v>
      </c>
      <c r="L23" s="141">
        <f t="shared" si="5"/>
        <v>-2.2023193271133334</v>
      </c>
      <c r="N23" s="151">
        <f t="shared" si="6"/>
        <v>-2.5509122593018194</v>
      </c>
      <c r="O23" s="141">
        <f t="shared" si="7"/>
        <v>-14.112847924153943</v>
      </c>
      <c r="Q23" s="151">
        <v>0.96156885237606038</v>
      </c>
      <c r="R23" s="141">
        <f t="shared" si="8"/>
        <v>5.3198517246927137</v>
      </c>
      <c r="T23" s="11"/>
    </row>
    <row r="24" spans="1:20" x14ac:dyDescent="0.2">
      <c r="A24" s="10" t="str">
        <f>name!$D20</f>
        <v>54 Textiles, printing and other skilled trades</v>
      </c>
      <c r="B24" s="151">
        <v>10.556309552348026</v>
      </c>
      <c r="C24" s="141">
        <f t="shared" si="0"/>
        <v>2.1556202642677058</v>
      </c>
      <c r="E24" s="151">
        <v>8.4288888775954423</v>
      </c>
      <c r="F24" s="141">
        <f t="shared" si="1"/>
        <v>1.7599564186524517</v>
      </c>
      <c r="H24" s="151">
        <f t="shared" si="3"/>
        <v>-2.1274206747525835</v>
      </c>
      <c r="I24" s="141">
        <f t="shared" si="4"/>
        <v>-20.153072095914283</v>
      </c>
      <c r="K24" s="207">
        <f t="shared" si="2"/>
        <v>-0.23248364550127157</v>
      </c>
      <c r="L24" s="141">
        <f t="shared" si="5"/>
        <v>-2.2023193271133334</v>
      </c>
      <c r="N24" s="151">
        <f t="shared" si="6"/>
        <v>-1.8200131260049934</v>
      </c>
      <c r="O24" s="141">
        <f t="shared" si="7"/>
        <v>-17.240998068308542</v>
      </c>
      <c r="Q24" s="151">
        <v>-7.4923903246318563E-2</v>
      </c>
      <c r="R24" s="141">
        <f t="shared" si="8"/>
        <v>-0.70975470049240208</v>
      </c>
      <c r="T24" s="11"/>
    </row>
    <row r="25" spans="1:20" x14ac:dyDescent="0.2">
      <c r="A25" s="10" t="str">
        <f>name!$D21</f>
        <v>61 Caring personal service occupations</v>
      </c>
      <c r="B25" s="151">
        <v>33.611923724291344</v>
      </c>
      <c r="C25" s="141">
        <f t="shared" si="0"/>
        <v>6.8636244079245383</v>
      </c>
      <c r="E25" s="151">
        <v>31.610179921526679</v>
      </c>
      <c r="F25" s="141">
        <f t="shared" si="1"/>
        <v>6.6002221473728024</v>
      </c>
      <c r="H25" s="151">
        <f t="shared" si="3"/>
        <v>-2.0017438027646648</v>
      </c>
      <c r="I25" s="141">
        <f t="shared" si="4"/>
        <v>-5.9554574120314507</v>
      </c>
      <c r="K25" s="207">
        <f t="shared" si="2"/>
        <v>-0.74024189239465998</v>
      </c>
      <c r="L25" s="141">
        <f t="shared" si="5"/>
        <v>-2.2023193271133334</v>
      </c>
      <c r="N25" s="151">
        <f t="shared" si="6"/>
        <v>-0.95065028750103275</v>
      </c>
      <c r="O25" s="141">
        <f t="shared" si="7"/>
        <v>-2.8283126407727672</v>
      </c>
      <c r="Q25" s="151">
        <v>-0.31085162286897206</v>
      </c>
      <c r="R25" s="141">
        <f t="shared" si="8"/>
        <v>-0.92482544414534507</v>
      </c>
      <c r="T25" s="11"/>
    </row>
    <row r="26" spans="1:20" x14ac:dyDescent="0.2">
      <c r="A26" s="10" t="str">
        <f>name!$D22</f>
        <v>62 Leisure, travel and related personal service occupations</v>
      </c>
      <c r="B26" s="151">
        <v>10.694469678421898</v>
      </c>
      <c r="C26" s="141">
        <f t="shared" si="0"/>
        <v>2.1838328480311646</v>
      </c>
      <c r="E26" s="151">
        <v>10.590117171876656</v>
      </c>
      <c r="F26" s="141">
        <f t="shared" si="1"/>
        <v>2.2112220200775599</v>
      </c>
      <c r="H26" s="151">
        <f t="shared" si="3"/>
        <v>-0.10435250654524175</v>
      </c>
      <c r="I26" s="141">
        <f t="shared" si="4"/>
        <v>-0.97576139521712291</v>
      </c>
      <c r="K26" s="207">
        <f t="shared" si="2"/>
        <v>-0.23552637266016063</v>
      </c>
      <c r="L26" s="141">
        <f t="shared" si="5"/>
        <v>-2.2023193271133334</v>
      </c>
      <c r="N26" s="151">
        <f t="shared" si="6"/>
        <v>-0.29085425878556714</v>
      </c>
      <c r="O26" s="141">
        <f t="shared" si="7"/>
        <v>-2.7196697688752183</v>
      </c>
      <c r="Q26" s="151">
        <v>0.42202812490048602</v>
      </c>
      <c r="R26" s="141">
        <f t="shared" si="8"/>
        <v>3.9462277007714284</v>
      </c>
      <c r="T26" s="11"/>
    </row>
    <row r="27" spans="1:20" x14ac:dyDescent="0.2">
      <c r="A27" s="10" t="str">
        <f>name!$D23</f>
        <v>63 Community and civil enforcement occupations</v>
      </c>
      <c r="B27" s="151">
        <v>0.58215069720671409</v>
      </c>
      <c r="C27" s="141">
        <f t="shared" si="0"/>
        <v>0.11887637753832647</v>
      </c>
      <c r="E27" s="151">
        <v>0.64182464760198232</v>
      </c>
      <c r="F27" s="141">
        <f t="shared" si="1"/>
        <v>0.13401332306076141</v>
      </c>
      <c r="H27" s="151">
        <f t="shared" si="3"/>
        <v>5.9673950395268238E-2</v>
      </c>
      <c r="I27" s="141">
        <f t="shared" si="4"/>
        <v>10.250601894251243</v>
      </c>
      <c r="K27" s="207">
        <f t="shared" si="2"/>
        <v>-1.2820817317508485E-2</v>
      </c>
      <c r="L27" s="141">
        <f t="shared" si="5"/>
        <v>-2.2023193271133334</v>
      </c>
      <c r="N27" s="151">
        <f t="shared" si="6"/>
        <v>5.0133631662106957E-2</v>
      </c>
      <c r="O27" s="141">
        <f t="shared" si="7"/>
        <v>8.6117962071778056</v>
      </c>
      <c r="Q27" s="151">
        <v>2.2361136050669767E-2</v>
      </c>
      <c r="R27" s="141">
        <f t="shared" si="8"/>
        <v>3.8411250141867685</v>
      </c>
      <c r="T27" s="172"/>
    </row>
    <row r="28" spans="1:20" x14ac:dyDescent="0.2">
      <c r="A28" s="10" t="str">
        <f>name!$D24</f>
        <v>71 Sales occupations</v>
      </c>
      <c r="B28" s="151">
        <v>47.90500212035964</v>
      </c>
      <c r="C28" s="141">
        <f t="shared" si="0"/>
        <v>9.7823006059409803</v>
      </c>
      <c r="E28" s="151">
        <v>42.678069113601978</v>
      </c>
      <c r="F28" s="141">
        <f t="shared" si="1"/>
        <v>8.9112032158625691</v>
      </c>
      <c r="H28" s="151">
        <f t="shared" si="3"/>
        <v>-5.2269330067576618</v>
      </c>
      <c r="I28" s="141">
        <f t="shared" si="4"/>
        <v>-10.911038044889709</v>
      </c>
      <c r="K28" s="207">
        <f t="shared" si="2"/>
        <v>-1.0550211203507325</v>
      </c>
      <c r="L28" s="141">
        <f t="shared" si="5"/>
        <v>-2.2023193271133334</v>
      </c>
      <c r="N28" s="151">
        <f>H28-(K28+Q28)</f>
        <v>-3.7650886076343308</v>
      </c>
      <c r="O28" s="141">
        <f t="shared" si="7"/>
        <v>-7.8594894916707805</v>
      </c>
      <c r="Q28" s="151">
        <v>-0.40682327877259844</v>
      </c>
      <c r="R28" s="141">
        <f t="shared" si="8"/>
        <v>-0.8492292261055937</v>
      </c>
      <c r="T28" s="11"/>
    </row>
    <row r="29" spans="1:20" x14ac:dyDescent="0.2">
      <c r="A29" s="10" t="str">
        <f>name!$D25</f>
        <v>72 Customer service occupations</v>
      </c>
      <c r="B29" s="151">
        <v>8.2742482733071885</v>
      </c>
      <c r="C29" s="141">
        <f t="shared" si="0"/>
        <v>1.6896186267629658</v>
      </c>
      <c r="E29" s="151">
        <v>8.8901921095368301</v>
      </c>
      <c r="F29" s="141">
        <f t="shared" si="1"/>
        <v>1.8562767754385496</v>
      </c>
      <c r="H29" s="151">
        <f t="shared" si="3"/>
        <v>0.61594383622964166</v>
      </c>
      <c r="I29" s="141">
        <f t="shared" si="4"/>
        <v>7.4441062907996569</v>
      </c>
      <c r="K29" s="207">
        <f t="shared" si="2"/>
        <v>-0.18222536889638549</v>
      </c>
      <c r="L29" s="141">
        <f t="shared" si="5"/>
        <v>-2.2023193271133334</v>
      </c>
      <c r="N29" s="151">
        <f t="shared" si="6"/>
        <v>0.77813144226727193</v>
      </c>
      <c r="O29" s="141">
        <f t="shared" si="7"/>
        <v>9.4042554267743217</v>
      </c>
      <c r="Q29" s="151">
        <v>2.0037762858755182E-2</v>
      </c>
      <c r="R29" s="141">
        <f t="shared" si="8"/>
        <v>0.24217019113865865</v>
      </c>
      <c r="T29" s="11"/>
    </row>
    <row r="30" spans="1:20" x14ac:dyDescent="0.2">
      <c r="A30" s="10" t="str">
        <f>name!$D26</f>
        <v>81 Process, plant and machine operatives</v>
      </c>
      <c r="B30" s="151">
        <v>20.497099930923987</v>
      </c>
      <c r="C30" s="141">
        <f t="shared" si="0"/>
        <v>4.1855502390030006</v>
      </c>
      <c r="E30" s="151">
        <v>16.493271233190935</v>
      </c>
      <c r="F30" s="141">
        <f t="shared" si="1"/>
        <v>3.4438036843251218</v>
      </c>
      <c r="H30" s="151">
        <f t="shared" si="3"/>
        <v>-4.0038286977330522</v>
      </c>
      <c r="I30" s="141">
        <f t="shared" si="4"/>
        <v>-19.53363505679393</v>
      </c>
      <c r="K30" s="207">
        <f t="shared" si="2"/>
        <v>-0.45141159327647268</v>
      </c>
      <c r="L30" s="141">
        <f t="shared" si="5"/>
        <v>-2.2023193271133334</v>
      </c>
      <c r="N30" s="151">
        <f t="shared" si="6"/>
        <v>-2.5881275672096047</v>
      </c>
      <c r="O30" s="141">
        <f t="shared" si="7"/>
        <v>-12.626798795593979</v>
      </c>
      <c r="Q30" s="151">
        <v>-0.96428953724697464</v>
      </c>
      <c r="R30" s="141">
        <f t="shared" si="8"/>
        <v>-4.7045169340866142</v>
      </c>
      <c r="T30" s="11"/>
    </row>
    <row r="31" spans="1:20" x14ac:dyDescent="0.2">
      <c r="A31" s="10" t="str">
        <f>name!$D27</f>
        <v>82 Transport and mobile machine drivers and operatives</v>
      </c>
      <c r="B31" s="151">
        <v>17.778560622425232</v>
      </c>
      <c r="C31" s="141">
        <f t="shared" si="0"/>
        <v>3.6304188842858807</v>
      </c>
      <c r="E31" s="151">
        <v>19.085919456589171</v>
      </c>
      <c r="F31" s="141">
        <f t="shared" si="1"/>
        <v>3.9851499932326009</v>
      </c>
      <c r="H31" s="151">
        <f t="shared" si="3"/>
        <v>1.3073588341639386</v>
      </c>
      <c r="I31" s="141">
        <f t="shared" si="4"/>
        <v>7.3535696276496365</v>
      </c>
      <c r="K31" s="207">
        <f t="shared" si="2"/>
        <v>-0.39154067667023146</v>
      </c>
      <c r="L31" s="141">
        <f t="shared" si="5"/>
        <v>-2.2023193271133334</v>
      </c>
      <c r="N31" s="151">
        <f t="shared" si="6"/>
        <v>-0.43201352429137385</v>
      </c>
      <c r="O31" s="141">
        <f t="shared" si="7"/>
        <v>-2.4299690704232133</v>
      </c>
      <c r="Q31" s="151">
        <v>2.1309130351255439</v>
      </c>
      <c r="R31" s="141">
        <f t="shared" si="8"/>
        <v>11.985858025186175</v>
      </c>
      <c r="T31" s="11"/>
    </row>
    <row r="32" spans="1:20" x14ac:dyDescent="0.2">
      <c r="A32" s="10" t="str">
        <f>name!$D28</f>
        <v>91 Elementary trades and related occupations</v>
      </c>
      <c r="B32" s="151">
        <v>8.7079014188987056</v>
      </c>
      <c r="C32" s="141">
        <f t="shared" si="0"/>
        <v>1.7781714968417504</v>
      </c>
      <c r="E32" s="151">
        <v>6.6946553065972703</v>
      </c>
      <c r="F32" s="141">
        <f t="shared" si="1"/>
        <v>1.3978475394105287</v>
      </c>
      <c r="H32" s="151">
        <f t="shared" si="3"/>
        <v>-2.0132461123014354</v>
      </c>
      <c r="I32" s="141">
        <f t="shared" si="4"/>
        <v>-23.119762333690407</v>
      </c>
      <c r="K32" s="207">
        <f t="shared" si="2"/>
        <v>-0.19177579593438238</v>
      </c>
      <c r="L32" s="141">
        <f t="shared" si="5"/>
        <v>-2.2023193271133334</v>
      </c>
      <c r="N32" s="151">
        <f>H32-(K32+Q32)</f>
        <v>-1.9523438361931893</v>
      </c>
      <c r="O32" s="141">
        <f t="shared" si="7"/>
        <v>-22.4203713647473</v>
      </c>
      <c r="Q32" s="151">
        <v>0.13087351982613629</v>
      </c>
      <c r="R32" s="141">
        <f t="shared" si="8"/>
        <v>1.502928358170228</v>
      </c>
      <c r="T32" s="11"/>
    </row>
    <row r="33" spans="1:20" x14ac:dyDescent="0.2">
      <c r="A33" s="10" t="str">
        <f>name!$D29</f>
        <v>92 Elementary administration and service occupations</v>
      </c>
      <c r="B33" s="151">
        <v>51.673327938642913</v>
      </c>
      <c r="C33" s="141">
        <f t="shared" si="0"/>
        <v>10.551800539224748</v>
      </c>
      <c r="E33" s="151">
        <v>46.103296758951288</v>
      </c>
      <c r="F33" s="141">
        <f t="shared" si="1"/>
        <v>9.6263925447670999</v>
      </c>
      <c r="H33" s="151">
        <f t="shared" ref="H33" si="9">E33-B33</f>
        <v>-5.5700311796916253</v>
      </c>
      <c r="I33" s="141">
        <f>IF(B33&lt;&gt;0,((E33/B33)-1)*100,0)</f>
        <v>-10.779315755132901</v>
      </c>
      <c r="K33" s="207">
        <f t="shared" si="2"/>
        <v>-1.1380116881553868</v>
      </c>
      <c r="L33" s="141">
        <f t="shared" ref="L33" si="10">IF(B33&lt;&gt;0,K33/B33*100,0)</f>
        <v>-2.2023193271133334</v>
      </c>
      <c r="N33" s="151">
        <f>H33-(K33+Q33)</f>
        <v>-6.0464538301809316</v>
      </c>
      <c r="O33" s="141">
        <f t="shared" ref="O33" si="11">IF(B33&lt;&gt;0,N33/B33*100,0)</f>
        <v>-11.701305240801428</v>
      </c>
      <c r="Q33" s="151">
        <v>1.6144343386446933</v>
      </c>
      <c r="R33" s="141">
        <f t="shared" ref="R33" si="12">IF(B33&lt;&gt;0,Q33/B33*100,0)</f>
        <v>3.1243088127818632</v>
      </c>
      <c r="T33" s="11"/>
    </row>
    <row r="34" spans="1:20" x14ac:dyDescent="0.2">
      <c r="A34" s="10"/>
      <c r="B34" s="151"/>
      <c r="C34" s="141"/>
      <c r="E34" s="151"/>
      <c r="F34" s="141"/>
      <c r="H34" s="151"/>
      <c r="I34" s="141"/>
      <c r="K34" s="207"/>
      <c r="L34" s="141"/>
      <c r="N34" s="151"/>
      <c r="O34" s="141"/>
      <c r="Q34" s="151"/>
      <c r="R34" s="141"/>
      <c r="T34" s="11"/>
    </row>
    <row r="35" spans="1:20" x14ac:dyDescent="0.2">
      <c r="A35" s="149" t="str">
        <f>name!$D$3</f>
        <v>All occupations</v>
      </c>
      <c r="B35" s="152">
        <f>SUM(B8:B33)</f>
        <v>489.71100000000007</v>
      </c>
      <c r="C35" s="147">
        <f>B35/B$35*100</f>
        <v>100</v>
      </c>
      <c r="D35" s="145"/>
      <c r="E35" s="152">
        <f>SUM(E8:E33)</f>
        <v>478.9260000000001</v>
      </c>
      <c r="F35" s="147">
        <f t="shared" ref="F35" si="13">E35/E$35*100</f>
        <v>100</v>
      </c>
      <c r="G35" s="145"/>
      <c r="H35" s="152">
        <f>E35-B35</f>
        <v>-10.784999999999968</v>
      </c>
      <c r="I35" s="147">
        <f>IF(B35&lt;&gt;0,((E35/B35)-1)*100,0)</f>
        <v>-2.2023193271133334</v>
      </c>
      <c r="J35" s="145"/>
      <c r="K35" s="152"/>
      <c r="L35" s="147"/>
      <c r="M35" s="145"/>
      <c r="N35" s="148"/>
      <c r="O35" s="147"/>
      <c r="P35" s="145"/>
      <c r="Q35" s="148"/>
      <c r="R35" s="147"/>
    </row>
    <row r="37" spans="1:20" ht="15.75" x14ac:dyDescent="0.25">
      <c r="A37" s="276" t="str">
        <f>CONCATENATE("ShiftShare Table 1.1  Shift-share by occupation, ",I40,", ",Info!B5)</f>
        <v>ShiftShare Table 1.1  Shift-share by occupation, 2020-2035, North East</v>
      </c>
    </row>
    <row r="38" spans="1:20" ht="15.75" x14ac:dyDescent="0.25">
      <c r="A38" s="276"/>
    </row>
    <row r="39" spans="1:20" x14ac:dyDescent="0.2">
      <c r="A39" s="146"/>
      <c r="B39" s="275"/>
      <c r="C39" s="275"/>
      <c r="D39" s="275"/>
      <c r="E39" s="275"/>
      <c r="F39" s="275"/>
      <c r="G39" s="275"/>
      <c r="H39" s="275"/>
      <c r="I39" s="275"/>
      <c r="J39" s="275"/>
      <c r="K39" s="380" t="str">
        <f>K3</f>
        <v>Components of change</v>
      </c>
      <c r="L39" s="380"/>
      <c r="M39" s="380"/>
      <c r="N39" s="380"/>
      <c r="O39" s="380"/>
      <c r="P39" s="380"/>
      <c r="Q39" s="380"/>
      <c r="R39" s="380"/>
    </row>
    <row r="40" spans="1:20" x14ac:dyDescent="0.2">
      <c r="B40" s="270" t="str">
        <f>B4</f>
        <v>Base year</v>
      </c>
      <c r="C40" s="271">
        <v>2020</v>
      </c>
      <c r="D40" s="136"/>
      <c r="E40" s="270" t="str">
        <f>E4</f>
        <v>Target year</v>
      </c>
      <c r="F40" s="271">
        <v>2035</v>
      </c>
      <c r="G40" s="136"/>
      <c r="H40" s="270" t="str">
        <f>H4</f>
        <v>Change</v>
      </c>
      <c r="I40" s="270" t="str">
        <f>CONCATENATE(C40,"-",F40)</f>
        <v>2020-2035</v>
      </c>
      <c r="J40" s="136"/>
      <c r="K40" s="379" t="str">
        <f>K4</f>
        <v>Scale effect</v>
      </c>
      <c r="L40" s="379"/>
      <c r="M40" s="136"/>
      <c r="N40" s="379" t="str">
        <f>N4</f>
        <v>Occupation effect</v>
      </c>
      <c r="O40" s="379"/>
      <c r="P40" s="136"/>
      <c r="Q40" s="379" t="str">
        <f>Q4</f>
        <v>Industry mix effect</v>
      </c>
      <c r="R40" s="379"/>
    </row>
    <row r="41" spans="1:20" x14ac:dyDescent="0.2">
      <c r="A41" s="143" t="str">
        <f>A5</f>
        <v>SOC2020 Sub-Major Groups</v>
      </c>
      <c r="B41" s="272" t="str">
        <f>B5</f>
        <v>000s</v>
      </c>
      <c r="C41" s="272" t="str">
        <f>C5</f>
        <v>% share</v>
      </c>
      <c r="D41" s="136"/>
      <c r="E41" s="272" t="str">
        <f>E5</f>
        <v>000s</v>
      </c>
      <c r="F41" s="272" t="str">
        <f>F5</f>
        <v>% share</v>
      </c>
      <c r="G41" s="136"/>
      <c r="H41" s="272" t="str">
        <f>H5</f>
        <v>000s</v>
      </c>
      <c r="I41" s="272" t="str">
        <f>I5</f>
        <v xml:space="preserve">%   </v>
      </c>
      <c r="J41" s="136"/>
      <c r="K41" s="272" t="str">
        <f>H41</f>
        <v>000s</v>
      </c>
      <c r="L41" s="272" t="str">
        <f>I41</f>
        <v xml:space="preserve">%   </v>
      </c>
      <c r="M41" s="136"/>
      <c r="N41" s="272" t="str">
        <f>K41</f>
        <v>000s</v>
      </c>
      <c r="O41" s="272" t="str">
        <f>L41</f>
        <v xml:space="preserve">%   </v>
      </c>
      <c r="P41" s="136"/>
      <c r="Q41" s="272" t="str">
        <f>Q5</f>
        <v>000s</v>
      </c>
      <c r="R41" s="272" t="str">
        <f>O41</f>
        <v xml:space="preserve">%   </v>
      </c>
    </row>
    <row r="42" spans="1:20" x14ac:dyDescent="0.2">
      <c r="A42" s="273"/>
      <c r="B42" s="272"/>
      <c r="C42" s="272"/>
      <c r="D42" s="274"/>
      <c r="E42" s="272"/>
      <c r="F42" s="272"/>
      <c r="G42" s="274"/>
      <c r="H42" s="272"/>
      <c r="I42" s="272"/>
      <c r="J42" s="274"/>
      <c r="K42" s="272"/>
      <c r="L42" s="272"/>
      <c r="M42" s="274"/>
      <c r="N42" s="272"/>
      <c r="O42" s="272"/>
      <c r="P42" s="274"/>
      <c r="Q42" s="272"/>
      <c r="R42" s="272"/>
    </row>
    <row r="43" spans="1:20" x14ac:dyDescent="0.2">
      <c r="A43" s="143"/>
      <c r="B43" s="270"/>
      <c r="C43" s="270"/>
      <c r="D43" s="275"/>
      <c r="E43" s="270"/>
      <c r="F43" s="270"/>
      <c r="G43" s="275"/>
      <c r="H43" s="270"/>
      <c r="I43" s="270"/>
      <c r="J43" s="275"/>
      <c r="K43" s="270"/>
      <c r="L43" s="270"/>
      <c r="M43" s="275"/>
      <c r="N43" s="270"/>
      <c r="O43" s="270"/>
      <c r="P43" s="275"/>
      <c r="Q43" s="270"/>
      <c r="R43" s="144"/>
    </row>
    <row r="44" spans="1:20" x14ac:dyDescent="0.2">
      <c r="A44" s="135" t="str">
        <f t="shared" ref="A44:A68" si="14">A8</f>
        <v>11 Corporate managers and directors</v>
      </c>
      <c r="B44" s="151">
        <v>25.412554043295046</v>
      </c>
      <c r="C44" s="141">
        <f t="shared" ref="C44:C68" si="15">B44/B$71*100</f>
        <v>5.306154613300393</v>
      </c>
      <c r="E44" s="151">
        <v>25.23356948501899</v>
      </c>
      <c r="F44" s="141">
        <f t="shared" ref="F44:F68" si="16">E44/E$71*100</f>
        <v>5.1206769549409676</v>
      </c>
      <c r="H44" s="151">
        <f>E44-B44</f>
        <v>-0.1789845582760563</v>
      </c>
      <c r="I44" s="141">
        <f>IF(B44&gt;0,((E44/B44)-1)*100,0)</f>
        <v>-0.70431550473487592</v>
      </c>
      <c r="K44" s="151">
        <f>(($E$71/$B$71)-1)*B44</f>
        <v>0.73500853703435576</v>
      </c>
      <c r="L44" s="141">
        <f>IF(B44&gt;0,K44/B44*100,0)</f>
        <v>2.8923048654697636</v>
      </c>
      <c r="N44" s="151">
        <f>H44-(K44+Q44)</f>
        <v>-0.39538202188412386</v>
      </c>
      <c r="O44" s="141">
        <f>IF(B44&gt;0,N44/B44*100,0)</f>
        <v>-1.555853147269324</v>
      </c>
      <c r="Q44" s="151">
        <v>-0.5186110734262882</v>
      </c>
      <c r="R44" s="141">
        <f>IF(B44&gt;0,Q44/B44*100,0)</f>
        <v>-2.0407672229353144</v>
      </c>
      <c r="T44" s="151"/>
    </row>
    <row r="45" spans="1:20" x14ac:dyDescent="0.2">
      <c r="A45" s="135" t="str">
        <f t="shared" si="14"/>
        <v>12 Other managers and proprietors</v>
      </c>
      <c r="B45" s="151">
        <v>14.832524681466086</v>
      </c>
      <c r="C45" s="141">
        <f t="shared" si="15"/>
        <v>3.0970389332519188</v>
      </c>
      <c r="E45" s="151">
        <v>20.455568330896881</v>
      </c>
      <c r="F45" s="141">
        <f t="shared" si="16"/>
        <v>4.1510717464856164</v>
      </c>
      <c r="H45" s="151">
        <f t="shared" ref="H45:H71" si="17">E45-B45</f>
        <v>5.6230436494307945</v>
      </c>
      <c r="I45" s="141">
        <f t="shared" ref="I45:I71" si="18">IF(B45&gt;0,((E45/B45)-1)*100,0)</f>
        <v>37.910226142802529</v>
      </c>
      <c r="K45" s="151">
        <f t="shared" ref="K45:K68" si="19">(($E$71/$B$71)-1)*B45</f>
        <v>0.42900183303404715</v>
      </c>
      <c r="L45" s="141">
        <f t="shared" ref="L45:L68" si="20">IF(B45&gt;0,K45/B45*100,0)</f>
        <v>2.8923048654697636</v>
      </c>
      <c r="N45" s="151">
        <f t="shared" ref="N45:N68" si="21">H45-(K45+Q45)</f>
        <v>4.6882162943576828</v>
      </c>
      <c r="O45" s="141">
        <f t="shared" ref="O45:O68" si="22">IF(B45&gt;0,N45/B45*100,0)</f>
        <v>31.607675665733577</v>
      </c>
      <c r="Q45" s="151">
        <v>0.50582552203906483</v>
      </c>
      <c r="R45" s="141">
        <f>IF(B45&gt;0,Q45/B45*100,0)</f>
        <v>3.4102456115991964</v>
      </c>
      <c r="T45" s="151"/>
    </row>
    <row r="46" spans="1:20" x14ac:dyDescent="0.2">
      <c r="A46" s="135" t="str">
        <f t="shared" si="14"/>
        <v>21 Science, research, engineering and technology professionals</v>
      </c>
      <c r="B46" s="151">
        <v>23.469639078952422</v>
      </c>
      <c r="C46" s="141">
        <f t="shared" si="15"/>
        <v>4.9004729496733148</v>
      </c>
      <c r="E46" s="151">
        <v>26.474817136388868</v>
      </c>
      <c r="F46" s="141">
        <f t="shared" si="16"/>
        <v>5.3725647525638074</v>
      </c>
      <c r="H46" s="151">
        <f t="shared" si="17"/>
        <v>3.0051780574364457</v>
      </c>
      <c r="I46" s="141">
        <f t="shared" si="18"/>
        <v>12.804534604588325</v>
      </c>
      <c r="K46" s="151">
        <f t="shared" si="19"/>
        <v>0.67881351298873394</v>
      </c>
      <c r="L46" s="141">
        <f t="shared" si="20"/>
        <v>2.8923048654697636</v>
      </c>
      <c r="N46" s="151">
        <f t="shared" si="21"/>
        <v>2.9151168084415851</v>
      </c>
      <c r="O46" s="141">
        <f t="shared" si="22"/>
        <v>12.420799478999497</v>
      </c>
      <c r="Q46" s="151">
        <v>-0.58875226399387304</v>
      </c>
      <c r="R46" s="141">
        <f t="shared" ref="R46:R68" si="23">IF(B46&gt;0,Q46/B46*100,0)</f>
        <v>-2.5085697398809432</v>
      </c>
      <c r="T46" s="151"/>
    </row>
    <row r="47" spans="1:20" x14ac:dyDescent="0.2">
      <c r="A47" s="135" t="str">
        <f t="shared" si="14"/>
        <v>22 Health professionals</v>
      </c>
      <c r="B47" s="151">
        <v>29.027771962856097</v>
      </c>
      <c r="C47" s="141">
        <f t="shared" si="15"/>
        <v>6.0610140111115474</v>
      </c>
      <c r="E47" s="151">
        <v>34.325942505499306</v>
      </c>
      <c r="F47" s="141">
        <f t="shared" si="16"/>
        <v>6.9658025531779657</v>
      </c>
      <c r="H47" s="151">
        <f t="shared" si="17"/>
        <v>5.2981705426432093</v>
      </c>
      <c r="I47" s="141">
        <f t="shared" si="18"/>
        <v>18.252074425218524</v>
      </c>
      <c r="K47" s="151">
        <f t="shared" si="19"/>
        <v>0.8395716608191548</v>
      </c>
      <c r="L47" s="141">
        <f t="shared" si="20"/>
        <v>2.8923048654697636</v>
      </c>
      <c r="N47" s="151">
        <f t="shared" si="21"/>
        <v>3.2217219825579617</v>
      </c>
      <c r="O47" s="141">
        <f t="shared" si="22"/>
        <v>11.098757378556209</v>
      </c>
      <c r="Q47" s="151">
        <v>1.2368768992660928</v>
      </c>
      <c r="R47" s="141">
        <f t="shared" si="23"/>
        <v>4.2610121811925454</v>
      </c>
      <c r="T47" s="151"/>
    </row>
    <row r="48" spans="1:20" x14ac:dyDescent="0.2">
      <c r="A48" s="135" t="str">
        <f t="shared" si="14"/>
        <v>23 Teaching and other educational professionals</v>
      </c>
      <c r="B48" s="151">
        <v>22.082745267226372</v>
      </c>
      <c r="C48" s="141">
        <f t="shared" si="15"/>
        <v>4.6108887943495169</v>
      </c>
      <c r="E48" s="151">
        <v>25.804378704259623</v>
      </c>
      <c r="F48" s="141">
        <f t="shared" si="16"/>
        <v>5.236511919010109</v>
      </c>
      <c r="H48" s="151">
        <f t="shared" si="17"/>
        <v>3.7216334370332511</v>
      </c>
      <c r="I48" s="141">
        <f t="shared" si="18"/>
        <v>16.853128503712945</v>
      </c>
      <c r="K48" s="151">
        <f t="shared" si="19"/>
        <v>0.63870031579328235</v>
      </c>
      <c r="L48" s="141">
        <f t="shared" si="20"/>
        <v>2.8923048654697641</v>
      </c>
      <c r="N48" s="151">
        <f t="shared" si="21"/>
        <v>1.8050428569494392</v>
      </c>
      <c r="O48" s="141">
        <f t="shared" si="22"/>
        <v>8.1739966435620417</v>
      </c>
      <c r="Q48" s="151">
        <v>1.2778902642905294</v>
      </c>
      <c r="R48" s="141">
        <f t="shared" si="23"/>
        <v>5.7868269946811486</v>
      </c>
      <c r="T48" s="151"/>
    </row>
    <row r="49" spans="1:20" x14ac:dyDescent="0.2">
      <c r="A49" s="135" t="str">
        <f t="shared" si="14"/>
        <v>24 Business, media and public service professionals</v>
      </c>
      <c r="B49" s="151">
        <v>24.487374649426325</v>
      </c>
      <c r="C49" s="141">
        <f t="shared" si="15"/>
        <v>5.1129766705976127</v>
      </c>
      <c r="E49" s="151">
        <v>30.198762786552976</v>
      </c>
      <c r="F49" s="141">
        <f t="shared" si="16"/>
        <v>6.1282692787731978</v>
      </c>
      <c r="H49" s="151">
        <f t="shared" si="17"/>
        <v>5.7113881371266508</v>
      </c>
      <c r="I49" s="141">
        <f t="shared" si="18"/>
        <v>23.323807549375065</v>
      </c>
      <c r="K49" s="151">
        <f t="shared" si="19"/>
        <v>0.70824952841116706</v>
      </c>
      <c r="L49" s="141">
        <f t="shared" si="20"/>
        <v>2.8923048654697636</v>
      </c>
      <c r="N49" s="151">
        <f t="shared" si="21"/>
        <v>5.1950928827511742</v>
      </c>
      <c r="O49" s="141">
        <f t="shared" si="22"/>
        <v>21.215393471643075</v>
      </c>
      <c r="Q49" s="151">
        <v>-0.19195427403569079</v>
      </c>
      <c r="R49" s="141">
        <f t="shared" si="23"/>
        <v>-0.78389078773778531</v>
      </c>
      <c r="T49" s="151"/>
    </row>
    <row r="50" spans="1:20" x14ac:dyDescent="0.2">
      <c r="A50" s="135" t="str">
        <f t="shared" si="14"/>
        <v>31 Science, engineering and technology associate professionals</v>
      </c>
      <c r="B50" s="151">
        <v>10.70984051084127</v>
      </c>
      <c r="C50" s="141">
        <f t="shared" si="15"/>
        <v>2.2362203160490908</v>
      </c>
      <c r="E50" s="151">
        <v>9.3668808984236378</v>
      </c>
      <c r="F50" s="141">
        <f t="shared" si="16"/>
        <v>1.9008317941189827</v>
      </c>
      <c r="H50" s="151">
        <f t="shared" si="17"/>
        <v>-1.3429596124176317</v>
      </c>
      <c r="I50" s="141">
        <f t="shared" si="18"/>
        <v>-12.539492171318434</v>
      </c>
      <c r="K50" s="151">
        <f t="shared" si="19"/>
        <v>0.30976123817911383</v>
      </c>
      <c r="L50" s="141">
        <f t="shared" si="20"/>
        <v>2.8923048654697636</v>
      </c>
      <c r="N50" s="151">
        <f t="shared" si="21"/>
        <v>-1.3348958478805035</v>
      </c>
      <c r="O50" s="141">
        <f t="shared" si="22"/>
        <v>-12.464199130969561</v>
      </c>
      <c r="Q50" s="151">
        <v>-0.31782500271624214</v>
      </c>
      <c r="R50" s="141">
        <f t="shared" si="23"/>
        <v>-2.9675979058186428</v>
      </c>
      <c r="T50" s="151"/>
    </row>
    <row r="51" spans="1:20" x14ac:dyDescent="0.2">
      <c r="A51" s="135" t="str">
        <f t="shared" si="14"/>
        <v>32 Health and social care associate professionals</v>
      </c>
      <c r="B51" s="151">
        <v>10.403152312211862</v>
      </c>
      <c r="C51" s="141">
        <f t="shared" si="15"/>
        <v>2.1721836593151886</v>
      </c>
      <c r="E51" s="151">
        <v>11.167106544013857</v>
      </c>
      <c r="F51" s="141">
        <f t="shared" si="16"/>
        <v>2.266153631861378</v>
      </c>
      <c r="H51" s="151">
        <f t="shared" si="17"/>
        <v>0.76395423180199451</v>
      </c>
      <c r="I51" s="141">
        <f t="shared" si="18"/>
        <v>7.3434879051536894</v>
      </c>
      <c r="K51" s="151">
        <f t="shared" si="19"/>
        <v>0.3008908804883339</v>
      </c>
      <c r="L51" s="141">
        <f t="shared" si="20"/>
        <v>2.8923048654697636</v>
      </c>
      <c r="N51" s="151">
        <f t="shared" si="21"/>
        <v>1.3443136855929017E-2</v>
      </c>
      <c r="O51" s="141">
        <f t="shared" si="22"/>
        <v>0.12922176329331095</v>
      </c>
      <c r="Q51" s="151">
        <v>0.44962021445773159</v>
      </c>
      <c r="R51" s="141">
        <f t="shared" si="23"/>
        <v>4.3219612763906152</v>
      </c>
      <c r="T51" s="151"/>
    </row>
    <row r="52" spans="1:20" x14ac:dyDescent="0.2">
      <c r="A52" s="135" t="str">
        <f t="shared" si="14"/>
        <v>33 Protective service occupations</v>
      </c>
      <c r="B52" s="151">
        <v>7.0494931142783734</v>
      </c>
      <c r="C52" s="141">
        <f t="shared" si="15"/>
        <v>1.4719378597692279</v>
      </c>
      <c r="E52" s="151">
        <v>9.0336950732721473</v>
      </c>
      <c r="F52" s="141">
        <f t="shared" si="16"/>
        <v>1.8332180156728082</v>
      </c>
      <c r="H52" s="151">
        <f t="shared" si="17"/>
        <v>1.9842019589937738</v>
      </c>
      <c r="I52" s="141">
        <f t="shared" si="18"/>
        <v>28.146732351222226</v>
      </c>
      <c r="K52" s="151">
        <f t="shared" si="19"/>
        <v>0.20389283233522937</v>
      </c>
      <c r="L52" s="141">
        <f t="shared" si="20"/>
        <v>2.8923048654697636</v>
      </c>
      <c r="N52" s="151">
        <f t="shared" si="21"/>
        <v>2.0509549301222858</v>
      </c>
      <c r="O52" s="141">
        <f t="shared" si="22"/>
        <v>29.093651087738287</v>
      </c>
      <c r="Q52" s="151">
        <v>-0.27064580346374145</v>
      </c>
      <c r="R52" s="141">
        <f t="shared" si="23"/>
        <v>-3.8392236019858332</v>
      </c>
      <c r="T52" s="151"/>
    </row>
    <row r="53" spans="1:20" x14ac:dyDescent="0.2">
      <c r="A53" s="135" t="str">
        <f t="shared" si="14"/>
        <v>34 Culture, media and sports occupations</v>
      </c>
      <c r="B53" s="151">
        <v>5.720866276556551</v>
      </c>
      <c r="C53" s="141">
        <f t="shared" si="15"/>
        <v>1.194519879178944</v>
      </c>
      <c r="E53" s="151">
        <v>5.9844066350434453</v>
      </c>
      <c r="F53" s="141">
        <f t="shared" si="16"/>
        <v>1.2144224448014009</v>
      </c>
      <c r="H53" s="151">
        <f t="shared" si="17"/>
        <v>0.26354035848689428</v>
      </c>
      <c r="I53" s="141">
        <f t="shared" si="18"/>
        <v>4.606651261310768</v>
      </c>
      <c r="K53" s="151">
        <f t="shared" si="19"/>
        <v>0.16546489366386402</v>
      </c>
      <c r="L53" s="141">
        <f t="shared" si="20"/>
        <v>2.8923048654697636</v>
      </c>
      <c r="N53" s="151">
        <f t="shared" si="21"/>
        <v>0.13257465384853398</v>
      </c>
      <c r="O53" s="141">
        <f t="shared" si="22"/>
        <v>2.3173877423391205</v>
      </c>
      <c r="Q53" s="151">
        <v>-3.4499189025503724E-2</v>
      </c>
      <c r="R53" s="141">
        <f t="shared" si="23"/>
        <v>-0.60304134649812413</v>
      </c>
      <c r="T53" s="151"/>
    </row>
    <row r="54" spans="1:20" x14ac:dyDescent="0.2">
      <c r="A54" s="135" t="str">
        <f t="shared" si="14"/>
        <v>35 Business and public service associate professionals</v>
      </c>
      <c r="B54" s="151">
        <v>22.193704019032278</v>
      </c>
      <c r="C54" s="141">
        <f t="shared" si="15"/>
        <v>4.6340570399252234</v>
      </c>
      <c r="E54" s="151">
        <v>21.86698363997229</v>
      </c>
      <c r="F54" s="141">
        <f t="shared" si="16"/>
        <v>4.4374918604264595</v>
      </c>
      <c r="H54" s="151">
        <f t="shared" si="17"/>
        <v>-0.32672037905998863</v>
      </c>
      <c r="I54" s="141">
        <f t="shared" si="18"/>
        <v>-1.4721309195608323</v>
      </c>
      <c r="K54" s="151">
        <f t="shared" si="19"/>
        <v>0.64190958117042907</v>
      </c>
      <c r="L54" s="141">
        <f t="shared" si="20"/>
        <v>2.8923048654697636</v>
      </c>
      <c r="N54" s="151">
        <f t="shared" si="21"/>
        <v>-0.71554275194501304</v>
      </c>
      <c r="O54" s="141">
        <f t="shared" si="22"/>
        <v>-3.2240799072178179</v>
      </c>
      <c r="Q54" s="151">
        <v>-0.25308720828540465</v>
      </c>
      <c r="R54" s="141">
        <f t="shared" si="23"/>
        <v>-1.1403558778127749</v>
      </c>
      <c r="T54" s="151"/>
    </row>
    <row r="55" spans="1:20" x14ac:dyDescent="0.2">
      <c r="A55" s="135" t="str">
        <f t="shared" si="14"/>
        <v>41 Administrative occupations</v>
      </c>
      <c r="B55" s="151">
        <v>44.153660141328722</v>
      </c>
      <c r="C55" s="141">
        <f t="shared" si="15"/>
        <v>9.2193073964096151</v>
      </c>
      <c r="E55" s="151">
        <v>37.996794001250002</v>
      </c>
      <c r="F55" s="141">
        <f t="shared" si="16"/>
        <v>7.7107326222457209</v>
      </c>
      <c r="H55" s="151">
        <f t="shared" si="17"/>
        <v>-6.1568661400787192</v>
      </c>
      <c r="I55" s="141">
        <f t="shared" si="18"/>
        <v>-13.944180664460404</v>
      </c>
      <c r="K55" s="151">
        <f t="shared" si="19"/>
        <v>1.2770584605506343</v>
      </c>
      <c r="L55" s="141">
        <f t="shared" si="20"/>
        <v>2.8923048654697636</v>
      </c>
      <c r="N55" s="151">
        <f t="shared" si="21"/>
        <v>-7.2915059879431494</v>
      </c>
      <c r="O55" s="141">
        <f t="shared" si="22"/>
        <v>-16.513933306104679</v>
      </c>
      <c r="Q55" s="151">
        <v>-0.14241861268620404</v>
      </c>
      <c r="R55" s="141">
        <f t="shared" si="23"/>
        <v>-0.32255222382548832</v>
      </c>
      <c r="T55" s="151"/>
    </row>
    <row r="56" spans="1:20" x14ac:dyDescent="0.2">
      <c r="A56" s="135" t="str">
        <f t="shared" si="14"/>
        <v>42 Secretarial and related occupations</v>
      </c>
      <c r="B56" s="151">
        <v>8.3494356737237503</v>
      </c>
      <c r="C56" s="141">
        <f t="shared" si="15"/>
        <v>1.7433665480102871</v>
      </c>
      <c r="E56" s="151">
        <v>7.8718020155096147</v>
      </c>
      <c r="F56" s="141">
        <f t="shared" si="16"/>
        <v>1.5974337359844837</v>
      </c>
      <c r="H56" s="151">
        <f t="shared" si="17"/>
        <v>-0.47763365821413561</v>
      </c>
      <c r="I56" s="141">
        <f t="shared" si="18"/>
        <v>-5.7205501890059685</v>
      </c>
      <c r="K56" s="151">
        <f t="shared" si="19"/>
        <v>0.24149113423038016</v>
      </c>
      <c r="L56" s="141">
        <f t="shared" si="20"/>
        <v>2.8923048654697636</v>
      </c>
      <c r="N56" s="151">
        <f t="shared" si="21"/>
        <v>-0.91248015684636774</v>
      </c>
      <c r="O56" s="141">
        <f t="shared" si="22"/>
        <v>-10.928644671375883</v>
      </c>
      <c r="Q56" s="151">
        <v>0.19335536440185197</v>
      </c>
      <c r="R56" s="141">
        <f t="shared" si="23"/>
        <v>2.3157896169001533</v>
      </c>
      <c r="T56" s="151"/>
    </row>
    <row r="57" spans="1:20" x14ac:dyDescent="0.2">
      <c r="A57" s="135" t="str">
        <f t="shared" si="14"/>
        <v>51 Skilled agricultural and related trades</v>
      </c>
      <c r="B57" s="151">
        <v>3.9137663619264487</v>
      </c>
      <c r="C57" s="141">
        <f t="shared" si="15"/>
        <v>0.81719646916777289</v>
      </c>
      <c r="E57" s="151">
        <v>4.3882264054856144</v>
      </c>
      <c r="F57" s="141">
        <f t="shared" si="16"/>
        <v>0.89050777540507409</v>
      </c>
      <c r="H57" s="151">
        <f t="shared" si="17"/>
        <v>0.47446004355916571</v>
      </c>
      <c r="I57" s="141">
        <f t="shared" si="18"/>
        <v>12.122850463808099</v>
      </c>
      <c r="K57" s="151">
        <f t="shared" si="19"/>
        <v>0.11319805490911763</v>
      </c>
      <c r="L57" s="141">
        <f t="shared" si="20"/>
        <v>2.8923048654697636</v>
      </c>
      <c r="N57" s="151">
        <f t="shared" si="21"/>
        <v>0.33247269921394473</v>
      </c>
      <c r="O57" s="141">
        <f t="shared" si="22"/>
        <v>8.4949552034652811</v>
      </c>
      <c r="Q57" s="151">
        <v>2.8789289436103351E-2</v>
      </c>
      <c r="R57" s="141">
        <f t="shared" si="23"/>
        <v>0.73559039487304956</v>
      </c>
      <c r="T57" s="151"/>
    </row>
    <row r="58" spans="1:20" x14ac:dyDescent="0.2">
      <c r="A58" s="135" t="str">
        <f t="shared" si="14"/>
        <v>52 Skilled metal, electrical and electronic trades</v>
      </c>
      <c r="B58" s="151">
        <v>19.8153660104539</v>
      </c>
      <c r="C58" s="141">
        <f t="shared" si="15"/>
        <v>4.1374588162793202</v>
      </c>
      <c r="E58" s="151">
        <v>16.745561719909368</v>
      </c>
      <c r="F58" s="141">
        <f t="shared" si="16"/>
        <v>3.3981958853498688</v>
      </c>
      <c r="H58" s="151">
        <f t="shared" si="17"/>
        <v>-3.069804290544532</v>
      </c>
      <c r="I58" s="141">
        <f t="shared" si="18"/>
        <v>-15.492039303866555</v>
      </c>
      <c r="K58" s="151">
        <f t="shared" si="19"/>
        <v>0.5731207952309999</v>
      </c>
      <c r="L58" s="141">
        <f t="shared" si="20"/>
        <v>2.8923048654697632</v>
      </c>
      <c r="N58" s="151">
        <f t="shared" si="21"/>
        <v>-2.1678773986882489</v>
      </c>
      <c r="O58" s="141">
        <f t="shared" si="22"/>
        <v>-10.940385343094606</v>
      </c>
      <c r="Q58" s="151">
        <v>-1.4750476870872831</v>
      </c>
      <c r="R58" s="141">
        <f t="shared" si="23"/>
        <v>-7.44395882624171</v>
      </c>
      <c r="T58" s="151"/>
    </row>
    <row r="59" spans="1:20" x14ac:dyDescent="0.2">
      <c r="A59" s="135" t="str">
        <f t="shared" si="14"/>
        <v>53 Skilled construction and building trades</v>
      </c>
      <c r="B59" s="151">
        <v>16.08769129935639</v>
      </c>
      <c r="C59" s="141">
        <f t="shared" si="15"/>
        <v>3.3591183814109873</v>
      </c>
      <c r="E59" s="151">
        <v>14.220772873886741</v>
      </c>
      <c r="F59" s="141">
        <f t="shared" si="16"/>
        <v>2.885837613263325</v>
      </c>
      <c r="H59" s="151">
        <f t="shared" si="17"/>
        <v>-1.8669184254696489</v>
      </c>
      <c r="I59" s="141">
        <f t="shared" si="18"/>
        <v>-11.604638544651447</v>
      </c>
      <c r="K59" s="151">
        <f t="shared" si="19"/>
        <v>0.46530507819304068</v>
      </c>
      <c r="L59" s="141">
        <f t="shared" si="20"/>
        <v>2.8923048654697636</v>
      </c>
      <c r="N59" s="151">
        <f t="shared" si="21"/>
        <v>-1.2792402270127696</v>
      </c>
      <c r="O59" s="141">
        <f t="shared" si="22"/>
        <v>-7.9516706481305208</v>
      </c>
      <c r="Q59" s="151">
        <v>-1.0529832766499201</v>
      </c>
      <c r="R59" s="141">
        <f t="shared" si="23"/>
        <v>-6.5452727619906907</v>
      </c>
      <c r="T59" s="151"/>
    </row>
    <row r="60" spans="1:20" x14ac:dyDescent="0.2">
      <c r="A60" s="135" t="str">
        <f t="shared" si="14"/>
        <v>54 Textiles, printing and other skilled trades</v>
      </c>
      <c r="B60" s="151">
        <v>8.4288888775954423</v>
      </c>
      <c r="C60" s="141">
        <f t="shared" si="15"/>
        <v>1.7599564186524517</v>
      </c>
      <c r="E60" s="151">
        <v>7.8219265199229948</v>
      </c>
      <c r="F60" s="141">
        <f t="shared" si="16"/>
        <v>1.5873124449393028</v>
      </c>
      <c r="H60" s="151">
        <f t="shared" si="17"/>
        <v>-0.60696235767244744</v>
      </c>
      <c r="I60" s="141">
        <f t="shared" si="18"/>
        <v>-7.2009770977737642</v>
      </c>
      <c r="K60" s="151">
        <f t="shared" si="19"/>
        <v>0.24378916311173274</v>
      </c>
      <c r="L60" s="141">
        <f t="shared" si="20"/>
        <v>2.8923048654697636</v>
      </c>
      <c r="N60" s="151">
        <f t="shared" si="21"/>
        <v>-1.0409643131518402</v>
      </c>
      <c r="O60" s="141">
        <f t="shared" si="22"/>
        <v>-12.34995891236381</v>
      </c>
      <c r="Q60" s="151">
        <v>0.19021279236765992</v>
      </c>
      <c r="R60" s="141">
        <f t="shared" si="23"/>
        <v>2.2566769491202856</v>
      </c>
      <c r="T60" s="151"/>
    </row>
    <row r="61" spans="1:20" x14ac:dyDescent="0.2">
      <c r="A61" s="135" t="str">
        <f t="shared" si="14"/>
        <v>61 Caring personal service occupations</v>
      </c>
      <c r="B61" s="151">
        <v>31.610179921526679</v>
      </c>
      <c r="C61" s="141">
        <f t="shared" si="15"/>
        <v>6.6002221473728024</v>
      </c>
      <c r="E61" s="151">
        <v>34.878615994605461</v>
      </c>
      <c r="F61" s="141">
        <f t="shared" si="16"/>
        <v>7.077957212904284</v>
      </c>
      <c r="H61" s="151">
        <f t="shared" si="17"/>
        <v>3.2684360730787816</v>
      </c>
      <c r="I61" s="141">
        <f t="shared" si="18"/>
        <v>10.339821162653241</v>
      </c>
      <c r="K61" s="151">
        <f t="shared" si="19"/>
        <v>0.91426277185406246</v>
      </c>
      <c r="L61" s="141">
        <f t="shared" si="20"/>
        <v>2.8923048654697636</v>
      </c>
      <c r="N61" s="151">
        <f t="shared" si="21"/>
        <v>0.58881525569136706</v>
      </c>
      <c r="O61" s="141">
        <f t="shared" si="22"/>
        <v>1.8627393363565801</v>
      </c>
      <c r="Q61" s="151">
        <v>1.765358045533352</v>
      </c>
      <c r="R61" s="141">
        <f t="shared" si="23"/>
        <v>5.5847769608268978</v>
      </c>
      <c r="T61" s="151"/>
    </row>
    <row r="62" spans="1:20" x14ac:dyDescent="0.2">
      <c r="A62" s="135" t="str">
        <f t="shared" si="14"/>
        <v>62 Leisure, travel and related personal service occupations</v>
      </c>
      <c r="B62" s="151">
        <v>10.590117171876656</v>
      </c>
      <c r="C62" s="141">
        <f t="shared" si="15"/>
        <v>2.2112220200775599</v>
      </c>
      <c r="E62" s="151">
        <v>10.611845266662291</v>
      </c>
      <c r="F62" s="141">
        <f t="shared" si="16"/>
        <v>2.1534738293232034</v>
      </c>
      <c r="H62" s="151">
        <f t="shared" si="17"/>
        <v>2.1728094785634866E-2</v>
      </c>
      <c r="I62" s="141">
        <f t="shared" si="18"/>
        <v>0.20517331803784344</v>
      </c>
      <c r="K62" s="151">
        <f t="shared" si="19"/>
        <v>0.30629847422113748</v>
      </c>
      <c r="L62" s="141">
        <f t="shared" si="20"/>
        <v>2.8923048654697641</v>
      </c>
      <c r="N62" s="151">
        <f t="shared" si="21"/>
        <v>0.11421646730212587</v>
      </c>
      <c r="O62" s="141">
        <f t="shared" si="22"/>
        <v>1.078519391697021</v>
      </c>
      <c r="Q62" s="151">
        <v>-0.39878684673762849</v>
      </c>
      <c r="R62" s="141">
        <f t="shared" si="23"/>
        <v>-3.7656509391289403</v>
      </c>
      <c r="T62" s="151"/>
    </row>
    <row r="63" spans="1:20" x14ac:dyDescent="0.2">
      <c r="A63" s="135" t="str">
        <f t="shared" si="14"/>
        <v>63 Community and civil enforcement occupations</v>
      </c>
      <c r="B63" s="151">
        <v>0.64182464760198232</v>
      </c>
      <c r="C63" s="141">
        <f t="shared" si="15"/>
        <v>0.13401332306076141</v>
      </c>
      <c r="E63" s="151">
        <v>0.55999462457579885</v>
      </c>
      <c r="F63" s="141">
        <f t="shared" si="16"/>
        <v>0.11364034607385051</v>
      </c>
      <c r="H63" s="151">
        <f t="shared" si="17"/>
        <v>-8.1830023026183474E-2</v>
      </c>
      <c r="I63" s="141">
        <f t="shared" si="18"/>
        <v>-12.749591860007392</v>
      </c>
      <c r="K63" s="151">
        <f t="shared" si="19"/>
        <v>1.8563525510376298E-2</v>
      </c>
      <c r="L63" s="141">
        <f t="shared" si="20"/>
        <v>2.8923048654697632</v>
      </c>
      <c r="N63" s="151">
        <f t="shared" si="21"/>
        <v>-9.768959494121518E-2</v>
      </c>
      <c r="O63" s="141">
        <f t="shared" si="22"/>
        <v>-15.220605083679473</v>
      </c>
      <c r="Q63" s="151">
        <v>-2.7039535953445847E-3</v>
      </c>
      <c r="R63" s="141">
        <f t="shared" si="23"/>
        <v>-0.42129164179768297</v>
      </c>
      <c r="T63" s="151"/>
    </row>
    <row r="64" spans="1:20" x14ac:dyDescent="0.2">
      <c r="A64" s="135" t="str">
        <f t="shared" si="14"/>
        <v>71 Sales occupations</v>
      </c>
      <c r="B64" s="151">
        <v>42.678069113601978</v>
      </c>
      <c r="C64" s="141">
        <f t="shared" si="15"/>
        <v>8.9112032158625691</v>
      </c>
      <c r="E64" s="151">
        <v>38.750591491417339</v>
      </c>
      <c r="F64" s="141">
        <f t="shared" si="16"/>
        <v>7.8637016042553354</v>
      </c>
      <c r="H64" s="151">
        <f t="shared" si="17"/>
        <v>-3.9274776221846395</v>
      </c>
      <c r="I64" s="141">
        <f t="shared" si="18"/>
        <v>-9.2025663385340692</v>
      </c>
      <c r="K64" s="151">
        <f t="shared" si="19"/>
        <v>1.2343798694612584</v>
      </c>
      <c r="L64" s="141">
        <f t="shared" si="20"/>
        <v>2.8923048654697636</v>
      </c>
      <c r="N64" s="151">
        <f t="shared" si="21"/>
        <v>-4.5199954211569171</v>
      </c>
      <c r="O64" s="141">
        <f t="shared" si="22"/>
        <v>-10.590908902475029</v>
      </c>
      <c r="Q64" s="151">
        <v>-0.64186207048898081</v>
      </c>
      <c r="R64" s="141">
        <f t="shared" si="23"/>
        <v>-1.5039623015288013</v>
      </c>
      <c r="T64" s="151"/>
    </row>
    <row r="65" spans="1:20" x14ac:dyDescent="0.2">
      <c r="A65" s="135" t="str">
        <f t="shared" si="14"/>
        <v>72 Customer service occupations</v>
      </c>
      <c r="B65" s="151">
        <v>8.8901921095368301</v>
      </c>
      <c r="C65" s="141">
        <f t="shared" si="15"/>
        <v>1.8562767754385496</v>
      </c>
      <c r="E65" s="151">
        <v>13.164637816517791</v>
      </c>
      <c r="F65" s="141">
        <f t="shared" si="16"/>
        <v>2.6715149248785046</v>
      </c>
      <c r="H65" s="151">
        <f t="shared" si="17"/>
        <v>4.2744457069809609</v>
      </c>
      <c r="I65" s="141">
        <f t="shared" si="18"/>
        <v>48.080465014874193</v>
      </c>
      <c r="K65" s="151">
        <f t="shared" si="19"/>
        <v>0.25713145893374273</v>
      </c>
      <c r="L65" s="141">
        <f t="shared" si="20"/>
        <v>2.8923048654697632</v>
      </c>
      <c r="N65" s="151">
        <f t="shared" si="21"/>
        <v>3.9678621749467204</v>
      </c>
      <c r="O65" s="141">
        <f t="shared" si="22"/>
        <v>44.631905880754267</v>
      </c>
      <c r="Q65" s="151">
        <v>4.9452073100497915E-2</v>
      </c>
      <c r="R65" s="141">
        <f t="shared" si="23"/>
        <v>0.55625426865015537</v>
      </c>
      <c r="T65" s="151"/>
    </row>
    <row r="66" spans="1:20" x14ac:dyDescent="0.2">
      <c r="A66" s="135" t="str">
        <f t="shared" si="14"/>
        <v>81 Process, plant and machine operatives</v>
      </c>
      <c r="B66" s="151">
        <v>16.493271233190935</v>
      </c>
      <c r="C66" s="141">
        <f t="shared" si="15"/>
        <v>3.4438036843251218</v>
      </c>
      <c r="E66" s="151">
        <v>18.228830196942472</v>
      </c>
      <c r="F66" s="141">
        <f t="shared" si="16"/>
        <v>3.6991972443864132</v>
      </c>
      <c r="H66" s="151">
        <f t="shared" si="17"/>
        <v>1.7355589637515365</v>
      </c>
      <c r="I66" s="141">
        <f t="shared" si="18"/>
        <v>10.522830427107221</v>
      </c>
      <c r="K66" s="151">
        <f t="shared" si="19"/>
        <v>0.47703568635270632</v>
      </c>
      <c r="L66" s="141">
        <f t="shared" si="20"/>
        <v>2.8923048654697636</v>
      </c>
      <c r="N66" s="151">
        <f t="shared" si="21"/>
        <v>2.6798241529217321</v>
      </c>
      <c r="O66" s="141">
        <f t="shared" si="22"/>
        <v>16.247984496422237</v>
      </c>
      <c r="Q66" s="151">
        <v>-1.421300875522902</v>
      </c>
      <c r="R66" s="141">
        <f t="shared" si="23"/>
        <v>-8.617458934784791</v>
      </c>
      <c r="T66" s="151"/>
    </row>
    <row r="67" spans="1:20" x14ac:dyDescent="0.2">
      <c r="A67" s="135" t="str">
        <f t="shared" si="14"/>
        <v>82 Transport and mobile machine drivers and operatives</v>
      </c>
      <c r="B67" s="151">
        <v>19.085919456589171</v>
      </c>
      <c r="C67" s="141">
        <f t="shared" si="15"/>
        <v>3.9851499932326009</v>
      </c>
      <c r="E67" s="151">
        <v>17.902063583152078</v>
      </c>
      <c r="F67" s="141">
        <f t="shared" si="16"/>
        <v>3.632886123802622</v>
      </c>
      <c r="H67" s="151">
        <f t="shared" si="17"/>
        <v>-1.1838558734370928</v>
      </c>
      <c r="I67" s="141">
        <f t="shared" si="18"/>
        <v>-6.2027709806161901</v>
      </c>
      <c r="K67" s="151">
        <f t="shared" si="19"/>
        <v>0.55202297706256886</v>
      </c>
      <c r="L67" s="141">
        <f t="shared" si="20"/>
        <v>2.8923048654697636</v>
      </c>
      <c r="N67" s="151">
        <f t="shared" si="21"/>
        <v>-1.5455054980135101</v>
      </c>
      <c r="O67" s="141">
        <f t="shared" si="22"/>
        <v>-8.0976213984804595</v>
      </c>
      <c r="Q67" s="151">
        <v>-0.19037335248615148</v>
      </c>
      <c r="R67" s="141">
        <f t="shared" si="23"/>
        <v>-0.99745444760549651</v>
      </c>
      <c r="T67" s="151"/>
    </row>
    <row r="68" spans="1:20" x14ac:dyDescent="0.2">
      <c r="A68" s="135" t="str">
        <f t="shared" si="14"/>
        <v>91 Elementary trades and related occupations</v>
      </c>
      <c r="B68" s="151">
        <v>6.6946553065972703</v>
      </c>
      <c r="C68" s="141">
        <f t="shared" si="15"/>
        <v>1.3978475394105287</v>
      </c>
      <c r="E68" s="151">
        <v>4.88114497890591</v>
      </c>
      <c r="F68" s="141">
        <f t="shared" si="16"/>
        <v>0.99053630212913557</v>
      </c>
      <c r="H68" s="151">
        <f t="shared" si="17"/>
        <v>-1.8135103276913602</v>
      </c>
      <c r="I68" s="141">
        <f t="shared" si="18"/>
        <v>-27.088927579351708</v>
      </c>
      <c r="K68" s="151">
        <f t="shared" si="19"/>
        <v>0.19362984115914256</v>
      </c>
      <c r="L68" s="141">
        <f t="shared" si="20"/>
        <v>2.8923048654697636</v>
      </c>
      <c r="N68" s="151">
        <f t="shared" si="21"/>
        <v>-1.8100991068203596</v>
      </c>
      <c r="O68" s="141">
        <f t="shared" si="22"/>
        <v>-27.037973187903958</v>
      </c>
      <c r="Q68" s="151">
        <v>-0.19704106203014313</v>
      </c>
      <c r="R68" s="141">
        <f t="shared" si="23"/>
        <v>-2.9432592569175049</v>
      </c>
      <c r="T68" s="151"/>
    </row>
    <row r="69" spans="1:20" x14ac:dyDescent="0.2">
      <c r="A69" s="135" t="str">
        <f t="shared" ref="A69" si="24">A33</f>
        <v>92 Elementary administration and service occupations</v>
      </c>
      <c r="B69" s="151">
        <v>46.103296758951288</v>
      </c>
      <c r="C69" s="141">
        <f t="shared" ref="C69" si="25">B69/B$71*100</f>
        <v>9.6263925447670999</v>
      </c>
      <c r="E69" s="151">
        <v>44.843080771914373</v>
      </c>
      <c r="F69" s="141">
        <f t="shared" ref="F69" si="26">E69/E$71*100</f>
        <v>9.1000573832261971</v>
      </c>
      <c r="H69" s="151">
        <f t="shared" ref="H69" si="27">E69-B69</f>
        <v>-1.260215987036915</v>
      </c>
      <c r="I69" s="141">
        <f t="shared" ref="I69" si="28">IF(B69&gt;0,((E69/B69)-1)*100,0)</f>
        <v>-2.7334617600686784</v>
      </c>
      <c r="K69" s="151">
        <f t="shared" ref="K69" si="29">(($E$71/$B$71)-1)*B69</f>
        <v>1.333447895301112</v>
      </c>
      <c r="L69" s="141">
        <f t="shared" ref="L69" si="30">IF(B69&gt;0,K69/B69*100,0)</f>
        <v>2.8923048654697636</v>
      </c>
      <c r="N69" s="151">
        <f t="shared" ref="N69" si="31">H69-(K69+Q69)</f>
        <v>-4.5941759696808262</v>
      </c>
      <c r="O69" s="141">
        <f t="shared" ref="O69" si="32">IF(B69&gt;0,N69/B69*100,0)</f>
        <v>-9.9649619282135902</v>
      </c>
      <c r="Q69" s="151">
        <v>2.0005120873427993</v>
      </c>
      <c r="R69" s="141">
        <f t="shared" ref="R69" si="33">IF(B69&gt;0,Q69/B69*100,0)</f>
        <v>4.3391953026751509</v>
      </c>
      <c r="T69" s="151"/>
    </row>
    <row r="70" spans="1:20" x14ac:dyDescent="0.2">
      <c r="A70" s="135"/>
      <c r="B70" s="151"/>
      <c r="C70" s="141"/>
      <c r="E70" s="151"/>
      <c r="F70" s="141"/>
      <c r="H70" s="151"/>
      <c r="I70" s="141"/>
      <c r="K70" s="151"/>
      <c r="L70" s="141"/>
      <c r="N70" s="151"/>
      <c r="O70" s="141"/>
      <c r="Q70" s="151"/>
      <c r="R70" s="141"/>
    </row>
    <row r="71" spans="1:20" x14ac:dyDescent="0.2">
      <c r="A71" s="149" t="str">
        <f>name!$D$3</f>
        <v>All occupations</v>
      </c>
      <c r="B71" s="152">
        <f>SUM(B44:B69)</f>
        <v>478.9260000000001</v>
      </c>
      <c r="C71" s="147">
        <f>B71/B$71*100</f>
        <v>100</v>
      </c>
      <c r="D71" s="145"/>
      <c r="E71" s="152">
        <f>SUM(E44:E69)</f>
        <v>492.77799999999979</v>
      </c>
      <c r="F71" s="147">
        <f>E71/E$71*100</f>
        <v>100</v>
      </c>
      <c r="G71" s="145"/>
      <c r="H71" s="152">
        <f t="shared" si="17"/>
        <v>13.851999999999691</v>
      </c>
      <c r="I71" s="147">
        <f t="shared" si="18"/>
        <v>2.8923048654697636</v>
      </c>
      <c r="J71" s="145"/>
      <c r="K71" s="145"/>
      <c r="L71" s="145"/>
      <c r="M71" s="145"/>
      <c r="N71" s="145"/>
      <c r="O71" s="145"/>
      <c r="P71" s="145"/>
      <c r="Q71" s="145"/>
      <c r="R71" s="145"/>
    </row>
    <row r="77" spans="1:20" x14ac:dyDescent="0.2">
      <c r="T77" s="151"/>
    </row>
    <row r="78" spans="1:20" x14ac:dyDescent="0.2">
      <c r="T78" s="151"/>
    </row>
    <row r="79" spans="1:20" x14ac:dyDescent="0.2">
      <c r="T79" s="151"/>
    </row>
    <row r="80" spans="1:20" x14ac:dyDescent="0.2">
      <c r="T80" s="151"/>
    </row>
    <row r="81" spans="20:20" x14ac:dyDescent="0.2">
      <c r="T81" s="151"/>
    </row>
    <row r="82" spans="20:20" x14ac:dyDescent="0.2">
      <c r="T82" s="151"/>
    </row>
    <row r="83" spans="20:20" x14ac:dyDescent="0.2">
      <c r="T83" s="151"/>
    </row>
    <row r="84" spans="20:20" x14ac:dyDescent="0.2">
      <c r="T84" s="151"/>
    </row>
    <row r="85" spans="20:20" x14ac:dyDescent="0.2">
      <c r="T85" s="151"/>
    </row>
    <row r="86" spans="20:20" x14ac:dyDescent="0.2">
      <c r="T86" s="151"/>
    </row>
    <row r="87" spans="20:20" x14ac:dyDescent="0.2">
      <c r="T87" s="151"/>
    </row>
    <row r="88" spans="20:20" x14ac:dyDescent="0.2">
      <c r="T88" s="151"/>
    </row>
    <row r="89" spans="20:20" x14ac:dyDescent="0.2">
      <c r="T89" s="151"/>
    </row>
    <row r="90" spans="20:20" x14ac:dyDescent="0.2">
      <c r="T90" s="151"/>
    </row>
    <row r="91" spans="20:20" x14ac:dyDescent="0.2">
      <c r="T91" s="151"/>
    </row>
    <row r="92" spans="20:20" x14ac:dyDescent="0.2">
      <c r="T92" s="151"/>
    </row>
    <row r="93" spans="20:20" x14ac:dyDescent="0.2">
      <c r="T93" s="151"/>
    </row>
    <row r="94" spans="20:20" x14ac:dyDescent="0.2">
      <c r="T94" s="151"/>
    </row>
    <row r="95" spans="20:20" x14ac:dyDescent="0.2">
      <c r="T95" s="151"/>
    </row>
    <row r="96" spans="20:20" x14ac:dyDescent="0.2">
      <c r="T96" s="151"/>
    </row>
    <row r="97" spans="20:20" x14ac:dyDescent="0.2">
      <c r="T97" s="151"/>
    </row>
    <row r="98" spans="20:20" x14ac:dyDescent="0.2">
      <c r="T98" s="151"/>
    </row>
    <row r="99" spans="20:20" x14ac:dyDescent="0.2">
      <c r="T99" s="151"/>
    </row>
    <row r="100" spans="20:20" x14ac:dyDescent="0.2">
      <c r="T100" s="151"/>
    </row>
    <row r="101" spans="20:20" x14ac:dyDescent="0.2">
      <c r="T101" s="151"/>
    </row>
  </sheetData>
  <mergeCells count="8">
    <mergeCell ref="K40:L40"/>
    <mergeCell ref="N40:O40"/>
    <mergeCell ref="Q40:R40"/>
    <mergeCell ref="K3:R3"/>
    <mergeCell ref="K4:L4"/>
    <mergeCell ref="N4:O4"/>
    <mergeCell ref="Q4:R4"/>
    <mergeCell ref="K39:R39"/>
  </mergeCells>
  <pageMargins left="0.39370078740157483" right="0.39370078740157483" top="0.51181102362204722" bottom="0.51181102362204722" header="0.31496062992125984" footer="0.31496062992125984"/>
  <pageSetup paperSize="9" scale="57" fitToHeight="0" orientation="landscape" r:id="rId1"/>
  <rowBreaks count="1" manualBreakCount="1">
    <brk id="143" max="16383" man="1"/>
  </rowBreaks>
  <colBreaks count="1" manualBreakCount="1">
    <brk id="18" max="1048575" man="1"/>
  </colBreaks>
  <drawing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Sheet18"/>
  <dimension ref="A1:AD294"/>
  <sheetViews>
    <sheetView showGridLines="0" zoomScale="85" zoomScaleNormal="85" workbookViewId="0">
      <selection sqref="A1:G2"/>
    </sheetView>
  </sheetViews>
  <sheetFormatPr defaultColWidth="9.140625" defaultRowHeight="12.75" x14ac:dyDescent="0.2"/>
  <cols>
    <col min="1" max="1" width="40.85546875" customWidth="1"/>
    <col min="2" max="3" width="9.7109375" customWidth="1"/>
    <col min="4" max="7" width="11.7109375" customWidth="1"/>
    <col min="8" max="8" width="7.5703125" customWidth="1"/>
    <col min="9" max="9" width="44.140625" customWidth="1"/>
    <col min="10" max="14" width="11.7109375" customWidth="1"/>
    <col min="15" max="15" width="8.85546875" customWidth="1"/>
    <col min="16" max="16" width="54.140625" customWidth="1"/>
    <col min="17" max="18" width="11.7109375" customWidth="1"/>
    <col min="19" max="22" width="11.85546875" style="90" customWidth="1"/>
    <col min="23" max="23" width="7.85546875" customWidth="1"/>
    <col min="24" max="24" width="25.85546875" customWidth="1"/>
    <col min="25" max="29" width="11.7109375" customWidth="1"/>
    <col min="30" max="30" width="11.85546875" customWidth="1"/>
  </cols>
  <sheetData>
    <row r="1" spans="1:30" ht="24" customHeight="1" x14ac:dyDescent="0.2">
      <c r="A1" s="381" t="str">
        <f>CONCATENATE("Replacement Demand Table 1  Replacement Demand by Occupation and Qualification, ",$B$6,"-",$C$6,", ",Info!B5)</f>
        <v>Replacement Demand Table 1  Replacement Demand by Occupation and Qualification, 2020-2035, North East</v>
      </c>
      <c r="B1" s="381"/>
      <c r="C1" s="381"/>
      <c r="D1" s="381"/>
      <c r="E1" s="381"/>
      <c r="F1" s="381"/>
      <c r="G1" s="381"/>
      <c r="I1" s="381" t="str">
        <f>CONCATENATE("Replacement Demand Table 1.1  Replacement Demand by Occupation Group and Qualification, ",$B$6,"-",$C$6,", ",Info!B5)</f>
        <v>Replacement Demand Table 1.1  Replacement Demand by Occupation Group and Qualification, 2020-2035, North East</v>
      </c>
      <c r="J1" s="381"/>
      <c r="K1" s="381"/>
      <c r="L1" s="381"/>
      <c r="M1" s="381"/>
      <c r="N1" s="381"/>
      <c r="P1" s="381" t="str">
        <f>CONCATENATE("Replacement Demand Table 1.2  Replacement Demand by Occupation and Gender, ",$B$6,"-",$C$6,", ",Info!B5)</f>
        <v>Replacement Demand Table 1.2  Replacement Demand by Occupation and Gender, 2020-2035, North East</v>
      </c>
      <c r="Q1" s="381"/>
      <c r="R1" s="381"/>
      <c r="S1" s="381"/>
      <c r="T1" s="381"/>
      <c r="U1" s="381"/>
      <c r="V1" s="381"/>
      <c r="X1" s="381" t="str">
        <f>CONCATENATE("Replacement Demand Table 1.3  Replacement Demand by Industry, ",$B$6,"-",$C$6,", ",Info!B5)</f>
        <v>Replacement Demand Table 1.3  Replacement Demand by Industry, 2020-2035, North East</v>
      </c>
      <c r="Y1" s="381"/>
      <c r="Z1" s="381"/>
      <c r="AA1" s="381"/>
      <c r="AB1" s="381"/>
      <c r="AC1" s="381"/>
      <c r="AD1" s="381"/>
    </row>
    <row r="2" spans="1:30" ht="19.5" customHeight="1" x14ac:dyDescent="0.2">
      <c r="A2" s="381"/>
      <c r="B2" s="381"/>
      <c r="C2" s="381"/>
      <c r="D2" s="381"/>
      <c r="E2" s="381"/>
      <c r="F2" s="381"/>
      <c r="G2" s="381"/>
      <c r="I2" s="381"/>
      <c r="J2" s="381"/>
      <c r="K2" s="381"/>
      <c r="L2" s="381"/>
      <c r="M2" s="381"/>
      <c r="N2" s="381"/>
      <c r="P2" s="381"/>
      <c r="Q2" s="381"/>
      <c r="R2" s="381"/>
      <c r="S2" s="381"/>
      <c r="T2" s="381"/>
      <c r="U2" s="381"/>
      <c r="V2" s="381"/>
      <c r="X2" s="381"/>
      <c r="Y2" s="381"/>
      <c r="Z2" s="381"/>
      <c r="AA2" s="381"/>
      <c r="AB2" s="381"/>
      <c r="AC2" s="381"/>
      <c r="AD2" s="381"/>
    </row>
    <row r="3" spans="1:30" ht="15.75" x14ac:dyDescent="0.25">
      <c r="A3" s="1" t="s">
        <v>521</v>
      </c>
      <c r="B3" s="19"/>
      <c r="C3" s="19"/>
      <c r="D3" s="19"/>
      <c r="E3" s="19"/>
      <c r="F3" s="19"/>
      <c r="G3" s="19"/>
      <c r="I3" s="1" t="s">
        <v>522</v>
      </c>
      <c r="P3" s="182" t="s">
        <v>518</v>
      </c>
      <c r="X3" s="1" t="s">
        <v>514</v>
      </c>
    </row>
    <row r="4" spans="1:30" ht="12.75" customHeight="1" x14ac:dyDescent="0.25">
      <c r="A4" s="19"/>
      <c r="B4" s="19"/>
      <c r="C4" s="19"/>
      <c r="D4" s="19"/>
      <c r="E4" s="19"/>
      <c r="F4" s="19"/>
      <c r="G4" s="19"/>
      <c r="I4" s="1"/>
      <c r="P4" s="1"/>
    </row>
    <row r="5" spans="1:30" s="71" customFormat="1" x14ac:dyDescent="0.2">
      <c r="B5" s="16"/>
      <c r="F5" s="16" t="s">
        <v>36</v>
      </c>
      <c r="N5" s="16" t="s">
        <v>36</v>
      </c>
      <c r="Q5" s="16"/>
      <c r="S5" s="343"/>
      <c r="T5" s="343"/>
      <c r="U5" s="84" t="s">
        <v>36</v>
      </c>
      <c r="V5" s="343"/>
      <c r="Y5" s="16"/>
      <c r="AA5" s="343"/>
      <c r="AB5" s="343"/>
      <c r="AC5" s="84" t="s">
        <v>36</v>
      </c>
      <c r="AD5" s="343"/>
    </row>
    <row r="6" spans="1:30" ht="24.95" customHeight="1" x14ac:dyDescent="0.2">
      <c r="A6" s="201" t="str">
        <f>CONCATENATE(name!F3," (Constrained)")</f>
        <v>All qualifications (Constrained)</v>
      </c>
      <c r="B6" s="75">
        <v>2020</v>
      </c>
      <c r="C6" s="75">
        <v>2035</v>
      </c>
      <c r="D6" s="88" t="s">
        <v>43</v>
      </c>
      <c r="E6" s="88" t="s">
        <v>145</v>
      </c>
      <c r="F6" s="88" t="s">
        <v>42</v>
      </c>
      <c r="G6" s="88" t="s">
        <v>144</v>
      </c>
      <c r="I6" s="202"/>
      <c r="J6" s="75">
        <f>B6</f>
        <v>2020</v>
      </c>
      <c r="K6" s="75">
        <f>C6</f>
        <v>2035</v>
      </c>
      <c r="L6" s="88" t="str">
        <f>D6</f>
        <v>Net Change</v>
      </c>
      <c r="M6" s="88" t="str">
        <f>E6</f>
        <v>Replacement Demand level</v>
      </c>
      <c r="N6" s="88" t="str">
        <f>F6</f>
        <v>Total Requirement</v>
      </c>
      <c r="P6" s="201" t="s">
        <v>104</v>
      </c>
      <c r="Q6" s="75">
        <f>B6</f>
        <v>2020</v>
      </c>
      <c r="R6" s="75">
        <f>C6</f>
        <v>2035</v>
      </c>
      <c r="S6" s="344" t="str">
        <f t="shared" ref="S6:V6" si="0">D6</f>
        <v>Net Change</v>
      </c>
      <c r="T6" s="344" t="str">
        <f t="shared" si="0"/>
        <v>Replacement Demand level</v>
      </c>
      <c r="U6" s="344" t="str">
        <f t="shared" si="0"/>
        <v>Total Requirement</v>
      </c>
      <c r="V6" s="344" t="str">
        <f t="shared" si="0"/>
        <v>Replacement Demand rate</v>
      </c>
      <c r="X6" s="201"/>
      <c r="Y6" s="75">
        <f>J6</f>
        <v>2020</v>
      </c>
      <c r="Z6" s="75">
        <f>K6</f>
        <v>2035</v>
      </c>
      <c r="AA6" s="344" t="str">
        <f t="shared" ref="AA6:AC6" si="1">L6</f>
        <v>Net Change</v>
      </c>
      <c r="AB6" s="344" t="str">
        <f t="shared" si="1"/>
        <v>Replacement Demand level</v>
      </c>
      <c r="AC6" s="344" t="str">
        <f t="shared" si="1"/>
        <v>Total Requirement</v>
      </c>
      <c r="AD6" s="344" t="str">
        <f>G6</f>
        <v>Replacement Demand rate</v>
      </c>
    </row>
    <row r="7" spans="1:30" x14ac:dyDescent="0.2">
      <c r="A7" s="10" t="str">
        <f>name!D4</f>
        <v>11 Corporate managers and directors</v>
      </c>
      <c r="B7" s="11">
        <f t="shared" ref="B7:F16" si="2">SUM(B36,B65,B94,B123,B152,B181,B210,B239,B268)</f>
        <v>25.412554043295078</v>
      </c>
      <c r="C7" s="11">
        <f t="shared" si="2"/>
        <v>25.233569485019046</v>
      </c>
      <c r="D7" s="11">
        <f t="shared" si="2"/>
        <v>-0.17898455827603199</v>
      </c>
      <c r="E7" s="11">
        <f t="shared" si="2"/>
        <v>12.336519298622383</v>
      </c>
      <c r="F7" s="11">
        <f t="shared" si="2"/>
        <v>12.157534740346351</v>
      </c>
      <c r="G7" s="200">
        <f>IF(B7&gt;0,(1+(E7/B7))^(1/($C$6-$B$6))-1,0)</f>
        <v>2.6732238388089025E-2</v>
      </c>
      <c r="H7" s="11"/>
      <c r="I7" s="233" t="str">
        <f>name!F3</f>
        <v>All qualifications</v>
      </c>
      <c r="J7" s="36"/>
      <c r="K7" s="36"/>
      <c r="L7" s="36"/>
      <c r="M7" s="36"/>
      <c r="N7" s="36"/>
      <c r="O7" s="11"/>
      <c r="P7" s="10" t="str">
        <f>name!D4</f>
        <v>11 Corporate managers and directors</v>
      </c>
      <c r="Q7" s="11">
        <v>16.741476842741733</v>
      </c>
      <c r="R7" s="11">
        <v>15.304667538337902</v>
      </c>
      <c r="S7" s="345">
        <f>R7-Q7</f>
        <v>-1.4368093044038304</v>
      </c>
      <c r="T7" s="345">
        <v>6.9684394897754185</v>
      </c>
      <c r="U7" s="345">
        <f>SUM(S7:T7)</f>
        <v>5.5316301853715881</v>
      </c>
      <c r="V7" s="346">
        <f>IF(Q7&gt;0,(1+(T7/Q7))^(1/($C$6-$B$6))-1,0)</f>
        <v>2.3471492233494429E-2</v>
      </c>
      <c r="X7" s="10" t="str">
        <f>name!B4</f>
        <v>Agriculture</v>
      </c>
      <c r="Y7" s="11">
        <v>1.9019999999999981</v>
      </c>
      <c r="Z7" s="11">
        <v>2.025000000000003</v>
      </c>
      <c r="AA7" s="345">
        <f>Z7-Y7</f>
        <v>0.12300000000000488</v>
      </c>
      <c r="AB7" s="11">
        <v>1.0792485773166827</v>
      </c>
      <c r="AC7" s="345">
        <f>SUM(AA7:AB7)</f>
        <v>1.2022485773166876</v>
      </c>
      <c r="AD7" s="348">
        <f>IF(Y7&gt;0,(1+(AB7/Y7))^(1/($C$6-$B$6))-1,0)</f>
        <v>3.0415805687966868E-2</v>
      </c>
    </row>
    <row r="8" spans="1:30" x14ac:dyDescent="0.2">
      <c r="A8" s="10" t="str">
        <f>name!D5</f>
        <v>12 Other managers and proprietors</v>
      </c>
      <c r="B8" s="11">
        <f t="shared" si="2"/>
        <v>14.832524681466079</v>
      </c>
      <c r="C8" s="11">
        <f t="shared" si="2"/>
        <v>20.455568330896902</v>
      </c>
      <c r="D8" s="11">
        <f t="shared" si="2"/>
        <v>5.6230436494308229</v>
      </c>
      <c r="E8" s="11">
        <f t="shared" si="2"/>
        <v>10.422098128302226</v>
      </c>
      <c r="F8" s="11">
        <f t="shared" si="2"/>
        <v>16.045141777733047</v>
      </c>
      <c r="G8" s="200">
        <f t="shared" ref="G8:G33" si="3">IF(B8&gt;0,(1+(E8/B8))^(1/($C$6-$B$6))-1,0)</f>
        <v>3.6116016381638749E-2</v>
      </c>
      <c r="H8" s="11"/>
      <c r="I8" s="10" t="str">
        <f>name!E4</f>
        <v>Managers, directors and senior officials</v>
      </c>
      <c r="J8" s="11">
        <f t="array" ref="J8:J16">MMULT(aggregation!$B$13:$AA$21,B7:B32)</f>
        <v>40.245078724761157</v>
      </c>
      <c r="K8" s="11">
        <f t="array" ref="K8:K16">MMULT(aggregation!$B$13:$AA$21,C7:C32)</f>
        <v>45.689137815915949</v>
      </c>
      <c r="L8" s="11">
        <f t="array" ref="L8:L16">MMULT(aggregation!$B$13:$AA$21,D7:D32)</f>
        <v>5.4440590911547906</v>
      </c>
      <c r="M8" s="11">
        <f t="array" ref="M8:M16">MMULT(aggregation!$B$13:$AA$21,E7:E32)</f>
        <v>22.758617426924609</v>
      </c>
      <c r="N8" s="11">
        <f t="array" ref="N8:N16">MMULT(aggregation!$B$13:$AA$21,F7:F32)</f>
        <v>28.2026765180794</v>
      </c>
      <c r="O8" s="11"/>
      <c r="P8" s="10" t="str">
        <f>name!D5</f>
        <v>12 Other managers and proprietors</v>
      </c>
      <c r="Q8" s="11">
        <v>8.5394801960791096</v>
      </c>
      <c r="R8" s="11">
        <v>12.322649529253395</v>
      </c>
      <c r="S8" s="345">
        <f t="shared" ref="S8:S31" si="4">R8-Q8</f>
        <v>3.7831693331742855</v>
      </c>
      <c r="T8" s="345">
        <v>5.5838040433541538</v>
      </c>
      <c r="U8" s="345">
        <f t="shared" ref="U8:U31" si="5">SUM(S8:T8)</f>
        <v>9.3669733765284384</v>
      </c>
      <c r="V8" s="346">
        <f t="shared" ref="V8:V33" si="6">IF(Q8&gt;0,(1+(T8/Q8))^(1/($C$6-$B$6))-1,0)</f>
        <v>3.4110507389716993E-2</v>
      </c>
      <c r="X8" s="10" t="str">
        <f>name!B5</f>
        <v>Mining and quarrying</v>
      </c>
      <c r="Y8" s="11">
        <v>0.46699999999999953</v>
      </c>
      <c r="Z8" s="11">
        <v>0.36699999999999977</v>
      </c>
      <c r="AA8" s="345">
        <f t="shared" ref="AA8:AA29" si="7">Z8-Y8</f>
        <v>-9.9999999999999756E-2</v>
      </c>
      <c r="AB8" s="11">
        <v>0.16685553122475963</v>
      </c>
      <c r="AC8" s="345">
        <f t="shared" ref="AC8:AC29" si="8">SUM(AA8:AB8)</f>
        <v>6.6855531224759873E-2</v>
      </c>
      <c r="AD8" s="348">
        <f t="shared" ref="AD8:AD29" si="9">IF(Y8&gt;0,(1+(AB8/Y8))^(1/($C$6-$B$6))-1,0)</f>
        <v>2.0574924666522776E-2</v>
      </c>
    </row>
    <row r="9" spans="1:30" x14ac:dyDescent="0.2">
      <c r="A9" s="10" t="str">
        <f>name!D6</f>
        <v>21 Science, research, engineering and technology professionals</v>
      </c>
      <c r="B9" s="11">
        <f t="shared" si="2"/>
        <v>23.469639078952422</v>
      </c>
      <c r="C9" s="11">
        <f t="shared" si="2"/>
        <v>26.474817136388872</v>
      </c>
      <c r="D9" s="11">
        <f t="shared" si="2"/>
        <v>3.0051780574364488</v>
      </c>
      <c r="E9" s="11">
        <f t="shared" si="2"/>
        <v>9.0801877363810739</v>
      </c>
      <c r="F9" s="11">
        <f t="shared" si="2"/>
        <v>12.085365793817521</v>
      </c>
      <c r="G9" s="200">
        <f t="shared" si="3"/>
        <v>2.204374523247199E-2</v>
      </c>
      <c r="H9" s="11"/>
      <c r="I9" s="10" t="str">
        <f>name!E5</f>
        <v>Professional occupations</v>
      </c>
      <c r="J9" s="11">
        <v>99.067530958461134</v>
      </c>
      <c r="K9" s="11">
        <v>116.80390113270073</v>
      </c>
      <c r="L9" s="11">
        <v>17.736370174239585</v>
      </c>
      <c r="M9" s="11">
        <v>52.401702692996658</v>
      </c>
      <c r="N9" s="11">
        <v>70.138072867236247</v>
      </c>
      <c r="O9" s="11"/>
      <c r="P9" s="10" t="str">
        <f>name!D6</f>
        <v>21 Science, research, engineering and technology professionals</v>
      </c>
      <c r="Q9" s="11">
        <v>19.127041645921725</v>
      </c>
      <c r="R9" s="11">
        <v>20.286600576930685</v>
      </c>
      <c r="S9" s="345">
        <f t="shared" si="4"/>
        <v>1.1595589310089593</v>
      </c>
      <c r="T9" s="345">
        <v>6.3109021340716787</v>
      </c>
      <c r="U9" s="345">
        <f t="shared" si="5"/>
        <v>7.470461065080638</v>
      </c>
      <c r="V9" s="346">
        <f t="shared" si="6"/>
        <v>1.9191078279416462E-2</v>
      </c>
      <c r="X9" s="10" t="str">
        <f>name!B6</f>
        <v>Food drink and tobacco</v>
      </c>
      <c r="Y9" s="11">
        <v>4.4239999999999942</v>
      </c>
      <c r="Z9" s="11">
        <v>4.328999999999998</v>
      </c>
      <c r="AA9" s="345">
        <f t="shared" si="7"/>
        <v>-9.4999999999996199E-2</v>
      </c>
      <c r="AB9" s="11">
        <v>1.9154565886864496</v>
      </c>
      <c r="AC9" s="345">
        <f t="shared" si="8"/>
        <v>1.8204565886864534</v>
      </c>
      <c r="AD9" s="348">
        <f t="shared" si="9"/>
        <v>2.4273163834048983E-2</v>
      </c>
    </row>
    <row r="10" spans="1:30" x14ac:dyDescent="0.2">
      <c r="A10" s="10" t="str">
        <f>name!D7</f>
        <v>22 Health professionals</v>
      </c>
      <c r="B10" s="11">
        <f t="shared" si="2"/>
        <v>29.027771962856061</v>
      </c>
      <c r="C10" s="11">
        <f t="shared" si="2"/>
        <v>34.325942505499292</v>
      </c>
      <c r="D10" s="11">
        <f t="shared" si="2"/>
        <v>5.2981705426432315</v>
      </c>
      <c r="E10" s="11">
        <f t="shared" si="2"/>
        <v>17.600447825754891</v>
      </c>
      <c r="F10" s="11">
        <f t="shared" si="2"/>
        <v>22.898618368398125</v>
      </c>
      <c r="G10" s="200">
        <f t="shared" si="3"/>
        <v>3.2101340577784576E-2</v>
      </c>
      <c r="H10" s="11"/>
      <c r="I10" s="10" t="str">
        <f>name!E6</f>
        <v>Associate professional occupations</v>
      </c>
      <c r="J10" s="11">
        <v>56.077056232920377</v>
      </c>
      <c r="K10" s="11">
        <v>57.419072790725409</v>
      </c>
      <c r="L10" s="11">
        <v>1.3420165578050476</v>
      </c>
      <c r="M10" s="11">
        <v>25.520980556039284</v>
      </c>
      <c r="N10" s="11">
        <v>26.86299711384433</v>
      </c>
      <c r="O10" s="11"/>
      <c r="P10" s="10" t="str">
        <f>name!D7</f>
        <v>22 Health professionals</v>
      </c>
      <c r="Q10" s="11">
        <v>7.7200961463991424</v>
      </c>
      <c r="R10" s="11">
        <v>9.1520704129762578</v>
      </c>
      <c r="S10" s="345">
        <f t="shared" si="4"/>
        <v>1.4319742665771154</v>
      </c>
      <c r="T10" s="345">
        <v>3.3221536265778795</v>
      </c>
      <c r="U10" s="345">
        <f t="shared" si="5"/>
        <v>4.7541278931549948</v>
      </c>
      <c r="V10" s="346">
        <f t="shared" si="6"/>
        <v>2.4147062861371582E-2</v>
      </c>
      <c r="X10" s="10" t="str">
        <f>name!B7</f>
        <v>Engineering</v>
      </c>
      <c r="Y10" s="11">
        <v>10.317999999999991</v>
      </c>
      <c r="Z10" s="11">
        <v>9.4499999999999833</v>
      </c>
      <c r="AA10" s="345">
        <f t="shared" si="7"/>
        <v>-0.86800000000000743</v>
      </c>
      <c r="AB10" s="11">
        <v>4.1810469241319375</v>
      </c>
      <c r="AC10" s="345">
        <f t="shared" si="8"/>
        <v>3.31304692413193</v>
      </c>
      <c r="AD10" s="348">
        <f t="shared" si="9"/>
        <v>2.2938667568851656E-2</v>
      </c>
    </row>
    <row r="11" spans="1:30" x14ac:dyDescent="0.2">
      <c r="A11" s="10" t="str">
        <f>name!D8</f>
        <v>23 Teaching and other educational professionals</v>
      </c>
      <c r="B11" s="11">
        <f t="shared" si="2"/>
        <v>22.082745267226361</v>
      </c>
      <c r="C11" s="11">
        <f t="shared" si="2"/>
        <v>25.80437870425963</v>
      </c>
      <c r="D11" s="11">
        <f t="shared" si="2"/>
        <v>3.7216334370332689</v>
      </c>
      <c r="E11" s="11">
        <f t="shared" si="2"/>
        <v>12.212742194513231</v>
      </c>
      <c r="F11" s="11">
        <f t="shared" si="2"/>
        <v>15.9343756315465</v>
      </c>
      <c r="G11" s="200">
        <f t="shared" si="3"/>
        <v>2.978270697133012E-2</v>
      </c>
      <c r="H11" s="11"/>
      <c r="I11" s="10" t="str">
        <f>name!E7</f>
        <v>Administrative and secretarial occupations</v>
      </c>
      <c r="J11" s="11">
        <v>52.503095815052454</v>
      </c>
      <c r="K11" s="11">
        <v>45.868596016759639</v>
      </c>
      <c r="L11" s="11">
        <v>-6.6344997982928238</v>
      </c>
      <c r="M11" s="11">
        <v>24.690575442400434</v>
      </c>
      <c r="N11" s="11">
        <v>18.056075644107604</v>
      </c>
      <c r="O11" s="11"/>
      <c r="P11" s="10" t="str">
        <f>name!D8</f>
        <v>23 Teaching and other educational professionals</v>
      </c>
      <c r="Q11" s="11">
        <v>7.2882127538216164</v>
      </c>
      <c r="R11" s="11">
        <v>8.4725641561284952</v>
      </c>
      <c r="S11" s="345">
        <f t="shared" si="4"/>
        <v>1.1843514023068789</v>
      </c>
      <c r="T11" s="345">
        <v>3.5234892981428305</v>
      </c>
      <c r="U11" s="345">
        <f t="shared" si="5"/>
        <v>4.7078407004497098</v>
      </c>
      <c r="V11" s="346">
        <f t="shared" si="6"/>
        <v>2.6640048572622366E-2</v>
      </c>
      <c r="X11" s="10" t="str">
        <f>name!B8</f>
        <v>Rest of manufacturing</v>
      </c>
      <c r="Y11" s="11">
        <v>40.414999999999914</v>
      </c>
      <c r="Z11" s="11">
        <v>35.275999999999975</v>
      </c>
      <c r="AA11" s="345">
        <f t="shared" si="7"/>
        <v>-5.138999999999939</v>
      </c>
      <c r="AB11" s="11">
        <v>15.320807418201809</v>
      </c>
      <c r="AC11" s="345">
        <f t="shared" si="8"/>
        <v>10.181807418201871</v>
      </c>
      <c r="AD11" s="348">
        <f t="shared" si="9"/>
        <v>2.1659350775251385E-2</v>
      </c>
    </row>
    <row r="12" spans="1:30" x14ac:dyDescent="0.2">
      <c r="A12" s="10" t="str">
        <f>name!D9</f>
        <v>24 Business, media and public service professionals</v>
      </c>
      <c r="B12" s="11">
        <f t="shared" si="2"/>
        <v>24.487374649426293</v>
      </c>
      <c r="C12" s="11">
        <f t="shared" si="2"/>
        <v>30.198762786552937</v>
      </c>
      <c r="D12" s="11">
        <f t="shared" si="2"/>
        <v>5.7113881371266357</v>
      </c>
      <c r="E12" s="11">
        <f t="shared" si="2"/>
        <v>13.508324936347462</v>
      </c>
      <c r="F12" s="11">
        <f t="shared" si="2"/>
        <v>19.219713073474093</v>
      </c>
      <c r="G12" s="200">
        <f t="shared" si="3"/>
        <v>2.9720790197655722E-2</v>
      </c>
      <c r="H12" s="11"/>
      <c r="I12" s="10" t="str">
        <f>name!E8</f>
        <v>Skilled trades occupations</v>
      </c>
      <c r="J12" s="11">
        <v>48.245712549332218</v>
      </c>
      <c r="K12" s="11">
        <v>43.176487519204741</v>
      </c>
      <c r="L12" s="11">
        <v>-5.0692250301274671</v>
      </c>
      <c r="M12" s="11">
        <v>19.060450173384815</v>
      </c>
      <c r="N12" s="11">
        <v>13.991225143257349</v>
      </c>
      <c r="O12" s="11"/>
      <c r="P12" s="10" t="str">
        <f>name!D9</f>
        <v>24 Business, media and public service professionals</v>
      </c>
      <c r="Q12" s="11">
        <v>12.187562212006219</v>
      </c>
      <c r="R12" s="11">
        <v>14.54266907391554</v>
      </c>
      <c r="S12" s="345">
        <f t="shared" si="4"/>
        <v>2.3551068619093218</v>
      </c>
      <c r="T12" s="345">
        <v>5.7549262525084632</v>
      </c>
      <c r="U12" s="345">
        <f t="shared" si="5"/>
        <v>8.1100331144177851</v>
      </c>
      <c r="V12" s="346">
        <f t="shared" si="6"/>
        <v>2.6118982904622001E-2</v>
      </c>
      <c r="X12" s="10" t="str">
        <f>name!B9</f>
        <v>Electricity and gas</v>
      </c>
      <c r="Y12" s="11">
        <v>5.8249999999999913</v>
      </c>
      <c r="Z12" s="11">
        <v>5.8660000000000023</v>
      </c>
      <c r="AA12" s="345">
        <f t="shared" si="7"/>
        <v>4.1000000000011028E-2</v>
      </c>
      <c r="AB12" s="11">
        <v>2.4879112630071276</v>
      </c>
      <c r="AC12" s="345">
        <f t="shared" si="8"/>
        <v>2.5289112630071386</v>
      </c>
      <c r="AD12" s="348">
        <f t="shared" si="9"/>
        <v>2.3993376877864181E-2</v>
      </c>
    </row>
    <row r="13" spans="1:30" x14ac:dyDescent="0.2">
      <c r="A13" s="10" t="str">
        <f>name!D10</f>
        <v>31 Science, engineering and technology associate professionals</v>
      </c>
      <c r="B13" s="11">
        <f t="shared" si="2"/>
        <v>10.709840510841262</v>
      </c>
      <c r="C13" s="11">
        <f t="shared" si="2"/>
        <v>9.3668808984236414</v>
      </c>
      <c r="D13" s="11">
        <f t="shared" si="2"/>
        <v>-1.3429596124176206</v>
      </c>
      <c r="E13" s="11">
        <f t="shared" si="2"/>
        <v>3.6611651701787267</v>
      </c>
      <c r="F13" s="11">
        <f t="shared" si="2"/>
        <v>2.318205557761106</v>
      </c>
      <c r="G13" s="200">
        <f t="shared" si="3"/>
        <v>1.9796719314274291E-2</v>
      </c>
      <c r="H13" s="11"/>
      <c r="I13" s="10" t="str">
        <f>name!E9</f>
        <v>Caring, leisure and other service occupations</v>
      </c>
      <c r="J13" s="11">
        <v>42.842121741005322</v>
      </c>
      <c r="K13" s="11">
        <v>46.050455885843604</v>
      </c>
      <c r="L13" s="11">
        <v>3.2083341448382829</v>
      </c>
      <c r="M13" s="11">
        <v>24.824723813725189</v>
      </c>
      <c r="N13" s="11">
        <v>28.033057958563475</v>
      </c>
      <c r="O13" s="11"/>
      <c r="P13" s="10" t="str">
        <f>name!D10</f>
        <v>31 Science, engineering and technology associate professionals</v>
      </c>
      <c r="Q13" s="11">
        <v>8.6266453818890092</v>
      </c>
      <c r="R13" s="11">
        <v>6.8404536736621671</v>
      </c>
      <c r="S13" s="345">
        <f t="shared" si="4"/>
        <v>-1.7861917082268421</v>
      </c>
      <c r="T13" s="345">
        <v>2.5082552314270119</v>
      </c>
      <c r="U13" s="345">
        <f t="shared" si="5"/>
        <v>0.72206352320016975</v>
      </c>
      <c r="V13" s="346">
        <f t="shared" si="6"/>
        <v>1.7160827903007103E-2</v>
      </c>
      <c r="X13" s="10" t="str">
        <f>name!B10</f>
        <v>Water and sewerage</v>
      </c>
      <c r="Y13" s="11">
        <v>3.5420000000000074</v>
      </c>
      <c r="Z13" s="11">
        <v>3.6000000000000028</v>
      </c>
      <c r="AA13" s="345">
        <f t="shared" si="7"/>
        <v>5.7999999999995389E-2</v>
      </c>
      <c r="AB13" s="11">
        <v>1.5903206807957369</v>
      </c>
      <c r="AC13" s="345">
        <f t="shared" si="8"/>
        <v>1.6483206807957322</v>
      </c>
      <c r="AD13" s="348">
        <f t="shared" si="9"/>
        <v>2.5032609397215744E-2</v>
      </c>
    </row>
    <row r="14" spans="1:30" x14ac:dyDescent="0.2">
      <c r="A14" s="10" t="str">
        <f>name!D11</f>
        <v>32 Health and social care associate professionals</v>
      </c>
      <c r="B14" s="11">
        <f t="shared" si="2"/>
        <v>10.403152312211876</v>
      </c>
      <c r="C14" s="11">
        <f t="shared" si="2"/>
        <v>11.167106544013864</v>
      </c>
      <c r="D14" s="11">
        <f t="shared" si="2"/>
        <v>0.7639542318019874</v>
      </c>
      <c r="E14" s="11">
        <f t="shared" si="2"/>
        <v>6.2364884498569912</v>
      </c>
      <c r="F14" s="11">
        <f t="shared" si="2"/>
        <v>7.0004426816589786</v>
      </c>
      <c r="G14" s="200">
        <f t="shared" si="3"/>
        <v>3.1807307354038805E-2</v>
      </c>
      <c r="H14" s="11"/>
      <c r="I14" s="10" t="str">
        <f>name!E10</f>
        <v>Sales and customer service occupations</v>
      </c>
      <c r="J14" s="11">
        <v>51.568261223138876</v>
      </c>
      <c r="K14" s="11">
        <v>51.915229307935121</v>
      </c>
      <c r="L14" s="11">
        <v>0.34696808479624064</v>
      </c>
      <c r="M14" s="11">
        <v>25.578999669287619</v>
      </c>
      <c r="N14" s="11">
        <v>25.92596775408386</v>
      </c>
      <c r="O14" s="11"/>
      <c r="P14" s="10" t="str">
        <f>name!D11</f>
        <v>32 Health and social care associate professionals</v>
      </c>
      <c r="Q14" s="11">
        <v>2.3972691129580945</v>
      </c>
      <c r="R14" s="11">
        <v>2.2788064345784065</v>
      </c>
      <c r="S14" s="345">
        <f t="shared" si="4"/>
        <v>-0.11846267837968805</v>
      </c>
      <c r="T14" s="345">
        <v>1.0694227217009287</v>
      </c>
      <c r="U14" s="345">
        <f t="shared" si="5"/>
        <v>0.95096004332124062</v>
      </c>
      <c r="V14" s="346">
        <f t="shared" si="6"/>
        <v>2.489623211457892E-2</v>
      </c>
      <c r="X14" s="10" t="str">
        <f>name!B11</f>
        <v>Construction</v>
      </c>
      <c r="Y14" s="11">
        <v>30.615000000000023</v>
      </c>
      <c r="Z14" s="11">
        <v>29.409999999999986</v>
      </c>
      <c r="AA14" s="345">
        <f t="shared" si="7"/>
        <v>-1.2050000000000374</v>
      </c>
      <c r="AB14" s="11">
        <v>12.250921411803006</v>
      </c>
      <c r="AC14" s="345">
        <f t="shared" si="8"/>
        <v>11.045921411802968</v>
      </c>
      <c r="AD14" s="348">
        <f t="shared" si="9"/>
        <v>2.2692787957996563E-2</v>
      </c>
    </row>
    <row r="15" spans="1:30" x14ac:dyDescent="0.2">
      <c r="A15" s="10" t="str">
        <f>name!D12</f>
        <v>33 Protective service occupations</v>
      </c>
      <c r="B15" s="11">
        <f t="shared" si="2"/>
        <v>7.0494931142783823</v>
      </c>
      <c r="C15" s="11">
        <f t="shared" si="2"/>
        <v>9.0336950732721402</v>
      </c>
      <c r="D15" s="11">
        <f t="shared" si="2"/>
        <v>1.9842019589937605</v>
      </c>
      <c r="E15" s="11">
        <f t="shared" si="2"/>
        <v>2.9452063890016458</v>
      </c>
      <c r="F15" s="11">
        <f t="shared" si="2"/>
        <v>4.9294083479954063</v>
      </c>
      <c r="G15" s="200">
        <f t="shared" si="3"/>
        <v>2.3546215169747198E-2</v>
      </c>
      <c r="H15" s="11"/>
      <c r="I15" s="10" t="str">
        <f>name!E11</f>
        <v>Process, plant and machine operatives</v>
      </c>
      <c r="J15" s="11">
        <v>35.57919068978012</v>
      </c>
      <c r="K15" s="11">
        <v>36.130893780094624</v>
      </c>
      <c r="L15" s="11">
        <v>0.55170309031450793</v>
      </c>
      <c r="M15" s="11">
        <v>16.671775901313794</v>
      </c>
      <c r="N15" s="11">
        <v>17.223478991628301</v>
      </c>
      <c r="O15" s="11"/>
      <c r="P15" s="10" t="str">
        <f>name!D12</f>
        <v>33 Protective service occupations</v>
      </c>
      <c r="Q15" s="11">
        <v>5.0789899320119778</v>
      </c>
      <c r="R15" s="11">
        <v>5.7692885267473732</v>
      </c>
      <c r="S15" s="345">
        <f t="shared" si="4"/>
        <v>0.69029859473539545</v>
      </c>
      <c r="T15" s="345">
        <v>1.5363257690562591</v>
      </c>
      <c r="U15" s="345">
        <f t="shared" si="5"/>
        <v>2.2266243637916547</v>
      </c>
      <c r="V15" s="346">
        <f t="shared" si="6"/>
        <v>1.7774459262460907E-2</v>
      </c>
      <c r="X15" s="10" t="str">
        <f>name!B12</f>
        <v>Wholesale and retail trade</v>
      </c>
      <c r="Y15" s="11">
        <v>72.056999999999917</v>
      </c>
      <c r="Z15" s="11">
        <v>71.717000000000127</v>
      </c>
      <c r="AA15" s="345">
        <f t="shared" si="7"/>
        <v>-0.33999999999979025</v>
      </c>
      <c r="AB15" s="11">
        <v>33.776530722122956</v>
      </c>
      <c r="AC15" s="345">
        <f t="shared" si="8"/>
        <v>33.436530722123166</v>
      </c>
      <c r="AD15" s="348">
        <f t="shared" si="9"/>
        <v>2.5958531357549441E-2</v>
      </c>
    </row>
    <row r="16" spans="1:30" x14ac:dyDescent="0.2">
      <c r="A16" s="10" t="str">
        <f>name!D13</f>
        <v>34 Culture, media and sports occupations</v>
      </c>
      <c r="B16" s="11">
        <f t="shared" si="2"/>
        <v>5.7208662765565483</v>
      </c>
      <c r="C16" s="11">
        <f t="shared" si="2"/>
        <v>5.9844066350434453</v>
      </c>
      <c r="D16" s="11">
        <f t="shared" si="2"/>
        <v>0.26354035848689739</v>
      </c>
      <c r="E16" s="11">
        <f t="shared" si="2"/>
        <v>2.7459772657378823</v>
      </c>
      <c r="F16" s="11">
        <f t="shared" si="2"/>
        <v>3.0095176242247796</v>
      </c>
      <c r="G16" s="200">
        <f t="shared" si="3"/>
        <v>2.6480371655336343E-2</v>
      </c>
      <c r="H16" s="11"/>
      <c r="I16" s="10" t="str">
        <f>name!E12</f>
        <v>Elementary occupations</v>
      </c>
      <c r="J16" s="11">
        <v>52.797952065548493</v>
      </c>
      <c r="K16" s="11">
        <v>49.724225750820196</v>
      </c>
      <c r="L16" s="11">
        <v>-3.0737263147283072</v>
      </c>
      <c r="M16" s="11">
        <v>23.867988353832157</v>
      </c>
      <c r="N16" s="11">
        <v>20.794262039103849</v>
      </c>
      <c r="O16" s="11"/>
      <c r="P16" s="10" t="str">
        <f>name!D13</f>
        <v>34 Culture, media and sports occupations</v>
      </c>
      <c r="Q16" s="11">
        <v>2.4569628507640457</v>
      </c>
      <c r="R16" s="11">
        <v>2.5179229348509042</v>
      </c>
      <c r="S16" s="345">
        <f t="shared" si="4"/>
        <v>6.096008408685849E-2</v>
      </c>
      <c r="T16" s="345">
        <v>0.96419172692347299</v>
      </c>
      <c r="U16" s="345">
        <f t="shared" si="5"/>
        <v>1.0251518110103315</v>
      </c>
      <c r="V16" s="346">
        <f t="shared" si="6"/>
        <v>2.2315488271324568E-2</v>
      </c>
      <c r="X16" s="10" t="str">
        <f>name!B13</f>
        <v>Transport and storage</v>
      </c>
      <c r="Y16" s="11">
        <v>27.424000000000007</v>
      </c>
      <c r="Z16" s="11">
        <v>28.280999999999995</v>
      </c>
      <c r="AA16" s="345">
        <f t="shared" si="7"/>
        <v>0.85699999999998866</v>
      </c>
      <c r="AB16" s="11">
        <v>13.143184630478952</v>
      </c>
      <c r="AC16" s="345">
        <f t="shared" si="8"/>
        <v>14.000184630478941</v>
      </c>
      <c r="AD16" s="348">
        <f t="shared" si="9"/>
        <v>2.6446389008188964E-2</v>
      </c>
    </row>
    <row r="17" spans="1:30" x14ac:dyDescent="0.2">
      <c r="A17" s="10" t="str">
        <f>name!D14</f>
        <v>35 Business and public service associate professionals</v>
      </c>
      <c r="B17" s="11">
        <f t="shared" ref="B17:F26" si="10">SUM(B46,B75,B104,B133,B162,B191,B220,B249,B278)</f>
        <v>22.193704019032303</v>
      </c>
      <c r="C17" s="11">
        <f t="shared" si="10"/>
        <v>21.866983639972322</v>
      </c>
      <c r="D17" s="11">
        <f t="shared" si="10"/>
        <v>-0.3267203790599772</v>
      </c>
      <c r="E17" s="11">
        <f t="shared" si="10"/>
        <v>9.932143281264036</v>
      </c>
      <c r="F17" s="11">
        <f t="shared" si="10"/>
        <v>9.605422902204058</v>
      </c>
      <c r="G17" s="200">
        <f t="shared" si="3"/>
        <v>2.4963311342605987E-2</v>
      </c>
      <c r="H17" s="11"/>
      <c r="O17" s="11"/>
      <c r="P17" s="10" t="str">
        <f>name!D14</f>
        <v>35 Business and public service associate professionals</v>
      </c>
      <c r="Q17" s="11">
        <v>11.079632343272831</v>
      </c>
      <c r="R17" s="11">
        <v>10.024172579650168</v>
      </c>
      <c r="S17" s="345">
        <f t="shared" si="4"/>
        <v>-1.0554597636226628</v>
      </c>
      <c r="T17" s="345">
        <v>3.8289684090916727</v>
      </c>
      <c r="U17" s="345">
        <f t="shared" si="5"/>
        <v>2.7735086454690099</v>
      </c>
      <c r="V17" s="346">
        <f t="shared" si="6"/>
        <v>1.9985745254397669E-2</v>
      </c>
      <c r="X17" s="10" t="str">
        <f>name!B14</f>
        <v>Accommodation and food</v>
      </c>
      <c r="Y17" s="11">
        <v>33.931000000000061</v>
      </c>
      <c r="Z17" s="11">
        <v>39.093999999999973</v>
      </c>
      <c r="AA17" s="345">
        <f t="shared" si="7"/>
        <v>5.1629999999999114</v>
      </c>
      <c r="AB17" s="11">
        <v>18.758824291344315</v>
      </c>
      <c r="AC17" s="345">
        <f t="shared" si="8"/>
        <v>23.921824291344226</v>
      </c>
      <c r="AD17" s="348">
        <f t="shared" si="9"/>
        <v>2.9774198285986486E-2</v>
      </c>
    </row>
    <row r="18" spans="1:30" x14ac:dyDescent="0.2">
      <c r="A18" s="10" t="str">
        <f>name!D15</f>
        <v>41 Administrative occupations</v>
      </c>
      <c r="B18" s="11">
        <f t="shared" si="10"/>
        <v>44.153660141328707</v>
      </c>
      <c r="C18" s="11">
        <f t="shared" si="10"/>
        <v>37.996794001250016</v>
      </c>
      <c r="D18" s="11">
        <f t="shared" si="10"/>
        <v>-6.1568661400786944</v>
      </c>
      <c r="E18" s="11">
        <f t="shared" si="10"/>
        <v>20.052753489846818</v>
      </c>
      <c r="F18" s="11">
        <f t="shared" si="10"/>
        <v>13.895887349768119</v>
      </c>
      <c r="G18" s="200">
        <f t="shared" si="3"/>
        <v>2.5275973406280183E-2</v>
      </c>
      <c r="H18" s="11"/>
      <c r="I18" s="87" t="str">
        <f>name!F4</f>
        <v>RQF8 Doctorate</v>
      </c>
      <c r="J18" s="11"/>
      <c r="K18" s="11"/>
      <c r="L18" s="11"/>
      <c r="M18" s="11"/>
      <c r="N18" s="11"/>
      <c r="O18" s="11"/>
      <c r="P18" s="10" t="str">
        <f>name!D15</f>
        <v>41 Administrative occupations</v>
      </c>
      <c r="Q18" s="11">
        <v>14.604987514178681</v>
      </c>
      <c r="R18" s="11">
        <v>15.071019098243234</v>
      </c>
      <c r="S18" s="345">
        <f t="shared" si="4"/>
        <v>0.46603158406455236</v>
      </c>
      <c r="T18" s="345">
        <v>5.3391317615468914</v>
      </c>
      <c r="U18" s="345">
        <f t="shared" si="5"/>
        <v>5.8051633456114438</v>
      </c>
      <c r="V18" s="346">
        <f t="shared" si="6"/>
        <v>2.0988643688328201E-2</v>
      </c>
      <c r="X18" s="10" t="str">
        <f>name!B15</f>
        <v>Media</v>
      </c>
      <c r="Y18" s="11">
        <v>2.8960000000000048</v>
      </c>
      <c r="Z18" s="11">
        <v>2.8879999999999977</v>
      </c>
      <c r="AA18" s="345">
        <f t="shared" si="7"/>
        <v>-8.0000000000071125E-3</v>
      </c>
      <c r="AB18" s="11">
        <v>1.4228109865856773</v>
      </c>
      <c r="AC18" s="345">
        <f t="shared" si="8"/>
        <v>1.4148109865856702</v>
      </c>
      <c r="AD18" s="348">
        <f t="shared" si="9"/>
        <v>2.7001416649267806E-2</v>
      </c>
    </row>
    <row r="19" spans="1:30" x14ac:dyDescent="0.2">
      <c r="A19" s="10" t="str">
        <f>name!D16</f>
        <v>42 Secretarial and related occupations</v>
      </c>
      <c r="B19" s="11">
        <f t="shared" si="10"/>
        <v>8.3494356737237485</v>
      </c>
      <c r="C19" s="11">
        <f t="shared" si="10"/>
        <v>7.8718020155096191</v>
      </c>
      <c r="D19" s="11">
        <f t="shared" si="10"/>
        <v>-0.47763365821412962</v>
      </c>
      <c r="E19" s="11">
        <f t="shared" si="10"/>
        <v>4.6378219525536162</v>
      </c>
      <c r="F19" s="11">
        <f t="shared" si="10"/>
        <v>4.1601882943394859</v>
      </c>
      <c r="G19" s="200">
        <f t="shared" si="3"/>
        <v>2.9889638525960827E-2</v>
      </c>
      <c r="H19" s="11"/>
      <c r="I19" s="11" t="str">
        <f t="shared" ref="I19:I27" si="11">I8</f>
        <v>Managers, directors and senior officials</v>
      </c>
      <c r="J19" s="11">
        <f t="array" ref="J19:J27">MMULT(aggregation!$B$13:$AA$21,B36:B61)</f>
        <v>0.38471351717075386</v>
      </c>
      <c r="K19" s="11">
        <f t="array" ref="K19:K27">MMULT(aggregation!$B$13:$AA$21,C36:C61)</f>
        <v>0.65793191262708972</v>
      </c>
      <c r="L19" s="11">
        <f t="array" ref="L19:L27">MMULT(aggregation!$B$13:$AA$21,D36:D61)</f>
        <v>0.27321839545633575</v>
      </c>
      <c r="M19" s="11">
        <f t="array" ref="M19:M27">MMULT(aggregation!$B$13:$AA$21,E36:E61)</f>
        <v>0.31571930886338495</v>
      </c>
      <c r="N19" s="11">
        <f t="array" ref="N19:N27">MMULT(aggregation!$B$13:$AA$21,F36:F61)</f>
        <v>0.58893770431972081</v>
      </c>
      <c r="O19" s="11"/>
      <c r="P19" s="10" t="str">
        <f>name!D16</f>
        <v>42 Secretarial and related occupations</v>
      </c>
      <c r="Q19" s="11">
        <v>0.44943806829681276</v>
      </c>
      <c r="R19" s="11">
        <v>0.77676399424384424</v>
      </c>
      <c r="S19" s="345">
        <f t="shared" si="4"/>
        <v>0.32732592594703147</v>
      </c>
      <c r="T19" s="345">
        <v>0.22530390304247921</v>
      </c>
      <c r="U19" s="345">
        <f t="shared" si="5"/>
        <v>0.55262982898951063</v>
      </c>
      <c r="V19" s="346">
        <f t="shared" si="6"/>
        <v>2.745905678753191E-2</v>
      </c>
      <c r="X19" s="10" t="str">
        <f>name!B16</f>
        <v>Information technology</v>
      </c>
      <c r="Y19" s="11">
        <v>5.6369999999999907</v>
      </c>
      <c r="Z19" s="11">
        <v>6.7169999999999943</v>
      </c>
      <c r="AA19" s="345">
        <f t="shared" si="7"/>
        <v>1.0800000000000036</v>
      </c>
      <c r="AB19" s="11">
        <v>2.6869738981379618</v>
      </c>
      <c r="AC19" s="345">
        <f t="shared" si="8"/>
        <v>3.7669738981379655</v>
      </c>
      <c r="AD19" s="348">
        <f t="shared" si="9"/>
        <v>2.6326426788570112E-2</v>
      </c>
    </row>
    <row r="20" spans="1:30" x14ac:dyDescent="0.2">
      <c r="A20" s="10" t="str">
        <f>name!D17</f>
        <v>51 Skilled agricultural and related trades</v>
      </c>
      <c r="B20" s="11">
        <f t="shared" si="10"/>
        <v>3.9137663619264504</v>
      </c>
      <c r="C20" s="11">
        <f t="shared" si="10"/>
        <v>4.3882264054856179</v>
      </c>
      <c r="D20" s="11">
        <f t="shared" si="10"/>
        <v>0.47446004355916793</v>
      </c>
      <c r="E20" s="11">
        <f t="shared" si="10"/>
        <v>2.283254796446442</v>
      </c>
      <c r="F20" s="11">
        <f t="shared" si="10"/>
        <v>2.75771484000561</v>
      </c>
      <c r="G20" s="200">
        <f t="shared" si="3"/>
        <v>3.1112073623712044E-2</v>
      </c>
      <c r="H20" s="11"/>
      <c r="I20" s="11" t="str">
        <f t="shared" si="11"/>
        <v>Professional occupations</v>
      </c>
      <c r="J20" s="11">
        <v>4.8713618499748339</v>
      </c>
      <c r="K20" s="11">
        <v>7.353889098931349</v>
      </c>
      <c r="L20" s="11">
        <v>2.4825272489565147</v>
      </c>
      <c r="M20" s="11">
        <v>3.1498029259591434</v>
      </c>
      <c r="N20" s="11">
        <v>5.6323301749156585</v>
      </c>
      <c r="O20" s="11"/>
      <c r="P20" s="10" t="str">
        <f>name!D17</f>
        <v>51 Skilled agricultural and related trades</v>
      </c>
      <c r="Q20" s="11">
        <v>3.1163793860498887</v>
      </c>
      <c r="R20" s="11">
        <v>3.3493576756243195</v>
      </c>
      <c r="S20" s="345">
        <f t="shared" si="4"/>
        <v>0.23297828957443079</v>
      </c>
      <c r="T20" s="345">
        <v>1.6426863786140786</v>
      </c>
      <c r="U20" s="345">
        <f t="shared" si="5"/>
        <v>1.8756646681885094</v>
      </c>
      <c r="V20" s="346">
        <f t="shared" si="6"/>
        <v>2.8627408501604501E-2</v>
      </c>
      <c r="X20" s="10" t="str">
        <f>name!B17</f>
        <v>Finance and insurance</v>
      </c>
      <c r="Y20" s="11">
        <v>7.9720000000000066</v>
      </c>
      <c r="Z20" s="11">
        <v>8.2010000000000023</v>
      </c>
      <c r="AA20" s="345">
        <f t="shared" si="7"/>
        <v>0.22899999999999565</v>
      </c>
      <c r="AB20" s="11">
        <v>4.0462919023188268</v>
      </c>
      <c r="AC20" s="345">
        <f t="shared" si="8"/>
        <v>4.2752919023188225</v>
      </c>
      <c r="AD20" s="348">
        <f t="shared" si="9"/>
        <v>2.7744190494320309E-2</v>
      </c>
    </row>
    <row r="21" spans="1:30" x14ac:dyDescent="0.2">
      <c r="A21" s="10" t="str">
        <f>name!D18</f>
        <v>52 Skilled metal, electrical and electronic trades</v>
      </c>
      <c r="B21" s="11">
        <f t="shared" si="10"/>
        <v>19.815366010453925</v>
      </c>
      <c r="C21" s="11">
        <f t="shared" si="10"/>
        <v>16.745561719909389</v>
      </c>
      <c r="D21" s="11">
        <f t="shared" si="10"/>
        <v>-3.0698042905445364</v>
      </c>
      <c r="E21" s="11">
        <f t="shared" si="10"/>
        <v>6.7622557130528973</v>
      </c>
      <c r="F21" s="11">
        <f t="shared" si="10"/>
        <v>3.69245142250836</v>
      </c>
      <c r="G21" s="200">
        <f t="shared" si="3"/>
        <v>1.9766954302397943E-2</v>
      </c>
      <c r="H21" s="11"/>
      <c r="I21" s="11" t="str">
        <f t="shared" si="11"/>
        <v>Associate professional occupations</v>
      </c>
      <c r="J21" s="11">
        <v>0.48939615114344326</v>
      </c>
      <c r="K21" s="11">
        <v>0.73427862442336578</v>
      </c>
      <c r="L21" s="11">
        <v>0.24488247327992252</v>
      </c>
      <c r="M21" s="11">
        <v>0.32305156208077029</v>
      </c>
      <c r="N21" s="11">
        <v>0.56793403536069287</v>
      </c>
      <c r="O21" s="11"/>
      <c r="P21" s="10" t="str">
        <f>name!D18</f>
        <v>52 Skilled metal, electrical and electronic trades</v>
      </c>
      <c r="Q21" s="11">
        <v>19.543006807047067</v>
      </c>
      <c r="R21" s="11">
        <v>15.915944266502725</v>
      </c>
      <c r="S21" s="345">
        <f t="shared" si="4"/>
        <v>-3.6270625405443422</v>
      </c>
      <c r="T21" s="345">
        <v>6.3784774196712899</v>
      </c>
      <c r="U21" s="345">
        <f t="shared" si="5"/>
        <v>2.7514148791269477</v>
      </c>
      <c r="V21" s="346">
        <f t="shared" si="6"/>
        <v>1.9008716135975545E-2</v>
      </c>
      <c r="X21" s="10" t="str">
        <f>name!B18</f>
        <v>Real estate</v>
      </c>
      <c r="Y21" s="11">
        <v>6.7819999999999885</v>
      </c>
      <c r="Z21" s="11">
        <v>7.8439999999999861</v>
      </c>
      <c r="AA21" s="345">
        <f t="shared" si="7"/>
        <v>1.0619999999999976</v>
      </c>
      <c r="AB21" s="11">
        <v>3.5335779298502934</v>
      </c>
      <c r="AC21" s="345">
        <f t="shared" si="8"/>
        <v>4.5955779298502915</v>
      </c>
      <c r="AD21" s="348">
        <f t="shared" si="9"/>
        <v>2.8353392816768297E-2</v>
      </c>
    </row>
    <row r="22" spans="1:30" x14ac:dyDescent="0.2">
      <c r="A22" s="10" t="str">
        <f>name!D19</f>
        <v>53 Skilled construction and building trades</v>
      </c>
      <c r="B22" s="11">
        <f t="shared" si="10"/>
        <v>16.08769129935639</v>
      </c>
      <c r="C22" s="11">
        <f t="shared" si="10"/>
        <v>14.220772873886743</v>
      </c>
      <c r="D22" s="11">
        <f t="shared" si="10"/>
        <v>-1.8669184254696436</v>
      </c>
      <c r="E22" s="11">
        <f t="shared" si="10"/>
        <v>6.3752923673231559</v>
      </c>
      <c r="F22" s="11">
        <f t="shared" si="10"/>
        <v>4.5083739418535131</v>
      </c>
      <c r="G22" s="200">
        <f t="shared" si="3"/>
        <v>2.2503761853130522E-2</v>
      </c>
      <c r="H22" s="11"/>
      <c r="I22" s="11" t="str">
        <f t="shared" si="11"/>
        <v>Administrative and secretarial occupations</v>
      </c>
      <c r="J22" s="11">
        <v>0.22286635752091777</v>
      </c>
      <c r="K22" s="11">
        <v>0.31104965513558658</v>
      </c>
      <c r="L22" s="11">
        <v>8.8183297614668837E-2</v>
      </c>
      <c r="M22" s="11">
        <v>0.1514127452322713</v>
      </c>
      <c r="N22" s="11">
        <v>0.23959604284694014</v>
      </c>
      <c r="O22" s="11"/>
      <c r="P22" s="10" t="str">
        <f>name!D19</f>
        <v>53 Skilled construction and building trades</v>
      </c>
      <c r="Q22" s="11">
        <v>15.636638571163395</v>
      </c>
      <c r="R22" s="11">
        <v>13.676851141139826</v>
      </c>
      <c r="S22" s="345">
        <f t="shared" si="4"/>
        <v>-1.9597874300235691</v>
      </c>
      <c r="T22" s="345">
        <v>6.1000098918836709</v>
      </c>
      <c r="U22" s="345">
        <f t="shared" si="5"/>
        <v>4.1402224618601018</v>
      </c>
      <c r="V22" s="346">
        <f t="shared" si="6"/>
        <v>2.220173147841864E-2</v>
      </c>
      <c r="X22" s="10" t="str">
        <f>name!B19</f>
        <v>Professional services</v>
      </c>
      <c r="Y22" s="11">
        <v>23.094000000000012</v>
      </c>
      <c r="Z22" s="11">
        <v>25.574999999999996</v>
      </c>
      <c r="AA22" s="345">
        <f t="shared" si="7"/>
        <v>2.4809999999999839</v>
      </c>
      <c r="AB22" s="11">
        <v>11.645469903355512</v>
      </c>
      <c r="AC22" s="345">
        <f t="shared" si="8"/>
        <v>14.126469903355495</v>
      </c>
      <c r="AD22" s="348">
        <f t="shared" si="9"/>
        <v>2.7594099153573248E-2</v>
      </c>
    </row>
    <row r="23" spans="1:30" x14ac:dyDescent="0.2">
      <c r="A23" s="10" t="str">
        <f>name!D20</f>
        <v>54 Textiles, printing and other skilled trades</v>
      </c>
      <c r="B23" s="11">
        <f t="shared" si="10"/>
        <v>8.4288888775954494</v>
      </c>
      <c r="C23" s="11">
        <f t="shared" si="10"/>
        <v>7.821926519922993</v>
      </c>
      <c r="D23" s="11">
        <f t="shared" si="10"/>
        <v>-0.60696235767245554</v>
      </c>
      <c r="E23" s="11">
        <f t="shared" si="10"/>
        <v>3.6396472965623197</v>
      </c>
      <c r="F23" s="11">
        <f t="shared" si="10"/>
        <v>3.0326849388898642</v>
      </c>
      <c r="G23" s="200">
        <f t="shared" si="3"/>
        <v>2.4217718229027518E-2</v>
      </c>
      <c r="H23" s="11"/>
      <c r="I23" s="11" t="str">
        <f t="shared" si="11"/>
        <v>Skilled trades occupations</v>
      </c>
      <c r="J23" s="11">
        <v>4.2806960850947616E-2</v>
      </c>
      <c r="K23" s="11">
        <v>6.7880281840305007E-2</v>
      </c>
      <c r="L23" s="11">
        <v>2.5073320989357398E-2</v>
      </c>
      <c r="M23" s="11">
        <v>3.2242396935431433E-2</v>
      </c>
      <c r="N23" s="11">
        <v>5.7315717924788831E-2</v>
      </c>
      <c r="O23" s="11"/>
      <c r="P23" s="10" t="str">
        <f>name!D20</f>
        <v>54 Textiles, printing and other skilled trades</v>
      </c>
      <c r="Q23" s="11">
        <v>4.5010162651839343</v>
      </c>
      <c r="R23" s="11">
        <v>4.1246658412074204</v>
      </c>
      <c r="S23" s="345">
        <f t="shared" si="4"/>
        <v>-0.37635042397651386</v>
      </c>
      <c r="T23" s="345">
        <v>1.3404564802195176</v>
      </c>
      <c r="U23" s="345">
        <f t="shared" si="5"/>
        <v>0.96410605624300372</v>
      </c>
      <c r="V23" s="346">
        <f t="shared" si="6"/>
        <v>1.7530536615023795E-2</v>
      </c>
      <c r="X23" s="10" t="str">
        <f>name!B20</f>
        <v>Support services</v>
      </c>
      <c r="Y23" s="11">
        <v>35.190000000000062</v>
      </c>
      <c r="Z23" s="11">
        <v>37.686999999999948</v>
      </c>
      <c r="AA23" s="345">
        <f t="shared" si="7"/>
        <v>2.4969999999998862</v>
      </c>
      <c r="AB23" s="11">
        <v>16.810078010001888</v>
      </c>
      <c r="AC23" s="345">
        <f t="shared" si="8"/>
        <v>19.307078010001774</v>
      </c>
      <c r="AD23" s="348">
        <f t="shared" si="9"/>
        <v>2.6374015483570545E-2</v>
      </c>
    </row>
    <row r="24" spans="1:30" x14ac:dyDescent="0.2">
      <c r="A24" s="10" t="str">
        <f>name!D21</f>
        <v>61 Caring personal service occupations</v>
      </c>
      <c r="B24" s="11">
        <f t="shared" si="10"/>
        <v>31.61017992152669</v>
      </c>
      <c r="C24" s="11">
        <f t="shared" si="10"/>
        <v>34.878615994605497</v>
      </c>
      <c r="D24" s="11">
        <f t="shared" si="10"/>
        <v>3.2684360730788087</v>
      </c>
      <c r="E24" s="11">
        <f t="shared" si="10"/>
        <v>19.192002656081087</v>
      </c>
      <c r="F24" s="11">
        <f t="shared" si="10"/>
        <v>22.460438729159897</v>
      </c>
      <c r="G24" s="200">
        <f t="shared" si="3"/>
        <v>3.2136239443255166E-2</v>
      </c>
      <c r="H24" s="11"/>
      <c r="I24" s="11" t="str">
        <f t="shared" si="11"/>
        <v>Caring, leisure and other service occupations</v>
      </c>
      <c r="J24" s="11">
        <v>3.0278431619923021E-2</v>
      </c>
      <c r="K24" s="11">
        <v>4.991554348986748E-2</v>
      </c>
      <c r="L24" s="11">
        <v>1.9637111869944449E-2</v>
      </c>
      <c r="M24" s="11">
        <v>2.4893468512764784E-2</v>
      </c>
      <c r="N24" s="11">
        <v>4.4530580382709233E-2</v>
      </c>
      <c r="O24" s="11"/>
      <c r="P24" s="10" t="str">
        <f>name!D21</f>
        <v>61 Caring personal service occupations</v>
      </c>
      <c r="Q24" s="11">
        <v>4.073021279148481</v>
      </c>
      <c r="R24" s="11">
        <v>5.5155253762279699</v>
      </c>
      <c r="S24" s="345">
        <f t="shared" si="4"/>
        <v>1.4425040970794889</v>
      </c>
      <c r="T24" s="345">
        <v>2.1937721232145733</v>
      </c>
      <c r="U24" s="345">
        <f t="shared" si="5"/>
        <v>3.6362762202940622</v>
      </c>
      <c r="V24" s="346">
        <f t="shared" si="6"/>
        <v>2.9141867641342634E-2</v>
      </c>
      <c r="X24" s="10" t="str">
        <f>name!B21</f>
        <v>Public admin. and defence</v>
      </c>
      <c r="Y24" s="11">
        <v>31.607000000000031</v>
      </c>
      <c r="Z24" s="11">
        <v>30.647000000000016</v>
      </c>
      <c r="AA24" s="345">
        <f t="shared" si="7"/>
        <v>-0.96000000000001506</v>
      </c>
      <c r="AB24" s="11">
        <v>15.339159915716968</v>
      </c>
      <c r="AC24" s="345">
        <f t="shared" si="8"/>
        <v>14.379159915716953</v>
      </c>
      <c r="AD24" s="348">
        <f t="shared" si="9"/>
        <v>2.6725747664953836E-2</v>
      </c>
    </row>
    <row r="25" spans="1:30" x14ac:dyDescent="0.2">
      <c r="A25" s="10" t="str">
        <f>name!D22</f>
        <v>62 Leisure, travel and related personal service occupations</v>
      </c>
      <c r="B25" s="11">
        <f t="shared" si="10"/>
        <v>10.590117171876653</v>
      </c>
      <c r="C25" s="11">
        <f t="shared" si="10"/>
        <v>10.611845266662309</v>
      </c>
      <c r="D25" s="11">
        <f t="shared" si="10"/>
        <v>2.1728094785657348E-2</v>
      </c>
      <c r="E25" s="11">
        <f t="shared" si="10"/>
        <v>5.3628239277546745</v>
      </c>
      <c r="F25" s="11">
        <f t="shared" si="10"/>
        <v>5.3845520225403325</v>
      </c>
      <c r="G25" s="200">
        <f t="shared" si="3"/>
        <v>2.769126791131038E-2</v>
      </c>
      <c r="H25" s="11"/>
      <c r="I25" s="11" t="str">
        <f t="shared" si="11"/>
        <v>Sales and customer service occupations</v>
      </c>
      <c r="J25" s="11">
        <v>8.4852913767903729E-2</v>
      </c>
      <c r="K25" s="11">
        <v>0.13933898113992305</v>
      </c>
      <c r="L25" s="11">
        <v>5.4486067372019331E-2</v>
      </c>
      <c r="M25" s="11">
        <v>5.9524128144516339E-2</v>
      </c>
      <c r="N25" s="11">
        <v>0.11401019551653568</v>
      </c>
      <c r="O25" s="11"/>
      <c r="P25" s="10" t="str">
        <f>name!D22</f>
        <v>62 Leisure, travel and related personal service occupations</v>
      </c>
      <c r="Q25" s="11">
        <v>3.3537100397346249</v>
      </c>
      <c r="R25" s="11">
        <v>3.4842695685751388</v>
      </c>
      <c r="S25" s="345">
        <f t="shared" si="4"/>
        <v>0.13055952884051392</v>
      </c>
      <c r="T25" s="345">
        <v>1.3884643988927041</v>
      </c>
      <c r="U25" s="345">
        <f t="shared" si="5"/>
        <v>1.519023927733218</v>
      </c>
      <c r="V25" s="346">
        <f t="shared" si="6"/>
        <v>2.3363997723074625E-2</v>
      </c>
      <c r="X25" s="10" t="str">
        <f>name!B22</f>
        <v>Education</v>
      </c>
      <c r="Y25" s="11">
        <v>43.000999999999983</v>
      </c>
      <c r="Z25" s="11">
        <v>47.142000000000053</v>
      </c>
      <c r="AA25" s="345">
        <f t="shared" si="7"/>
        <v>4.1410000000000693</v>
      </c>
      <c r="AB25" s="11">
        <v>24.145153776077379</v>
      </c>
      <c r="AC25" s="345">
        <f t="shared" si="8"/>
        <v>28.286153776077448</v>
      </c>
      <c r="AD25" s="348">
        <f t="shared" si="9"/>
        <v>3.015562679109296E-2</v>
      </c>
    </row>
    <row r="26" spans="1:30" x14ac:dyDescent="0.2">
      <c r="A26" s="10" t="str">
        <f>name!D23</f>
        <v>63 Community and civil enforcement occupations</v>
      </c>
      <c r="B26" s="11">
        <f t="shared" si="10"/>
        <v>0.64182464760198232</v>
      </c>
      <c r="C26" s="11">
        <f t="shared" si="10"/>
        <v>0.55999462457579874</v>
      </c>
      <c r="D26" s="11">
        <f t="shared" si="10"/>
        <v>-8.1830023026183404E-2</v>
      </c>
      <c r="E26" s="11">
        <f t="shared" si="10"/>
        <v>0.26989722988942771</v>
      </c>
      <c r="F26" s="11">
        <f t="shared" si="10"/>
        <v>0.18806720686324435</v>
      </c>
      <c r="G26" s="200">
        <f t="shared" si="3"/>
        <v>2.3677282896400698E-2</v>
      </c>
      <c r="H26" s="11"/>
      <c r="I26" s="11" t="str">
        <f t="shared" si="11"/>
        <v>Process, plant and machine operatives</v>
      </c>
      <c r="J26" s="11">
        <v>5.7504250305075916E-2</v>
      </c>
      <c r="K26" s="11">
        <v>0.13702110406456891</v>
      </c>
      <c r="L26" s="11">
        <v>7.9516853759492995E-2</v>
      </c>
      <c r="M26" s="11">
        <v>5.9192025152345701E-2</v>
      </c>
      <c r="N26" s="11">
        <v>0.1387088789118387</v>
      </c>
      <c r="O26" s="11"/>
      <c r="P26" s="10" t="str">
        <f>name!D23</f>
        <v>63 Community and civil enforcement occupations</v>
      </c>
      <c r="Q26" s="11">
        <v>0.48493449544185557</v>
      </c>
      <c r="R26" s="11">
        <v>0.3568189480631539</v>
      </c>
      <c r="S26" s="345">
        <f t="shared" si="4"/>
        <v>-0.12811554737870168</v>
      </c>
      <c r="T26" s="345">
        <v>0.13714100799867437</v>
      </c>
      <c r="U26" s="345">
        <f t="shared" si="5"/>
        <v>9.0254606199726972E-3</v>
      </c>
      <c r="V26" s="346">
        <f t="shared" si="6"/>
        <v>1.6741775582575391E-2</v>
      </c>
      <c r="X26" s="10" t="str">
        <f>name!B23</f>
        <v>Health and social work</v>
      </c>
      <c r="Y26" s="11">
        <v>65.835999999999956</v>
      </c>
      <c r="Z26" s="11">
        <v>72.47699999999999</v>
      </c>
      <c r="AA26" s="345">
        <f t="shared" si="7"/>
        <v>6.6410000000000338</v>
      </c>
      <c r="AB26" s="11">
        <v>39.096187161621579</v>
      </c>
      <c r="AC26" s="345">
        <f t="shared" si="8"/>
        <v>45.737187161621613</v>
      </c>
      <c r="AD26" s="348">
        <f t="shared" si="9"/>
        <v>3.1564415805681367E-2</v>
      </c>
    </row>
    <row r="27" spans="1:30" x14ac:dyDescent="0.2">
      <c r="A27" s="10" t="str">
        <f>name!D24</f>
        <v>71 Sales occupations</v>
      </c>
      <c r="B27" s="11">
        <f t="shared" ref="B27:F33" si="12">SUM(B56,B85,B114,B143,B172,B201,B230,B259,B288)</f>
        <v>42.678069113602035</v>
      </c>
      <c r="C27" s="11">
        <f t="shared" si="12"/>
        <v>38.750591491417318</v>
      </c>
      <c r="D27" s="11">
        <f t="shared" si="12"/>
        <v>-3.9274776221847247</v>
      </c>
      <c r="E27" s="11">
        <f t="shared" si="12"/>
        <v>20.151986000600566</v>
      </c>
      <c r="F27" s="11">
        <f t="shared" si="12"/>
        <v>16.224508378415841</v>
      </c>
      <c r="G27" s="200">
        <f t="shared" si="3"/>
        <v>2.6118486447177292E-2</v>
      </c>
      <c r="H27" s="11"/>
      <c r="I27" s="11" t="str">
        <f t="shared" si="11"/>
        <v>Elementary occupations</v>
      </c>
      <c r="J27" s="11">
        <v>3.53434737895209E-2</v>
      </c>
      <c r="K27" s="11">
        <v>6.3117452188750034E-2</v>
      </c>
      <c r="L27" s="11">
        <v>2.777397839922913E-2</v>
      </c>
      <c r="M27" s="11">
        <v>3.0510430658165978E-2</v>
      </c>
      <c r="N27" s="11">
        <v>5.8284409057395112E-2</v>
      </c>
      <c r="O27" s="11"/>
      <c r="P27" s="10" t="str">
        <f>name!D24</f>
        <v>71 Sales occupations</v>
      </c>
      <c r="Q27" s="11">
        <v>13.617463359659922</v>
      </c>
      <c r="R27" s="11">
        <v>12.78662373081189</v>
      </c>
      <c r="S27" s="345">
        <f t="shared" si="4"/>
        <v>-0.83083962884803242</v>
      </c>
      <c r="T27" s="345">
        <v>4.3482916443685395</v>
      </c>
      <c r="U27" s="345">
        <f t="shared" si="5"/>
        <v>3.5174520155205071</v>
      </c>
      <c r="V27" s="346">
        <f t="shared" si="6"/>
        <v>1.8645999279697678E-2</v>
      </c>
      <c r="X27" s="10" t="str">
        <f>name!B24</f>
        <v>Arts and entertainment</v>
      </c>
      <c r="Y27" s="11">
        <v>12.614999999999977</v>
      </c>
      <c r="Z27" s="11">
        <v>14.023000000000003</v>
      </c>
      <c r="AA27" s="345">
        <f t="shared" si="7"/>
        <v>1.4080000000000261</v>
      </c>
      <c r="AB27" s="11">
        <v>6.3823301195743269</v>
      </c>
      <c r="AC27" s="345">
        <f t="shared" si="8"/>
        <v>7.7903301195743531</v>
      </c>
      <c r="AD27" s="348">
        <f t="shared" si="9"/>
        <v>2.7670021225426167E-2</v>
      </c>
    </row>
    <row r="28" spans="1:30" x14ac:dyDescent="0.2">
      <c r="A28" s="10" t="str">
        <f>name!D25</f>
        <v>72 Customer service occupations</v>
      </c>
      <c r="B28" s="11">
        <f t="shared" si="12"/>
        <v>8.8901921095368373</v>
      </c>
      <c r="C28" s="11">
        <f t="shared" si="12"/>
        <v>13.164637816517804</v>
      </c>
      <c r="D28" s="11">
        <f t="shared" si="12"/>
        <v>4.2744457069809654</v>
      </c>
      <c r="E28" s="11">
        <f t="shared" si="12"/>
        <v>5.427013668687052</v>
      </c>
      <c r="F28" s="11">
        <f t="shared" si="12"/>
        <v>9.7014593756680192</v>
      </c>
      <c r="G28" s="200">
        <f t="shared" si="3"/>
        <v>3.2277531823373673E-2</v>
      </c>
      <c r="H28" s="11"/>
      <c r="O28" s="11"/>
      <c r="P28" s="10" t="str">
        <f>name!D25</f>
        <v>72 Customer service occupations</v>
      </c>
      <c r="Q28" s="11">
        <v>3.5640384270467584</v>
      </c>
      <c r="R28" s="11">
        <v>5.8641553041922387</v>
      </c>
      <c r="S28" s="345">
        <f t="shared" si="4"/>
        <v>2.3001168771454803</v>
      </c>
      <c r="T28" s="345">
        <v>1.7285764011537963</v>
      </c>
      <c r="U28" s="345">
        <f t="shared" si="5"/>
        <v>4.0286932782992766</v>
      </c>
      <c r="V28" s="346">
        <f t="shared" si="6"/>
        <v>2.671173858832776E-2</v>
      </c>
      <c r="X28" s="10" t="str">
        <f>name!B25</f>
        <v>Other services</v>
      </c>
      <c r="Y28" s="11">
        <v>13.376000000000015</v>
      </c>
      <c r="Z28" s="11">
        <v>10.162000000000006</v>
      </c>
      <c r="AA28" s="345">
        <f t="shared" si="7"/>
        <v>-3.2140000000000093</v>
      </c>
      <c r="AB28" s="11">
        <v>5.5966723875504067</v>
      </c>
      <c r="AC28" s="345">
        <f t="shared" si="8"/>
        <v>2.3826723875503975</v>
      </c>
      <c r="AD28" s="348">
        <f t="shared" si="9"/>
        <v>2.3576130782027249E-2</v>
      </c>
    </row>
    <row r="29" spans="1:30" x14ac:dyDescent="0.2">
      <c r="A29" s="10" t="str">
        <f>name!D26</f>
        <v>81 Process, plant and machine operatives</v>
      </c>
      <c r="B29" s="11">
        <f t="shared" si="12"/>
        <v>16.493271233190928</v>
      </c>
      <c r="C29" s="11">
        <f t="shared" si="12"/>
        <v>18.228830196942482</v>
      </c>
      <c r="D29" s="11">
        <f t="shared" si="12"/>
        <v>1.7355589637515527</v>
      </c>
      <c r="E29" s="11">
        <f t="shared" si="12"/>
        <v>7.0373090229278628</v>
      </c>
      <c r="F29" s="11">
        <f t="shared" si="12"/>
        <v>8.7728679866794153</v>
      </c>
      <c r="G29" s="200">
        <f t="shared" si="3"/>
        <v>2.3972725765595504E-2</v>
      </c>
      <c r="H29" s="11"/>
      <c r="I29" s="87" t="str">
        <f>name!F5</f>
        <v>RQF7 Other higher degree</v>
      </c>
      <c r="J29" s="11"/>
      <c r="K29" s="11"/>
      <c r="L29" s="11"/>
      <c r="M29" s="11"/>
      <c r="N29" s="11"/>
      <c r="O29" s="11"/>
      <c r="P29" s="10" t="str">
        <f>name!D26</f>
        <v>81 Process, plant and machine operatives</v>
      </c>
      <c r="Q29" s="11">
        <v>13.571436767463242</v>
      </c>
      <c r="R29" s="11">
        <v>15.045739385707581</v>
      </c>
      <c r="S29" s="345">
        <f t="shared" si="4"/>
        <v>1.4743026182443391</v>
      </c>
      <c r="T29" s="345">
        <v>5.4341536127781245</v>
      </c>
      <c r="U29" s="345">
        <f t="shared" si="5"/>
        <v>6.9084562310224635</v>
      </c>
      <c r="V29" s="346">
        <f t="shared" si="6"/>
        <v>2.2704976301036739E-2</v>
      </c>
      <c r="X29" s="231" t="str">
        <f>name!B3</f>
        <v>All industries</v>
      </c>
      <c r="Y29" s="34">
        <f>SUM(Y7:Y28)</f>
        <v>478.92599999999993</v>
      </c>
      <c r="Z29" s="34">
        <f>SUM(Z7:Z28)</f>
        <v>492.77800000000002</v>
      </c>
      <c r="AA29" s="349">
        <f t="shared" si="7"/>
        <v>13.852000000000089</v>
      </c>
      <c r="AB29" s="34">
        <f>SUM(AB7:AB28)</f>
        <v>235.37581402990457</v>
      </c>
      <c r="AC29" s="349">
        <f t="shared" si="8"/>
        <v>249.22781402990466</v>
      </c>
      <c r="AD29" s="350">
        <f t="shared" si="9"/>
        <v>2.7008936348872803E-2</v>
      </c>
    </row>
    <row r="30" spans="1:30" x14ac:dyDescent="0.2">
      <c r="A30" s="10" t="str">
        <f>name!D27</f>
        <v>82 Transport and mobile machine drivers and operatives</v>
      </c>
      <c r="B30" s="11">
        <f t="shared" si="12"/>
        <v>19.085919456589188</v>
      </c>
      <c r="C30" s="11">
        <f t="shared" si="12"/>
        <v>17.902063583152142</v>
      </c>
      <c r="D30" s="11">
        <f t="shared" si="12"/>
        <v>-1.1838558734370448</v>
      </c>
      <c r="E30" s="11">
        <f t="shared" si="12"/>
        <v>9.6344668783859309</v>
      </c>
      <c r="F30" s="11">
        <f t="shared" si="12"/>
        <v>8.4506110049488861</v>
      </c>
      <c r="G30" s="200">
        <f t="shared" si="3"/>
        <v>2.7618259936026179E-2</v>
      </c>
      <c r="H30" s="11"/>
      <c r="I30" s="11" t="str">
        <f>I19</f>
        <v>Managers, directors and senior officials</v>
      </c>
      <c r="J30" s="11">
        <f t="array" ref="J30:J38">MMULT(aggregation!$B$13:$AA$21,B65:B90)</f>
        <v>3.7316969253098486</v>
      </c>
      <c r="K30" s="11">
        <f t="array" ref="K30:K38">MMULT(aggregation!$B$13:$AA$21,C65:C90)</f>
        <v>5.9134643768770268</v>
      </c>
      <c r="L30" s="11">
        <f t="array" ref="L30:L38">MMULT(aggregation!$B$13:$AA$21,D65:D90)</f>
        <v>2.181767451567179</v>
      </c>
      <c r="M30" s="11">
        <f t="array" ref="M30:M38">MMULT(aggregation!$B$13:$AA$21,E65:E90)</f>
        <v>2.9640657420029508</v>
      </c>
      <c r="N30" s="11">
        <f t="array" ref="N30:N38">MMULT(aggregation!$B$13:$AA$21,F65:F90)</f>
        <v>5.1458331935701302</v>
      </c>
      <c r="O30" s="11"/>
      <c r="P30" s="10" t="str">
        <f>name!D27</f>
        <v>82 Transport and mobile machine drivers and operatives</v>
      </c>
      <c r="Q30" s="11">
        <v>18.585249327138524</v>
      </c>
      <c r="R30" s="11">
        <v>17.148059896462854</v>
      </c>
      <c r="S30" s="345">
        <f t="shared" si="4"/>
        <v>-1.4371894306756694</v>
      </c>
      <c r="T30" s="345">
        <v>9.2008978672433042</v>
      </c>
      <c r="U30" s="345">
        <f t="shared" si="5"/>
        <v>7.7637084365676348</v>
      </c>
      <c r="V30" s="346">
        <f t="shared" si="6"/>
        <v>2.7173948187853902E-2</v>
      </c>
      <c r="X30" s="10"/>
      <c r="Y30" s="10"/>
      <c r="Z30" s="10"/>
      <c r="AA30" s="345"/>
      <c r="AB30" s="10"/>
      <c r="AC30" s="345"/>
      <c r="AD30" s="348"/>
    </row>
    <row r="31" spans="1:30" x14ac:dyDescent="0.2">
      <c r="A31" s="10" t="str">
        <f>name!D28</f>
        <v>91 Elementary trades and related occupations</v>
      </c>
      <c r="B31" s="11">
        <f t="shared" si="12"/>
        <v>6.6946553065972783</v>
      </c>
      <c r="C31" s="11">
        <f t="shared" si="12"/>
        <v>4.8811449789059056</v>
      </c>
      <c r="D31" s="11">
        <f t="shared" si="12"/>
        <v>-1.8135103276913731</v>
      </c>
      <c r="E31" s="11">
        <f t="shared" si="12"/>
        <v>2.0209886404964919</v>
      </c>
      <c r="F31" s="11">
        <f t="shared" si="12"/>
        <v>0.20747831280511853</v>
      </c>
      <c r="G31" s="200">
        <f t="shared" si="3"/>
        <v>1.7742906111830381E-2</v>
      </c>
      <c r="H31" s="11"/>
      <c r="I31" s="11" t="str">
        <f>I20</f>
        <v>Professional occupations</v>
      </c>
      <c r="J31" s="11">
        <v>23.786948273451738</v>
      </c>
      <c r="K31" s="11">
        <v>33.316303247949939</v>
      </c>
      <c r="L31" s="11">
        <v>9.5293549744982009</v>
      </c>
      <c r="M31" s="11">
        <v>15.395513593940938</v>
      </c>
      <c r="N31" s="11">
        <v>24.924868568439138</v>
      </c>
      <c r="O31" s="11"/>
      <c r="P31" s="10" t="str">
        <f>name!D28</f>
        <v>91 Elementary trades and related occupations</v>
      </c>
      <c r="Q31" s="11">
        <v>5.5425480168031349</v>
      </c>
      <c r="R31" s="11">
        <v>4.0194584821412009</v>
      </c>
      <c r="S31" s="345">
        <f t="shared" si="4"/>
        <v>-1.523089534661934</v>
      </c>
      <c r="T31" s="345">
        <v>1.425981370975949</v>
      </c>
      <c r="U31" s="345">
        <f t="shared" si="5"/>
        <v>-9.7108163685984961E-2</v>
      </c>
      <c r="V31" s="346">
        <f t="shared" si="6"/>
        <v>1.5380405133805564E-2</v>
      </c>
      <c r="X31" s="10"/>
      <c r="Y31" s="10"/>
      <c r="Z31" s="10"/>
      <c r="AA31" s="345"/>
      <c r="AB31" s="10"/>
      <c r="AC31" s="345"/>
      <c r="AD31" s="348"/>
    </row>
    <row r="32" spans="1:30" x14ac:dyDescent="0.2">
      <c r="A32" s="10" t="str">
        <f>name!D29</f>
        <v>92 Elementary administration and service occupations</v>
      </c>
      <c r="B32" s="11">
        <f t="shared" si="12"/>
        <v>46.103296758951217</v>
      </c>
      <c r="C32" s="11">
        <f t="shared" si="12"/>
        <v>44.843080771914288</v>
      </c>
      <c r="D32" s="11">
        <f t="shared" si="12"/>
        <v>-1.260215987036934</v>
      </c>
      <c r="E32" s="11">
        <f t="shared" si="12"/>
        <v>21.846999713335666</v>
      </c>
      <c r="F32" s="11">
        <f t="shared" si="12"/>
        <v>20.58678372629873</v>
      </c>
      <c r="G32" s="200">
        <f t="shared" ref="G32" si="13">IF(B32&gt;0,(1+(E32/B32))^(1/($C$6-$B$6))-1,0)</f>
        <v>2.6196726436898077E-2</v>
      </c>
      <c r="H32" s="11"/>
      <c r="I32" s="11" t="str">
        <f>I21</f>
        <v>Associate professional occupations</v>
      </c>
      <c r="J32" s="11">
        <v>5.5676303855603582</v>
      </c>
      <c r="K32" s="11">
        <v>7.4798176200755098</v>
      </c>
      <c r="L32" s="11">
        <v>1.9121872345151507</v>
      </c>
      <c r="M32" s="11">
        <v>3.5580549193405293</v>
      </c>
      <c r="N32" s="11">
        <v>5.4702421538556791</v>
      </c>
      <c r="O32" s="11"/>
      <c r="P32" s="10" t="str">
        <f>name!D29</f>
        <v>92 Elementary administration and service occupations</v>
      </c>
      <c r="Q32" s="11">
        <v>24.143466372823351</v>
      </c>
      <c r="R32" s="11">
        <v>23.925787157368614</v>
      </c>
      <c r="S32" s="345">
        <f t="shared" ref="S32" si="14">R32-Q32</f>
        <v>-0.21767921545473712</v>
      </c>
      <c r="T32" s="345">
        <v>9.6463603582906714</v>
      </c>
      <c r="U32" s="345">
        <f>SUM(S32:T32)</f>
        <v>9.4286811428359343</v>
      </c>
      <c r="V32" s="346">
        <f t="shared" ref="V32" si="15">IF(Q32&gt;0,(1+(T32/Q32))^(1/($C$6-$B$6))-1,0)</f>
        <v>2.2662715800531252E-2</v>
      </c>
      <c r="X32" s="10"/>
      <c r="Y32" s="10"/>
      <c r="Z32" s="10"/>
      <c r="AA32" s="345"/>
      <c r="AB32" s="10"/>
      <c r="AC32" s="345"/>
      <c r="AD32" s="348"/>
    </row>
    <row r="33" spans="1:30" x14ac:dyDescent="0.2">
      <c r="A33" t="str">
        <f>name!D3</f>
        <v>All occupations</v>
      </c>
      <c r="B33" s="11">
        <f t="shared" si="12"/>
        <v>478.9260000000001</v>
      </c>
      <c r="C33" s="11">
        <f>SUM(C62,C91,C120,C149,C178,C207,C236,C265,C294)</f>
        <v>492.77800000000002</v>
      </c>
      <c r="D33" s="11">
        <f t="shared" si="12"/>
        <v>13.851999999999855</v>
      </c>
      <c r="E33" s="11">
        <f t="shared" si="12"/>
        <v>235.37581402990452</v>
      </c>
      <c r="F33" s="11">
        <f t="shared" si="12"/>
        <v>249.22781402990441</v>
      </c>
      <c r="G33" s="200">
        <f t="shared" si="3"/>
        <v>2.7008936348872803E-2</v>
      </c>
      <c r="H33" s="11"/>
      <c r="I33" s="11" t="str">
        <f>I22</f>
        <v>Administrative and secretarial occupations</v>
      </c>
      <c r="J33" s="11">
        <v>2.6696957737880904</v>
      </c>
      <c r="K33" s="11">
        <v>3.6496862692582042</v>
      </c>
      <c r="L33" s="11">
        <v>0.97999049547011374</v>
      </c>
      <c r="M33" s="11">
        <v>1.9385853676504547</v>
      </c>
      <c r="N33" s="11">
        <v>2.9185758631205685</v>
      </c>
      <c r="O33" s="11"/>
      <c r="P33" s="10" t="str">
        <f>name!D3</f>
        <v>All occupations</v>
      </c>
      <c r="Q33" s="11">
        <f>SUM(Q7:Q32)</f>
        <v>246.03070411504518</v>
      </c>
      <c r="R33" s="11">
        <f>SUM(R7:R32)</f>
        <v>248.57290530354337</v>
      </c>
      <c r="S33" s="345">
        <f>R33-Q33</f>
        <v>2.5422011884981828</v>
      </c>
      <c r="T33" s="11">
        <f>SUM(T7:T32)</f>
        <v>97.900583322524056</v>
      </c>
      <c r="U33" s="345">
        <f>SUM(S33:T33)</f>
        <v>100.44278451102224</v>
      </c>
      <c r="V33" s="346">
        <f t="shared" si="6"/>
        <v>2.2583604105580024E-2</v>
      </c>
      <c r="X33" s="10"/>
      <c r="Y33" s="10"/>
      <c r="Z33" s="10"/>
      <c r="AA33" s="345"/>
      <c r="AB33" s="10"/>
      <c r="AC33" s="345"/>
      <c r="AD33" s="348"/>
    </row>
    <row r="34" spans="1:30" ht="30" customHeight="1" x14ac:dyDescent="0.2">
      <c r="B34" s="11"/>
      <c r="C34" s="11"/>
      <c r="D34" s="11"/>
      <c r="E34" s="11"/>
      <c r="F34" s="11"/>
      <c r="G34" s="11"/>
      <c r="H34" s="11"/>
      <c r="I34" s="11" t="str">
        <f>I23</f>
        <v>Skilled trades occupations</v>
      </c>
      <c r="J34" s="11">
        <v>0.60033283959965844</v>
      </c>
      <c r="K34" s="11">
        <v>1.0999492850209562</v>
      </c>
      <c r="L34" s="11">
        <v>0.49961644542129768</v>
      </c>
      <c r="M34" s="11">
        <v>0.49319195239098329</v>
      </c>
      <c r="N34" s="11">
        <v>0.99280839781228092</v>
      </c>
      <c r="O34" s="11"/>
      <c r="P34" s="24"/>
      <c r="Q34" s="34"/>
      <c r="R34" s="34"/>
      <c r="S34" s="34"/>
      <c r="T34" s="34"/>
      <c r="U34" s="34"/>
      <c r="V34" s="34"/>
      <c r="X34" s="10"/>
      <c r="Y34" s="10"/>
      <c r="Z34" s="10"/>
      <c r="AA34" s="345"/>
      <c r="AB34" s="10"/>
      <c r="AC34" s="345"/>
      <c r="AD34" s="348"/>
    </row>
    <row r="35" spans="1:30" ht="38.25" x14ac:dyDescent="0.2">
      <c r="A35" s="201" t="str">
        <f>CONCATENATE(name!F4," (Constrained)")</f>
        <v>RQF8 Doctorate (Constrained)</v>
      </c>
      <c r="B35" s="88">
        <f t="shared" ref="B35:G35" si="16">B6</f>
        <v>2020</v>
      </c>
      <c r="C35" s="88">
        <f t="shared" si="16"/>
        <v>2035</v>
      </c>
      <c r="D35" s="88" t="str">
        <f t="shared" si="16"/>
        <v>Net Change</v>
      </c>
      <c r="E35" s="88" t="str">
        <f t="shared" si="16"/>
        <v>Replacement Demand level</v>
      </c>
      <c r="F35" s="88" t="str">
        <f t="shared" si="16"/>
        <v>Total Requirement</v>
      </c>
      <c r="G35" s="88" t="str">
        <f t="shared" si="16"/>
        <v>Replacement Demand rate</v>
      </c>
      <c r="H35" s="11"/>
      <c r="I35" s="11" t="str">
        <f t="shared" ref="I35:I38" si="17">I24</f>
        <v>Caring, leisure and other service occupations</v>
      </c>
      <c r="J35" s="11">
        <v>1.178735938684677</v>
      </c>
      <c r="K35" s="11">
        <v>1.7141762500541105</v>
      </c>
      <c r="L35" s="11">
        <v>0.5354403113694336</v>
      </c>
      <c r="M35" s="11">
        <v>0.96170514724654033</v>
      </c>
      <c r="N35" s="11">
        <v>1.497145458615974</v>
      </c>
      <c r="O35" s="11"/>
      <c r="P35" s="201" t="s">
        <v>105</v>
      </c>
      <c r="Q35" s="344">
        <f t="shared" ref="Q35" si="18">B35</f>
        <v>2020</v>
      </c>
      <c r="R35" s="344">
        <f t="shared" ref="R35" si="19">C35</f>
        <v>2035</v>
      </c>
      <c r="S35" s="344" t="str">
        <f t="shared" ref="S35" si="20">D35</f>
        <v>Net Change</v>
      </c>
      <c r="T35" s="344" t="str">
        <f t="shared" ref="T35" si="21">E35</f>
        <v>Replacement Demand level</v>
      </c>
      <c r="U35" s="344" t="str">
        <f t="shared" ref="U35" si="22">F35</f>
        <v>Total Requirement</v>
      </c>
      <c r="V35" s="344" t="str">
        <f t="shared" ref="V35" si="23">G35</f>
        <v>Replacement Demand rate</v>
      </c>
      <c r="X35" s="10"/>
      <c r="Y35" s="10"/>
      <c r="Z35" s="10"/>
      <c r="AA35" s="345"/>
      <c r="AB35" s="10"/>
      <c r="AC35" s="345"/>
      <c r="AD35" s="348"/>
    </row>
    <row r="36" spans="1:30" ht="12.75" customHeight="1" x14ac:dyDescent="0.2">
      <c r="A36" t="str">
        <f t="shared" ref="A36:A62" si="24">A7</f>
        <v>11 Corporate managers and directors</v>
      </c>
      <c r="B36" s="11">
        <v>0.25633936175461808</v>
      </c>
      <c r="C36" s="11">
        <v>0.36834201917674209</v>
      </c>
      <c r="D36" s="11">
        <f>C36-B36</f>
        <v>0.11200265742212401</v>
      </c>
      <c r="E36" s="11">
        <v>0.17480933757361117</v>
      </c>
      <c r="F36" s="11">
        <f>SUM(D36:E36)</f>
        <v>0.28681199499573518</v>
      </c>
      <c r="G36" s="200">
        <f>IF(B36&gt;0,(1+(E36/B36))^(1/($C$6-$B$6))-1,0)</f>
        <v>3.527116697455801E-2</v>
      </c>
      <c r="I36" s="11" t="str">
        <f t="shared" si="17"/>
        <v>Sales and customer service occupations</v>
      </c>
      <c r="J36" s="11">
        <v>1.2490482611226299</v>
      </c>
      <c r="K36" s="11">
        <v>2.1572629348389523</v>
      </c>
      <c r="L36" s="11">
        <v>0.90821467371632236</v>
      </c>
      <c r="M36" s="11">
        <v>0.97544978887264255</v>
      </c>
      <c r="N36" s="11">
        <v>1.8836644625889649</v>
      </c>
      <c r="P36" s="10" t="str">
        <f>name!D4</f>
        <v>11 Corporate managers and directors</v>
      </c>
      <c r="Q36" s="11">
        <v>8.6710772005533556</v>
      </c>
      <c r="R36" s="11">
        <v>9.9289019466811599</v>
      </c>
      <c r="S36" s="345">
        <f>R36-Q36</f>
        <v>1.2578247461278043</v>
      </c>
      <c r="T36" s="345">
        <v>5.3680798088469652</v>
      </c>
      <c r="U36" s="345">
        <f>SUM(S36:T36)</f>
        <v>6.6259045549747695</v>
      </c>
      <c r="V36" s="346">
        <f>IF(Q36&gt;0,(1+(T36/Q36))^(1/($C$6-$B$6))-1,0)</f>
        <v>3.2645361401475448E-2</v>
      </c>
      <c r="X36" s="10"/>
      <c r="Y36" s="10"/>
      <c r="Z36" s="10"/>
      <c r="AA36" s="345"/>
      <c r="AB36" s="10"/>
      <c r="AC36" s="345"/>
      <c r="AD36" s="348"/>
    </row>
    <row r="37" spans="1:30" x14ac:dyDescent="0.2">
      <c r="A37" t="str">
        <f t="shared" si="24"/>
        <v>12 Other managers and proprietors</v>
      </c>
      <c r="B37" s="11">
        <v>0.12837415541613581</v>
      </c>
      <c r="C37" s="11">
        <v>0.28958989345034758</v>
      </c>
      <c r="D37" s="11">
        <f t="shared" ref="D37:D60" si="25">C37-B37</f>
        <v>0.16121573803421177</v>
      </c>
      <c r="E37" s="11">
        <v>0.14090997128977381</v>
      </c>
      <c r="F37" s="11">
        <f t="shared" ref="F37:F60" si="26">SUM(D37:E37)</f>
        <v>0.30212570932398558</v>
      </c>
      <c r="G37" s="200">
        <f t="shared" ref="G37:G62" si="27">IF(B37&gt;0,(1+(E37/B37))^(1/($C$6-$B$6))-1,0)</f>
        <v>5.0627772840215357E-2</v>
      </c>
      <c r="I37" s="11" t="str">
        <f t="shared" si="17"/>
        <v>Process, plant and machine operatives</v>
      </c>
      <c r="J37" s="11">
        <v>0.32953457800369224</v>
      </c>
      <c r="K37" s="11">
        <v>0.75329731368141606</v>
      </c>
      <c r="L37" s="11">
        <v>0.42376273567772382</v>
      </c>
      <c r="M37" s="11">
        <v>0.3391025980517624</v>
      </c>
      <c r="N37" s="11">
        <v>0.76286533372948617</v>
      </c>
      <c r="P37" s="10" t="str">
        <f>name!D5</f>
        <v>12 Other managers and proprietors</v>
      </c>
      <c r="Q37" s="11">
        <v>6.2930444853869627</v>
      </c>
      <c r="R37" s="11">
        <v>8.1329188016435054</v>
      </c>
      <c r="S37" s="345">
        <f t="shared" ref="S37:S60" si="28">R37-Q37</f>
        <v>1.8398743162565427</v>
      </c>
      <c r="T37" s="345">
        <v>4.8382940849480711</v>
      </c>
      <c r="U37" s="345">
        <f t="shared" ref="U37:U60" si="29">SUM(S37:T37)</f>
        <v>6.6781684012046139</v>
      </c>
      <c r="V37" s="346">
        <f t="shared" ref="V37:V62" si="30">IF(Q37&gt;0,(1+(T37/Q37))^(1/($C$6-$B$6))-1,0)</f>
        <v>3.875335472283381E-2</v>
      </c>
      <c r="X37" s="10"/>
      <c r="Y37" s="10"/>
      <c r="Z37" s="10"/>
      <c r="AA37" s="345"/>
      <c r="AB37" s="10"/>
      <c r="AC37" s="345"/>
      <c r="AD37" s="348"/>
    </row>
    <row r="38" spans="1:30" x14ac:dyDescent="0.2">
      <c r="A38" t="str">
        <f t="shared" si="24"/>
        <v>21 Science, research, engineering and technology professionals</v>
      </c>
      <c r="B38" s="11">
        <v>0.98888910909566008</v>
      </c>
      <c r="C38" s="11">
        <v>1.6325783739637476</v>
      </c>
      <c r="D38" s="11">
        <f t="shared" si="25"/>
        <v>0.64368926486808753</v>
      </c>
      <c r="E38" s="11">
        <v>0.5264238454892437</v>
      </c>
      <c r="F38" s="11">
        <f t="shared" si="26"/>
        <v>1.1701131103573312</v>
      </c>
      <c r="G38" s="200">
        <f t="shared" si="27"/>
        <v>2.8861657743112668E-2</v>
      </c>
      <c r="I38" s="11" t="str">
        <f t="shared" si="17"/>
        <v>Elementary occupations</v>
      </c>
      <c r="J38" s="11">
        <v>0.87411699650935637</v>
      </c>
      <c r="K38" s="11">
        <v>1.7798494856448606</v>
      </c>
      <c r="L38" s="11">
        <v>0.90573248913550408</v>
      </c>
      <c r="M38" s="11">
        <v>0.80781479123827515</v>
      </c>
      <c r="N38" s="11">
        <v>1.7135472803737795</v>
      </c>
      <c r="P38" s="10" t="str">
        <f>name!D6</f>
        <v>21 Science, research, engineering and technology professionals</v>
      </c>
      <c r="Q38" s="11">
        <v>4.3425974330306794</v>
      </c>
      <c r="R38" s="11">
        <v>6.1882165594581462</v>
      </c>
      <c r="S38" s="345">
        <f t="shared" si="28"/>
        <v>1.8456191264274668</v>
      </c>
      <c r="T38" s="345">
        <v>2.7692856023093966</v>
      </c>
      <c r="U38" s="345">
        <f t="shared" si="29"/>
        <v>4.6149047287368639</v>
      </c>
      <c r="V38" s="346">
        <f t="shared" si="30"/>
        <v>3.3433024061205963E-2</v>
      </c>
      <c r="X38" s="10"/>
      <c r="Y38" s="10"/>
      <c r="Z38" s="10"/>
      <c r="AA38" s="345"/>
      <c r="AB38" s="10"/>
      <c r="AC38" s="345"/>
      <c r="AD38" s="348"/>
    </row>
    <row r="39" spans="1:30" x14ac:dyDescent="0.2">
      <c r="A39" t="str">
        <f t="shared" si="24"/>
        <v>22 Health professionals</v>
      </c>
      <c r="B39" s="11">
        <v>1.616687241985107</v>
      </c>
      <c r="C39" s="11">
        <v>2.5186166021083514</v>
      </c>
      <c r="D39" s="11">
        <f t="shared" si="25"/>
        <v>0.90192936012324432</v>
      </c>
      <c r="E39" s="11">
        <v>1.1576009492403505</v>
      </c>
      <c r="F39" s="11">
        <f t="shared" si="26"/>
        <v>2.0595303093635948</v>
      </c>
      <c r="G39" s="200">
        <f t="shared" si="27"/>
        <v>3.6656887530742921E-2</v>
      </c>
      <c r="J39" s="11"/>
      <c r="K39" s="11"/>
      <c r="L39" s="11"/>
      <c r="M39" s="11"/>
      <c r="N39" s="11"/>
      <c r="P39" s="10" t="str">
        <f>name!D7</f>
        <v>22 Health professionals</v>
      </c>
      <c r="Q39" s="11">
        <v>21.307675816456939</v>
      </c>
      <c r="R39" s="11">
        <v>25.173872092522984</v>
      </c>
      <c r="S39" s="345">
        <f t="shared" si="28"/>
        <v>3.8661962760660451</v>
      </c>
      <c r="T39" s="345">
        <v>14.27829419917701</v>
      </c>
      <c r="U39" s="345">
        <f t="shared" si="29"/>
        <v>18.144490475243053</v>
      </c>
      <c r="V39" s="346">
        <f t="shared" si="30"/>
        <v>3.4783547830465E-2</v>
      </c>
      <c r="X39" s="10"/>
      <c r="Y39" s="10"/>
      <c r="Z39" s="10"/>
      <c r="AA39" s="345"/>
      <c r="AB39" s="10"/>
      <c r="AC39" s="345"/>
      <c r="AD39" s="348"/>
    </row>
    <row r="40" spans="1:30" x14ac:dyDescent="0.2">
      <c r="A40" t="str">
        <f t="shared" si="24"/>
        <v>23 Teaching and other educational professionals</v>
      </c>
      <c r="B40" s="11">
        <v>1.9022170503426141</v>
      </c>
      <c r="C40" s="11">
        <v>2.566093747790255</v>
      </c>
      <c r="D40" s="11">
        <f>C40-B40</f>
        <v>0.66387669744764088</v>
      </c>
      <c r="E40" s="11">
        <v>1.1871841036665423</v>
      </c>
      <c r="F40" s="11">
        <f>SUM(D40:E40)</f>
        <v>1.8510608011141831</v>
      </c>
      <c r="G40" s="200">
        <f>IF(B40&gt;0,(1+(E40/B40))^(1/($C$6-$B$6))-1,0)</f>
        <v>3.2858787827645397E-2</v>
      </c>
      <c r="I40" s="87" t="str">
        <f>name!F6</f>
        <v>RQF6 First degree</v>
      </c>
      <c r="J40" s="11"/>
      <c r="K40" s="11"/>
      <c r="L40" s="11"/>
      <c r="M40" s="11"/>
      <c r="N40" s="11"/>
      <c r="P40" s="10" t="str">
        <f>name!D8</f>
        <v>23 Teaching and other educational professionals</v>
      </c>
      <c r="Q40" s="11">
        <v>14.794532513404732</v>
      </c>
      <c r="R40" s="11">
        <v>17.331814548131153</v>
      </c>
      <c r="S40" s="345">
        <f t="shared" si="28"/>
        <v>2.5372820347264202</v>
      </c>
      <c r="T40" s="345">
        <v>8.6892528963704017</v>
      </c>
      <c r="U40" s="345">
        <f t="shared" si="29"/>
        <v>11.226534931096822</v>
      </c>
      <c r="V40" s="346">
        <f t="shared" si="30"/>
        <v>3.1282837770423066E-2</v>
      </c>
      <c r="X40" s="10"/>
      <c r="Y40" s="10"/>
      <c r="Z40" s="10"/>
      <c r="AA40" s="345"/>
      <c r="AB40" s="10"/>
      <c r="AC40" s="345"/>
      <c r="AD40" s="348"/>
    </row>
    <row r="41" spans="1:30" x14ac:dyDescent="0.2">
      <c r="A41" t="str">
        <f t="shared" si="24"/>
        <v>24 Business, media and public service professionals</v>
      </c>
      <c r="B41" s="11">
        <v>0.36356844855145315</v>
      </c>
      <c r="C41" s="11">
        <v>0.63660037506899514</v>
      </c>
      <c r="D41" s="11">
        <f t="shared" si="25"/>
        <v>0.27303192651754199</v>
      </c>
      <c r="E41" s="11">
        <v>0.278594027563007</v>
      </c>
      <c r="F41" s="11">
        <f t="shared" si="26"/>
        <v>0.55162595408054904</v>
      </c>
      <c r="G41" s="200">
        <f t="shared" si="27"/>
        <v>3.8653245535351655E-2</v>
      </c>
      <c r="I41" s="11" t="str">
        <f>I30</f>
        <v>Managers, directors and senior officials</v>
      </c>
      <c r="J41" s="11">
        <f t="array" ref="J41:J49">MMULT(aggregation!$B$13:$AA$21,B94:B119)</f>
        <v>9.3162230452617987</v>
      </c>
      <c r="K41" s="11">
        <f t="array" ref="K41:K49">MMULT(aggregation!$B$13:$AA$21,C94:C119)</f>
        <v>12.715885564254126</v>
      </c>
      <c r="L41" s="11">
        <f t="array" ref="L41:L49">MMULT(aggregation!$B$13:$AA$21,D94:D119)</f>
        <v>3.3996625189923266</v>
      </c>
      <c r="M41" s="11">
        <f t="array" ref="M41:M49">MMULT(aggregation!$B$13:$AA$21,E94:E119)</f>
        <v>6.8534186742583412</v>
      </c>
      <c r="N41" s="11">
        <f t="array" ref="N41:N49">MMULT(aggregation!$B$13:$AA$21,F94:F119)</f>
        <v>10.253081193250669</v>
      </c>
      <c r="P41" s="10" t="str">
        <f>name!D9</f>
        <v>24 Business, media and public service professionals</v>
      </c>
      <c r="Q41" s="11">
        <v>12.299812437420103</v>
      </c>
      <c r="R41" s="11">
        <v>15.656093712637396</v>
      </c>
      <c r="S41" s="345">
        <f t="shared" si="28"/>
        <v>3.3562812752172935</v>
      </c>
      <c r="T41" s="345">
        <v>7.7533986838390003</v>
      </c>
      <c r="U41" s="345">
        <f t="shared" si="29"/>
        <v>11.109679959056294</v>
      </c>
      <c r="V41" s="346">
        <f t="shared" si="30"/>
        <v>3.3123790516701002E-2</v>
      </c>
      <c r="X41" s="10"/>
      <c r="Y41" s="10"/>
      <c r="Z41" s="10"/>
      <c r="AA41" s="345"/>
      <c r="AB41" s="10"/>
      <c r="AC41" s="345"/>
      <c r="AD41" s="348"/>
    </row>
    <row r="42" spans="1:30" x14ac:dyDescent="0.2">
      <c r="A42" t="str">
        <f t="shared" si="24"/>
        <v>31 Science, engineering and technology associate professionals</v>
      </c>
      <c r="B42" s="11">
        <v>0.14184704883985894</v>
      </c>
      <c r="C42" s="11">
        <v>0.23633657580930767</v>
      </c>
      <c r="D42" s="11">
        <f t="shared" si="25"/>
        <v>9.4489526969448734E-2</v>
      </c>
      <c r="E42" s="11">
        <v>9.2436359789175165E-2</v>
      </c>
      <c r="F42" s="11">
        <f t="shared" si="26"/>
        <v>0.1869258867586239</v>
      </c>
      <c r="G42" s="200">
        <f t="shared" si="27"/>
        <v>3.4017959561327693E-2</v>
      </c>
      <c r="I42" s="11" t="str">
        <f>I31</f>
        <v>Professional occupations</v>
      </c>
      <c r="J42" s="11">
        <v>32.658659490644489</v>
      </c>
      <c r="K42" s="11">
        <v>42.108736189100298</v>
      </c>
      <c r="L42" s="11">
        <v>9.4500766984558133</v>
      </c>
      <c r="M42" s="11">
        <v>19.61429901048033</v>
      </c>
      <c r="N42" s="11">
        <v>29.06437570893614</v>
      </c>
      <c r="P42" s="10" t="str">
        <f>name!D10</f>
        <v>31 Science, engineering and technology associate professionals</v>
      </c>
      <c r="Q42" s="11">
        <v>2.0831951289522657</v>
      </c>
      <c r="R42" s="11">
        <v>2.526427224761481</v>
      </c>
      <c r="S42" s="345">
        <f t="shared" si="28"/>
        <v>0.4432320958092153</v>
      </c>
      <c r="T42" s="345">
        <v>1.1529099387517145</v>
      </c>
      <c r="U42" s="345">
        <f t="shared" si="29"/>
        <v>1.5961420345609298</v>
      </c>
      <c r="V42" s="346">
        <f t="shared" si="30"/>
        <v>2.9799897214425108E-2</v>
      </c>
      <c r="X42" s="10"/>
      <c r="Y42" s="10"/>
      <c r="Z42" s="10"/>
      <c r="AA42" s="345"/>
      <c r="AB42" s="10"/>
      <c r="AC42" s="345"/>
      <c r="AD42" s="348"/>
    </row>
    <row r="43" spans="1:30" x14ac:dyDescent="0.2">
      <c r="A43" t="str">
        <f t="shared" si="24"/>
        <v>32 Health and social care associate professionals</v>
      </c>
      <c r="B43" s="11">
        <v>3.274030309596928E-2</v>
      </c>
      <c r="C43" s="11">
        <v>4.774009806208826E-2</v>
      </c>
      <c r="D43" s="11">
        <f t="shared" si="25"/>
        <v>1.499979496611898E-2</v>
      </c>
      <c r="E43" s="11">
        <v>2.7374805867108082E-2</v>
      </c>
      <c r="F43" s="11">
        <f t="shared" si="26"/>
        <v>4.2374600833227062E-2</v>
      </c>
      <c r="G43" s="200">
        <f t="shared" si="27"/>
        <v>4.1342026961560752E-2</v>
      </c>
      <c r="I43" s="11" t="str">
        <f>I32</f>
        <v>Associate professional occupations</v>
      </c>
      <c r="J43" s="11">
        <v>14.2231468502856</v>
      </c>
      <c r="K43" s="11">
        <v>18.260847387578437</v>
      </c>
      <c r="L43" s="11">
        <v>4.037700537292837</v>
      </c>
      <c r="M43" s="11">
        <v>8.5206333546223494</v>
      </c>
      <c r="N43" s="11">
        <v>12.558333891915186</v>
      </c>
      <c r="P43" s="10" t="str">
        <f>name!D11</f>
        <v>32 Health and social care associate professionals</v>
      </c>
      <c r="Q43" s="11">
        <v>8.005883199253784</v>
      </c>
      <c r="R43" s="11">
        <v>8.8883001094354537</v>
      </c>
      <c r="S43" s="345">
        <f t="shared" si="28"/>
        <v>0.88241691018166968</v>
      </c>
      <c r="T43" s="345">
        <v>5.1670657281560608</v>
      </c>
      <c r="U43" s="345">
        <f t="shared" si="29"/>
        <v>6.0494826383377305</v>
      </c>
      <c r="V43" s="346">
        <f t="shared" si="30"/>
        <v>3.3756493453838354E-2</v>
      </c>
      <c r="X43" s="10"/>
      <c r="Y43" s="10"/>
      <c r="Z43" s="10"/>
      <c r="AA43" s="345"/>
      <c r="AB43" s="10"/>
      <c r="AC43" s="345"/>
      <c r="AD43" s="348"/>
    </row>
    <row r="44" spans="1:30" x14ac:dyDescent="0.2">
      <c r="A44" t="str">
        <f t="shared" si="24"/>
        <v>33 Protective service occupations</v>
      </c>
      <c r="B44" s="11">
        <v>1.5508814454848157E-2</v>
      </c>
      <c r="C44" s="11">
        <v>3.5956785463334286E-2</v>
      </c>
      <c r="D44" s="11">
        <f t="shared" si="25"/>
        <v>2.0447971008486131E-2</v>
      </c>
      <c r="E44" s="11">
        <v>1.0991753560711659E-2</v>
      </c>
      <c r="F44" s="11">
        <f t="shared" si="26"/>
        <v>3.1439724569197788E-2</v>
      </c>
      <c r="G44" s="200">
        <f t="shared" si="27"/>
        <v>3.6362696139268236E-2</v>
      </c>
      <c r="I44" s="11" t="str">
        <f>I33</f>
        <v>Administrative and secretarial occupations</v>
      </c>
      <c r="J44" s="11">
        <v>9.4252304958420652</v>
      </c>
      <c r="K44" s="11">
        <v>12.972124664656612</v>
      </c>
      <c r="L44" s="11">
        <v>3.5468941688145463</v>
      </c>
      <c r="M44" s="11">
        <v>6.507991195550515</v>
      </c>
      <c r="N44" s="11">
        <v>10.054885364365061</v>
      </c>
      <c r="P44" s="10" t="str">
        <f>name!D12</f>
        <v>33 Protective service occupations</v>
      </c>
      <c r="Q44" s="11">
        <v>1.9705031822664021</v>
      </c>
      <c r="R44" s="11">
        <v>3.2644065465247682</v>
      </c>
      <c r="S44" s="345">
        <f t="shared" si="28"/>
        <v>1.2939033642583662</v>
      </c>
      <c r="T44" s="345">
        <v>1.4088806199453869</v>
      </c>
      <c r="U44" s="345">
        <f t="shared" si="29"/>
        <v>2.7027839842037533</v>
      </c>
      <c r="V44" s="346">
        <f t="shared" si="30"/>
        <v>3.6614688838688902E-2</v>
      </c>
      <c r="X44" s="10"/>
      <c r="Y44" s="10"/>
      <c r="Z44" s="10"/>
      <c r="AA44" s="345"/>
      <c r="AB44" s="10"/>
      <c r="AC44" s="345"/>
      <c r="AD44" s="348"/>
    </row>
    <row r="45" spans="1:30" x14ac:dyDescent="0.2">
      <c r="A45" t="str">
        <f t="shared" si="24"/>
        <v>34 Culture, media and sports occupations</v>
      </c>
      <c r="B45" s="11">
        <v>9.3877996986253723E-2</v>
      </c>
      <c r="C45" s="11">
        <v>0.10897951935060946</v>
      </c>
      <c r="D45" s="11">
        <f t="shared" ref="D45:D46" si="31">C45-B45</f>
        <v>1.5101522364355732E-2</v>
      </c>
      <c r="E45" s="11">
        <v>5.9031874854446387E-2</v>
      </c>
      <c r="F45" s="11">
        <f t="shared" ref="F45:F46" si="32">SUM(D45:E45)</f>
        <v>7.4133397218802119E-2</v>
      </c>
      <c r="G45" s="200">
        <f t="shared" si="27"/>
        <v>3.3058179369183094E-2</v>
      </c>
      <c r="I45" s="11" t="str">
        <f t="shared" ref="I45:I49" si="33">I34</f>
        <v>Skilled trades occupations</v>
      </c>
      <c r="J45" s="11">
        <v>2.0759702024288123</v>
      </c>
      <c r="K45" s="11">
        <v>3.0171978081911268</v>
      </c>
      <c r="L45" s="11">
        <v>0.9412276057623149</v>
      </c>
      <c r="M45" s="11">
        <v>1.5276058377376298</v>
      </c>
      <c r="N45" s="11">
        <v>2.4688334434999448</v>
      </c>
      <c r="P45" s="10" t="str">
        <f>name!D13</f>
        <v>34 Culture, media and sports occupations</v>
      </c>
      <c r="Q45" s="11">
        <v>3.2639034257924968</v>
      </c>
      <c r="R45" s="11">
        <v>3.4664837001925366</v>
      </c>
      <c r="S45" s="345">
        <f t="shared" si="28"/>
        <v>0.20258027440003978</v>
      </c>
      <c r="T45" s="345">
        <v>1.781785538814409</v>
      </c>
      <c r="U45" s="345">
        <f t="shared" si="29"/>
        <v>1.9843658132144488</v>
      </c>
      <c r="V45" s="346">
        <f t="shared" si="30"/>
        <v>2.9466483255811582E-2</v>
      </c>
      <c r="X45" s="10"/>
      <c r="Y45" s="10"/>
      <c r="Z45" s="10"/>
      <c r="AA45" s="345"/>
      <c r="AB45" s="10"/>
      <c r="AC45" s="345"/>
      <c r="AD45" s="348"/>
    </row>
    <row r="46" spans="1:30" x14ac:dyDescent="0.2">
      <c r="A46" t="str">
        <f t="shared" si="24"/>
        <v>35 Business and public service associate professionals</v>
      </c>
      <c r="B46" s="11">
        <v>0.20542198776651316</v>
      </c>
      <c r="C46" s="11">
        <v>0.30526564573802611</v>
      </c>
      <c r="D46" s="11">
        <f t="shared" si="31"/>
        <v>9.9843657971512956E-2</v>
      </c>
      <c r="E46" s="11">
        <v>0.133216768009329</v>
      </c>
      <c r="F46" s="11">
        <f t="shared" si="32"/>
        <v>0.23306042598084195</v>
      </c>
      <c r="G46" s="200">
        <f t="shared" si="27"/>
        <v>3.3885986447644179E-2</v>
      </c>
      <c r="I46" s="11" t="str">
        <f t="shared" si="33"/>
        <v>Caring, leisure and other service occupations</v>
      </c>
      <c r="J46" s="11">
        <v>4.709532023713261</v>
      </c>
      <c r="K46" s="11">
        <v>7.127491791207456</v>
      </c>
      <c r="L46" s="11">
        <v>2.4179597674941955</v>
      </c>
      <c r="M46" s="11">
        <v>3.9499053423665922</v>
      </c>
      <c r="N46" s="11">
        <v>6.367865109860789</v>
      </c>
      <c r="P46" s="10" t="str">
        <f>name!D14</f>
        <v>35 Business and public service associate professionals</v>
      </c>
      <c r="Q46" s="11">
        <v>11.114071675759456</v>
      </c>
      <c r="R46" s="11">
        <v>11.842811060322166</v>
      </c>
      <c r="S46" s="345">
        <f t="shared" si="28"/>
        <v>0.7287393845627097</v>
      </c>
      <c r="T46" s="345">
        <v>6.1031748721723664</v>
      </c>
      <c r="U46" s="345">
        <f t="shared" si="29"/>
        <v>6.8319142567350761</v>
      </c>
      <c r="V46" s="346">
        <f t="shared" si="30"/>
        <v>2.9609877634769077E-2</v>
      </c>
      <c r="X46" s="10"/>
      <c r="Y46" s="10"/>
      <c r="Z46" s="10"/>
      <c r="AA46" s="345"/>
      <c r="AB46" s="10"/>
      <c r="AC46" s="345"/>
      <c r="AD46" s="348"/>
    </row>
    <row r="47" spans="1:30" x14ac:dyDescent="0.2">
      <c r="A47" t="str">
        <f t="shared" si="24"/>
        <v>41 Administrative occupations</v>
      </c>
      <c r="B47" s="11">
        <v>0.21078532861078525</v>
      </c>
      <c r="C47" s="11">
        <v>0.28362917228126805</v>
      </c>
      <c r="D47" s="11">
        <f t="shared" si="25"/>
        <v>7.28438436704828E-2</v>
      </c>
      <c r="E47" s="11">
        <v>0.13734760419310427</v>
      </c>
      <c r="F47" s="11">
        <f t="shared" si="26"/>
        <v>0.21019144786358707</v>
      </c>
      <c r="G47" s="200">
        <f t="shared" si="27"/>
        <v>3.4015340588271048E-2</v>
      </c>
      <c r="I47" s="11" t="str">
        <f t="shared" si="33"/>
        <v>Sales and customer service occupations</v>
      </c>
      <c r="J47" s="11">
        <v>6.0224324157961107</v>
      </c>
      <c r="K47" s="11">
        <v>9.6266106344545737</v>
      </c>
      <c r="L47" s="11">
        <v>3.6041782186584621</v>
      </c>
      <c r="M47" s="11">
        <v>4.592615985670351</v>
      </c>
      <c r="N47" s="11">
        <v>8.196794204328814</v>
      </c>
      <c r="P47" s="10" t="str">
        <f>name!D15</f>
        <v>41 Administrative occupations</v>
      </c>
      <c r="Q47" s="11">
        <v>29.548672627150001</v>
      </c>
      <c r="R47" s="11">
        <v>22.925774903006811</v>
      </c>
      <c r="S47" s="345">
        <f t="shared" si="28"/>
        <v>-6.6228977241431899</v>
      </c>
      <c r="T47" s="345">
        <v>14.713621728299925</v>
      </c>
      <c r="U47" s="345">
        <f t="shared" si="29"/>
        <v>8.0907240041567352</v>
      </c>
      <c r="V47" s="346">
        <f t="shared" si="30"/>
        <v>2.7305775463672299E-2</v>
      </c>
      <c r="X47" s="10"/>
      <c r="Y47" s="10"/>
      <c r="Z47" s="10"/>
      <c r="AA47" s="345"/>
      <c r="AB47" s="10"/>
      <c r="AC47" s="345"/>
      <c r="AD47" s="348"/>
    </row>
    <row r="48" spans="1:30" x14ac:dyDescent="0.2">
      <c r="A48" t="str">
        <f t="shared" si="24"/>
        <v>42 Secretarial and related occupations</v>
      </c>
      <c r="B48" s="11">
        <v>1.208102891013252E-2</v>
      </c>
      <c r="C48" s="11">
        <v>2.7420482854318553E-2</v>
      </c>
      <c r="D48" s="11">
        <f t="shared" si="25"/>
        <v>1.5339453944186033E-2</v>
      </c>
      <c r="E48" s="11">
        <v>1.4065141039167029E-2</v>
      </c>
      <c r="F48" s="11">
        <f t="shared" si="26"/>
        <v>2.9404594983353061E-2</v>
      </c>
      <c r="G48" s="200">
        <f t="shared" si="27"/>
        <v>5.2818748972373042E-2</v>
      </c>
      <c r="I48" s="11" t="str">
        <f t="shared" si="33"/>
        <v>Process, plant and machine operatives</v>
      </c>
      <c r="J48" s="11">
        <v>1.1317845625813463</v>
      </c>
      <c r="K48" s="11">
        <v>2.1017603742816413</v>
      </c>
      <c r="L48" s="11">
        <v>0.96997581170029501</v>
      </c>
      <c r="M48" s="11">
        <v>0.99870799670918275</v>
      </c>
      <c r="N48" s="11">
        <v>1.9686838084094778</v>
      </c>
      <c r="P48" s="10" t="str">
        <f>name!D16</f>
        <v>42 Secretarial and related occupations</v>
      </c>
      <c r="Q48" s="11">
        <v>7.8999976054269387</v>
      </c>
      <c r="R48" s="11">
        <v>7.0950380212657747</v>
      </c>
      <c r="S48" s="345">
        <f t="shared" si="28"/>
        <v>-0.80495958416116409</v>
      </c>
      <c r="T48" s="345">
        <v>4.4125180495111378</v>
      </c>
      <c r="U48" s="345">
        <f t="shared" si="29"/>
        <v>3.6075584653499737</v>
      </c>
      <c r="V48" s="346">
        <f t="shared" si="30"/>
        <v>3.0025529757602865E-2</v>
      </c>
      <c r="X48" s="10"/>
      <c r="Y48" s="10"/>
      <c r="Z48" s="10"/>
      <c r="AA48" s="345"/>
      <c r="AB48" s="10"/>
      <c r="AC48" s="345"/>
      <c r="AD48" s="348"/>
    </row>
    <row r="49" spans="1:30" x14ac:dyDescent="0.2">
      <c r="A49" t="str">
        <f t="shared" si="24"/>
        <v>51 Skilled agricultural and related trades</v>
      </c>
      <c r="B49" s="11">
        <v>7.5907199553756311E-3</v>
      </c>
      <c r="C49" s="11">
        <v>9.9708103660917664E-3</v>
      </c>
      <c r="D49" s="11">
        <f t="shared" si="25"/>
        <v>2.3800904107161352E-3</v>
      </c>
      <c r="E49" s="11">
        <v>5.9784917211354507E-3</v>
      </c>
      <c r="F49" s="11">
        <f t="shared" si="26"/>
        <v>8.358582131851585E-3</v>
      </c>
      <c r="G49" s="200">
        <f t="shared" si="27"/>
        <v>3.9484720267679796E-2</v>
      </c>
      <c r="I49" s="11" t="str">
        <f t="shared" si="33"/>
        <v>Elementary occupations</v>
      </c>
      <c r="J49" s="11">
        <v>3.1875855487623417</v>
      </c>
      <c r="K49" s="11">
        <v>5.1883625669255844</v>
      </c>
      <c r="L49" s="11">
        <v>2.0007770181632432</v>
      </c>
      <c r="M49" s="11">
        <v>2.7625377806480529</v>
      </c>
      <c r="N49" s="11">
        <v>4.7633147988112965</v>
      </c>
      <c r="P49" s="10" t="str">
        <f>name!D17</f>
        <v>51 Skilled agricultural and related trades</v>
      </c>
      <c r="Q49" s="11">
        <v>0.79738697587656127</v>
      </c>
      <c r="R49" s="11">
        <v>1.0388687298613</v>
      </c>
      <c r="S49" s="345">
        <f t="shared" si="28"/>
        <v>0.2414817539847387</v>
      </c>
      <c r="T49" s="345">
        <v>0.64056841783236329</v>
      </c>
      <c r="U49" s="345">
        <f t="shared" si="29"/>
        <v>0.88205017181710199</v>
      </c>
      <c r="V49" s="346">
        <f t="shared" si="30"/>
        <v>4.0091989936114514E-2</v>
      </c>
      <c r="X49" s="10"/>
      <c r="Y49" s="10"/>
      <c r="Z49" s="10"/>
      <c r="AA49" s="345"/>
      <c r="AB49" s="10"/>
      <c r="AC49" s="345"/>
      <c r="AD49" s="348"/>
    </row>
    <row r="50" spans="1:30" x14ac:dyDescent="0.2">
      <c r="A50" t="str">
        <f t="shared" si="24"/>
        <v>52 Skilled metal, electrical and electronic trades</v>
      </c>
      <c r="B50" s="11">
        <v>1.3623826065581475E-2</v>
      </c>
      <c r="C50" s="11">
        <v>2.3769075215613583E-2</v>
      </c>
      <c r="D50" s="11">
        <f t="shared" si="25"/>
        <v>1.0145249150032109E-2</v>
      </c>
      <c r="E50" s="11">
        <v>9.3935013699284284E-3</v>
      </c>
      <c r="F50" s="11">
        <f t="shared" si="26"/>
        <v>1.9538750519960537E-2</v>
      </c>
      <c r="G50" s="200">
        <f t="shared" si="27"/>
        <v>3.558015734228781E-2</v>
      </c>
      <c r="O50" s="71"/>
      <c r="P50" s="10" t="str">
        <f>name!D18</f>
        <v>52 Skilled metal, electrical and electronic trades</v>
      </c>
      <c r="Q50" s="11">
        <v>0.27235920340683756</v>
      </c>
      <c r="R50" s="11">
        <v>0.82961745340667281</v>
      </c>
      <c r="S50" s="345">
        <f t="shared" si="28"/>
        <v>0.55725824999983531</v>
      </c>
      <c r="T50" s="345">
        <v>0.3837782933816074</v>
      </c>
      <c r="U50" s="345">
        <f t="shared" si="29"/>
        <v>0.94103654338144271</v>
      </c>
      <c r="V50" s="346">
        <f t="shared" si="30"/>
        <v>6.0368587064210333E-2</v>
      </c>
      <c r="X50" s="10"/>
      <c r="Y50" s="10"/>
      <c r="Z50" s="10"/>
      <c r="AA50" s="345"/>
      <c r="AB50" s="10"/>
      <c r="AC50" s="345"/>
      <c r="AD50" s="348"/>
    </row>
    <row r="51" spans="1:30" x14ac:dyDescent="0.2">
      <c r="A51" t="str">
        <f t="shared" si="24"/>
        <v>53 Skilled construction and building trades</v>
      </c>
      <c r="B51" s="11">
        <v>2.6085805616357575E-3</v>
      </c>
      <c r="C51" s="11">
        <v>4.8076679601742655E-3</v>
      </c>
      <c r="D51" s="11">
        <f t="shared" ref="D51" si="34">C51-B51</f>
        <v>2.1990873985385079E-3</v>
      </c>
      <c r="E51" s="11">
        <v>2.0963458564131382E-3</v>
      </c>
      <c r="F51" s="11">
        <f t="shared" ref="F51" si="35">SUM(D51:E51)</f>
        <v>4.2954332549516461E-3</v>
      </c>
      <c r="G51" s="200">
        <f t="shared" si="27"/>
        <v>4.01035343270848E-2</v>
      </c>
      <c r="I51" s="87" t="str">
        <f>name!F7</f>
        <v>RQF5 Foundation degree;Nursing;Teaching</v>
      </c>
      <c r="J51" s="11"/>
      <c r="K51" s="11"/>
      <c r="L51" s="11"/>
      <c r="M51" s="11"/>
      <c r="N51" s="11"/>
      <c r="P51" s="10" t="str">
        <f>name!D19</f>
        <v>53 Skilled construction and building trades</v>
      </c>
      <c r="Q51" s="11">
        <v>0.45105272819299563</v>
      </c>
      <c r="R51" s="11">
        <v>0.54392173274691369</v>
      </c>
      <c r="S51" s="345">
        <f t="shared" si="28"/>
        <v>9.2869004553918055E-2</v>
      </c>
      <c r="T51" s="345">
        <v>0.27528247543948509</v>
      </c>
      <c r="U51" s="345">
        <f t="shared" si="29"/>
        <v>0.36815147999340314</v>
      </c>
      <c r="V51" s="346">
        <f t="shared" si="30"/>
        <v>3.2271614707060081E-2</v>
      </c>
      <c r="X51" s="10"/>
      <c r="Y51" s="10"/>
      <c r="Z51" s="10"/>
      <c r="AA51" s="345"/>
      <c r="AB51" s="10"/>
      <c r="AC51" s="345"/>
      <c r="AD51" s="348"/>
    </row>
    <row r="52" spans="1:30" x14ac:dyDescent="0.2">
      <c r="A52" t="str">
        <f t="shared" si="24"/>
        <v>54 Textiles, printing and other skilled trades</v>
      </c>
      <c r="B52" s="11">
        <v>1.8983834268354753E-2</v>
      </c>
      <c r="C52" s="11">
        <v>2.9332728298425398E-2</v>
      </c>
      <c r="D52" s="11">
        <f t="shared" si="25"/>
        <v>1.0348894030070645E-2</v>
      </c>
      <c r="E52" s="11">
        <v>1.4774057987954418E-2</v>
      </c>
      <c r="F52" s="11">
        <f t="shared" si="26"/>
        <v>2.5122952018025065E-2</v>
      </c>
      <c r="G52" s="200">
        <f t="shared" si="27"/>
        <v>3.9120930278388366E-2</v>
      </c>
      <c r="I52" s="11" t="str">
        <f>I41</f>
        <v>Managers, directors and senior officials</v>
      </c>
      <c r="J52" s="11">
        <f t="array" ref="J52:J60">MMULT(aggregation!$B$13:$AA$21,B123:B148)</f>
        <v>2.5965504094162917</v>
      </c>
      <c r="K52" s="11">
        <f t="array" ref="K52:K60">MMULT(aggregation!$B$13:$AA$21,C123:C148)</f>
        <v>3.2940100179275449</v>
      </c>
      <c r="L52" s="11">
        <f t="array" ref="L52:L60">MMULT(aggregation!$B$13:$AA$21,D123:D148)</f>
        <v>0.69745960851125299</v>
      </c>
      <c r="M52" s="11">
        <f t="array" ref="M52:M60">MMULT(aggregation!$B$13:$AA$21,E123:E148)</f>
        <v>1.7272713789073451</v>
      </c>
      <c r="N52" s="11">
        <f t="array" ref="N52:N60">MMULT(aggregation!$B$13:$AA$21,F123:F148)</f>
        <v>2.4247309874185978</v>
      </c>
      <c r="P52" s="10" t="str">
        <f>name!D20</f>
        <v>54 Textiles, printing and other skilled trades</v>
      </c>
      <c r="Q52" s="11">
        <v>3.9278726124115133</v>
      </c>
      <c r="R52" s="11">
        <v>3.697260678715574</v>
      </c>
      <c r="S52" s="345">
        <f t="shared" si="28"/>
        <v>-0.23061193369593935</v>
      </c>
      <c r="T52" s="345">
        <v>2.2991908163428025</v>
      </c>
      <c r="U52" s="345">
        <f t="shared" si="29"/>
        <v>2.0685788826468632</v>
      </c>
      <c r="V52" s="346">
        <f t="shared" si="30"/>
        <v>3.1197202905676846E-2</v>
      </c>
      <c r="X52" s="10"/>
      <c r="Y52" s="10"/>
      <c r="Z52" s="10"/>
      <c r="AA52" s="345"/>
      <c r="AB52" s="10"/>
      <c r="AC52" s="345"/>
      <c r="AD52" s="348"/>
    </row>
    <row r="53" spans="1:30" x14ac:dyDescent="0.2">
      <c r="A53" t="str">
        <f t="shared" si="24"/>
        <v>61 Caring personal service occupations</v>
      </c>
      <c r="B53" s="11">
        <v>1.6867160197326356E-2</v>
      </c>
      <c r="C53" s="11">
        <v>2.6045380494163019E-2</v>
      </c>
      <c r="D53" s="11">
        <f t="shared" si="25"/>
        <v>9.1782202968366637E-3</v>
      </c>
      <c r="E53" s="11">
        <v>1.366081912550135E-2</v>
      </c>
      <c r="F53" s="11">
        <f t="shared" si="26"/>
        <v>2.2839039422338014E-2</v>
      </c>
      <c r="G53" s="200">
        <f t="shared" si="27"/>
        <v>4.0344253473574732E-2</v>
      </c>
      <c r="I53" s="11" t="str">
        <f>I42</f>
        <v>Professional occupations</v>
      </c>
      <c r="J53" s="11">
        <v>5.5111412722109865</v>
      </c>
      <c r="K53" s="11">
        <v>2.5180837645515499</v>
      </c>
      <c r="L53" s="11">
        <v>-2.9930575076594361</v>
      </c>
      <c r="M53" s="11">
        <v>1.3684666853426271</v>
      </c>
      <c r="N53" s="11">
        <v>-1.6245908223168093</v>
      </c>
      <c r="P53" s="10" t="str">
        <f>name!D21</f>
        <v>61 Caring personal service occupations</v>
      </c>
      <c r="Q53" s="11">
        <v>27.537158642378223</v>
      </c>
      <c r="R53" s="11">
        <v>29.363090618377537</v>
      </c>
      <c r="S53" s="345">
        <f t="shared" si="28"/>
        <v>1.825931975999314</v>
      </c>
      <c r="T53" s="345">
        <v>16.998230532866511</v>
      </c>
      <c r="U53" s="345">
        <f t="shared" si="29"/>
        <v>18.824162508865825</v>
      </c>
      <c r="V53" s="346">
        <f t="shared" si="30"/>
        <v>3.2568982372181754E-2</v>
      </c>
      <c r="X53" s="10"/>
      <c r="Y53" s="10"/>
      <c r="Z53" s="10"/>
      <c r="AA53" s="345"/>
      <c r="AB53" s="10"/>
      <c r="AC53" s="345"/>
      <c r="AD53" s="348"/>
    </row>
    <row r="54" spans="1:30" x14ac:dyDescent="0.2">
      <c r="A54" t="str">
        <f t="shared" si="24"/>
        <v>62 Leisure, travel and related personal service occupations</v>
      </c>
      <c r="B54" s="11">
        <v>1.2414943327238409E-2</v>
      </c>
      <c r="C54" s="11">
        <v>2.213045760931806E-2</v>
      </c>
      <c r="D54" s="11">
        <f t="shared" ref="D54:D55" si="36">C54-B54</f>
        <v>9.7155142820796511E-3</v>
      </c>
      <c r="E54" s="11">
        <v>1.0395697766419338E-2</v>
      </c>
      <c r="F54" s="11">
        <f t="shared" ref="F54:F55" si="37">SUM(D54:E54)</f>
        <v>2.0111212048498989E-2</v>
      </c>
      <c r="G54" s="200">
        <f t="shared" si="27"/>
        <v>4.138867389443357E-2</v>
      </c>
      <c r="I54" s="11" t="str">
        <f>I43</f>
        <v>Associate professional occupations</v>
      </c>
      <c r="J54" s="11">
        <v>4.3570721309665048</v>
      </c>
      <c r="K54" s="11">
        <v>4.1165020460012354</v>
      </c>
      <c r="L54" s="11">
        <v>-0.24057008496526933</v>
      </c>
      <c r="M54" s="11">
        <v>1.9024188460435354</v>
      </c>
      <c r="N54" s="11">
        <v>1.6618487610782662</v>
      </c>
      <c r="P54" s="10" t="str">
        <f>name!D22</f>
        <v>62 Leisure, travel and related personal service occupations</v>
      </c>
      <c r="Q54" s="11">
        <v>7.2364071321420349</v>
      </c>
      <c r="R54" s="11">
        <v>7.1275756980871705</v>
      </c>
      <c r="S54" s="345">
        <f t="shared" si="28"/>
        <v>-0.1088314340548644</v>
      </c>
      <c r="T54" s="345">
        <v>3.97435952886197</v>
      </c>
      <c r="U54" s="345">
        <f t="shared" si="29"/>
        <v>3.8655280948071056</v>
      </c>
      <c r="V54" s="346">
        <f t="shared" si="30"/>
        <v>2.9613325533492052E-2</v>
      </c>
      <c r="X54" s="10"/>
      <c r="Y54" s="10"/>
      <c r="Z54" s="10"/>
      <c r="AA54" s="345"/>
      <c r="AB54" s="10"/>
      <c r="AC54" s="345"/>
      <c r="AD54" s="348"/>
    </row>
    <row r="55" spans="1:30" x14ac:dyDescent="0.2">
      <c r="A55" t="str">
        <f t="shared" si="24"/>
        <v>63 Community and civil enforcement occupations</v>
      </c>
      <c r="B55" s="11">
        <v>9.9632809535825611E-4</v>
      </c>
      <c r="C55" s="11">
        <v>1.7397053863863932E-3</v>
      </c>
      <c r="D55" s="11">
        <f t="shared" si="36"/>
        <v>7.4337729102813706E-4</v>
      </c>
      <c r="E55" s="11">
        <v>8.3695162084409375E-4</v>
      </c>
      <c r="F55" s="11">
        <f t="shared" si="37"/>
        <v>1.5803289118722307E-3</v>
      </c>
      <c r="G55" s="200">
        <f t="shared" si="27"/>
        <v>4.1489966534733247E-2</v>
      </c>
      <c r="I55" s="11" t="str">
        <f>I44</f>
        <v>Administrative and secretarial occupations</v>
      </c>
      <c r="J55" s="11">
        <v>3.7004245385341008</v>
      </c>
      <c r="K55" s="11">
        <v>4.3868257636125074</v>
      </c>
      <c r="L55" s="11">
        <v>0.68640122507840695</v>
      </c>
      <c r="M55" s="11">
        <v>2.445826663706101</v>
      </c>
      <c r="N55" s="11">
        <v>3.1322278887845081</v>
      </c>
      <c r="P55" s="10" t="str">
        <f>name!D23</f>
        <v>63 Community and civil enforcement occupations</v>
      </c>
      <c r="Q55" s="11">
        <v>0.15689015216012697</v>
      </c>
      <c r="R55" s="11">
        <v>0.20317567651264545</v>
      </c>
      <c r="S55" s="345">
        <f t="shared" si="28"/>
        <v>4.6285524352518481E-2</v>
      </c>
      <c r="T55" s="345">
        <v>0.13275622189075337</v>
      </c>
      <c r="U55" s="345">
        <f t="shared" si="29"/>
        <v>0.17904174624327185</v>
      </c>
      <c r="V55" s="346">
        <f t="shared" si="30"/>
        <v>4.1721179800145114E-2</v>
      </c>
      <c r="X55" s="10"/>
      <c r="Y55" s="10"/>
      <c r="Z55" s="10"/>
      <c r="AA55" s="345"/>
      <c r="AB55" s="10"/>
      <c r="AC55" s="345"/>
      <c r="AD55" s="348"/>
    </row>
    <row r="56" spans="1:30" x14ac:dyDescent="0.2">
      <c r="A56" t="str">
        <f t="shared" si="24"/>
        <v>71 Sales occupations</v>
      </c>
      <c r="B56" s="11">
        <v>5.898375976087826E-2</v>
      </c>
      <c r="C56" s="11">
        <v>8.2616845745765791E-2</v>
      </c>
      <c r="D56" s="11">
        <f t="shared" si="25"/>
        <v>2.3633085984887531E-2</v>
      </c>
      <c r="E56" s="11">
        <v>3.8039520723484037E-2</v>
      </c>
      <c r="F56" s="11">
        <f t="shared" si="26"/>
        <v>6.1672606708371568E-2</v>
      </c>
      <c r="G56" s="200">
        <f t="shared" si="27"/>
        <v>3.3735823707224721E-2</v>
      </c>
      <c r="I56" s="11" t="str">
        <f t="shared" ref="I56:I60" si="38">I45</f>
        <v>Skilled trades occupations</v>
      </c>
      <c r="J56" s="11">
        <v>1.0784097352354347</v>
      </c>
      <c r="K56" s="11">
        <v>1.5033054887615405</v>
      </c>
      <c r="L56" s="11">
        <v>0.42489575352610587</v>
      </c>
      <c r="M56" s="11">
        <v>0.76800478382734516</v>
      </c>
      <c r="N56" s="11">
        <v>1.1929005373534509</v>
      </c>
      <c r="P56" s="10" t="str">
        <f>name!D24</f>
        <v>71 Sales occupations</v>
      </c>
      <c r="Q56" s="11">
        <v>29.060605753942106</v>
      </c>
      <c r="R56" s="11">
        <v>25.963967760605421</v>
      </c>
      <c r="S56" s="345">
        <f t="shared" si="28"/>
        <v>-3.0966379933366852</v>
      </c>
      <c r="T56" s="345">
        <v>15.803694356232027</v>
      </c>
      <c r="U56" s="345">
        <f t="shared" si="29"/>
        <v>12.707056362895342</v>
      </c>
      <c r="V56" s="346">
        <f t="shared" si="30"/>
        <v>2.9373733774172406E-2</v>
      </c>
      <c r="X56" s="10"/>
      <c r="Y56" s="10"/>
      <c r="Z56" s="10"/>
      <c r="AA56" s="345"/>
      <c r="AB56" s="10"/>
      <c r="AC56" s="345"/>
      <c r="AD56" s="348"/>
    </row>
    <row r="57" spans="1:30" x14ac:dyDescent="0.2">
      <c r="A57" t="str">
        <f t="shared" si="24"/>
        <v>72 Customer service occupations</v>
      </c>
      <c r="B57" s="11">
        <v>2.5869154007025465E-2</v>
      </c>
      <c r="C57" s="11">
        <v>5.6722135394157269E-2</v>
      </c>
      <c r="D57" s="11">
        <f t="shared" si="25"/>
        <v>3.0852981387131804E-2</v>
      </c>
      <c r="E57" s="11">
        <v>2.1484607421032306E-2</v>
      </c>
      <c r="F57" s="11">
        <f t="shared" si="26"/>
        <v>5.2337588808164109E-2</v>
      </c>
      <c r="G57" s="200">
        <f t="shared" si="27"/>
        <v>4.11296553822178E-2</v>
      </c>
      <c r="I57" s="11" t="str">
        <f t="shared" si="38"/>
        <v>Caring, leisure and other service occupations</v>
      </c>
      <c r="J57" s="11">
        <v>3.630891308311941</v>
      </c>
      <c r="K57" s="11">
        <v>4.3981542108279976</v>
      </c>
      <c r="L57" s="11">
        <v>0.76726290251605722</v>
      </c>
      <c r="M57" s="11">
        <v>2.4090597610005857</v>
      </c>
      <c r="N57" s="11">
        <v>3.1763226635166428</v>
      </c>
      <c r="P57" s="10" t="str">
        <f>name!D25</f>
        <v>72 Customer service occupations</v>
      </c>
      <c r="Q57" s="11">
        <v>5.3261536824900828</v>
      </c>
      <c r="R57" s="11">
        <v>7.3004825123255657</v>
      </c>
      <c r="S57" s="345">
        <f t="shared" si="28"/>
        <v>1.9743288298354829</v>
      </c>
      <c r="T57" s="345">
        <v>3.6984372675332557</v>
      </c>
      <c r="U57" s="345">
        <f t="shared" si="29"/>
        <v>5.6727660973687382</v>
      </c>
      <c r="V57" s="346">
        <f t="shared" si="30"/>
        <v>3.5780161986396664E-2</v>
      </c>
      <c r="X57" s="10"/>
      <c r="Y57" s="10"/>
      <c r="Z57" s="10"/>
      <c r="AA57" s="345"/>
      <c r="AB57" s="10"/>
      <c r="AC57" s="345"/>
      <c r="AD57" s="348"/>
    </row>
    <row r="58" spans="1:30" x14ac:dyDescent="0.2">
      <c r="A58" t="str">
        <f t="shared" si="24"/>
        <v>81 Process, plant and machine operatives</v>
      </c>
      <c r="B58" s="11">
        <v>2.4517581372656926E-2</v>
      </c>
      <c r="C58" s="11">
        <v>5.8978213737850595E-2</v>
      </c>
      <c r="D58" s="11">
        <f t="shared" ref="D58:D59" si="39">C58-B58</f>
        <v>3.4460632365193672E-2</v>
      </c>
      <c r="E58" s="11">
        <v>2.0045069906297851E-2</v>
      </c>
      <c r="F58" s="11">
        <f t="shared" ref="F58:F59" si="40">SUM(D58:E58)</f>
        <v>5.4505702271491527E-2</v>
      </c>
      <c r="G58" s="200">
        <f t="shared" si="27"/>
        <v>4.0637710471642441E-2</v>
      </c>
      <c r="I58" s="11" t="str">
        <f t="shared" si="38"/>
        <v>Sales and customer service occupations</v>
      </c>
      <c r="J58" s="11">
        <v>2.2113364500688912</v>
      </c>
      <c r="K58" s="11">
        <v>3.4542414559687646</v>
      </c>
      <c r="L58" s="11">
        <v>1.2429050058998734</v>
      </c>
      <c r="M58" s="11">
        <v>1.6605948697933743</v>
      </c>
      <c r="N58" s="11">
        <v>2.9034998756932482</v>
      </c>
      <c r="P58" s="10" t="str">
        <f>name!D26</f>
        <v>81 Process, plant and machine operatives</v>
      </c>
      <c r="Q58" s="11">
        <v>2.9218344657276933</v>
      </c>
      <c r="R58" s="11">
        <v>3.183090811234909</v>
      </c>
      <c r="S58" s="345">
        <f t="shared" si="28"/>
        <v>0.26125634550721566</v>
      </c>
      <c r="T58" s="345">
        <v>1.6031554101497367</v>
      </c>
      <c r="U58" s="345">
        <f t="shared" si="29"/>
        <v>1.8644117556569524</v>
      </c>
      <c r="V58" s="346">
        <f t="shared" si="30"/>
        <v>2.9589568116199727E-2</v>
      </c>
      <c r="X58" s="10"/>
      <c r="Y58" s="10"/>
      <c r="Z58" s="10"/>
      <c r="AA58" s="345"/>
      <c r="AB58" s="10"/>
      <c r="AC58" s="345"/>
      <c r="AD58" s="348"/>
    </row>
    <row r="59" spans="1:30" x14ac:dyDescent="0.2">
      <c r="A59" t="str">
        <f t="shared" si="24"/>
        <v>82 Transport and mobile machine drivers and operatives</v>
      </c>
      <c r="B59" s="11">
        <v>3.2986668932418993E-2</v>
      </c>
      <c r="C59" s="11">
        <v>7.8042890326718309E-2</v>
      </c>
      <c r="D59" s="11">
        <f t="shared" si="39"/>
        <v>4.5056221394299316E-2</v>
      </c>
      <c r="E59" s="11">
        <v>3.9146955246047846E-2</v>
      </c>
      <c r="F59" s="11">
        <f t="shared" si="40"/>
        <v>8.4203176640347155E-2</v>
      </c>
      <c r="G59" s="200">
        <f t="shared" si="27"/>
        <v>5.3545474839113316E-2</v>
      </c>
      <c r="I59" s="11" t="str">
        <f t="shared" si="38"/>
        <v>Process, plant and machine operatives</v>
      </c>
      <c r="J59" s="11">
        <v>0.59052822573728703</v>
      </c>
      <c r="K59" s="11">
        <v>0.91172963693238729</v>
      </c>
      <c r="L59" s="11">
        <v>0.32120141119510021</v>
      </c>
      <c r="M59" s="11">
        <v>0.43348527663991787</v>
      </c>
      <c r="N59" s="11">
        <v>0.75468668783501802</v>
      </c>
      <c r="P59" s="10" t="str">
        <f>name!D27</f>
        <v>82 Transport and mobile machine drivers and operatives</v>
      </c>
      <c r="Q59" s="11">
        <v>0.5006701294506658</v>
      </c>
      <c r="R59" s="11">
        <v>0.75400368668928197</v>
      </c>
      <c r="S59" s="345">
        <f t="shared" si="28"/>
        <v>0.25333355723861617</v>
      </c>
      <c r="T59" s="345">
        <v>0.43356901114262286</v>
      </c>
      <c r="U59" s="345">
        <f t="shared" si="29"/>
        <v>0.68690256838123909</v>
      </c>
      <c r="V59" s="346">
        <f t="shared" si="30"/>
        <v>4.2462461244371807E-2</v>
      </c>
      <c r="X59" s="10"/>
      <c r="Y59" s="10"/>
      <c r="Z59" s="10"/>
      <c r="AA59" s="345"/>
      <c r="AB59" s="10"/>
      <c r="AC59" s="345"/>
      <c r="AD59" s="348"/>
    </row>
    <row r="60" spans="1:30" x14ac:dyDescent="0.2">
      <c r="A60" t="str">
        <f t="shared" si="24"/>
        <v>91 Elementary trades and related occupations</v>
      </c>
      <c r="B60" s="11">
        <v>2.7938314876907499E-4</v>
      </c>
      <c r="C60" s="11">
        <v>3.3076482652081944E-4</v>
      </c>
      <c r="D60" s="11">
        <f t="shared" si="25"/>
        <v>5.1381677751744458E-5</v>
      </c>
      <c r="E60" s="11">
        <v>1.8508218961095721E-4</v>
      </c>
      <c r="F60" s="11">
        <f t="shared" si="26"/>
        <v>2.3646386736270167E-4</v>
      </c>
      <c r="G60" s="200">
        <f t="shared" si="27"/>
        <v>3.4467553641547743E-2</v>
      </c>
      <c r="I60" s="11" t="str">
        <f t="shared" si="38"/>
        <v>Elementary occupations</v>
      </c>
      <c r="J60" s="11">
        <v>1.651213177973857</v>
      </c>
      <c r="K60" s="11">
        <v>2.6779450637328077</v>
      </c>
      <c r="L60" s="11">
        <v>1.0267318857589509</v>
      </c>
      <c r="M60" s="11">
        <v>1.3126272211929115</v>
      </c>
      <c r="N60" s="11">
        <v>2.3393591069518624</v>
      </c>
      <c r="P60" s="10" t="str">
        <f>name!D28</f>
        <v>91 Elementary trades and related occupations</v>
      </c>
      <c r="Q60" s="11">
        <v>1.1521072897941402</v>
      </c>
      <c r="R60" s="11">
        <v>0.86168649676470543</v>
      </c>
      <c r="S60" s="345">
        <f t="shared" si="28"/>
        <v>-0.2904207930294348</v>
      </c>
      <c r="T60" s="345">
        <v>0.59500726952054261</v>
      </c>
      <c r="U60" s="345">
        <f t="shared" si="29"/>
        <v>0.30458647649110782</v>
      </c>
      <c r="V60" s="346">
        <f t="shared" si="30"/>
        <v>2.8147042404785161E-2</v>
      </c>
      <c r="X60" s="10"/>
      <c r="Y60" s="10"/>
      <c r="Z60" s="10"/>
      <c r="AA60" s="345"/>
      <c r="AB60" s="10"/>
      <c r="AC60" s="345"/>
      <c r="AD60" s="348"/>
    </row>
    <row r="61" spans="1:30" x14ac:dyDescent="0.2">
      <c r="A61" t="str">
        <f t="shared" si="24"/>
        <v>92 Elementary administration and service occupations</v>
      </c>
      <c r="B61" s="11">
        <v>3.5064090640751826E-2</v>
      </c>
      <c r="C61" s="11">
        <v>6.2786687362229213E-2</v>
      </c>
      <c r="D61" s="11">
        <f t="shared" ref="D61" si="41">C61-B61</f>
        <v>2.7722596721477387E-2</v>
      </c>
      <c r="E61" s="11">
        <v>3.032534846855502E-2</v>
      </c>
      <c r="F61" s="11">
        <f t="shared" ref="F61" si="42">SUM(D61:E61)</f>
        <v>5.804794519003241E-2</v>
      </c>
      <c r="G61" s="200">
        <f t="shared" ref="G61" si="43">IF(B61&gt;0,(1+(E61/B61))^(1/($C$6-$B$6))-1,0)</f>
        <v>4.2420640653129782E-2</v>
      </c>
      <c r="P61" s="10" t="str">
        <f>name!D29</f>
        <v>92 Elementary administration and service occupations</v>
      </c>
      <c r="Q61" s="11">
        <v>21.959830386127887</v>
      </c>
      <c r="R61" s="11">
        <v>20.917293614545709</v>
      </c>
      <c r="S61" s="345">
        <f t="shared" ref="S61" si="44">R61-Q61</f>
        <v>-1.0425367715821778</v>
      </c>
      <c r="T61" s="345">
        <v>12.200639355044991</v>
      </c>
      <c r="U61" s="345">
        <f t="shared" ref="U61" si="45">SUM(S61:T61)</f>
        <v>11.158102583462814</v>
      </c>
      <c r="V61" s="346">
        <f t="shared" ref="V61" si="46">IF(Q61&gt;0,(1+(T61/Q61))^(1/($C$6-$B$6))-1,0)</f>
        <v>2.9895095967056085E-2</v>
      </c>
      <c r="X61" s="10"/>
      <c r="Y61" s="10"/>
      <c r="Z61" s="10"/>
      <c r="AA61" s="345"/>
      <c r="AB61" s="10"/>
      <c r="AC61" s="345"/>
      <c r="AD61" s="348"/>
    </row>
    <row r="62" spans="1:30" x14ac:dyDescent="0.2">
      <c r="A62" t="str">
        <f t="shared" si="24"/>
        <v>All occupations</v>
      </c>
      <c r="B62" s="11">
        <f>SUM(B36:B61)</f>
        <v>6.2191239061433192</v>
      </c>
      <c r="C62" s="11">
        <f t="shared" ref="C62:F62" si="47">SUM(C36:C61)</f>
        <v>9.5144226538408052</v>
      </c>
      <c r="D62" s="11">
        <f t="shared" si="47"/>
        <v>3.2952987476974847</v>
      </c>
      <c r="E62" s="11">
        <f t="shared" si="47"/>
        <v>4.1463489915387948</v>
      </c>
      <c r="F62" s="11">
        <f t="shared" si="47"/>
        <v>7.4416477392362808</v>
      </c>
      <c r="G62" s="200">
        <f t="shared" si="27"/>
        <v>3.4643326146760245E-2</v>
      </c>
      <c r="I62" s="87" t="str">
        <f>name!F8</f>
        <v>RQF4 HE below degree level</v>
      </c>
      <c r="J62" s="11"/>
      <c r="K62" s="11"/>
      <c r="L62" s="11"/>
      <c r="M62" s="11"/>
      <c r="N62" s="11"/>
      <c r="P62" s="10" t="str">
        <f>name!D3</f>
        <v>All occupations</v>
      </c>
      <c r="Q62" s="11">
        <f>SUM(Q36:Q61)</f>
        <v>232.89529588495495</v>
      </c>
      <c r="R62" s="11">
        <f>SUM(R36:R61)</f>
        <v>244.20509469645674</v>
      </c>
      <c r="S62" s="345">
        <f>R62-Q62</f>
        <v>11.309798811501793</v>
      </c>
      <c r="T62" s="11">
        <f>SUM(T36:T61)</f>
        <v>137.47523070738052</v>
      </c>
      <c r="U62" s="345">
        <f>SUM(S62:T62)</f>
        <v>148.78502951888231</v>
      </c>
      <c r="V62" s="346">
        <f t="shared" si="30"/>
        <v>3.1410892299380322E-2</v>
      </c>
      <c r="X62" s="10"/>
      <c r="Y62" s="10"/>
      <c r="Z62" s="10"/>
      <c r="AA62" s="345"/>
      <c r="AB62" s="10"/>
      <c r="AC62" s="345"/>
      <c r="AD62" s="348"/>
    </row>
    <row r="63" spans="1:30" x14ac:dyDescent="0.2">
      <c r="I63" s="11" t="str">
        <f>I52</f>
        <v>Managers, directors and senior officials</v>
      </c>
      <c r="J63" s="11">
        <f t="array" ref="J63:J71">MMULT(aggregation!$B$13:$AA$21,B152:B177)</f>
        <v>2.6409012417977773</v>
      </c>
      <c r="K63" s="11">
        <f t="array" ref="K63:K71">MMULT(aggregation!$B$13:$AA$21,C152:C177)</f>
        <v>3.0297974366923097</v>
      </c>
      <c r="L63" s="11">
        <f t="array" ref="L63:L71">MMULT(aggregation!$B$13:$AA$21,D152:D177)</f>
        <v>0.38889619489453242</v>
      </c>
      <c r="M63" s="11">
        <f t="array" ref="M63:M71">MMULT(aggregation!$B$13:$AA$21,E152:E177)</f>
        <v>1.5956698342909561</v>
      </c>
      <c r="N63" s="11">
        <f t="array" ref="N63:N71">MMULT(aggregation!$B$13:$AA$21,F152:F177)</f>
        <v>1.9845660291854883</v>
      </c>
      <c r="P63" s="24"/>
      <c r="Q63" s="34"/>
      <c r="R63" s="34"/>
      <c r="S63" s="34"/>
      <c r="T63" s="34"/>
      <c r="U63" s="34"/>
      <c r="V63" s="34"/>
      <c r="X63" s="10"/>
      <c r="Y63" s="10"/>
      <c r="Z63" s="10"/>
      <c r="AA63" s="345"/>
      <c r="AB63" s="10"/>
      <c r="AC63" s="345"/>
      <c r="AD63" s="348"/>
    </row>
    <row r="64" spans="1:30" ht="38.25" x14ac:dyDescent="0.2">
      <c r="A64" s="201" t="str">
        <f>CONCATENATE(name!F5," (Constrained)")</f>
        <v>RQF7 Other higher degree (Constrained)</v>
      </c>
      <c r="B64" s="88">
        <f t="shared" ref="B64:G64" si="48">B6</f>
        <v>2020</v>
      </c>
      <c r="C64" s="88">
        <f t="shared" si="48"/>
        <v>2035</v>
      </c>
      <c r="D64" s="88" t="str">
        <f t="shared" si="48"/>
        <v>Net Change</v>
      </c>
      <c r="E64" s="88" t="str">
        <f t="shared" si="48"/>
        <v>Replacement Demand level</v>
      </c>
      <c r="F64" s="88" t="str">
        <f t="shared" si="48"/>
        <v>Total Requirement</v>
      </c>
      <c r="G64" s="88" t="str">
        <f t="shared" si="48"/>
        <v>Replacement Demand rate</v>
      </c>
      <c r="I64" s="11" t="str">
        <f>I53</f>
        <v>Professional occupations</v>
      </c>
      <c r="J64" s="11">
        <v>4.359596306422846</v>
      </c>
      <c r="K64" s="11">
        <v>4.8453768331539742</v>
      </c>
      <c r="L64" s="11">
        <v>0.48578052673112815</v>
      </c>
      <c r="M64" s="11">
        <v>1.9445300613483525</v>
      </c>
      <c r="N64" s="11">
        <v>2.4303105880794806</v>
      </c>
      <c r="P64" s="11"/>
      <c r="Q64" s="11"/>
      <c r="R64" s="11"/>
      <c r="S64" s="341"/>
      <c r="T64" s="341"/>
      <c r="U64" s="341"/>
      <c r="X64" s="10"/>
      <c r="Y64" s="10"/>
      <c r="Z64" s="10"/>
      <c r="AA64" s="345"/>
      <c r="AB64" s="10"/>
      <c r="AC64" s="345"/>
      <c r="AD64" s="348"/>
    </row>
    <row r="65" spans="1:30" x14ac:dyDescent="0.2">
      <c r="A65" t="str">
        <f t="shared" ref="A65:A91" si="49">A7</f>
        <v>11 Corporate managers and directors</v>
      </c>
      <c r="B65" s="11">
        <v>2.569040569662135</v>
      </c>
      <c r="C65" s="11">
        <v>3.3957445390073122</v>
      </c>
      <c r="D65" s="11">
        <f>C65-B65</f>
        <v>0.8267039693451772</v>
      </c>
      <c r="E65" s="11">
        <v>1.7169681624754534</v>
      </c>
      <c r="F65" s="11">
        <f>SUM(D65:E65)</f>
        <v>2.5436721318206308</v>
      </c>
      <c r="G65" s="200">
        <f>IF(B65&gt;0,(1+(E65/B65))^(1/($C$6-$B$6))-1,0)</f>
        <v>3.4710380160547949E-2</v>
      </c>
      <c r="I65" s="11" t="str">
        <f>I54</f>
        <v>Associate professional occupations</v>
      </c>
      <c r="J65" s="11">
        <v>3.4131033191317695</v>
      </c>
      <c r="K65" s="11">
        <v>3.5986788122985818</v>
      </c>
      <c r="L65" s="11">
        <v>0.18557549316681249</v>
      </c>
      <c r="M65" s="11">
        <v>1.5796721990771672</v>
      </c>
      <c r="N65" s="11">
        <v>1.7652476922439795</v>
      </c>
      <c r="P65" s="11"/>
      <c r="Q65" s="11"/>
      <c r="R65" s="11"/>
      <c r="S65" s="341"/>
      <c r="T65" s="341"/>
      <c r="U65" s="341"/>
      <c r="X65" s="10"/>
      <c r="Y65" s="10"/>
      <c r="Z65" s="10"/>
      <c r="AA65" s="345"/>
      <c r="AB65" s="10"/>
      <c r="AC65" s="345"/>
      <c r="AD65" s="348"/>
    </row>
    <row r="66" spans="1:30" x14ac:dyDescent="0.2">
      <c r="A66" t="str">
        <f t="shared" si="49"/>
        <v>12 Other managers and proprietors</v>
      </c>
      <c r="B66" s="11">
        <v>1.1626563556477134</v>
      </c>
      <c r="C66" s="11">
        <v>2.517719837869715</v>
      </c>
      <c r="D66" s="11">
        <f t="shared" ref="D66:D89" si="50">C66-B66</f>
        <v>1.3550634822220016</v>
      </c>
      <c r="E66" s="11">
        <v>1.2470975795274974</v>
      </c>
      <c r="F66" s="11">
        <f t="shared" ref="F66:F89" si="51">SUM(D66:E66)</f>
        <v>2.602161061749499</v>
      </c>
      <c r="G66" s="200">
        <f t="shared" ref="G66:G89" si="52">IF(B66&gt;0,(1+(E66/B66))^(1/($C$6-$B$6))-1,0)</f>
        <v>4.9787559540926507E-2</v>
      </c>
      <c r="I66" s="11" t="str">
        <f>I55</f>
        <v>Administrative and secretarial occupations</v>
      </c>
      <c r="J66" s="11">
        <v>3.3342719353164121</v>
      </c>
      <c r="K66" s="11">
        <v>4.0974886899183769</v>
      </c>
      <c r="L66" s="11">
        <v>0.76321675460196414</v>
      </c>
      <c r="M66" s="11">
        <v>2.1017778893775203</v>
      </c>
      <c r="N66" s="11">
        <v>2.8649946439794842</v>
      </c>
      <c r="P66" s="11"/>
      <c r="Q66" s="11"/>
      <c r="R66" s="11"/>
      <c r="S66" s="341"/>
      <c r="T66" s="341"/>
      <c r="U66" s="341"/>
      <c r="X66" s="10"/>
      <c r="Y66" s="10"/>
      <c r="Z66" s="10"/>
      <c r="AA66" s="345"/>
      <c r="AB66" s="10"/>
      <c r="AC66" s="345"/>
      <c r="AD66" s="348"/>
    </row>
    <row r="67" spans="1:30" x14ac:dyDescent="0.2">
      <c r="A67" t="str">
        <f t="shared" si="49"/>
        <v>21 Science, research, engineering and technology professionals</v>
      </c>
      <c r="B67" s="11">
        <v>3.729205386268108</v>
      </c>
      <c r="C67" s="11">
        <v>6.5027235305038413</v>
      </c>
      <c r="D67" s="11">
        <f t="shared" si="50"/>
        <v>2.7735181442357333</v>
      </c>
      <c r="E67" s="11">
        <v>2.2265076942270556</v>
      </c>
      <c r="F67" s="11">
        <f t="shared" si="51"/>
        <v>5.0000258384627889</v>
      </c>
      <c r="G67" s="200">
        <f t="shared" si="52"/>
        <v>3.1702534946560945E-2</v>
      </c>
      <c r="I67" s="11" t="str">
        <f t="shared" ref="I67:I71" si="53">I56</f>
        <v>Skilled trades occupations</v>
      </c>
      <c r="J67" s="11">
        <v>2.0993920590693111</v>
      </c>
      <c r="K67" s="11">
        <v>2.5314381368674126</v>
      </c>
      <c r="L67" s="11">
        <v>0.43204607779810145</v>
      </c>
      <c r="M67" s="11">
        <v>1.2326021654876522</v>
      </c>
      <c r="N67" s="11">
        <v>1.6646482432857537</v>
      </c>
      <c r="P67" s="11"/>
      <c r="Q67" s="11"/>
      <c r="R67" s="11"/>
      <c r="S67" s="341"/>
      <c r="T67" s="341"/>
      <c r="U67" s="341"/>
      <c r="X67" s="10"/>
      <c r="Y67" s="10"/>
      <c r="Z67" s="10"/>
      <c r="AA67" s="345"/>
      <c r="AB67" s="10"/>
      <c r="AC67" s="345"/>
      <c r="AD67" s="348"/>
    </row>
    <row r="68" spans="1:30" x14ac:dyDescent="0.2">
      <c r="A68" t="str">
        <f t="shared" si="49"/>
        <v>22 Health professionals</v>
      </c>
      <c r="B68" s="11">
        <v>4.6307719294245233</v>
      </c>
      <c r="C68" s="11">
        <v>6.0665896168683853</v>
      </c>
      <c r="D68" s="11">
        <f t="shared" si="50"/>
        <v>1.435817687443862</v>
      </c>
      <c r="E68" s="11">
        <v>3.1413291418174696</v>
      </c>
      <c r="F68" s="11">
        <f t="shared" si="51"/>
        <v>4.5771468292613315</v>
      </c>
      <c r="G68" s="200">
        <f t="shared" si="52"/>
        <v>3.5123900888990089E-2</v>
      </c>
      <c r="I68" s="11" t="str">
        <f t="shared" si="53"/>
        <v>Caring, leisure and other service occupations</v>
      </c>
      <c r="J68" s="11">
        <v>2.5142242421608803</v>
      </c>
      <c r="K68" s="11">
        <v>3.2339283101609575</v>
      </c>
      <c r="L68" s="11">
        <v>0.71970406800007725</v>
      </c>
      <c r="M68" s="11">
        <v>1.7743167223557896</v>
      </c>
      <c r="N68" s="11">
        <v>2.4940207903558669</v>
      </c>
      <c r="P68" s="11"/>
      <c r="Q68" s="11"/>
      <c r="R68" s="11"/>
      <c r="S68" s="341"/>
      <c r="T68" s="341"/>
      <c r="U68" s="341"/>
      <c r="X68" s="10"/>
      <c r="Y68" s="10"/>
      <c r="Z68" s="10"/>
      <c r="AA68" s="345"/>
      <c r="AB68" s="10"/>
      <c r="AC68" s="345"/>
      <c r="AD68" s="348"/>
    </row>
    <row r="69" spans="1:30" x14ac:dyDescent="0.2">
      <c r="A69" t="str">
        <f t="shared" si="49"/>
        <v>23 Teaching and other educational professionals</v>
      </c>
      <c r="B69" s="11">
        <v>10.804223848789942</v>
      </c>
      <c r="C69" s="11">
        <v>14.099339303205774</v>
      </c>
      <c r="D69" s="11">
        <f t="shared" ref="D69" si="54">C69-B69</f>
        <v>3.2951154544158321</v>
      </c>
      <c r="E69" s="11">
        <v>6.8513767237878662</v>
      </c>
      <c r="F69" s="11">
        <f t="shared" ref="F69" si="55">SUM(D69:E69)</f>
        <v>10.146492178203697</v>
      </c>
      <c r="G69" s="200">
        <f t="shared" si="52"/>
        <v>3.3282945702362898E-2</v>
      </c>
      <c r="I69" s="11" t="str">
        <f t="shared" si="53"/>
        <v>Sales and customer service occupations</v>
      </c>
      <c r="J69" s="11">
        <v>1.7838416566541437</v>
      </c>
      <c r="K69" s="11">
        <v>2.4733418634698863</v>
      </c>
      <c r="L69" s="11">
        <v>0.68950020681574264</v>
      </c>
      <c r="M69" s="11">
        <v>1.0982285490979056</v>
      </c>
      <c r="N69" s="11">
        <v>1.7877287559136481</v>
      </c>
      <c r="P69" s="11"/>
      <c r="Q69" s="11"/>
      <c r="R69" s="11"/>
      <c r="S69" s="341"/>
      <c r="T69" s="341"/>
      <c r="U69" s="341"/>
      <c r="X69" s="10"/>
      <c r="Y69" s="10"/>
      <c r="Z69" s="10"/>
      <c r="AA69" s="345"/>
      <c r="AB69" s="10"/>
      <c r="AC69" s="345"/>
      <c r="AD69" s="348"/>
    </row>
    <row r="70" spans="1:30" x14ac:dyDescent="0.2">
      <c r="A70" t="str">
        <f t="shared" si="49"/>
        <v>24 Business, media and public service professionals</v>
      </c>
      <c r="B70" s="11">
        <v>4.6227471089691639</v>
      </c>
      <c r="C70" s="11">
        <v>6.6476507973719361</v>
      </c>
      <c r="D70" s="11">
        <f t="shared" si="50"/>
        <v>2.0249036884027722</v>
      </c>
      <c r="E70" s="11">
        <v>3.1763000341085479</v>
      </c>
      <c r="F70" s="11">
        <f t="shared" si="51"/>
        <v>5.2012037225113197</v>
      </c>
      <c r="G70" s="200">
        <f t="shared" si="52"/>
        <v>3.5482493058158759E-2</v>
      </c>
      <c r="I70" s="11" t="str">
        <f t="shared" si="53"/>
        <v>Process, plant and machine operatives</v>
      </c>
      <c r="J70" s="11">
        <v>0.94894934921932739</v>
      </c>
      <c r="K70" s="11">
        <v>1.3519672056915046</v>
      </c>
      <c r="L70" s="11">
        <v>0.40301785647217725</v>
      </c>
      <c r="M70" s="11">
        <v>0.69159418314691568</v>
      </c>
      <c r="N70" s="11">
        <v>1.094612039619093</v>
      </c>
      <c r="P70" s="11"/>
      <c r="Q70" s="11"/>
      <c r="R70" s="11"/>
      <c r="S70" s="341"/>
      <c r="T70" s="341"/>
      <c r="U70" s="341"/>
      <c r="X70" s="10"/>
      <c r="Y70" s="10"/>
      <c r="Z70" s="10"/>
      <c r="AA70" s="345"/>
      <c r="AB70" s="10"/>
      <c r="AC70" s="345"/>
      <c r="AD70" s="348"/>
    </row>
    <row r="71" spans="1:30" x14ac:dyDescent="0.2">
      <c r="A71" t="str">
        <f t="shared" si="49"/>
        <v>31 Science, engineering and technology associate professionals</v>
      </c>
      <c r="B71" s="11">
        <v>0.85264982246806098</v>
      </c>
      <c r="C71" s="11">
        <v>1.2250491590643637</v>
      </c>
      <c r="D71" s="11">
        <f t="shared" si="50"/>
        <v>0.37239933659630275</v>
      </c>
      <c r="E71" s="11">
        <v>0.47307782303449908</v>
      </c>
      <c r="F71" s="11">
        <f t="shared" si="51"/>
        <v>0.84547715963080183</v>
      </c>
      <c r="G71" s="200">
        <f t="shared" si="52"/>
        <v>2.9861699645008954E-2</v>
      </c>
      <c r="I71" s="11" t="str">
        <f t="shared" si="53"/>
        <v>Elementary occupations</v>
      </c>
      <c r="J71" s="11">
        <v>1.4427194960033323</v>
      </c>
      <c r="K71" s="11">
        <v>2.1585962831527765</v>
      </c>
      <c r="L71" s="11">
        <v>0.71587678714944425</v>
      </c>
      <c r="M71" s="11">
        <v>1.106578885374323</v>
      </c>
      <c r="N71" s="11">
        <v>1.8224556725237675</v>
      </c>
      <c r="P71" s="11"/>
      <c r="Q71" s="11"/>
      <c r="R71" s="11"/>
      <c r="S71" s="341"/>
      <c r="T71" s="341"/>
      <c r="U71" s="341"/>
      <c r="X71" s="10"/>
      <c r="Y71" s="10"/>
      <c r="Z71" s="10"/>
      <c r="AA71" s="345"/>
      <c r="AB71" s="10"/>
      <c r="AC71" s="345"/>
      <c r="AD71" s="348"/>
    </row>
    <row r="72" spans="1:30" x14ac:dyDescent="0.2">
      <c r="A72" t="str">
        <f t="shared" si="49"/>
        <v>32 Health and social care associate professionals</v>
      </c>
      <c r="B72" s="11">
        <v>0.97080852256156736</v>
      </c>
      <c r="C72" s="11">
        <v>1.2727443843437105</v>
      </c>
      <c r="D72" s="11">
        <f t="shared" si="50"/>
        <v>0.30193586178214316</v>
      </c>
      <c r="E72" s="11">
        <v>0.73664034307505322</v>
      </c>
      <c r="F72" s="11">
        <f t="shared" si="51"/>
        <v>1.0385762048571965</v>
      </c>
      <c r="G72" s="200">
        <f t="shared" si="52"/>
        <v>3.8359183848725165E-2</v>
      </c>
      <c r="I72" s="11"/>
      <c r="J72" s="11"/>
      <c r="K72" s="11"/>
      <c r="L72" s="11"/>
      <c r="M72" s="11"/>
      <c r="N72" s="11"/>
      <c r="P72" s="11"/>
      <c r="Q72" s="11"/>
      <c r="R72" s="11"/>
      <c r="S72" s="341"/>
      <c r="T72" s="341"/>
      <c r="U72" s="341"/>
      <c r="X72" s="10"/>
      <c r="Y72" s="10"/>
      <c r="Z72" s="10"/>
      <c r="AA72" s="345"/>
      <c r="AB72" s="10"/>
      <c r="AC72" s="345"/>
      <c r="AD72" s="348"/>
    </row>
    <row r="73" spans="1:30" x14ac:dyDescent="0.2">
      <c r="A73" t="str">
        <f t="shared" si="49"/>
        <v>33 Protective service occupations</v>
      </c>
      <c r="B73" s="11">
        <v>0.27251433974476058</v>
      </c>
      <c r="C73" s="11">
        <v>0.6616437339621396</v>
      </c>
      <c r="D73" s="11">
        <f t="shared" si="50"/>
        <v>0.38912939421737902</v>
      </c>
      <c r="E73" s="11">
        <v>0.17368105727220051</v>
      </c>
      <c r="F73" s="11">
        <f t="shared" si="51"/>
        <v>0.56281045148957953</v>
      </c>
      <c r="G73" s="200">
        <f t="shared" si="52"/>
        <v>3.3417270137849675E-2</v>
      </c>
      <c r="I73" s="87" t="str">
        <f>name!F9</f>
        <v>RQF3 A level &amp; equivalent</v>
      </c>
      <c r="J73" s="11"/>
      <c r="K73" s="11"/>
      <c r="L73" s="11"/>
      <c r="M73" s="11"/>
      <c r="N73" s="11"/>
      <c r="P73" s="11"/>
      <c r="Q73" s="11"/>
      <c r="R73" s="11"/>
      <c r="S73" s="341"/>
      <c r="T73" s="341"/>
      <c r="U73" s="341"/>
      <c r="X73" s="10"/>
      <c r="Y73" s="10"/>
      <c r="Z73" s="10"/>
      <c r="AA73" s="345"/>
      <c r="AB73" s="10"/>
      <c r="AC73" s="345"/>
      <c r="AD73" s="348"/>
    </row>
    <row r="74" spans="1:30" x14ac:dyDescent="0.2">
      <c r="A74" t="str">
        <f t="shared" si="49"/>
        <v>34 Culture, media and sports occupations</v>
      </c>
      <c r="B74" s="11">
        <v>1.0325343607436983</v>
      </c>
      <c r="C74" s="11">
        <v>1.1906415584307097</v>
      </c>
      <c r="D74" s="11">
        <f t="shared" ref="D74:D75" si="56">C74-B74</f>
        <v>0.15810719768701142</v>
      </c>
      <c r="E74" s="11">
        <v>0.64873884183713548</v>
      </c>
      <c r="F74" s="11">
        <f t="shared" ref="F74:F75" si="57">SUM(D74:E74)</f>
        <v>0.80684603952414691</v>
      </c>
      <c r="G74" s="200">
        <f t="shared" si="52"/>
        <v>3.3036306354900846E-2</v>
      </c>
      <c r="I74" s="11" t="str">
        <f>I63</f>
        <v>Managers, directors and senior officials</v>
      </c>
      <c r="J74" s="11">
        <f t="array" ref="J74:J82">MMULT(aggregation!$B$13:$AA$21,B181:B206)</f>
        <v>9.4131771047275699</v>
      </c>
      <c r="K74" s="11">
        <f t="array" ref="K74:K82">MMULT(aggregation!$B$13:$AA$21,C181:C206)</f>
        <v>9.0715401493161707</v>
      </c>
      <c r="L74" s="11">
        <f t="array" ref="L74:L82">MMULT(aggregation!$B$13:$AA$21,D181:D206)</f>
        <v>-0.34163695541139871</v>
      </c>
      <c r="M74" s="11">
        <f t="array" ref="M74:M82">MMULT(aggregation!$B$13:$AA$21,E181:E206)</f>
        <v>3.9289397668314523</v>
      </c>
      <c r="N74" s="11">
        <f t="array" ref="N74:N82">MMULT(aggregation!$B$13:$AA$21,F181:F206)</f>
        <v>3.5873028114200536</v>
      </c>
      <c r="P74" s="11"/>
      <c r="Q74" s="11"/>
      <c r="R74" s="11"/>
      <c r="S74" s="341"/>
      <c r="T74" s="341"/>
      <c r="U74" s="341"/>
      <c r="X74" s="10"/>
      <c r="Y74" s="10"/>
      <c r="Z74" s="10"/>
      <c r="AA74" s="345"/>
      <c r="AB74" s="10"/>
      <c r="AC74" s="345"/>
      <c r="AD74" s="348"/>
    </row>
    <row r="75" spans="1:30" x14ac:dyDescent="0.2">
      <c r="A75" t="str">
        <f t="shared" si="49"/>
        <v>35 Business and public service associate professionals</v>
      </c>
      <c r="B75" s="11">
        <v>2.4391233400422716</v>
      </c>
      <c r="C75" s="11">
        <v>3.1297387842745858</v>
      </c>
      <c r="D75" s="11">
        <f t="shared" si="56"/>
        <v>0.69061544423231425</v>
      </c>
      <c r="E75" s="11">
        <v>1.525916854121641</v>
      </c>
      <c r="F75" s="11">
        <f t="shared" si="57"/>
        <v>2.2165322983539553</v>
      </c>
      <c r="G75" s="200">
        <f t="shared" si="52"/>
        <v>3.2922145884873855E-2</v>
      </c>
      <c r="I75" s="11" t="str">
        <f>I64</f>
        <v>Professional occupations</v>
      </c>
      <c r="J75" s="11">
        <v>14.152272574010404</v>
      </c>
      <c r="K75" s="11">
        <v>14.92297471898951</v>
      </c>
      <c r="L75" s="11">
        <v>0.77070214497910783</v>
      </c>
      <c r="M75" s="11">
        <v>6.0318101442062755</v>
      </c>
      <c r="N75" s="11">
        <v>6.8025122891853833</v>
      </c>
      <c r="P75" s="11"/>
      <c r="Q75" s="11"/>
      <c r="R75" s="11"/>
      <c r="S75" s="341"/>
      <c r="T75" s="341"/>
      <c r="U75" s="341"/>
      <c r="X75" s="10"/>
      <c r="Y75" s="10"/>
      <c r="Z75" s="10"/>
      <c r="AA75" s="345"/>
      <c r="AB75" s="10"/>
      <c r="AC75" s="345"/>
      <c r="AD75" s="348"/>
    </row>
    <row r="76" spans="1:30" x14ac:dyDescent="0.2">
      <c r="A76" t="str">
        <f t="shared" si="49"/>
        <v>41 Administrative occupations</v>
      </c>
      <c r="B76" s="11">
        <v>2.3441503794486467</v>
      </c>
      <c r="C76" s="11">
        <v>3.1039720954300827</v>
      </c>
      <c r="D76" s="11">
        <f t="shared" si="50"/>
        <v>0.759821715981436</v>
      </c>
      <c r="E76" s="11">
        <v>1.626177275501929</v>
      </c>
      <c r="F76" s="11">
        <f t="shared" si="51"/>
        <v>2.385998991483365</v>
      </c>
      <c r="G76" s="200">
        <f t="shared" si="52"/>
        <v>3.5752663240117277E-2</v>
      </c>
      <c r="I76" s="11" t="str">
        <f>I65</f>
        <v>Associate professional occupations</v>
      </c>
      <c r="J76" s="11">
        <v>13.549840779430353</v>
      </c>
      <c r="K76" s="11">
        <v>12.169000500115406</v>
      </c>
      <c r="L76" s="11">
        <v>-1.3808402793149466</v>
      </c>
      <c r="M76" s="11">
        <v>5.063295187495104</v>
      </c>
      <c r="N76" s="11">
        <v>3.6824549081801572</v>
      </c>
      <c r="P76" s="11"/>
      <c r="Q76" s="11"/>
      <c r="R76" s="11"/>
      <c r="S76" s="341"/>
      <c r="T76" s="341"/>
      <c r="U76" s="341"/>
      <c r="X76" s="10"/>
      <c r="Y76" s="10"/>
      <c r="Z76" s="10"/>
      <c r="AA76" s="345"/>
      <c r="AB76" s="10"/>
      <c r="AC76" s="345"/>
      <c r="AD76" s="348"/>
    </row>
    <row r="77" spans="1:30" x14ac:dyDescent="0.2">
      <c r="A77" t="str">
        <f t="shared" si="49"/>
        <v>42 Secretarial and related occupations</v>
      </c>
      <c r="B77" s="11">
        <v>0.32554539433944385</v>
      </c>
      <c r="C77" s="11">
        <v>0.5457141738281216</v>
      </c>
      <c r="D77" s="11">
        <f t="shared" si="50"/>
        <v>0.22016877948867775</v>
      </c>
      <c r="E77" s="11">
        <v>0.31240809214852577</v>
      </c>
      <c r="F77" s="11">
        <f t="shared" si="51"/>
        <v>0.53257687163720346</v>
      </c>
      <c r="G77" s="200">
        <f t="shared" si="52"/>
        <v>4.5871906217792802E-2</v>
      </c>
      <c r="I77" s="11" t="str">
        <f>I66</f>
        <v>Administrative and secretarial occupations</v>
      </c>
      <c r="J77" s="11">
        <v>12.646973259077882</v>
      </c>
      <c r="K77" s="11">
        <v>10.264970146666018</v>
      </c>
      <c r="L77" s="11">
        <v>-2.3820031124118639</v>
      </c>
      <c r="M77" s="11">
        <v>5.6597031832533355</v>
      </c>
      <c r="N77" s="11">
        <v>3.2777000708414716</v>
      </c>
      <c r="P77" s="11"/>
      <c r="Q77" s="11"/>
      <c r="R77" s="11"/>
      <c r="S77" s="341"/>
      <c r="T77" s="341"/>
      <c r="U77" s="341"/>
      <c r="X77" s="10"/>
      <c r="Y77" s="10"/>
      <c r="Z77" s="10"/>
      <c r="AA77" s="345"/>
      <c r="AB77" s="10"/>
      <c r="AC77" s="345"/>
      <c r="AD77" s="348"/>
    </row>
    <row r="78" spans="1:30" x14ac:dyDescent="0.2">
      <c r="A78" t="str">
        <f t="shared" si="49"/>
        <v>51 Skilled agricultural and related trades</v>
      </c>
      <c r="B78" s="11">
        <v>4.4243454581404607E-2</v>
      </c>
      <c r="C78" s="11">
        <v>6.4049058890569888E-2</v>
      </c>
      <c r="D78" s="11">
        <f t="shared" si="50"/>
        <v>1.9805604309165281E-2</v>
      </c>
      <c r="E78" s="11">
        <v>3.1550214037597717E-2</v>
      </c>
      <c r="F78" s="11">
        <f t="shared" si="51"/>
        <v>5.1355818346762998E-2</v>
      </c>
      <c r="G78" s="200">
        <f t="shared" si="52"/>
        <v>3.6538871334335976E-2</v>
      </c>
      <c r="I78" s="11" t="str">
        <f t="shared" ref="I78:I82" si="58">I67</f>
        <v>Skilled trades occupations</v>
      </c>
      <c r="J78" s="11">
        <v>20.303493591662367</v>
      </c>
      <c r="K78" s="11">
        <v>16.57691532053725</v>
      </c>
      <c r="L78" s="11">
        <v>-3.7265782711251174</v>
      </c>
      <c r="M78" s="11">
        <v>6.7643515747595444</v>
      </c>
      <c r="N78" s="11">
        <v>3.0377733036344274</v>
      </c>
      <c r="O78" s="71"/>
      <c r="P78" s="11"/>
      <c r="Q78" s="11"/>
      <c r="R78" s="11"/>
      <c r="S78" s="341"/>
      <c r="T78" s="341"/>
      <c r="U78" s="341"/>
      <c r="X78" s="10"/>
      <c r="Y78" s="10"/>
      <c r="Z78" s="10"/>
      <c r="AA78" s="345"/>
      <c r="AB78" s="10"/>
      <c r="AC78" s="345"/>
      <c r="AD78" s="348"/>
    </row>
    <row r="79" spans="1:30" x14ac:dyDescent="0.2">
      <c r="A79" t="str">
        <f t="shared" si="49"/>
        <v>52 Skilled metal, electrical and electronic trades</v>
      </c>
      <c r="B79" s="11">
        <v>0.23561823240535107</v>
      </c>
      <c r="C79" s="11">
        <v>0.50724880877528833</v>
      </c>
      <c r="D79" s="11">
        <f t="shared" si="50"/>
        <v>0.27163057636993726</v>
      </c>
      <c r="E79" s="11">
        <v>0.20107864933323005</v>
      </c>
      <c r="F79" s="11">
        <f t="shared" si="51"/>
        <v>0.47270922570316731</v>
      </c>
      <c r="G79" s="200">
        <f t="shared" si="52"/>
        <v>4.1992868165448449E-2</v>
      </c>
      <c r="I79" s="11" t="str">
        <f t="shared" si="58"/>
        <v>Caring, leisure and other service occupations</v>
      </c>
      <c r="J79" s="11">
        <v>15.368436151605113</v>
      </c>
      <c r="K79" s="11">
        <v>19.354890983075563</v>
      </c>
      <c r="L79" s="11">
        <v>3.98645483147045</v>
      </c>
      <c r="M79" s="11">
        <v>10.013255996068102</v>
      </c>
      <c r="N79" s="11">
        <v>13.99971082753855</v>
      </c>
      <c r="X79" s="10"/>
      <c r="Y79" s="10"/>
      <c r="Z79" s="10"/>
      <c r="AA79" s="345"/>
      <c r="AB79" s="10"/>
      <c r="AC79" s="345"/>
      <c r="AD79" s="348"/>
    </row>
    <row r="80" spans="1:30" x14ac:dyDescent="0.2">
      <c r="A80" t="str">
        <f t="shared" si="49"/>
        <v>53 Skilled construction and building trades</v>
      </c>
      <c r="B80" s="11">
        <v>9.8620553650703061E-2</v>
      </c>
      <c r="C80" s="11">
        <v>0.1800255068464742</v>
      </c>
      <c r="D80" s="11">
        <f t="shared" ref="D80" si="59">C80-B80</f>
        <v>8.1404953195771138E-2</v>
      </c>
      <c r="E80" s="11">
        <v>8.0378914915802152E-2</v>
      </c>
      <c r="F80" s="11">
        <f t="shared" ref="F80" si="60">SUM(D80:E80)</f>
        <v>0.1617838681115733</v>
      </c>
      <c r="G80" s="200">
        <f t="shared" si="52"/>
        <v>4.0540416538031421E-2</v>
      </c>
      <c r="I80" s="11" t="str">
        <f t="shared" si="58"/>
        <v>Sales and customer service occupations</v>
      </c>
      <c r="J80" s="11">
        <v>15.308826030738357</v>
      </c>
      <c r="K80" s="11">
        <v>18.219041136858319</v>
      </c>
      <c r="L80" s="11">
        <v>2.9102151061199608</v>
      </c>
      <c r="M80" s="11">
        <v>8.3112615988507024</v>
      </c>
      <c r="N80" s="11">
        <v>11.221476704970664</v>
      </c>
      <c r="P80" s="85"/>
      <c r="Q80" s="74"/>
      <c r="R80" s="74"/>
      <c r="S80" s="342"/>
      <c r="T80" s="342"/>
      <c r="U80" s="342"/>
      <c r="X80" s="10"/>
      <c r="Y80" s="10"/>
      <c r="Z80" s="10"/>
      <c r="AA80" s="345"/>
      <c r="AB80" s="10"/>
      <c r="AC80" s="345"/>
      <c r="AD80" s="348"/>
    </row>
    <row r="81" spans="1:30" x14ac:dyDescent="0.2">
      <c r="A81" t="str">
        <f t="shared" si="49"/>
        <v>54 Textiles, printing and other skilled trades</v>
      </c>
      <c r="B81" s="11">
        <v>0.22185059896219969</v>
      </c>
      <c r="C81" s="11">
        <v>0.34862591050862368</v>
      </c>
      <c r="D81" s="11">
        <f t="shared" si="50"/>
        <v>0.12677531154642399</v>
      </c>
      <c r="E81" s="11">
        <v>0.18018417410435333</v>
      </c>
      <c r="F81" s="11">
        <f t="shared" si="51"/>
        <v>0.30695948565077735</v>
      </c>
      <c r="G81" s="200">
        <f t="shared" si="52"/>
        <v>4.0431600097193821E-2</v>
      </c>
      <c r="I81" s="11" t="str">
        <f t="shared" si="58"/>
        <v>Process, plant and machine operatives</v>
      </c>
      <c r="J81" s="11">
        <v>10.316227019816672</v>
      </c>
      <c r="K81" s="11">
        <v>11.432778939594119</v>
      </c>
      <c r="L81" s="11">
        <v>1.1165519197774465</v>
      </c>
      <c r="M81" s="11">
        <v>4.6921619894437967</v>
      </c>
      <c r="N81" s="11">
        <v>5.8087139092212432</v>
      </c>
      <c r="P81" s="11"/>
      <c r="Q81" s="11"/>
      <c r="R81" s="11"/>
      <c r="S81" s="341"/>
      <c r="T81" s="341"/>
      <c r="U81" s="341"/>
      <c r="X81" s="10"/>
      <c r="Y81" s="10"/>
      <c r="Z81" s="10"/>
      <c r="AA81" s="345"/>
      <c r="AB81" s="10"/>
      <c r="AC81" s="345"/>
      <c r="AD81" s="348"/>
    </row>
    <row r="82" spans="1:30" x14ac:dyDescent="0.2">
      <c r="A82" t="str">
        <f t="shared" si="49"/>
        <v>61 Caring personal service occupations</v>
      </c>
      <c r="B82" s="11">
        <v>0.96517430013710093</v>
      </c>
      <c r="C82" s="11">
        <v>1.4021008932890973</v>
      </c>
      <c r="D82" s="11">
        <f t="shared" si="50"/>
        <v>0.43692659315199633</v>
      </c>
      <c r="E82" s="11">
        <v>0.79596346346487989</v>
      </c>
      <c r="F82" s="11">
        <f t="shared" si="51"/>
        <v>1.2328900566168763</v>
      </c>
      <c r="G82" s="200">
        <f t="shared" si="52"/>
        <v>4.0908381064880039E-2</v>
      </c>
      <c r="I82" s="11" t="str">
        <f t="shared" si="58"/>
        <v>Elementary occupations</v>
      </c>
      <c r="J82" s="11">
        <v>10.791367771245437</v>
      </c>
      <c r="K82" s="11">
        <v>9.8509697827041833</v>
      </c>
      <c r="L82" s="11">
        <v>-0.94039798854125378</v>
      </c>
      <c r="M82" s="11">
        <v>4.7917807631713201</v>
      </c>
      <c r="N82" s="11">
        <v>3.8513827746300664</v>
      </c>
      <c r="P82" s="11"/>
      <c r="Q82" s="11"/>
      <c r="R82" s="11"/>
      <c r="S82" s="341"/>
      <c r="T82" s="341"/>
      <c r="U82" s="341"/>
      <c r="X82" s="10"/>
      <c r="Y82" s="10"/>
      <c r="Z82" s="10"/>
      <c r="AA82" s="345"/>
      <c r="AB82" s="10"/>
      <c r="AC82" s="345"/>
      <c r="AD82" s="354"/>
    </row>
    <row r="83" spans="1:30" x14ac:dyDescent="0.2">
      <c r="A83" t="str">
        <f t="shared" si="49"/>
        <v>62 Leisure, travel and related personal service occupations</v>
      </c>
      <c r="B83" s="11">
        <v>0.19568076357685518</v>
      </c>
      <c r="C83" s="11">
        <v>0.28433058607285577</v>
      </c>
      <c r="D83" s="11">
        <f t="shared" ref="D83:D84" si="61">C83-B83</f>
        <v>8.8649822496000591E-2</v>
      </c>
      <c r="E83" s="11">
        <v>0.1533987371488704</v>
      </c>
      <c r="F83" s="11">
        <f t="shared" ref="F83:F84" si="62">SUM(D83:E83)</f>
        <v>0.24204855964487099</v>
      </c>
      <c r="G83" s="200">
        <f t="shared" si="52"/>
        <v>3.9341848170435512E-2</v>
      </c>
      <c r="I83" s="11"/>
      <c r="J83" s="11"/>
      <c r="K83" s="11"/>
      <c r="L83" s="11"/>
      <c r="M83" s="11"/>
      <c r="N83" s="11"/>
      <c r="P83" s="11"/>
      <c r="Q83" s="11"/>
      <c r="R83" s="11"/>
      <c r="S83" s="341"/>
      <c r="T83" s="341"/>
      <c r="U83" s="341"/>
    </row>
    <row r="84" spans="1:30" x14ac:dyDescent="0.2">
      <c r="A84" t="str">
        <f t="shared" si="49"/>
        <v>63 Community and civil enforcement occupations</v>
      </c>
      <c r="B84" s="11">
        <v>1.7880874970720835E-2</v>
      </c>
      <c r="C84" s="11">
        <v>2.7744770692157514E-2</v>
      </c>
      <c r="D84" s="11">
        <f t="shared" si="61"/>
        <v>9.8638957214366788E-3</v>
      </c>
      <c r="E84" s="11">
        <v>1.2342946632790017E-2</v>
      </c>
      <c r="F84" s="11">
        <f t="shared" si="62"/>
        <v>2.2206842354226694E-2</v>
      </c>
      <c r="G84" s="200">
        <f t="shared" si="52"/>
        <v>3.5612715213835466E-2</v>
      </c>
      <c r="I84" s="87" t="str">
        <f>name!F10</f>
        <v>RQF2 GCSE(A-C) &amp; equivalent</v>
      </c>
      <c r="J84" s="11"/>
      <c r="K84" s="11"/>
      <c r="L84" s="11"/>
      <c r="M84" s="11"/>
      <c r="N84" s="11"/>
      <c r="P84" s="11"/>
      <c r="Q84" s="11"/>
      <c r="R84" s="11"/>
      <c r="S84" s="341"/>
      <c r="T84" s="341"/>
      <c r="U84" s="341"/>
    </row>
    <row r="85" spans="1:30" x14ac:dyDescent="0.2">
      <c r="A85" t="str">
        <f t="shared" si="49"/>
        <v>71 Sales occupations</v>
      </c>
      <c r="B85" s="11">
        <v>0.97503897091314462</v>
      </c>
      <c r="C85" s="11">
        <v>1.5652881614453358</v>
      </c>
      <c r="D85" s="11">
        <f t="shared" si="50"/>
        <v>0.59024919053219116</v>
      </c>
      <c r="E85" s="11">
        <v>0.71660441604214997</v>
      </c>
      <c r="F85" s="11">
        <f t="shared" si="51"/>
        <v>1.3068536065743412</v>
      </c>
      <c r="G85" s="200">
        <f t="shared" si="52"/>
        <v>3.7414839722219595E-2</v>
      </c>
      <c r="I85" s="11" t="str">
        <f>I74</f>
        <v>Managers, directors and senior officials</v>
      </c>
      <c r="J85" s="11">
        <f t="array" ref="J85:J93">MMULT(aggregation!$B$13:$AA$21,B210:B235)</f>
        <v>7.3512325921602484</v>
      </c>
      <c r="K85" s="11">
        <f t="array" ref="K85:K93">MMULT(aggregation!$B$13:$AA$21,C210:C235)</f>
        <v>7.1141173907678255</v>
      </c>
      <c r="L85" s="11">
        <f t="array" ref="L85:L93">MMULT(aggregation!$B$13:$AA$21,D210:D235)</f>
        <v>-0.23711520139242337</v>
      </c>
      <c r="M85" s="11">
        <f t="array" ref="M85:M93">MMULT(aggregation!$B$13:$AA$21,E210:E235)</f>
        <v>3.4218656869554178</v>
      </c>
      <c r="N85" s="11">
        <f t="array" ref="N85:N93">MMULT(aggregation!$B$13:$AA$21,F210:F235)</f>
        <v>3.1847504855629944</v>
      </c>
      <c r="P85" s="11"/>
      <c r="Q85" s="11"/>
      <c r="R85" s="11"/>
      <c r="S85" s="341"/>
      <c r="T85" s="341"/>
      <c r="U85" s="341"/>
    </row>
    <row r="86" spans="1:30" x14ac:dyDescent="0.2">
      <c r="A86" t="str">
        <f t="shared" si="49"/>
        <v>72 Customer service occupations</v>
      </c>
      <c r="B86" s="11">
        <v>0.27400929020948533</v>
      </c>
      <c r="C86" s="11">
        <v>0.59197477339361648</v>
      </c>
      <c r="D86" s="11">
        <f t="shared" si="50"/>
        <v>0.31796548318413115</v>
      </c>
      <c r="E86" s="11">
        <v>0.25884537283049258</v>
      </c>
      <c r="F86" s="11">
        <f t="shared" si="51"/>
        <v>0.57681085601462367</v>
      </c>
      <c r="G86" s="200">
        <f t="shared" si="52"/>
        <v>4.5336782295882117E-2</v>
      </c>
      <c r="I86" s="11" t="str">
        <f>I75</f>
        <v>Professional occupations</v>
      </c>
      <c r="J86" s="11">
        <v>8.8069918523474566</v>
      </c>
      <c r="K86" s="11">
        <v>7.9665389726515876</v>
      </c>
      <c r="L86" s="11">
        <v>-0.84045287969586946</v>
      </c>
      <c r="M86" s="11">
        <v>3.2524076038278107</v>
      </c>
      <c r="N86" s="11">
        <v>2.4119547241319417</v>
      </c>
      <c r="P86" s="11"/>
      <c r="Q86" s="11"/>
      <c r="R86" s="11"/>
      <c r="S86" s="341"/>
      <c r="T86" s="341"/>
      <c r="U86" s="341"/>
    </row>
    <row r="87" spans="1:30" x14ac:dyDescent="0.2">
      <c r="A87" t="str">
        <f t="shared" si="49"/>
        <v>81 Process, plant and machine operatives</v>
      </c>
      <c r="B87" s="11">
        <v>0.14724128574310238</v>
      </c>
      <c r="C87" s="11">
        <v>0.35729641851549665</v>
      </c>
      <c r="D87" s="11">
        <f t="shared" ref="D87:D88" si="63">C87-B87</f>
        <v>0.21005513277239427</v>
      </c>
      <c r="E87" s="11">
        <v>0.14232757512667532</v>
      </c>
      <c r="F87" s="11">
        <f t="shared" ref="F87:F88" si="64">SUM(D87:E87)</f>
        <v>0.35238270789906956</v>
      </c>
      <c r="G87" s="200">
        <f t="shared" si="52"/>
        <v>4.611994853807766E-2</v>
      </c>
      <c r="I87" s="11" t="str">
        <f>I76</f>
        <v>Associate professional occupations</v>
      </c>
      <c r="J87" s="11">
        <v>9.3932557037726205</v>
      </c>
      <c r="K87" s="11">
        <v>7.6489842738830216</v>
      </c>
      <c r="L87" s="11">
        <v>-1.7442714298895989</v>
      </c>
      <c r="M87" s="11">
        <v>3.0499079518451655</v>
      </c>
      <c r="N87" s="11">
        <v>1.3056365219555666</v>
      </c>
      <c r="P87" s="11"/>
      <c r="Q87" s="11"/>
      <c r="R87" s="11"/>
      <c r="S87" s="341"/>
      <c r="T87" s="341"/>
      <c r="U87" s="341"/>
    </row>
    <row r="88" spans="1:30" x14ac:dyDescent="0.2">
      <c r="A88" t="str">
        <f t="shared" si="49"/>
        <v>82 Transport and mobile machine drivers and operatives</v>
      </c>
      <c r="B88" s="11">
        <v>0.18229329226058982</v>
      </c>
      <c r="C88" s="11">
        <v>0.39600089516591935</v>
      </c>
      <c r="D88" s="11">
        <f t="shared" si="63"/>
        <v>0.21370760290532953</v>
      </c>
      <c r="E88" s="11">
        <v>0.19677502292508708</v>
      </c>
      <c r="F88" s="11">
        <f t="shared" si="64"/>
        <v>0.41048262583041661</v>
      </c>
      <c r="G88" s="200">
        <f t="shared" si="52"/>
        <v>5.0017296547417711E-2</v>
      </c>
      <c r="I88" s="11" t="str">
        <f>I77</f>
        <v>Administrative and secretarial occupations</v>
      </c>
      <c r="J88" s="11">
        <v>13.120162983923006</v>
      </c>
      <c r="K88" s="11">
        <v>7.2061809339974419</v>
      </c>
      <c r="L88" s="11">
        <v>-5.9139820499255649</v>
      </c>
      <c r="M88" s="11">
        <v>4.0008218754788922</v>
      </c>
      <c r="N88" s="11">
        <v>-1.9131601744466722</v>
      </c>
      <c r="P88" s="11"/>
      <c r="Q88" s="11"/>
      <c r="R88" s="11"/>
      <c r="S88" s="341"/>
      <c r="T88" s="341"/>
      <c r="U88" s="341"/>
    </row>
    <row r="89" spans="1:30" x14ac:dyDescent="0.2">
      <c r="A89" t="str">
        <f t="shared" si="49"/>
        <v>91 Elementary trades and related occupations</v>
      </c>
      <c r="B89" s="11">
        <v>4.2784952835381009E-2</v>
      </c>
      <c r="C89" s="11">
        <v>7.6890659308925066E-2</v>
      </c>
      <c r="D89" s="11">
        <f t="shared" si="50"/>
        <v>3.4105706473544058E-2</v>
      </c>
      <c r="E89" s="11">
        <v>2.9525339897376716E-2</v>
      </c>
      <c r="F89" s="11">
        <f t="shared" si="51"/>
        <v>6.3631046370920777E-2</v>
      </c>
      <c r="G89" s="200">
        <f t="shared" si="52"/>
        <v>3.5604520441599785E-2</v>
      </c>
      <c r="I89" s="11" t="str">
        <f t="shared" ref="I89:I93" si="65">I78</f>
        <v>Skilled trades occupations</v>
      </c>
      <c r="J89" s="11">
        <v>13.869307231574423</v>
      </c>
      <c r="K89" s="11">
        <v>13.471761245046242</v>
      </c>
      <c r="L89" s="11">
        <v>-0.39754598652817896</v>
      </c>
      <c r="M89" s="11">
        <v>5.6490801052780988</v>
      </c>
      <c r="N89" s="11">
        <v>5.2515341187499196</v>
      </c>
      <c r="P89" s="11"/>
      <c r="Q89" s="11"/>
      <c r="R89" s="11"/>
      <c r="S89" s="341"/>
      <c r="T89" s="341"/>
      <c r="U89" s="341"/>
    </row>
    <row r="90" spans="1:30" x14ac:dyDescent="0.2">
      <c r="A90" t="str">
        <f t="shared" si="49"/>
        <v>92 Elementary administration and service occupations</v>
      </c>
      <c r="B90" s="11">
        <v>0.8313320436739754</v>
      </c>
      <c r="C90" s="11">
        <v>1.7029588263359354</v>
      </c>
      <c r="D90" s="11">
        <f t="shared" ref="D90" si="66">C90-B90</f>
        <v>0.87162678266196003</v>
      </c>
      <c r="E90" s="11">
        <v>0.77828945134089844</v>
      </c>
      <c r="F90" s="11">
        <f t="shared" ref="F90" si="67">SUM(D90:E90)</f>
        <v>1.6499162340028586</v>
      </c>
      <c r="G90" s="200">
        <f t="shared" ref="G90:G91" si="68">IF(B90&gt;0,(1+(E90/B90))^(1/($C$6-$B$6))-1,0)</f>
        <v>4.5032866921022263E-2</v>
      </c>
      <c r="I90" s="11" t="str">
        <f t="shared" si="65"/>
        <v>Caring, leisure and other service occupations</v>
      </c>
      <c r="J90" s="11">
        <v>11.496974575315207</v>
      </c>
      <c r="K90" s="11">
        <v>7.5642262224768855</v>
      </c>
      <c r="L90" s="11">
        <v>-3.9327483528383222</v>
      </c>
      <c r="M90" s="11">
        <v>4.5238798112152594</v>
      </c>
      <c r="N90" s="11">
        <v>0.59113145837693648</v>
      </c>
      <c r="P90" s="11"/>
      <c r="Q90" s="11"/>
      <c r="R90" s="11"/>
      <c r="S90" s="341"/>
      <c r="T90" s="341"/>
      <c r="U90" s="341"/>
    </row>
    <row r="91" spans="1:30" x14ac:dyDescent="0.2">
      <c r="A91" t="str">
        <f t="shared" si="49"/>
        <v>All occupations</v>
      </c>
      <c r="B91" s="11">
        <f>SUM(B65:B90)</f>
        <v>39.987739972030049</v>
      </c>
      <c r="C91" s="11">
        <f t="shared" ref="C91:F91" si="69">SUM(C65:C90)</f>
        <v>57.863806783400968</v>
      </c>
      <c r="D91" s="11">
        <f t="shared" si="69"/>
        <v>17.876066811370922</v>
      </c>
      <c r="E91" s="11">
        <f t="shared" si="69"/>
        <v>27.433483900735069</v>
      </c>
      <c r="F91" s="11">
        <f t="shared" si="69"/>
        <v>45.309550712106009</v>
      </c>
      <c r="G91" s="200">
        <f t="shared" si="68"/>
        <v>3.5439316533183218E-2</v>
      </c>
      <c r="I91" s="11" t="str">
        <f t="shared" si="65"/>
        <v>Sales and customer service occupations</v>
      </c>
      <c r="J91" s="11">
        <v>14.533984675314215</v>
      </c>
      <c r="K91" s="11">
        <v>10.813629931082529</v>
      </c>
      <c r="L91" s="11">
        <v>-3.7203547442316851</v>
      </c>
      <c r="M91" s="11">
        <v>5.9795998729140614</v>
      </c>
      <c r="N91" s="11">
        <v>2.2592451286823767</v>
      </c>
      <c r="P91" s="11"/>
      <c r="Q91" s="11"/>
      <c r="R91" s="11"/>
      <c r="S91" s="341"/>
      <c r="T91" s="341"/>
      <c r="U91" s="341"/>
    </row>
    <row r="92" spans="1:30" x14ac:dyDescent="0.2">
      <c r="B92" s="11"/>
      <c r="C92" s="11"/>
      <c r="D92" s="11"/>
      <c r="E92" s="11"/>
      <c r="F92" s="11"/>
      <c r="G92" s="11"/>
      <c r="I92" s="11" t="str">
        <f t="shared" si="65"/>
        <v>Process, plant and machine operatives</v>
      </c>
      <c r="J92" s="11">
        <v>12.075258245889209</v>
      </c>
      <c r="K92" s="11">
        <v>14.756586759538997</v>
      </c>
      <c r="L92" s="11">
        <v>2.6813285136497891</v>
      </c>
      <c r="M92" s="11">
        <v>6.35952816425214</v>
      </c>
      <c r="N92" s="11">
        <v>9.0408566779019282</v>
      </c>
      <c r="P92" s="11"/>
      <c r="Q92" s="11"/>
      <c r="R92" s="11"/>
      <c r="S92" s="341"/>
      <c r="T92" s="341"/>
      <c r="U92" s="341"/>
    </row>
    <row r="93" spans="1:30" ht="38.25" x14ac:dyDescent="0.2">
      <c r="A93" s="201" t="str">
        <f>CONCATENATE(name!F6," (Constrained)")</f>
        <v>RQF6 First degree (Constrained)</v>
      </c>
      <c r="B93" s="88">
        <f t="shared" ref="B93:G93" si="70">B6</f>
        <v>2020</v>
      </c>
      <c r="C93" s="88">
        <f t="shared" si="70"/>
        <v>2035</v>
      </c>
      <c r="D93" s="88" t="str">
        <f t="shared" si="70"/>
        <v>Net Change</v>
      </c>
      <c r="E93" s="88" t="str">
        <f t="shared" si="70"/>
        <v>Replacement Demand level</v>
      </c>
      <c r="F93" s="88" t="str">
        <f t="shared" si="70"/>
        <v>Total Requirement</v>
      </c>
      <c r="G93" s="88" t="str">
        <f t="shared" si="70"/>
        <v>Replacement Demand rate</v>
      </c>
      <c r="I93" s="11" t="str">
        <f t="shared" si="65"/>
        <v>Elementary occupations</v>
      </c>
      <c r="J93" s="11">
        <v>17.808247465267208</v>
      </c>
      <c r="K93" s="11">
        <v>17.348883481559632</v>
      </c>
      <c r="L93" s="11">
        <v>-0.4593639837075727</v>
      </c>
      <c r="M93" s="11">
        <v>7.8506721766232141</v>
      </c>
      <c r="N93" s="11">
        <v>7.3913081929156412</v>
      </c>
      <c r="P93" s="11"/>
      <c r="Q93" s="11"/>
      <c r="R93" s="11"/>
      <c r="S93" s="341"/>
      <c r="T93" s="341"/>
      <c r="U93" s="341"/>
    </row>
    <row r="94" spans="1:30" x14ac:dyDescent="0.2">
      <c r="A94" t="str">
        <f t="shared" ref="A94:A120" si="71">A7</f>
        <v>11 Corporate managers and directors</v>
      </c>
      <c r="B94" s="11">
        <v>6.3712933706108608</v>
      </c>
      <c r="C94" s="11">
        <v>7.7068067079335627</v>
      </c>
      <c r="D94" s="11">
        <f>C94-B94</f>
        <v>1.3355133373227019</v>
      </c>
      <c r="E94" s="11">
        <v>4.0207808986668168</v>
      </c>
      <c r="F94" s="11">
        <f>SUM(D94:E94)</f>
        <v>5.3562942359895187</v>
      </c>
      <c r="G94" s="200">
        <f>IF(B94&gt;0,(1+(E94/B94))^(1/($C$6-$B$6))-1,0)</f>
        <v>3.3153796510782874E-2</v>
      </c>
      <c r="I94" s="85"/>
      <c r="J94" s="74"/>
      <c r="K94" s="74"/>
      <c r="L94" s="72"/>
      <c r="M94" s="72"/>
      <c r="N94" s="72"/>
      <c r="P94" s="11"/>
      <c r="Q94" s="11"/>
      <c r="R94" s="11"/>
      <c r="S94" s="341"/>
      <c r="T94" s="341"/>
      <c r="U94" s="341"/>
    </row>
    <row r="95" spans="1:30" x14ac:dyDescent="0.2">
      <c r="A95" t="str">
        <f t="shared" si="71"/>
        <v>12 Other managers and proprietors</v>
      </c>
      <c r="B95" s="11">
        <v>2.9449296746509379</v>
      </c>
      <c r="C95" s="11">
        <v>5.0090788563205626</v>
      </c>
      <c r="D95" s="11">
        <f t="shared" ref="D95:D118" si="72">C95-B95</f>
        <v>2.0641491816696247</v>
      </c>
      <c r="E95" s="11">
        <v>2.8326377755915249</v>
      </c>
      <c r="F95" s="11">
        <f t="shared" ref="F95:F118" si="73">SUM(D95:E95)</f>
        <v>4.8967869572611491</v>
      </c>
      <c r="G95" s="200">
        <f t="shared" ref="G95:G120" si="74">IF(B95&gt;0,(1+(E95/B95))^(1/($C$6-$B$6))-1,0)</f>
        <v>4.5951000640055417E-2</v>
      </c>
      <c r="I95" s="87" t="str">
        <f>name!F11</f>
        <v>RQF1 GCSE(below grade C) &amp; equivalent</v>
      </c>
      <c r="J95" s="11"/>
      <c r="K95" s="11"/>
      <c r="L95" s="11"/>
      <c r="M95" s="11"/>
      <c r="N95" s="11"/>
      <c r="P95" s="11"/>
      <c r="Q95" s="11"/>
      <c r="R95" s="11"/>
      <c r="S95" s="341"/>
      <c r="T95" s="341"/>
      <c r="U95" s="341"/>
    </row>
    <row r="96" spans="1:30" x14ac:dyDescent="0.2">
      <c r="A96" t="str">
        <f t="shared" si="71"/>
        <v>21 Science, research, engineering and technology professionals</v>
      </c>
      <c r="B96" s="11">
        <v>6.6766108042637304</v>
      </c>
      <c r="C96" s="11">
        <v>7.6491362634317932</v>
      </c>
      <c r="D96" s="11">
        <f t="shared" si="72"/>
        <v>0.97252545916806277</v>
      </c>
      <c r="E96" s="11">
        <v>2.8614791205614649</v>
      </c>
      <c r="F96" s="11">
        <f t="shared" si="73"/>
        <v>3.8340045797295277</v>
      </c>
      <c r="G96" s="200">
        <f t="shared" si="74"/>
        <v>2.4063821387002138E-2</v>
      </c>
      <c r="I96" s="11" t="str">
        <f>I85</f>
        <v>Managers, directors and senior officials</v>
      </c>
      <c r="J96" s="11">
        <f t="array" ref="J96:J104">MMULT(aggregation!$B$13:$AA$21,B239:B264)</f>
        <v>3.7047685632944622</v>
      </c>
      <c r="K96" s="11">
        <f t="array" ref="K96:K104">MMULT(aggregation!$B$13:$AA$21,C239:C264)</f>
        <v>2.7499898781946035</v>
      </c>
      <c r="L96" s="11">
        <f t="array" ref="L96:L104">MMULT(aggregation!$B$13:$AA$21,D239:D264)</f>
        <v>-0.95477868509985875</v>
      </c>
      <c r="M96" s="11">
        <f t="array" ref="M96:M104">MMULT(aggregation!$B$13:$AA$21,E239:E264)</f>
        <v>1.5340349527660955</v>
      </c>
      <c r="N96" s="11">
        <f t="array" ref="N96:N104">MMULT(aggregation!$B$13:$AA$21,F239:F264)</f>
        <v>0.57925626766623661</v>
      </c>
      <c r="P96" s="11"/>
      <c r="Q96" s="11"/>
      <c r="R96" s="11"/>
      <c r="S96" s="341"/>
      <c r="T96" s="341"/>
      <c r="U96" s="341"/>
    </row>
    <row r="97" spans="1:21" x14ac:dyDescent="0.2">
      <c r="A97" t="str">
        <f t="shared" si="71"/>
        <v>22 Health professionals</v>
      </c>
      <c r="B97" s="11">
        <v>11.112079028146676</v>
      </c>
      <c r="C97" s="11">
        <v>16.401795969882755</v>
      </c>
      <c r="D97" s="11">
        <f t="shared" si="72"/>
        <v>5.2897169417360796</v>
      </c>
      <c r="E97" s="11">
        <v>8.2820393139929447</v>
      </c>
      <c r="F97" s="11">
        <f t="shared" si="73"/>
        <v>13.571756255729024</v>
      </c>
      <c r="G97" s="200">
        <f t="shared" si="74"/>
        <v>3.7827038861175222E-2</v>
      </c>
      <c r="I97" s="11" t="str">
        <f>I86</f>
        <v>Professional occupations</v>
      </c>
      <c r="J97" s="11">
        <v>3.9768245325209302</v>
      </c>
      <c r="K97" s="11">
        <v>2.6528189653887395</v>
      </c>
      <c r="L97" s="11">
        <v>-1.3240055671321906</v>
      </c>
      <c r="M97" s="11">
        <v>1.2483706625152613</v>
      </c>
      <c r="N97" s="11">
        <v>-7.5634904616929621E-2</v>
      </c>
      <c r="P97" s="11"/>
      <c r="Q97" s="11"/>
      <c r="R97" s="11"/>
      <c r="S97" s="341"/>
      <c r="T97" s="341"/>
      <c r="U97" s="341"/>
    </row>
    <row r="98" spans="1:21" x14ac:dyDescent="0.2">
      <c r="A98" t="str">
        <f t="shared" si="71"/>
        <v>23 Teaching and other educational professionals</v>
      </c>
      <c r="B98" s="11">
        <v>6.245637640337617</v>
      </c>
      <c r="C98" s="11">
        <v>6.3421299106088114</v>
      </c>
      <c r="D98" s="11">
        <f t="shared" ref="D98" si="75">C98-B98</f>
        <v>9.6492270271194336E-2</v>
      </c>
      <c r="E98" s="11">
        <v>3.0107289091972205</v>
      </c>
      <c r="F98" s="11">
        <f t="shared" ref="F98" si="76">SUM(D98:E98)</f>
        <v>3.1072211794684148</v>
      </c>
      <c r="G98" s="200">
        <f t="shared" si="74"/>
        <v>2.6575552204481934E-2</v>
      </c>
      <c r="I98" s="11" t="str">
        <f>I87</f>
        <v>Associate professional occupations</v>
      </c>
      <c r="J98" s="11">
        <v>4.1568813326700251</v>
      </c>
      <c r="K98" s="11">
        <v>2.3809254695466389</v>
      </c>
      <c r="L98" s="11">
        <v>-1.775955863123386</v>
      </c>
      <c r="M98" s="11">
        <v>1.1877948959443181</v>
      </c>
      <c r="N98" s="11">
        <v>-0.58816096717906807</v>
      </c>
      <c r="P98" s="11"/>
      <c r="Q98" s="11"/>
      <c r="R98" s="11"/>
      <c r="S98" s="341"/>
      <c r="T98" s="341"/>
      <c r="U98" s="341"/>
    </row>
    <row r="99" spans="1:21" x14ac:dyDescent="0.2">
      <c r="A99" t="str">
        <f t="shared" si="71"/>
        <v>24 Business, media and public service professionals</v>
      </c>
      <c r="B99" s="11">
        <v>8.6243320178964673</v>
      </c>
      <c r="C99" s="11">
        <v>11.715674045176943</v>
      </c>
      <c r="D99" s="11">
        <f t="shared" si="72"/>
        <v>3.0913420272804757</v>
      </c>
      <c r="E99" s="11">
        <v>5.4600516667286998</v>
      </c>
      <c r="F99" s="11">
        <f t="shared" si="73"/>
        <v>8.5513936940091746</v>
      </c>
      <c r="G99" s="200">
        <f t="shared" si="74"/>
        <v>3.3239083058305141E-2</v>
      </c>
      <c r="I99" s="11" t="str">
        <f>I88</f>
        <v>Administrative and secretarial occupations</v>
      </c>
      <c r="J99" s="11">
        <v>5.6708694611506001</v>
      </c>
      <c r="K99" s="11">
        <v>1.2620421490646621</v>
      </c>
      <c r="L99" s="11">
        <v>-4.408827312085938</v>
      </c>
      <c r="M99" s="11">
        <v>1.1813800568886637</v>
      </c>
      <c r="N99" s="11">
        <v>-3.227447255197275</v>
      </c>
      <c r="P99" s="11"/>
      <c r="Q99" s="11"/>
      <c r="R99" s="11"/>
      <c r="S99" s="341"/>
      <c r="T99" s="341"/>
      <c r="U99" s="341"/>
    </row>
    <row r="100" spans="1:21" x14ac:dyDescent="0.2">
      <c r="A100" t="str">
        <f t="shared" si="71"/>
        <v>31 Science, engineering and technology associate professionals</v>
      </c>
      <c r="B100" s="11">
        <v>2.120484128241769</v>
      </c>
      <c r="C100" s="11">
        <v>2.1998673184629953</v>
      </c>
      <c r="D100" s="11">
        <f t="shared" si="72"/>
        <v>7.9383190221226307E-2</v>
      </c>
      <c r="E100" s="11">
        <v>0.92924702786846514</v>
      </c>
      <c r="F100" s="11">
        <f t="shared" si="73"/>
        <v>1.0086302180896913</v>
      </c>
      <c r="G100" s="200">
        <f t="shared" si="74"/>
        <v>2.4523132498083244E-2</v>
      </c>
      <c r="I100" s="11" t="str">
        <f t="shared" ref="I100:I104" si="77">I89</f>
        <v>Skilled trades occupations</v>
      </c>
      <c r="J100" s="11">
        <v>5.4375554425774206</v>
      </c>
      <c r="K100" s="11">
        <v>3.7717474837965481</v>
      </c>
      <c r="L100" s="11">
        <v>-1.665807958780873</v>
      </c>
      <c r="M100" s="11">
        <v>1.9383340728854739</v>
      </c>
      <c r="N100" s="11">
        <v>0.2725261141046012</v>
      </c>
      <c r="P100" s="11"/>
      <c r="Q100" s="11"/>
      <c r="R100" s="11"/>
      <c r="S100" s="341"/>
      <c r="T100" s="341"/>
      <c r="U100" s="341"/>
    </row>
    <row r="101" spans="1:21" x14ac:dyDescent="0.2">
      <c r="A101" t="str">
        <f t="shared" si="71"/>
        <v>32 Health and social care associate professionals</v>
      </c>
      <c r="B101" s="11">
        <v>3.225121531157614</v>
      </c>
      <c r="C101" s="11">
        <v>4.7754375133278328</v>
      </c>
      <c r="D101" s="11">
        <f t="shared" si="72"/>
        <v>1.5503159821702188</v>
      </c>
      <c r="E101" s="11">
        <v>2.5799340646220026</v>
      </c>
      <c r="F101" s="11">
        <f t="shared" si="73"/>
        <v>4.1302500467922219</v>
      </c>
      <c r="G101" s="200">
        <f t="shared" si="74"/>
        <v>3.9961719095657156E-2</v>
      </c>
      <c r="I101" s="11" t="str">
        <f t="shared" si="77"/>
        <v>Caring, leisure and other service occupations</v>
      </c>
      <c r="J101" s="11">
        <v>2.9395517277587278</v>
      </c>
      <c r="K101" s="11">
        <v>1.8189108074552485</v>
      </c>
      <c r="L101" s="11">
        <v>-1.1206409203034793</v>
      </c>
      <c r="M101" s="11">
        <v>0.88774894744898247</v>
      </c>
      <c r="N101" s="11">
        <v>-0.23289197285449681</v>
      </c>
      <c r="P101" s="11"/>
      <c r="Q101" s="11"/>
      <c r="R101" s="11"/>
      <c r="S101" s="341"/>
      <c r="T101" s="341"/>
      <c r="U101" s="341"/>
    </row>
    <row r="102" spans="1:21" x14ac:dyDescent="0.2">
      <c r="A102" t="str">
        <f t="shared" si="71"/>
        <v>33 Protective service occupations</v>
      </c>
      <c r="B102" s="11">
        <v>1.5779468230751523</v>
      </c>
      <c r="C102" s="11">
        <v>3.0726625106010861</v>
      </c>
      <c r="D102" s="11">
        <f t="shared" si="72"/>
        <v>1.4947156875259338</v>
      </c>
      <c r="E102" s="11">
        <v>1.0875872518403902</v>
      </c>
      <c r="F102" s="11">
        <f t="shared" si="73"/>
        <v>2.5823029393663237</v>
      </c>
      <c r="G102" s="200">
        <f t="shared" si="74"/>
        <v>3.5569994583271924E-2</v>
      </c>
      <c r="I102" s="11" t="str">
        <f t="shared" si="77"/>
        <v>Sales and customer service occupations</v>
      </c>
      <c r="J102" s="11">
        <v>7.5471074188970739</v>
      </c>
      <c r="K102" s="11">
        <v>3.5088855925767319</v>
      </c>
      <c r="L102" s="11">
        <v>-4.038221826320342</v>
      </c>
      <c r="M102" s="11">
        <v>2.1703325530265465</v>
      </c>
      <c r="N102" s="11">
        <v>-1.8678892732937955</v>
      </c>
      <c r="P102" s="11"/>
      <c r="Q102" s="11"/>
      <c r="R102" s="11"/>
      <c r="S102" s="341"/>
      <c r="T102" s="341"/>
      <c r="U102" s="341"/>
    </row>
    <row r="103" spans="1:21" x14ac:dyDescent="0.2">
      <c r="A103" t="str">
        <f t="shared" si="71"/>
        <v>34 Culture, media and sports occupations</v>
      </c>
      <c r="B103" s="11">
        <v>2.0976654405811703</v>
      </c>
      <c r="C103" s="11">
        <v>2.2940111361861466</v>
      </c>
      <c r="D103" s="11">
        <f t="shared" ref="D103:D104" si="78">C103-B103</f>
        <v>0.19634569560497628</v>
      </c>
      <c r="E103" s="11">
        <v>1.0750368880560226</v>
      </c>
      <c r="F103" s="11">
        <f t="shared" ref="F103:F104" si="79">SUM(D103:E103)</f>
        <v>1.2713825836609989</v>
      </c>
      <c r="G103" s="200">
        <f t="shared" si="74"/>
        <v>2.7967869160999692E-2</v>
      </c>
      <c r="I103" s="11" t="str">
        <f t="shared" si="77"/>
        <v>Process, plant and machine operatives</v>
      </c>
      <c r="J103" s="11">
        <v>6.6751684250938759</v>
      </c>
      <c r="K103" s="11">
        <v>3.8336015579122664</v>
      </c>
      <c r="L103" s="11">
        <v>-2.8415668671816094</v>
      </c>
      <c r="M103" s="11">
        <v>2.418921520391585</v>
      </c>
      <c r="N103" s="11">
        <v>-0.42264534679002397</v>
      </c>
      <c r="P103" s="11"/>
      <c r="Q103" s="11"/>
      <c r="R103" s="11"/>
      <c r="S103" s="341"/>
      <c r="T103" s="341"/>
      <c r="U103" s="341"/>
    </row>
    <row r="104" spans="1:21" x14ac:dyDescent="0.2">
      <c r="A104" t="str">
        <f t="shared" si="71"/>
        <v>35 Business and public service associate professionals</v>
      </c>
      <c r="B104" s="11">
        <v>5.2019289272298934</v>
      </c>
      <c r="C104" s="11">
        <v>5.9188689090003752</v>
      </c>
      <c r="D104" s="11">
        <f t="shared" si="78"/>
        <v>0.71693998177048179</v>
      </c>
      <c r="E104" s="11">
        <v>2.8488281222354686</v>
      </c>
      <c r="F104" s="11">
        <f t="shared" si="79"/>
        <v>3.5657681040059503</v>
      </c>
      <c r="G104" s="200">
        <f t="shared" si="74"/>
        <v>2.9543783080592689E-2</v>
      </c>
      <c r="I104" s="11" t="str">
        <f t="shared" si="77"/>
        <v>Elementary occupations</v>
      </c>
      <c r="J104" s="11">
        <v>12.317534423289372</v>
      </c>
      <c r="K104" s="11">
        <v>8.5694200313290931</v>
      </c>
      <c r="L104" s="11">
        <v>-3.7481143919602791</v>
      </c>
      <c r="M104" s="11">
        <v>4.2787901953196519</v>
      </c>
      <c r="N104" s="11">
        <v>0.53067580335937281</v>
      </c>
      <c r="P104" s="11"/>
      <c r="Q104" s="11"/>
      <c r="R104" s="11"/>
      <c r="S104" s="341"/>
      <c r="T104" s="341"/>
      <c r="U104" s="341"/>
    </row>
    <row r="105" spans="1:21" x14ac:dyDescent="0.2">
      <c r="A105" t="str">
        <f t="shared" si="71"/>
        <v>41 Administrative occupations</v>
      </c>
      <c r="B105" s="11">
        <v>8.1921356181683276</v>
      </c>
      <c r="C105" s="11">
        <v>9.9828689290081254</v>
      </c>
      <c r="D105" s="11">
        <f t="shared" si="72"/>
        <v>1.7907333108397978</v>
      </c>
      <c r="E105" s="11">
        <v>5.2323294208847173</v>
      </c>
      <c r="F105" s="11">
        <f t="shared" si="73"/>
        <v>7.0230627317245151</v>
      </c>
      <c r="G105" s="200">
        <f t="shared" si="74"/>
        <v>3.3475035508081286E-2</v>
      </c>
      <c r="I105" s="11"/>
      <c r="J105" s="11"/>
      <c r="K105" s="11"/>
      <c r="L105" s="11"/>
      <c r="M105" s="11"/>
      <c r="N105" s="11"/>
      <c r="P105" s="11"/>
      <c r="Q105" s="11"/>
      <c r="R105" s="11"/>
      <c r="S105" s="341"/>
      <c r="T105" s="341"/>
      <c r="U105" s="341"/>
    </row>
    <row r="106" spans="1:21" x14ac:dyDescent="0.2">
      <c r="A106" t="str">
        <f t="shared" si="71"/>
        <v>42 Secretarial and related occupations</v>
      </c>
      <c r="B106" s="11">
        <v>1.2330948776737376</v>
      </c>
      <c r="C106" s="11">
        <v>2.9892557356484861</v>
      </c>
      <c r="D106" s="11">
        <f t="shared" si="72"/>
        <v>1.7561608579747485</v>
      </c>
      <c r="E106" s="11">
        <v>1.2756617746657981</v>
      </c>
      <c r="F106" s="11">
        <f t="shared" si="73"/>
        <v>3.0318226326405466</v>
      </c>
      <c r="G106" s="200">
        <f t="shared" si="74"/>
        <v>4.8489622174509917E-2</v>
      </c>
      <c r="I106" s="87" t="str">
        <f>name!F12</f>
        <v>No Qualification</v>
      </c>
      <c r="J106" s="11"/>
      <c r="K106" s="11"/>
      <c r="L106" s="11"/>
      <c r="M106" s="11"/>
      <c r="N106" s="11"/>
      <c r="O106" s="71"/>
      <c r="P106" s="11"/>
      <c r="Q106" s="11"/>
      <c r="R106" s="11"/>
      <c r="S106" s="341"/>
      <c r="T106" s="341"/>
      <c r="U106" s="341"/>
    </row>
    <row r="107" spans="1:21" x14ac:dyDescent="0.2">
      <c r="A107" t="str">
        <f t="shared" si="71"/>
        <v>51 Skilled agricultural and related trades</v>
      </c>
      <c r="B107" s="11">
        <v>0.40426748144108549</v>
      </c>
      <c r="C107" s="11">
        <v>0.63360119242274426</v>
      </c>
      <c r="D107" s="11">
        <f t="shared" si="72"/>
        <v>0.22933371098165878</v>
      </c>
      <c r="E107" s="11">
        <v>0.36495369639326591</v>
      </c>
      <c r="F107" s="11">
        <f t="shared" si="73"/>
        <v>0.59428740737492469</v>
      </c>
      <c r="G107" s="200">
        <f t="shared" si="74"/>
        <v>4.3819714127657505E-2</v>
      </c>
      <c r="I107" s="11" t="str">
        <f>I96</f>
        <v>Managers, directors and senior officials</v>
      </c>
      <c r="J107" s="11">
        <f t="array" ref="J107:J115">MMULT(aggregation!$B$13:$AA$21,B268:B293)</f>
        <v>1.1058153256224088</v>
      </c>
      <c r="K107" s="11">
        <f t="array" ref="K107:K115">MMULT(aggregation!$B$13:$AA$21,C268:C293)</f>
        <v>1.1424010892592538</v>
      </c>
      <c r="L107" s="11">
        <f t="array" ref="L107:L115">MMULT(aggregation!$B$13:$AA$21,D268:D293)</f>
        <v>3.6585763636844848E-2</v>
      </c>
      <c r="M107" s="11">
        <f t="array" ref="M107:M115">MMULT(aggregation!$B$13:$AA$21,E268:E293)</f>
        <v>0.41763208204866337</v>
      </c>
      <c r="N107" s="11">
        <f t="array" ref="N107:N115">MMULT(aggregation!$B$13:$AA$21,F268:F293)</f>
        <v>0.45421784568550821</v>
      </c>
      <c r="P107" s="11"/>
      <c r="Q107" s="11"/>
      <c r="R107" s="11"/>
      <c r="S107" s="341"/>
      <c r="T107" s="341"/>
      <c r="U107" s="341"/>
    </row>
    <row r="108" spans="1:21" x14ac:dyDescent="0.2">
      <c r="A108" t="str">
        <f t="shared" si="71"/>
        <v>52 Skilled metal, electrical and electronic trades</v>
      </c>
      <c r="B108" s="11">
        <v>0.70543092945908403</v>
      </c>
      <c r="C108" s="11">
        <v>1.0149108162627705</v>
      </c>
      <c r="D108" s="11">
        <f t="shared" si="72"/>
        <v>0.30947988680368643</v>
      </c>
      <c r="E108" s="11">
        <v>0.44562976936098503</v>
      </c>
      <c r="F108" s="11">
        <f t="shared" si="73"/>
        <v>0.75510965616467152</v>
      </c>
      <c r="G108" s="200">
        <f t="shared" si="74"/>
        <v>3.3180613625356958E-2</v>
      </c>
      <c r="I108" s="11" t="str">
        <f>I97</f>
        <v>Professional occupations</v>
      </c>
      <c r="J108" s="11">
        <v>0.94373480687745526</v>
      </c>
      <c r="K108" s="11">
        <v>1.1191793419837721</v>
      </c>
      <c r="L108" s="11">
        <v>0.17544453510631691</v>
      </c>
      <c r="M108" s="11">
        <v>0.39650200537591895</v>
      </c>
      <c r="N108" s="11">
        <v>0.57194654048223592</v>
      </c>
      <c r="P108" s="85"/>
      <c r="Q108" s="74"/>
      <c r="R108" s="74"/>
      <c r="S108" s="342"/>
      <c r="T108" s="342"/>
      <c r="U108" s="342"/>
    </row>
    <row r="109" spans="1:21" x14ac:dyDescent="0.2">
      <c r="A109" t="str">
        <f t="shared" si="71"/>
        <v>53 Skilled construction and building trades</v>
      </c>
      <c r="B109" s="11">
        <v>0.32705169416069735</v>
      </c>
      <c r="C109" s="11">
        <v>0.41157990859843896</v>
      </c>
      <c r="D109" s="11">
        <f t="shared" ref="D109" si="80">C109-B109</f>
        <v>8.4528214437741611E-2</v>
      </c>
      <c r="E109" s="11">
        <v>0.20784688846150884</v>
      </c>
      <c r="F109" s="11">
        <f t="shared" ref="F109" si="81">SUM(D109:E109)</f>
        <v>0.29237510289925045</v>
      </c>
      <c r="G109" s="200">
        <f t="shared" si="74"/>
        <v>3.3341019768379887E-2</v>
      </c>
      <c r="I109" s="11" t="str">
        <f>I98</f>
        <v>Associate professional occupations</v>
      </c>
      <c r="J109" s="11">
        <v>0.92672957995969241</v>
      </c>
      <c r="K109" s="11">
        <v>1.0300380568032181</v>
      </c>
      <c r="L109" s="11">
        <v>0.10330847684352577</v>
      </c>
      <c r="M109" s="11">
        <v>0.33615163959034355</v>
      </c>
      <c r="N109" s="11">
        <v>0.43946011643386929</v>
      </c>
      <c r="P109" s="11"/>
      <c r="Q109" s="11"/>
      <c r="R109" s="11"/>
      <c r="S109" s="341"/>
      <c r="T109" s="341"/>
      <c r="U109" s="341"/>
    </row>
    <row r="110" spans="1:21" x14ac:dyDescent="0.2">
      <c r="A110" t="str">
        <f t="shared" si="71"/>
        <v>54 Textiles, printing and other skilled trades</v>
      </c>
      <c r="B110" s="11">
        <v>0.63922009736794516</v>
      </c>
      <c r="C110" s="11">
        <v>0.95710589090717324</v>
      </c>
      <c r="D110" s="11">
        <f t="shared" si="72"/>
        <v>0.31788579353922808</v>
      </c>
      <c r="E110" s="11">
        <v>0.50917548352187003</v>
      </c>
      <c r="F110" s="11">
        <f t="shared" si="73"/>
        <v>0.82706127706109811</v>
      </c>
      <c r="G110" s="200">
        <f t="shared" si="74"/>
        <v>3.9830949086636869E-2</v>
      </c>
      <c r="I110" s="11" t="str">
        <f>I99</f>
        <v>Administrative and secretarial occupations</v>
      </c>
      <c r="J110" s="11">
        <v>1.7126010098993865</v>
      </c>
      <c r="K110" s="11">
        <v>1.7182277444502292</v>
      </c>
      <c r="L110" s="11">
        <v>5.6267345508425048E-3</v>
      </c>
      <c r="M110" s="11">
        <v>0.70307646526267664</v>
      </c>
      <c r="N110" s="11">
        <v>0.70870319981351915</v>
      </c>
      <c r="P110" s="11"/>
      <c r="Q110" s="11"/>
      <c r="R110" s="11"/>
      <c r="S110" s="341"/>
      <c r="T110" s="341"/>
      <c r="U110" s="341"/>
    </row>
    <row r="111" spans="1:21" x14ac:dyDescent="0.2">
      <c r="A111" t="str">
        <f t="shared" si="71"/>
        <v>61 Caring personal service occupations</v>
      </c>
      <c r="B111" s="11">
        <v>3.6181946252889881</v>
      </c>
      <c r="C111" s="11">
        <v>5.3690982192450099</v>
      </c>
      <c r="D111" s="11">
        <f>C111-B111</f>
        <v>1.7509035939560218</v>
      </c>
      <c r="E111" s="11">
        <v>3.0245518561543987</v>
      </c>
      <c r="F111" s="11">
        <f>SUM(D111:E111)</f>
        <v>4.7754554501104209</v>
      </c>
      <c r="G111" s="200">
        <f t="shared" si="74"/>
        <v>4.1334803413333621E-2</v>
      </c>
      <c r="I111" s="11" t="str">
        <f t="shared" ref="I111:I115" si="82">I100</f>
        <v>Skilled trades occupations</v>
      </c>
      <c r="J111" s="11">
        <v>2.7384444863338402</v>
      </c>
      <c r="K111" s="11">
        <v>1.1362924691433642</v>
      </c>
      <c r="L111" s="11">
        <v>-1.602152017190476</v>
      </c>
      <c r="M111" s="11">
        <v>0.65503728408265571</v>
      </c>
      <c r="N111" s="11">
        <v>-0.94711473310782024</v>
      </c>
      <c r="P111" s="11"/>
      <c r="Q111" s="11"/>
      <c r="R111" s="11"/>
      <c r="S111" s="341"/>
      <c r="T111" s="341"/>
      <c r="U111" s="341"/>
    </row>
    <row r="112" spans="1:21" x14ac:dyDescent="0.2">
      <c r="A112" t="str">
        <f t="shared" si="71"/>
        <v>62 Leisure, travel and related personal service occupations</v>
      </c>
      <c r="B112" s="11">
        <v>0.99405826061593106</v>
      </c>
      <c r="C112" s="11">
        <v>1.61025598677246</v>
      </c>
      <c r="D112" s="11">
        <f t="shared" ref="D112:D113" si="83">C112-B112</f>
        <v>0.6161977261565289</v>
      </c>
      <c r="E112" s="11">
        <v>0.83991523319941741</v>
      </c>
      <c r="F112" s="11">
        <f t="shared" ref="F112:F113" si="84">SUM(D112:E112)</f>
        <v>1.4561129593559463</v>
      </c>
      <c r="G112" s="200">
        <f t="shared" si="74"/>
        <v>4.1674615656450475E-2</v>
      </c>
      <c r="I112" s="11" t="str">
        <f t="shared" si="82"/>
        <v>Caring, leisure and other service occupations</v>
      </c>
      <c r="J112" s="11">
        <v>0.97349734183559244</v>
      </c>
      <c r="K112" s="11">
        <v>0.78876176709551815</v>
      </c>
      <c r="L112" s="11">
        <v>-0.18473557474007424</v>
      </c>
      <c r="M112" s="11">
        <v>0.27995861751057549</v>
      </c>
      <c r="N112" s="11">
        <v>9.5223042770501282E-2</v>
      </c>
      <c r="P112" s="11"/>
      <c r="Q112" s="11"/>
      <c r="R112" s="11"/>
      <c r="S112" s="341"/>
      <c r="T112" s="341"/>
      <c r="U112" s="341"/>
    </row>
    <row r="113" spans="1:21" x14ac:dyDescent="0.2">
      <c r="A113" t="str">
        <f t="shared" si="71"/>
        <v>63 Community and civil enforcement occupations</v>
      </c>
      <c r="B113" s="11">
        <v>9.7279137808341715E-2</v>
      </c>
      <c r="C113" s="11">
        <v>0.14813758518998671</v>
      </c>
      <c r="D113" s="11">
        <f t="shared" si="83"/>
        <v>5.0858447381644994E-2</v>
      </c>
      <c r="E113" s="11">
        <v>8.5438253012775911E-2</v>
      </c>
      <c r="F113" s="11">
        <f t="shared" si="84"/>
        <v>0.13629670039442091</v>
      </c>
      <c r="G113" s="200">
        <f t="shared" si="74"/>
        <v>4.2919236769993541E-2</v>
      </c>
      <c r="I113" s="11" t="str">
        <f t="shared" si="82"/>
        <v>Sales and customer service occupations</v>
      </c>
      <c r="J113" s="11">
        <v>2.826831400779553</v>
      </c>
      <c r="K113" s="11">
        <v>1.5228767775454395</v>
      </c>
      <c r="L113" s="11">
        <v>-1.3039546232341133</v>
      </c>
      <c r="M113" s="11">
        <v>0.7313923229175161</v>
      </c>
      <c r="N113" s="11">
        <v>-0.57256230031659716</v>
      </c>
      <c r="P113" s="11"/>
      <c r="Q113" s="11"/>
      <c r="R113" s="11"/>
      <c r="S113" s="341"/>
      <c r="T113" s="341"/>
      <c r="U113" s="341"/>
    </row>
    <row r="114" spans="1:21" x14ac:dyDescent="0.2">
      <c r="A114" t="str">
        <f t="shared" si="71"/>
        <v>71 Sales occupations</v>
      </c>
      <c r="B114" s="11">
        <v>4.7004423392025352</v>
      </c>
      <c r="C114" s="11">
        <v>7.082781598434134</v>
      </c>
      <c r="D114" s="11">
        <f t="shared" si="72"/>
        <v>2.3823392592315988</v>
      </c>
      <c r="E114" s="11">
        <v>3.5010544239630517</v>
      </c>
      <c r="F114" s="11">
        <f t="shared" si="73"/>
        <v>5.8833936831946509</v>
      </c>
      <c r="G114" s="200">
        <f t="shared" si="74"/>
        <v>3.780786872785824E-2</v>
      </c>
      <c r="I114" s="11" t="str">
        <f t="shared" si="82"/>
        <v>Process, plant and machine operatives</v>
      </c>
      <c r="J114" s="11">
        <v>3.4542360331336317</v>
      </c>
      <c r="K114" s="11">
        <v>0.85215088839772424</v>
      </c>
      <c r="L114" s="11">
        <v>-2.6020851447359075</v>
      </c>
      <c r="M114" s="11">
        <v>0.67908214752614771</v>
      </c>
      <c r="N114" s="11">
        <v>-1.92300299720976</v>
      </c>
      <c r="P114" s="11"/>
      <c r="Q114" s="11"/>
      <c r="R114" s="11"/>
      <c r="S114" s="341"/>
      <c r="T114" s="341"/>
      <c r="U114" s="341"/>
    </row>
    <row r="115" spans="1:21" x14ac:dyDescent="0.2">
      <c r="A115" t="str">
        <f t="shared" si="71"/>
        <v>72 Customer service occupations</v>
      </c>
      <c r="B115" s="11">
        <v>1.3219900765935759</v>
      </c>
      <c r="C115" s="11">
        <v>2.5438290360204392</v>
      </c>
      <c r="D115" s="11">
        <f t="shared" si="72"/>
        <v>1.2218389594268633</v>
      </c>
      <c r="E115" s="11">
        <v>1.0915615617072993</v>
      </c>
      <c r="F115" s="11">
        <f t="shared" si="73"/>
        <v>2.3134005211341626</v>
      </c>
      <c r="G115" s="200">
        <f t="shared" si="74"/>
        <v>4.0946861218536634E-2</v>
      </c>
      <c r="I115" s="11" t="str">
        <f t="shared" si="82"/>
        <v>Elementary occupations</v>
      </c>
      <c r="J115" s="11">
        <v>4.6898237127080762</v>
      </c>
      <c r="K115" s="11">
        <v>2.0870816035825031</v>
      </c>
      <c r="L115" s="11">
        <v>-2.6027421091255727</v>
      </c>
      <c r="M115" s="11">
        <v>0.9266761096062418</v>
      </c>
      <c r="N115" s="11">
        <v>-1.6760659995193312</v>
      </c>
      <c r="P115" s="11"/>
      <c r="Q115" s="11"/>
      <c r="R115" s="11"/>
      <c r="S115" s="341"/>
      <c r="T115" s="341"/>
      <c r="U115" s="341"/>
    </row>
    <row r="116" spans="1:21" x14ac:dyDescent="0.2">
      <c r="A116" t="str">
        <f t="shared" si="71"/>
        <v>81 Process, plant and machine operatives</v>
      </c>
      <c r="B116" s="11">
        <v>0.44292366096436947</v>
      </c>
      <c r="C116" s="11">
        <v>1.0497066893795624</v>
      </c>
      <c r="D116" s="11">
        <f t="shared" ref="D116:D117" si="85">C116-B116</f>
        <v>0.60678302841519294</v>
      </c>
      <c r="E116" s="11">
        <v>0.40411376196339654</v>
      </c>
      <c r="F116" s="11">
        <f t="shared" ref="F116:F117" si="86">SUM(D116:E116)</f>
        <v>1.0108967903785895</v>
      </c>
      <c r="G116" s="200">
        <f t="shared" si="74"/>
        <v>4.4170889109337974E-2</v>
      </c>
      <c r="I116" s="11"/>
      <c r="J116" s="11"/>
      <c r="K116" s="11"/>
      <c r="L116" s="11"/>
      <c r="M116" s="11"/>
      <c r="N116" s="11"/>
      <c r="P116" s="11"/>
      <c r="Q116" s="11"/>
      <c r="R116" s="11"/>
      <c r="S116" s="341"/>
      <c r="T116" s="341"/>
      <c r="U116" s="341"/>
    </row>
    <row r="117" spans="1:21" x14ac:dyDescent="0.2">
      <c r="A117" t="str">
        <f t="shared" si="71"/>
        <v>82 Transport and mobile machine drivers and operatives</v>
      </c>
      <c r="B117" s="11">
        <v>0.68886090161697688</v>
      </c>
      <c r="C117" s="11">
        <v>1.052053684902079</v>
      </c>
      <c r="D117" s="11">
        <f t="shared" si="85"/>
        <v>0.36319278328510207</v>
      </c>
      <c r="E117" s="11">
        <v>0.59459423474578621</v>
      </c>
      <c r="F117" s="11">
        <f t="shared" si="86"/>
        <v>0.95778701803088828</v>
      </c>
      <c r="G117" s="200">
        <f t="shared" si="74"/>
        <v>4.2357295619424473E-2</v>
      </c>
      <c r="I117" s="11"/>
      <c r="J117" s="11"/>
      <c r="K117" s="11"/>
      <c r="L117" s="11"/>
      <c r="M117" s="11"/>
      <c r="N117" s="11"/>
      <c r="P117" s="11"/>
      <c r="Q117" s="11"/>
      <c r="R117" s="11"/>
      <c r="S117" s="341"/>
      <c r="T117" s="341"/>
      <c r="U117" s="341"/>
    </row>
    <row r="118" spans="1:21" x14ac:dyDescent="0.2">
      <c r="A118" t="str">
        <f t="shared" si="71"/>
        <v>91 Elementary trades and related occupations</v>
      </c>
      <c r="B118" s="11">
        <v>0.20566933447943417</v>
      </c>
      <c r="C118" s="11">
        <v>0.21740877482962367</v>
      </c>
      <c r="D118" s="11">
        <f t="shared" si="72"/>
        <v>1.1739440350189506E-2</v>
      </c>
      <c r="E118" s="11">
        <v>0.12074448214444433</v>
      </c>
      <c r="F118" s="11">
        <f t="shared" si="73"/>
        <v>0.13248392249463384</v>
      </c>
      <c r="G118" s="200">
        <f t="shared" si="74"/>
        <v>3.1272094138547368E-2</v>
      </c>
      <c r="I118" s="11"/>
      <c r="J118" s="11"/>
      <c r="K118" s="11"/>
      <c r="L118" s="11"/>
      <c r="M118" s="11"/>
      <c r="N118" s="11"/>
      <c r="P118" s="11"/>
      <c r="Q118" s="11"/>
      <c r="R118" s="11"/>
      <c r="S118" s="341"/>
      <c r="T118" s="341"/>
      <c r="U118" s="341"/>
    </row>
    <row r="119" spans="1:21" x14ac:dyDescent="0.2">
      <c r="A119" t="str">
        <f t="shared" si="71"/>
        <v>92 Elementary administration and service occupations</v>
      </c>
      <c r="B119" s="11">
        <v>2.9819162142829074</v>
      </c>
      <c r="C119" s="11">
        <v>4.970953792095961</v>
      </c>
      <c r="D119" s="11">
        <f t="shared" ref="D119" si="87">C119-B119</f>
        <v>1.9890375778130536</v>
      </c>
      <c r="E119" s="11">
        <v>2.6417932985036088</v>
      </c>
      <c r="F119" s="11">
        <f t="shared" ref="F119" si="88">SUM(D119:E119)</f>
        <v>4.6308308763166623</v>
      </c>
      <c r="G119" s="200">
        <f t="shared" si="74"/>
        <v>4.3202204643788322E-2</v>
      </c>
      <c r="I119" s="11"/>
      <c r="J119" s="11"/>
      <c r="K119" s="11"/>
      <c r="L119" s="11"/>
      <c r="M119" s="11"/>
      <c r="N119" s="11"/>
      <c r="P119" s="11"/>
      <c r="Q119" s="11"/>
      <c r="R119" s="11"/>
      <c r="S119" s="341"/>
      <c r="T119" s="341"/>
      <c r="U119" s="341"/>
    </row>
    <row r="120" spans="1:21" x14ac:dyDescent="0.2">
      <c r="A120" t="str">
        <f t="shared" si="71"/>
        <v>All occupations</v>
      </c>
      <c r="B120" s="11">
        <f>SUM(B94:B119)</f>
        <v>82.750564635315826</v>
      </c>
      <c r="C120" s="11">
        <f t="shared" ref="C120:F120" si="89">SUM(C94:C119)</f>
        <v>113.11901698064985</v>
      </c>
      <c r="D120" s="11">
        <f t="shared" si="89"/>
        <v>30.368452345334038</v>
      </c>
      <c r="E120" s="11">
        <f t="shared" si="89"/>
        <v>55.327715178043348</v>
      </c>
      <c r="F120" s="11">
        <f t="shared" si="89"/>
        <v>85.696167523377383</v>
      </c>
      <c r="G120" s="200">
        <f t="shared" si="74"/>
        <v>3.4721866015407832E-2</v>
      </c>
      <c r="I120" s="11"/>
      <c r="J120" s="11"/>
      <c r="K120" s="11"/>
      <c r="L120" s="11"/>
      <c r="M120" s="11"/>
      <c r="N120" s="11"/>
      <c r="P120" s="11"/>
      <c r="Q120" s="11"/>
      <c r="R120" s="11"/>
      <c r="S120" s="341"/>
      <c r="T120" s="341"/>
      <c r="U120" s="341"/>
    </row>
    <row r="121" spans="1:21" x14ac:dyDescent="0.2">
      <c r="I121" s="11"/>
      <c r="J121" s="11"/>
      <c r="K121" s="11"/>
      <c r="L121" s="11"/>
      <c r="M121" s="11"/>
      <c r="N121" s="11"/>
      <c r="P121" s="11"/>
      <c r="Q121" s="11"/>
      <c r="R121" s="11"/>
      <c r="S121" s="341"/>
      <c r="T121" s="341"/>
      <c r="U121" s="341"/>
    </row>
    <row r="122" spans="1:21" ht="38.25" x14ac:dyDescent="0.2">
      <c r="A122" s="201" t="str">
        <f>CONCATENATE(name!F7," (Constrained)")</f>
        <v>RQF5 Foundation degree;Nursing;Teaching (Constrained)</v>
      </c>
      <c r="B122" s="88">
        <f t="shared" ref="B122:G122" si="90">B35</f>
        <v>2020</v>
      </c>
      <c r="C122" s="88">
        <f t="shared" si="90"/>
        <v>2035</v>
      </c>
      <c r="D122" s="88" t="str">
        <f t="shared" si="90"/>
        <v>Net Change</v>
      </c>
      <c r="E122" s="88" t="str">
        <f t="shared" si="90"/>
        <v>Replacement Demand level</v>
      </c>
      <c r="F122" s="88" t="str">
        <f t="shared" si="90"/>
        <v>Total Requirement</v>
      </c>
      <c r="G122" s="88" t="str">
        <f t="shared" si="90"/>
        <v>Replacement Demand rate</v>
      </c>
      <c r="I122" s="85"/>
      <c r="J122" s="74"/>
      <c r="K122" s="74"/>
      <c r="L122" s="72"/>
      <c r="M122" s="72"/>
      <c r="N122" s="72"/>
      <c r="P122" s="11"/>
      <c r="Q122" s="11"/>
      <c r="R122" s="11"/>
      <c r="S122" s="341"/>
      <c r="T122" s="341"/>
      <c r="U122" s="341"/>
    </row>
    <row r="123" spans="1:21" x14ac:dyDescent="0.2">
      <c r="A123" t="str">
        <f t="shared" ref="A123:A149" si="91">A36</f>
        <v>11 Corporate managers and directors</v>
      </c>
      <c r="B123" s="11">
        <v>1.5369042361668519</v>
      </c>
      <c r="C123" s="11">
        <v>1.6277460406260269</v>
      </c>
      <c r="D123" s="11">
        <f>C123-B123</f>
        <v>9.0841804459175002E-2</v>
      </c>
      <c r="E123" s="11">
        <v>0.81656399740205909</v>
      </c>
      <c r="F123" s="11">
        <f>SUM(D123:E123)</f>
        <v>0.9074058018612341</v>
      </c>
      <c r="G123" s="200">
        <f>IF(B123&gt;0,(1+(E123/B123))^(1/($C$6-$B$6))-1,0)</f>
        <v>2.8815350481894653E-2</v>
      </c>
      <c r="I123" s="11"/>
      <c r="J123" s="11"/>
      <c r="K123" s="11"/>
      <c r="L123" s="11"/>
      <c r="M123" s="11"/>
      <c r="N123" s="11"/>
      <c r="P123" s="11"/>
      <c r="Q123" s="11"/>
      <c r="R123" s="11"/>
      <c r="S123" s="341"/>
      <c r="T123" s="341"/>
      <c r="U123" s="341"/>
    </row>
    <row r="124" spans="1:21" x14ac:dyDescent="0.2">
      <c r="A124" t="str">
        <f t="shared" si="91"/>
        <v>12 Other managers and proprietors</v>
      </c>
      <c r="B124" s="11">
        <v>1.05964617324944</v>
      </c>
      <c r="C124" s="11">
        <v>1.666263977301518</v>
      </c>
      <c r="D124" s="11">
        <f t="shared" ref="D124:D139" si="92">C124-B124</f>
        <v>0.60661780405207799</v>
      </c>
      <c r="E124" s="11">
        <v>0.91070738150528596</v>
      </c>
      <c r="F124" s="11">
        <f t="shared" ref="F124:F131" si="93">SUM(D124:E124)</f>
        <v>1.517325185557364</v>
      </c>
      <c r="G124" s="200">
        <f t="shared" ref="G124:G147" si="94">IF(B124&gt;0,(1+(E124/B124))^(1/($C$6-$B$6))-1,0)</f>
        <v>4.221875908039685E-2</v>
      </c>
      <c r="I124" s="11"/>
      <c r="J124" s="11"/>
      <c r="K124" s="11"/>
      <c r="L124" s="11"/>
      <c r="M124" s="11"/>
      <c r="N124" s="11"/>
      <c r="P124" s="11"/>
      <c r="Q124" s="11"/>
      <c r="R124" s="11"/>
      <c r="S124" s="341"/>
      <c r="T124" s="341"/>
      <c r="U124" s="341"/>
    </row>
    <row r="125" spans="1:21" x14ac:dyDescent="0.2">
      <c r="A125" t="str">
        <f t="shared" si="91"/>
        <v>21 Science, research, engineering and technology professionals</v>
      </c>
      <c r="B125" s="11">
        <v>0.7181086021728843</v>
      </c>
      <c r="C125" s="11">
        <v>0.8472407279358074</v>
      </c>
      <c r="D125" s="11">
        <f t="shared" si="92"/>
        <v>0.1291321257629231</v>
      </c>
      <c r="E125" s="11">
        <v>0.30067104534235767</v>
      </c>
      <c r="F125" s="11">
        <f t="shared" si="93"/>
        <v>0.42980317110528077</v>
      </c>
      <c r="G125" s="200">
        <f t="shared" si="94"/>
        <v>2.3589939584304886E-2</v>
      </c>
      <c r="I125" s="11"/>
      <c r="J125" s="11"/>
      <c r="K125" s="11"/>
      <c r="L125" s="11"/>
      <c r="M125" s="11"/>
      <c r="N125" s="11"/>
      <c r="P125" s="11"/>
      <c r="Q125" s="11"/>
      <c r="R125" s="11"/>
      <c r="S125" s="341"/>
      <c r="T125" s="341"/>
      <c r="U125" s="341"/>
    </row>
    <row r="126" spans="1:21" x14ac:dyDescent="0.2">
      <c r="A126" t="str">
        <f t="shared" si="91"/>
        <v>22 Health professionals</v>
      </c>
      <c r="B126" s="11">
        <v>3.6320713019309983</v>
      </c>
      <c r="C126" s="11">
        <v>0.62821499143130211</v>
      </c>
      <c r="D126" s="11">
        <f t="shared" si="92"/>
        <v>-3.003856310499696</v>
      </c>
      <c r="E126" s="11">
        <v>0.70647533451224409</v>
      </c>
      <c r="F126" s="11">
        <f t="shared" si="93"/>
        <v>-2.2973809759874522</v>
      </c>
      <c r="G126" s="200">
        <f t="shared" si="94"/>
        <v>1.1919566772895518E-2</v>
      </c>
      <c r="I126" s="11"/>
      <c r="J126" s="11"/>
      <c r="K126" s="11"/>
      <c r="L126" s="11"/>
      <c r="M126" s="11"/>
      <c r="N126" s="11"/>
      <c r="P126" s="11"/>
      <c r="Q126" s="11"/>
      <c r="R126" s="11"/>
      <c r="S126" s="341"/>
      <c r="T126" s="341"/>
      <c r="U126" s="341"/>
    </row>
    <row r="127" spans="1:21" x14ac:dyDescent="0.2">
      <c r="A127" t="str">
        <f t="shared" si="91"/>
        <v>23 Teaching and other educational professionals</v>
      </c>
      <c r="B127" s="11">
        <v>0.33275615305349032</v>
      </c>
      <c r="C127" s="11">
        <v>0.17868643445342031</v>
      </c>
      <c r="D127" s="11">
        <f t="shared" si="92"/>
        <v>-0.15406971860007002</v>
      </c>
      <c r="E127" s="11">
        <v>5.0939135816229206E-2</v>
      </c>
      <c r="F127" s="11">
        <f t="shared" si="93"/>
        <v>-0.10313058278384081</v>
      </c>
      <c r="G127" s="200">
        <f>IF(B127&gt;0,(1+(E127/B127))^(1/($C$6-$B$6))-1,0)</f>
        <v>9.5411473068580666E-3</v>
      </c>
      <c r="I127" s="11"/>
      <c r="J127" s="11"/>
      <c r="K127" s="11"/>
      <c r="L127" s="11"/>
      <c r="M127" s="11"/>
      <c r="N127" s="11"/>
      <c r="P127" s="11"/>
      <c r="Q127" s="11"/>
      <c r="R127" s="11"/>
      <c r="S127" s="341"/>
      <c r="T127" s="341"/>
      <c r="U127" s="341"/>
    </row>
    <row r="128" spans="1:21" x14ac:dyDescent="0.2">
      <c r="A128" t="str">
        <f t="shared" si="91"/>
        <v>24 Business, media and public service professionals</v>
      </c>
      <c r="B128" s="11">
        <v>0.82820521505361333</v>
      </c>
      <c r="C128" s="11">
        <v>0.86394161073102027</v>
      </c>
      <c r="D128" s="11">
        <f t="shared" si="92"/>
        <v>3.573639567740694E-2</v>
      </c>
      <c r="E128" s="11">
        <v>0.31038116967179619</v>
      </c>
      <c r="F128" s="11">
        <f t="shared" si="93"/>
        <v>0.34611756534920313</v>
      </c>
      <c r="G128" s="200">
        <f t="shared" si="94"/>
        <v>2.1445505209020554E-2</v>
      </c>
      <c r="I128" s="11"/>
      <c r="J128" s="11"/>
      <c r="K128" s="11"/>
      <c r="L128" s="11"/>
      <c r="M128" s="11"/>
      <c r="N128" s="11"/>
      <c r="P128" s="11"/>
      <c r="Q128" s="11"/>
      <c r="R128" s="11"/>
      <c r="S128" s="341"/>
      <c r="T128" s="341"/>
      <c r="U128" s="341"/>
    </row>
    <row r="129" spans="1:21" x14ac:dyDescent="0.2">
      <c r="A129" t="str">
        <f t="shared" si="91"/>
        <v>31 Science, engineering and technology associate professionals</v>
      </c>
      <c r="B129" s="11">
        <v>0.43451630475624969</v>
      </c>
      <c r="C129" s="11">
        <v>0.56596282255445218</v>
      </c>
      <c r="D129" s="11">
        <f t="shared" si="92"/>
        <v>0.13144651779820249</v>
      </c>
      <c r="E129" s="11">
        <v>0.22458402842186381</v>
      </c>
      <c r="F129" s="11">
        <f t="shared" si="93"/>
        <v>0.3560305462200663</v>
      </c>
      <c r="G129" s="200">
        <f t="shared" si="94"/>
        <v>2.8165507528620459E-2</v>
      </c>
      <c r="I129" s="11"/>
      <c r="J129" s="11"/>
      <c r="K129" s="11"/>
      <c r="L129" s="11"/>
      <c r="M129" s="11"/>
      <c r="N129" s="11"/>
      <c r="P129" s="11"/>
      <c r="Q129" s="11"/>
      <c r="R129" s="11"/>
      <c r="S129" s="341"/>
      <c r="T129" s="341"/>
      <c r="U129" s="341"/>
    </row>
    <row r="130" spans="1:21" x14ac:dyDescent="0.2">
      <c r="A130" t="str">
        <f t="shared" si="91"/>
        <v>32 Health and social care associate professionals</v>
      </c>
      <c r="B130" s="11">
        <v>1.6275398861975479</v>
      </c>
      <c r="C130" s="11">
        <v>0.64421976039209727</v>
      </c>
      <c r="D130" s="11">
        <f t="shared" si="92"/>
        <v>-0.98332012580545058</v>
      </c>
      <c r="E130" s="11">
        <v>0.47065072923254803</v>
      </c>
      <c r="F130" s="11">
        <f t="shared" si="93"/>
        <v>-0.51266939657290256</v>
      </c>
      <c r="G130" s="200">
        <f t="shared" si="94"/>
        <v>1.7077905399610405E-2</v>
      </c>
      <c r="I130" s="11"/>
      <c r="J130" s="11"/>
      <c r="K130" s="11"/>
      <c r="L130" s="11"/>
      <c r="M130" s="11"/>
      <c r="N130" s="11"/>
      <c r="P130" s="11"/>
      <c r="Q130" s="11"/>
      <c r="R130" s="11"/>
      <c r="S130" s="341"/>
      <c r="T130" s="341"/>
      <c r="U130" s="341"/>
    </row>
    <row r="131" spans="1:21" x14ac:dyDescent="0.2">
      <c r="A131" t="str">
        <f t="shared" si="91"/>
        <v>33 Protective service occupations</v>
      </c>
      <c r="B131" s="11">
        <v>0.42035571903908375</v>
      </c>
      <c r="C131" s="11">
        <v>0.74425028376313662</v>
      </c>
      <c r="D131" s="11">
        <f t="shared" si="92"/>
        <v>0.32389456472405287</v>
      </c>
      <c r="E131" s="11">
        <v>0.23986832997209145</v>
      </c>
      <c r="F131" s="11">
        <f t="shared" si="93"/>
        <v>0.56376289469614438</v>
      </c>
      <c r="G131" s="200">
        <f t="shared" si="94"/>
        <v>3.0556069139441755E-2</v>
      </c>
      <c r="I131" s="11"/>
      <c r="J131" s="11"/>
      <c r="K131" s="11"/>
      <c r="L131" s="11"/>
      <c r="M131" s="11"/>
      <c r="N131" s="11"/>
      <c r="P131" s="11"/>
      <c r="Q131" s="11"/>
      <c r="R131" s="11"/>
      <c r="S131" s="341"/>
      <c r="T131" s="341"/>
      <c r="U131" s="341"/>
    </row>
    <row r="132" spans="1:21" x14ac:dyDescent="0.2">
      <c r="A132" t="str">
        <f t="shared" si="91"/>
        <v>34 Culture, media and sports occupations</v>
      </c>
      <c r="B132" s="11">
        <v>0.28172557959455002</v>
      </c>
      <c r="C132" s="11">
        <v>0.37038593610080128</v>
      </c>
      <c r="D132" s="11">
        <f t="shared" si="92"/>
        <v>8.8660356506251259E-2</v>
      </c>
      <c r="E132" s="11">
        <v>0.15478836716372002</v>
      </c>
      <c r="F132" s="11">
        <f t="shared" ref="F132:F133" si="95">SUM(D132:E132)</f>
        <v>0.24344872366997128</v>
      </c>
      <c r="G132" s="200">
        <f t="shared" si="94"/>
        <v>2.9622733233221954E-2</v>
      </c>
      <c r="I132" s="11"/>
      <c r="J132" s="11"/>
      <c r="K132" s="11"/>
      <c r="L132" s="11"/>
      <c r="M132" s="11"/>
      <c r="N132" s="11"/>
      <c r="P132" s="11"/>
      <c r="Q132" s="11"/>
      <c r="R132" s="11"/>
      <c r="S132" s="341"/>
      <c r="T132" s="341"/>
      <c r="U132" s="341"/>
    </row>
    <row r="133" spans="1:21" x14ac:dyDescent="0.2">
      <c r="A133" t="str">
        <f t="shared" si="91"/>
        <v>35 Business and public service associate professionals</v>
      </c>
      <c r="B133" s="11">
        <v>1.5929346413790735</v>
      </c>
      <c r="C133" s="11">
        <v>1.7916832431907481</v>
      </c>
      <c r="D133" s="11">
        <f t="shared" si="92"/>
        <v>0.19874860181167464</v>
      </c>
      <c r="E133" s="11">
        <v>0.81252739125331219</v>
      </c>
      <c r="F133" s="11">
        <f t="shared" si="95"/>
        <v>1.0112759930649868</v>
      </c>
      <c r="G133" s="200">
        <f t="shared" si="94"/>
        <v>2.7858590612686696E-2</v>
      </c>
      <c r="I133" s="11"/>
      <c r="J133" s="11"/>
      <c r="K133" s="11"/>
      <c r="L133" s="11"/>
      <c r="M133" s="11"/>
      <c r="N133" s="11"/>
      <c r="P133" s="11"/>
      <c r="Q133" s="11"/>
      <c r="R133" s="11"/>
      <c r="S133" s="341"/>
      <c r="T133" s="341"/>
      <c r="U133" s="341"/>
    </row>
    <row r="134" spans="1:21" x14ac:dyDescent="0.2">
      <c r="A134" t="str">
        <f t="shared" si="91"/>
        <v>41 Administrative occupations</v>
      </c>
      <c r="B134" s="11">
        <v>3.1610445425570743</v>
      </c>
      <c r="C134" s="11">
        <v>3.6792302089183688</v>
      </c>
      <c r="D134" s="11">
        <f t="shared" si="92"/>
        <v>0.51818566636129448</v>
      </c>
      <c r="E134" s="11">
        <v>2.0216633692234893</v>
      </c>
      <c r="F134" s="11">
        <f t="shared" ref="F134:F137" si="96">SUM(D134:E134)</f>
        <v>2.5398490355847838</v>
      </c>
      <c r="G134" s="200">
        <f t="shared" si="94"/>
        <v>3.351093145995554E-2</v>
      </c>
      <c r="I134" s="11"/>
      <c r="J134" s="11"/>
      <c r="K134" s="11"/>
      <c r="L134" s="11"/>
      <c r="M134" s="11"/>
      <c r="N134" s="11"/>
      <c r="P134" s="11"/>
      <c r="Q134" s="11"/>
      <c r="R134" s="11"/>
      <c r="S134" s="341"/>
      <c r="T134" s="341"/>
      <c r="U134" s="341"/>
    </row>
    <row r="135" spans="1:21" x14ac:dyDescent="0.2">
      <c r="A135" t="str">
        <f t="shared" si="91"/>
        <v>42 Secretarial and related occupations</v>
      </c>
      <c r="B135" s="11">
        <v>0.53937999597702635</v>
      </c>
      <c r="C135" s="11">
        <v>0.70759555469413882</v>
      </c>
      <c r="D135" s="11">
        <f t="shared" si="92"/>
        <v>0.16821555871711247</v>
      </c>
      <c r="E135" s="11">
        <v>0.42416329448261192</v>
      </c>
      <c r="F135" s="11">
        <f t="shared" si="96"/>
        <v>0.59237885319972439</v>
      </c>
      <c r="G135" s="200">
        <f t="shared" si="94"/>
        <v>3.9437608878803987E-2</v>
      </c>
      <c r="I135" s="11"/>
      <c r="J135" s="11"/>
      <c r="K135" s="11"/>
      <c r="L135" s="11"/>
      <c r="M135" s="11"/>
      <c r="N135" s="11"/>
    </row>
    <row r="136" spans="1:21" x14ac:dyDescent="0.2">
      <c r="A136" t="str">
        <f t="shared" si="91"/>
        <v>51 Skilled agricultural and related trades</v>
      </c>
      <c r="B136" s="11">
        <v>0.24127622910531069</v>
      </c>
      <c r="C136" s="11">
        <v>0.33117139872388102</v>
      </c>
      <c r="D136" s="11">
        <f t="shared" si="92"/>
        <v>8.9895169618570331E-2</v>
      </c>
      <c r="E136" s="11">
        <v>0.20580065902239436</v>
      </c>
      <c r="F136" s="11">
        <f t="shared" si="96"/>
        <v>0.29569582864096466</v>
      </c>
      <c r="G136" s="200">
        <f t="shared" si="94"/>
        <v>4.1976310961884922E-2</v>
      </c>
      <c r="I136" s="11"/>
      <c r="J136" s="11"/>
      <c r="K136" s="11"/>
      <c r="L136" s="11"/>
      <c r="M136" s="11"/>
      <c r="N136" s="11"/>
      <c r="O136" s="71"/>
    </row>
    <row r="137" spans="1:21" x14ac:dyDescent="0.2">
      <c r="A137" t="str">
        <f t="shared" si="91"/>
        <v>52 Skilled metal, electrical and electronic trades</v>
      </c>
      <c r="B137" s="11">
        <v>0.27831850051160739</v>
      </c>
      <c r="C137" s="11">
        <v>0.38416068542150739</v>
      </c>
      <c r="D137" s="11">
        <f t="shared" si="92"/>
        <v>0.10584218490989999</v>
      </c>
      <c r="E137" s="11">
        <v>0.15527857684090909</v>
      </c>
      <c r="F137" s="11">
        <f t="shared" si="96"/>
        <v>0.26112076175080912</v>
      </c>
      <c r="G137" s="200">
        <f t="shared" si="94"/>
        <v>2.9997770592733897E-2</v>
      </c>
      <c r="I137" s="11"/>
      <c r="J137" s="11"/>
      <c r="K137" s="11"/>
      <c r="L137" s="11"/>
      <c r="M137" s="11"/>
      <c r="N137" s="11"/>
    </row>
    <row r="138" spans="1:21" x14ac:dyDescent="0.2">
      <c r="A138" t="str">
        <f t="shared" si="91"/>
        <v>53 Skilled construction and building trades</v>
      </c>
      <c r="B138" s="11">
        <v>0.2494820599534138</v>
      </c>
      <c r="C138" s="11">
        <v>0.31453643202216341</v>
      </c>
      <c r="D138" s="11">
        <f t="shared" si="92"/>
        <v>6.5054372068749616E-2</v>
      </c>
      <c r="E138" s="11">
        <v>0.16261243329508868</v>
      </c>
      <c r="F138" s="11">
        <f t="shared" ref="F138" si="97">SUM(D138:E138)</f>
        <v>0.22766680536383829</v>
      </c>
      <c r="G138" s="200">
        <f t="shared" si="94"/>
        <v>3.4023715109625208E-2</v>
      </c>
      <c r="I138" s="11"/>
      <c r="J138" s="11"/>
      <c r="K138" s="11"/>
      <c r="L138" s="11"/>
      <c r="M138" s="11"/>
      <c r="N138" s="11"/>
      <c r="P138" s="85"/>
      <c r="Q138" s="74"/>
      <c r="R138" s="74"/>
      <c r="S138" s="342"/>
      <c r="T138" s="342"/>
      <c r="U138" s="342"/>
    </row>
    <row r="139" spans="1:21" x14ac:dyDescent="0.2">
      <c r="A139" t="str">
        <f t="shared" si="91"/>
        <v>54 Textiles, printing and other skilled trades</v>
      </c>
      <c r="B139" s="11">
        <v>0.30933294566510278</v>
      </c>
      <c r="C139" s="11">
        <v>0.4734369725939887</v>
      </c>
      <c r="D139" s="11">
        <f t="shared" si="92"/>
        <v>0.16410402692888593</v>
      </c>
      <c r="E139" s="11">
        <v>0.24431311466895295</v>
      </c>
      <c r="F139" s="11">
        <f t="shared" ref="F139" si="98">SUM(D139:E139)</f>
        <v>0.40841714159783887</v>
      </c>
      <c r="G139" s="200">
        <f t="shared" si="94"/>
        <v>3.9569994434346167E-2</v>
      </c>
      <c r="I139" s="11"/>
      <c r="J139" s="11"/>
      <c r="K139" s="11"/>
      <c r="L139" s="11"/>
      <c r="M139" s="11"/>
      <c r="N139" s="11"/>
      <c r="P139" s="11"/>
      <c r="Q139" s="11"/>
      <c r="R139" s="11"/>
      <c r="S139" s="341"/>
      <c r="T139" s="341"/>
      <c r="U139" s="341"/>
    </row>
    <row r="140" spans="1:21" x14ac:dyDescent="0.2">
      <c r="A140" t="str">
        <f t="shared" si="91"/>
        <v>61 Caring personal service occupations</v>
      </c>
      <c r="B140" s="11">
        <v>2.9435451276554838</v>
      </c>
      <c r="C140" s="11">
        <v>3.2918683563745241</v>
      </c>
      <c r="D140" s="11">
        <f>C140-B140</f>
        <v>0.34832322871904031</v>
      </c>
      <c r="E140" s="11">
        <v>1.841615694809051</v>
      </c>
      <c r="F140" s="11">
        <f>SUM(D140:E140)</f>
        <v>2.1899389235280911</v>
      </c>
      <c r="G140" s="200">
        <f t="shared" si="94"/>
        <v>3.2924049837018021E-2</v>
      </c>
      <c r="I140" s="11"/>
      <c r="J140" s="11"/>
      <c r="K140" s="11"/>
      <c r="L140" s="11"/>
      <c r="M140" s="11"/>
      <c r="N140" s="11"/>
      <c r="P140" s="11"/>
      <c r="Q140" s="11"/>
      <c r="R140" s="11"/>
      <c r="S140" s="341"/>
      <c r="T140" s="341"/>
      <c r="U140" s="341"/>
    </row>
    <row r="141" spans="1:21" x14ac:dyDescent="0.2">
      <c r="A141" t="str">
        <f t="shared" si="91"/>
        <v>62 Leisure, travel and related personal service occupations</v>
      </c>
      <c r="B141" s="11">
        <v>0.65927021827716725</v>
      </c>
      <c r="C141" s="11">
        <v>1.0715533095722769</v>
      </c>
      <c r="D141" s="11">
        <f t="shared" ref="D141:D147" si="99">C141-B141</f>
        <v>0.41228309129510965</v>
      </c>
      <c r="E141" s="11">
        <v>0.54883268872338475</v>
      </c>
      <c r="F141" s="11">
        <f t="shared" ref="F141:F142" si="100">SUM(D141:E141)</f>
        <v>0.9611157800184944</v>
      </c>
      <c r="G141" s="200">
        <f t="shared" si="94"/>
        <v>4.1204488091142411E-2</v>
      </c>
      <c r="I141" s="11"/>
      <c r="J141" s="11"/>
      <c r="K141" s="11"/>
      <c r="L141" s="11"/>
      <c r="M141" s="11"/>
      <c r="N141" s="11"/>
      <c r="P141" s="11"/>
      <c r="Q141" s="11"/>
      <c r="R141" s="11"/>
      <c r="S141" s="341"/>
      <c r="T141" s="341"/>
      <c r="U141" s="341"/>
    </row>
    <row r="142" spans="1:21" x14ac:dyDescent="0.2">
      <c r="A142" t="str">
        <f t="shared" si="91"/>
        <v>63 Community and civil enforcement occupations</v>
      </c>
      <c r="B142" s="11">
        <v>2.8075962379289811E-2</v>
      </c>
      <c r="C142" s="11">
        <v>3.4732544881197064E-2</v>
      </c>
      <c r="D142" s="11">
        <f t="shared" si="99"/>
        <v>6.656582501907253E-3</v>
      </c>
      <c r="E142" s="11">
        <v>1.8611377468149972E-2</v>
      </c>
      <c r="F142" s="11">
        <f t="shared" si="100"/>
        <v>2.5267959970057225E-2</v>
      </c>
      <c r="G142" s="200">
        <f t="shared" si="94"/>
        <v>3.4485239901956843E-2</v>
      </c>
      <c r="I142" s="11"/>
      <c r="J142" s="11"/>
      <c r="K142" s="11"/>
      <c r="L142" s="11"/>
      <c r="M142" s="11"/>
      <c r="N142" s="11"/>
      <c r="P142" s="11"/>
      <c r="Q142" s="11"/>
      <c r="R142" s="11"/>
      <c r="S142" s="341"/>
      <c r="T142" s="341"/>
      <c r="U142" s="341"/>
    </row>
    <row r="143" spans="1:21" x14ac:dyDescent="0.2">
      <c r="A143" t="str">
        <f t="shared" si="91"/>
        <v>71 Sales occupations</v>
      </c>
      <c r="B143" s="11">
        <v>1.7902596493911516</v>
      </c>
      <c r="C143" s="11">
        <v>2.6326958409093764</v>
      </c>
      <c r="D143" s="11">
        <f t="shared" si="99"/>
        <v>0.8424361915182248</v>
      </c>
      <c r="E143" s="11">
        <v>1.30237116506976</v>
      </c>
      <c r="F143" s="11">
        <f t="shared" ref="F143:F144" si="101">SUM(D143:E143)</f>
        <v>2.144807356587985</v>
      </c>
      <c r="G143" s="200">
        <f t="shared" si="94"/>
        <v>3.7116324834789216E-2</v>
      </c>
      <c r="I143" s="11"/>
      <c r="J143" s="11"/>
      <c r="K143" s="11"/>
      <c r="L143" s="11"/>
      <c r="M143" s="11"/>
      <c r="N143" s="11"/>
      <c r="P143" s="11"/>
      <c r="Q143" s="11"/>
      <c r="R143" s="11"/>
      <c r="S143" s="341"/>
      <c r="T143" s="341"/>
      <c r="U143" s="341"/>
    </row>
    <row r="144" spans="1:21" x14ac:dyDescent="0.2">
      <c r="A144" t="str">
        <f t="shared" si="91"/>
        <v>72 Customer service occupations</v>
      </c>
      <c r="B144" s="11">
        <v>0.42107680067773956</v>
      </c>
      <c r="C144" s="11">
        <v>0.82154561505938828</v>
      </c>
      <c r="D144" s="11">
        <f t="shared" si="99"/>
        <v>0.40046881438164872</v>
      </c>
      <c r="E144" s="11">
        <v>0.35822370472361442</v>
      </c>
      <c r="F144" s="11">
        <f t="shared" si="101"/>
        <v>0.75869251910526314</v>
      </c>
      <c r="G144" s="200">
        <f t="shared" si="94"/>
        <v>4.1892494622865817E-2</v>
      </c>
      <c r="I144" s="11"/>
      <c r="J144" s="11"/>
      <c r="K144" s="11"/>
      <c r="L144" s="11"/>
      <c r="M144" s="11"/>
      <c r="N144" s="11"/>
      <c r="P144" s="11"/>
      <c r="Q144" s="11"/>
      <c r="R144" s="11"/>
      <c r="S144" s="341"/>
      <c r="T144" s="341"/>
      <c r="U144" s="341"/>
    </row>
    <row r="145" spans="1:21" x14ac:dyDescent="0.2">
      <c r="A145" t="str">
        <f t="shared" si="91"/>
        <v>81 Process, plant and machine operatives</v>
      </c>
      <c r="B145" s="11">
        <v>0.25770351501181221</v>
      </c>
      <c r="C145" s="11">
        <v>0.49597790344704906</v>
      </c>
      <c r="D145" s="11">
        <f t="shared" si="99"/>
        <v>0.23827438843523685</v>
      </c>
      <c r="E145" s="11">
        <v>0.19300193297535129</v>
      </c>
      <c r="F145" s="11">
        <f t="shared" ref="F145:F146" si="102">SUM(D145:E145)</f>
        <v>0.43127632141058814</v>
      </c>
      <c r="G145" s="200">
        <f t="shared" si="94"/>
        <v>3.7970070656486055E-2</v>
      </c>
      <c r="I145" s="11"/>
      <c r="J145" s="11"/>
      <c r="K145" s="11"/>
      <c r="L145" s="11"/>
      <c r="M145" s="11"/>
      <c r="N145" s="11"/>
      <c r="P145" s="11"/>
      <c r="Q145" s="11"/>
      <c r="R145" s="11"/>
      <c r="S145" s="341"/>
      <c r="T145" s="341"/>
      <c r="U145" s="341"/>
    </row>
    <row r="146" spans="1:21" x14ac:dyDescent="0.2">
      <c r="A146" t="str">
        <f t="shared" si="91"/>
        <v>82 Transport and mobile machine drivers and operatives</v>
      </c>
      <c r="B146" s="11">
        <v>0.33282471072547487</v>
      </c>
      <c r="C146" s="11">
        <v>0.41575173348533823</v>
      </c>
      <c r="D146" s="11">
        <f t="shared" si="99"/>
        <v>8.2927022759863356E-2</v>
      </c>
      <c r="E146" s="11">
        <v>0.24048334366456658</v>
      </c>
      <c r="F146" s="11">
        <f t="shared" si="102"/>
        <v>0.32341036642442994</v>
      </c>
      <c r="G146" s="200">
        <f t="shared" si="94"/>
        <v>3.6918999160532096E-2</v>
      </c>
      <c r="I146" s="11"/>
      <c r="J146" s="11"/>
      <c r="K146" s="11"/>
      <c r="L146" s="11"/>
      <c r="M146" s="11"/>
      <c r="N146" s="11"/>
      <c r="P146" s="11"/>
      <c r="Q146" s="11"/>
      <c r="R146" s="11"/>
      <c r="S146" s="341"/>
      <c r="T146" s="341"/>
      <c r="U146" s="341"/>
    </row>
    <row r="147" spans="1:21" x14ac:dyDescent="0.2">
      <c r="A147" t="str">
        <f t="shared" si="91"/>
        <v>91 Elementary trades and related occupations</v>
      </c>
      <c r="B147" s="11">
        <v>0.14934108029291759</v>
      </c>
      <c r="C147" s="11">
        <v>0.21080363867243934</v>
      </c>
      <c r="D147" s="11">
        <f t="shared" si="99"/>
        <v>6.1462558379521748E-2</v>
      </c>
      <c r="E147" s="11">
        <v>0.10449163433411819</v>
      </c>
      <c r="F147" s="11">
        <f t="shared" ref="F147" si="103">SUM(D147:E147)</f>
        <v>0.16595419271363993</v>
      </c>
      <c r="G147" s="200">
        <f t="shared" si="94"/>
        <v>3.5995543088619408E-2</v>
      </c>
      <c r="I147" s="11"/>
      <c r="J147" s="11"/>
      <c r="K147" s="11"/>
      <c r="L147" s="11"/>
      <c r="M147" s="11"/>
      <c r="N147" s="11"/>
      <c r="P147" s="11"/>
      <c r="Q147" s="11"/>
      <c r="R147" s="11"/>
      <c r="S147" s="341"/>
      <c r="T147" s="341"/>
      <c r="U147" s="341"/>
    </row>
    <row r="148" spans="1:21" x14ac:dyDescent="0.2">
      <c r="A148" t="str">
        <f t="shared" si="91"/>
        <v>92 Elementary administration and service occupations</v>
      </c>
      <c r="B148" s="11">
        <v>1.5018720976809394</v>
      </c>
      <c r="C148" s="11">
        <v>2.4671414250603685</v>
      </c>
      <c r="D148" s="11">
        <f t="shared" ref="D148" si="104">C148-B148</f>
        <v>0.96526932737942905</v>
      </c>
      <c r="E148" s="11">
        <v>1.2081355868587933</v>
      </c>
      <c r="F148" s="11">
        <f t="shared" ref="F148" si="105">SUM(D148:E148)</f>
        <v>2.1734049142382226</v>
      </c>
      <c r="G148" s="200">
        <f t="shared" ref="G148:G149" si="106">IF(B148&gt;0,(1+(E148/B148))^(1/($C$6-$B$6))-1,0)</f>
        <v>4.0133709480944635E-2</v>
      </c>
      <c r="I148" s="11"/>
      <c r="J148" s="11"/>
      <c r="K148" s="11"/>
      <c r="L148" s="11"/>
      <c r="M148" s="11"/>
      <c r="N148" s="11"/>
      <c r="P148" s="11"/>
      <c r="Q148" s="11"/>
      <c r="R148" s="11"/>
      <c r="S148" s="341"/>
      <c r="T148" s="341"/>
      <c r="U148" s="341"/>
    </row>
    <row r="149" spans="1:21" x14ac:dyDescent="0.2">
      <c r="A149" t="str">
        <f t="shared" si="91"/>
        <v>All occupations</v>
      </c>
      <c r="B149" s="11">
        <f>SUM(B123:B148)</f>
        <v>25.327567248455289</v>
      </c>
      <c r="C149" s="11">
        <f t="shared" ref="C149:F149" si="107">SUM(C123:C148)</f>
        <v>27.260797448316339</v>
      </c>
      <c r="D149" s="11">
        <f t="shared" si="107"/>
        <v>1.9332301998610428</v>
      </c>
      <c r="E149" s="11">
        <f t="shared" si="107"/>
        <v>14.027755486453742</v>
      </c>
      <c r="F149" s="11">
        <f t="shared" si="107"/>
        <v>15.960985686314785</v>
      </c>
      <c r="G149" s="200">
        <f t="shared" si="106"/>
        <v>2.9818446328771175E-2</v>
      </c>
      <c r="P149" s="11"/>
      <c r="Q149" s="11"/>
      <c r="R149" s="11"/>
      <c r="S149" s="341"/>
      <c r="T149" s="341"/>
      <c r="U149" s="341"/>
    </row>
    <row r="150" spans="1:21" x14ac:dyDescent="0.2">
      <c r="B150" s="11"/>
      <c r="C150" s="11"/>
      <c r="D150" s="11"/>
      <c r="E150" s="11"/>
      <c r="F150" s="11"/>
      <c r="G150" s="11"/>
      <c r="P150" s="11"/>
      <c r="Q150" s="11"/>
      <c r="R150" s="11"/>
      <c r="S150" s="341"/>
      <c r="T150" s="341"/>
      <c r="U150" s="341"/>
    </row>
    <row r="151" spans="1:21" ht="38.25" x14ac:dyDescent="0.2">
      <c r="A151" s="201" t="str">
        <f>CONCATENATE(name!F8," (Constrained)")</f>
        <v>RQF4 HE below degree level (Constrained)</v>
      </c>
      <c r="B151" s="88">
        <f t="shared" ref="B151:G151" si="108">B64</f>
        <v>2020</v>
      </c>
      <c r="C151" s="88">
        <f t="shared" si="108"/>
        <v>2035</v>
      </c>
      <c r="D151" s="88" t="str">
        <f t="shared" si="108"/>
        <v>Net Change</v>
      </c>
      <c r="E151" s="88" t="str">
        <f t="shared" si="108"/>
        <v>Replacement Demand level</v>
      </c>
      <c r="F151" s="88" t="str">
        <f t="shared" si="108"/>
        <v>Total Requirement</v>
      </c>
      <c r="G151" s="88" t="str">
        <f t="shared" si="108"/>
        <v>Replacement Demand rate</v>
      </c>
      <c r="P151" s="11"/>
      <c r="Q151" s="11"/>
      <c r="R151" s="11"/>
      <c r="S151" s="341"/>
      <c r="T151" s="341"/>
      <c r="U151" s="341"/>
    </row>
    <row r="152" spans="1:21" x14ac:dyDescent="0.2">
      <c r="A152" t="str">
        <f t="shared" ref="A152:A178" si="109">A65</f>
        <v>11 Corporate managers and directors</v>
      </c>
      <c r="B152" s="11">
        <v>1.7406009651163175</v>
      </c>
      <c r="C152" s="11">
        <v>1.7287426729093587</v>
      </c>
      <c r="D152" s="11">
        <f>C152-B152</f>
        <v>-1.1858292206958776E-2</v>
      </c>
      <c r="E152" s="11">
        <v>0.88534187654708474</v>
      </c>
      <c r="F152" s="11">
        <f>SUM(D152:E152)</f>
        <v>0.87348358434012596</v>
      </c>
      <c r="G152" s="200">
        <f>IF(B152&gt;0,(1+(E152/B152))^(1/($C$6-$B$6))-1,0)</f>
        <v>2.7793191864718958E-2</v>
      </c>
      <c r="I152" s="85"/>
      <c r="J152" s="74"/>
      <c r="K152" s="74"/>
      <c r="L152" s="72"/>
      <c r="M152" s="72"/>
      <c r="N152" s="72"/>
      <c r="P152" s="11"/>
      <c r="Q152" s="11"/>
      <c r="R152" s="11"/>
      <c r="S152" s="341"/>
      <c r="T152" s="341"/>
      <c r="U152" s="341"/>
    </row>
    <row r="153" spans="1:21" x14ac:dyDescent="0.2">
      <c r="A153" t="str">
        <f t="shared" si="109"/>
        <v>12 Other managers and proprietors</v>
      </c>
      <c r="B153" s="11">
        <v>0.90030027668145984</v>
      </c>
      <c r="C153" s="11">
        <v>1.301054763782951</v>
      </c>
      <c r="D153" s="11">
        <f t="shared" ref="D153:D168" si="110">C153-B153</f>
        <v>0.4007544871014912</v>
      </c>
      <c r="E153" s="11">
        <v>0.71032795774387136</v>
      </c>
      <c r="F153" s="11">
        <f t="shared" ref="F153:F160" si="111">SUM(D153:E153)</f>
        <v>1.1110824448453624</v>
      </c>
      <c r="G153" s="200">
        <f t="shared" ref="G153:G155" si="112">IF(B153&gt;0,(1+(E153/B153))^(1/($C$6-$B$6))-1,0)</f>
        <v>3.9538380185736743E-2</v>
      </c>
      <c r="I153" s="11"/>
      <c r="J153" s="11"/>
      <c r="K153" s="11"/>
      <c r="L153" s="11"/>
      <c r="M153" s="11"/>
      <c r="N153" s="11"/>
      <c r="P153" s="11"/>
      <c r="Q153" s="11"/>
      <c r="R153" s="11"/>
      <c r="S153" s="341"/>
      <c r="T153" s="341"/>
      <c r="U153" s="341"/>
    </row>
    <row r="154" spans="1:21" x14ac:dyDescent="0.2">
      <c r="A154" t="str">
        <f t="shared" si="109"/>
        <v>21 Science, research, engineering and technology professionals</v>
      </c>
      <c r="B154" s="11">
        <v>2.187399490309522</v>
      </c>
      <c r="C154" s="11">
        <v>2.1048119134685188</v>
      </c>
      <c r="D154" s="11">
        <f t="shared" si="110"/>
        <v>-8.2587576841003152E-2</v>
      </c>
      <c r="E154" s="11">
        <v>0.73753590082653753</v>
      </c>
      <c r="F154" s="11">
        <f t="shared" si="111"/>
        <v>0.65494832398553438</v>
      </c>
      <c r="G154" s="200">
        <f t="shared" si="112"/>
        <v>1.9559427404632679E-2</v>
      </c>
      <c r="I154" s="11"/>
      <c r="J154" s="11"/>
      <c r="K154" s="11"/>
      <c r="L154" s="11"/>
      <c r="M154" s="11"/>
      <c r="N154" s="11"/>
      <c r="P154" s="11"/>
      <c r="Q154" s="11"/>
      <c r="R154" s="11"/>
      <c r="S154" s="341"/>
      <c r="T154" s="341"/>
      <c r="U154" s="341"/>
    </row>
    <row r="155" spans="1:21" x14ac:dyDescent="0.2">
      <c r="A155" t="str">
        <f t="shared" si="109"/>
        <v>22 Health professionals</v>
      </c>
      <c r="B155" s="11">
        <v>0.75323454067515094</v>
      </c>
      <c r="C155" s="11">
        <v>0.98614017530046427</v>
      </c>
      <c r="D155" s="11">
        <f t="shared" si="110"/>
        <v>0.23290563462531333</v>
      </c>
      <c r="E155" s="11">
        <v>0.44795733534111248</v>
      </c>
      <c r="F155" s="11">
        <f t="shared" si="111"/>
        <v>0.68086296996642581</v>
      </c>
      <c r="G155" s="200">
        <f t="shared" si="112"/>
        <v>3.1601925186471425E-2</v>
      </c>
      <c r="I155" s="11"/>
      <c r="J155" s="11"/>
      <c r="K155" s="11"/>
      <c r="L155" s="11"/>
      <c r="M155" s="11"/>
      <c r="N155" s="11"/>
      <c r="P155" s="11"/>
      <c r="Q155" s="11"/>
      <c r="R155" s="11"/>
      <c r="S155" s="341"/>
      <c r="T155" s="341"/>
      <c r="U155" s="341"/>
    </row>
    <row r="156" spans="1:21" x14ac:dyDescent="0.2">
      <c r="A156" t="str">
        <f t="shared" si="109"/>
        <v>23 Teaching and other educational professionals</v>
      </c>
      <c r="B156" s="11">
        <v>0.1537319955427176</v>
      </c>
      <c r="C156" s="11">
        <v>0.10455866108472442</v>
      </c>
      <c r="D156" s="11">
        <f t="shared" si="110"/>
        <v>-4.9173334457993184E-2</v>
      </c>
      <c r="E156" s="11">
        <v>4.9044402263313303E-2</v>
      </c>
      <c r="F156" s="11">
        <f t="shared" si="111"/>
        <v>-1.289321946798816E-4</v>
      </c>
      <c r="G156" s="200">
        <f>IF(B156&gt;0,(1+(E156/B156))^(1/($C$6-$B$6))-1,0)</f>
        <v>1.8630969552158705E-2</v>
      </c>
      <c r="I156" s="11"/>
      <c r="J156" s="11"/>
      <c r="K156" s="11"/>
      <c r="L156" s="11"/>
      <c r="M156" s="11"/>
      <c r="N156" s="11"/>
      <c r="P156" s="11"/>
      <c r="Q156" s="11"/>
      <c r="R156" s="11"/>
      <c r="S156" s="341"/>
      <c r="T156" s="341"/>
      <c r="U156" s="341"/>
    </row>
    <row r="157" spans="1:21" x14ac:dyDescent="0.2">
      <c r="A157" t="str">
        <f t="shared" si="109"/>
        <v>24 Business, media and public service professionals</v>
      </c>
      <c r="B157" s="11">
        <v>1.2652302798954553</v>
      </c>
      <c r="C157" s="11">
        <v>1.6498660833002665</v>
      </c>
      <c r="D157" s="11">
        <f t="shared" si="110"/>
        <v>0.38463580340481118</v>
      </c>
      <c r="E157" s="11">
        <v>0.70999242291738929</v>
      </c>
      <c r="F157" s="11">
        <f t="shared" si="111"/>
        <v>1.0946282263222005</v>
      </c>
      <c r="G157" s="200">
        <f t="shared" ref="G157:G178" si="113">IF(B157&gt;0,(1+(E157/B157))^(1/($C$6-$B$6))-1,0)</f>
        <v>3.014043113654985E-2</v>
      </c>
      <c r="I157" s="11"/>
      <c r="J157" s="11"/>
      <c r="K157" s="11"/>
      <c r="L157" s="11"/>
      <c r="M157" s="11"/>
      <c r="N157" s="11"/>
      <c r="P157" s="11"/>
      <c r="Q157" s="11"/>
      <c r="R157" s="11"/>
      <c r="S157" s="341"/>
      <c r="T157" s="341"/>
      <c r="U157" s="341"/>
    </row>
    <row r="158" spans="1:21" x14ac:dyDescent="0.2">
      <c r="A158" t="str">
        <f t="shared" si="109"/>
        <v>31 Science, engineering and technology associate professionals</v>
      </c>
      <c r="B158" s="11">
        <v>0.9996171180070722</v>
      </c>
      <c r="C158" s="11">
        <v>0.79477089630433873</v>
      </c>
      <c r="D158" s="11">
        <f t="shared" si="110"/>
        <v>-0.20484622170273348</v>
      </c>
      <c r="E158" s="11">
        <v>0.31524559458199908</v>
      </c>
      <c r="F158" s="11">
        <f t="shared" si="111"/>
        <v>0.1103993728792656</v>
      </c>
      <c r="G158" s="200">
        <f t="shared" si="113"/>
        <v>1.8442345307465802E-2</v>
      </c>
      <c r="I158" s="11"/>
      <c r="J158" s="11"/>
      <c r="K158" s="11"/>
      <c r="L158" s="11"/>
      <c r="M158" s="11"/>
      <c r="N158" s="11"/>
      <c r="P158" s="11"/>
      <c r="Q158" s="11"/>
      <c r="R158" s="11"/>
      <c r="S158" s="341"/>
      <c r="T158" s="341"/>
      <c r="U158" s="341"/>
    </row>
    <row r="159" spans="1:21" x14ac:dyDescent="0.2">
      <c r="A159" t="str">
        <f t="shared" si="109"/>
        <v>32 Health and social care associate professionals</v>
      </c>
      <c r="B159" s="11">
        <v>0.44090483827789567</v>
      </c>
      <c r="C159" s="11">
        <v>0.48471938867241732</v>
      </c>
      <c r="D159" s="11">
        <f t="shared" si="110"/>
        <v>4.3814550394521645E-2</v>
      </c>
      <c r="E159" s="11">
        <v>0.2576477353230654</v>
      </c>
      <c r="F159" s="11">
        <f t="shared" si="111"/>
        <v>0.30146228571758704</v>
      </c>
      <c r="G159" s="200">
        <f t="shared" si="113"/>
        <v>3.1154201073937626E-2</v>
      </c>
      <c r="I159" s="11"/>
      <c r="J159" s="11"/>
      <c r="K159" s="11"/>
      <c r="L159" s="11"/>
      <c r="M159" s="11"/>
      <c r="N159" s="11"/>
      <c r="P159" s="11"/>
      <c r="Q159" s="11"/>
      <c r="R159" s="11"/>
      <c r="S159" s="341"/>
      <c r="T159" s="341"/>
      <c r="U159" s="341"/>
    </row>
    <row r="160" spans="1:21" x14ac:dyDescent="0.2">
      <c r="A160" t="str">
        <f t="shared" si="109"/>
        <v>33 Protective service occupations</v>
      </c>
      <c r="B160" s="11">
        <v>0.33883245045524879</v>
      </c>
      <c r="C160" s="11">
        <v>0.46226219693798343</v>
      </c>
      <c r="D160" s="11">
        <f t="shared" si="110"/>
        <v>0.12342974648273464</v>
      </c>
      <c r="E160" s="11">
        <v>0.17840617302586495</v>
      </c>
      <c r="F160" s="11">
        <f t="shared" si="111"/>
        <v>0.30183591950859956</v>
      </c>
      <c r="G160" s="200">
        <f t="shared" si="113"/>
        <v>2.8601286985897367E-2</v>
      </c>
      <c r="I160" s="11"/>
      <c r="J160" s="11"/>
      <c r="K160" s="11"/>
      <c r="L160" s="11"/>
      <c r="M160" s="11"/>
      <c r="N160" s="11"/>
      <c r="P160" s="11"/>
      <c r="Q160" s="11"/>
      <c r="R160" s="11"/>
      <c r="S160" s="341"/>
      <c r="T160" s="341"/>
      <c r="U160" s="341"/>
    </row>
    <row r="161" spans="1:21" x14ac:dyDescent="0.2">
      <c r="A161" t="str">
        <f t="shared" si="109"/>
        <v>34 Culture, media and sports occupations</v>
      </c>
      <c r="B161" s="11">
        <v>0.32107833930914448</v>
      </c>
      <c r="C161" s="11">
        <v>0.36369478087865459</v>
      </c>
      <c r="D161" s="11">
        <f t="shared" si="110"/>
        <v>4.2616441569510111E-2</v>
      </c>
      <c r="E161" s="11">
        <v>0.16054621902453994</v>
      </c>
      <c r="F161" s="11">
        <f t="shared" ref="F161:F162" si="114">SUM(D161:E161)</f>
        <v>0.20316266059405005</v>
      </c>
      <c r="G161" s="200">
        <f t="shared" si="113"/>
        <v>2.7400661584139341E-2</v>
      </c>
      <c r="I161" s="11"/>
      <c r="J161" s="11"/>
      <c r="K161" s="11"/>
      <c r="L161" s="11"/>
      <c r="M161" s="11"/>
      <c r="N161" s="11"/>
      <c r="P161" s="11"/>
      <c r="Q161" s="11"/>
      <c r="R161" s="11"/>
      <c r="S161" s="341"/>
      <c r="T161" s="341"/>
      <c r="U161" s="341"/>
    </row>
    <row r="162" spans="1:21" x14ac:dyDescent="0.2">
      <c r="A162" t="str">
        <f t="shared" si="109"/>
        <v>35 Business and public service associate professionals</v>
      </c>
      <c r="B162" s="11">
        <v>1.3126705730824084</v>
      </c>
      <c r="C162" s="11">
        <v>1.493231549505188</v>
      </c>
      <c r="D162" s="11">
        <f t="shared" si="110"/>
        <v>0.18056097642277957</v>
      </c>
      <c r="E162" s="11">
        <v>0.66782647712169774</v>
      </c>
      <c r="F162" s="11">
        <f t="shared" si="114"/>
        <v>0.84838745354447731</v>
      </c>
      <c r="G162" s="200">
        <f t="shared" si="113"/>
        <v>2.7798303962552229E-2</v>
      </c>
      <c r="I162" s="11"/>
      <c r="J162" s="11"/>
      <c r="K162" s="11"/>
      <c r="L162" s="11"/>
      <c r="M162" s="11"/>
      <c r="N162" s="11"/>
      <c r="P162" s="11"/>
      <c r="Q162" s="11"/>
      <c r="R162" s="11"/>
      <c r="S162" s="341"/>
      <c r="T162" s="341"/>
      <c r="U162" s="341"/>
    </row>
    <row r="163" spans="1:21" x14ac:dyDescent="0.2">
      <c r="A163" t="str">
        <f t="shared" si="109"/>
        <v>41 Administrative occupations</v>
      </c>
      <c r="B163" s="11">
        <v>2.8794539668624419</v>
      </c>
      <c r="C163" s="11">
        <v>3.3294368152681155</v>
      </c>
      <c r="D163" s="11">
        <f t="shared" si="110"/>
        <v>0.4499828484056736</v>
      </c>
      <c r="E163" s="11">
        <v>1.7484896787139981</v>
      </c>
      <c r="F163" s="11">
        <f t="shared" ref="F163:F166" si="115">SUM(D163:E163)</f>
        <v>2.1984725271196717</v>
      </c>
      <c r="G163" s="200">
        <f t="shared" si="113"/>
        <v>3.2139807298350531E-2</v>
      </c>
      <c r="I163" s="11"/>
      <c r="J163" s="11"/>
      <c r="K163" s="11"/>
      <c r="L163" s="11"/>
      <c r="M163" s="11"/>
      <c r="N163" s="11"/>
      <c r="P163" s="11"/>
      <c r="Q163" s="11"/>
      <c r="R163" s="11"/>
      <c r="S163" s="341"/>
      <c r="T163" s="341"/>
      <c r="U163" s="341"/>
    </row>
    <row r="164" spans="1:21" x14ac:dyDescent="0.2">
      <c r="A164" t="str">
        <f t="shared" si="109"/>
        <v>42 Secretarial and related occupations</v>
      </c>
      <c r="B164" s="11">
        <v>0.45481796845397038</v>
      </c>
      <c r="C164" s="11">
        <v>0.76805187465026092</v>
      </c>
      <c r="D164" s="11">
        <f t="shared" si="110"/>
        <v>0.31323390619629055</v>
      </c>
      <c r="E164" s="11">
        <v>0.35328821066352212</v>
      </c>
      <c r="F164" s="11">
        <f t="shared" si="115"/>
        <v>0.66652211685981266</v>
      </c>
      <c r="G164" s="200">
        <f t="shared" si="113"/>
        <v>3.9063416147662178E-2</v>
      </c>
      <c r="I164" s="11"/>
      <c r="J164" s="11"/>
      <c r="K164" s="11"/>
      <c r="L164" s="11"/>
      <c r="M164" s="11"/>
      <c r="N164" s="11"/>
      <c r="P164" s="11"/>
      <c r="Q164" s="11"/>
      <c r="R164" s="11"/>
      <c r="S164" s="341"/>
      <c r="T164" s="341"/>
      <c r="U164" s="341"/>
    </row>
    <row r="165" spans="1:21" x14ac:dyDescent="0.2">
      <c r="A165" t="str">
        <f t="shared" si="109"/>
        <v>51 Skilled agricultural and related trades</v>
      </c>
      <c r="B165" s="11">
        <v>0.32799438583931956</v>
      </c>
      <c r="C165" s="11">
        <v>0.47495397531472072</v>
      </c>
      <c r="D165" s="11">
        <f t="shared" si="110"/>
        <v>0.14695958947540116</v>
      </c>
      <c r="E165" s="11">
        <v>0.25817120386735243</v>
      </c>
      <c r="F165" s="11">
        <f t="shared" si="115"/>
        <v>0.40513079334275359</v>
      </c>
      <c r="G165" s="200">
        <f t="shared" si="113"/>
        <v>3.9465933323970637E-2</v>
      </c>
      <c r="I165" s="11"/>
      <c r="J165" s="11"/>
      <c r="K165" s="11"/>
      <c r="L165" s="11"/>
      <c r="M165" s="11"/>
      <c r="N165" s="11"/>
      <c r="P165" s="11"/>
      <c r="Q165" s="11"/>
      <c r="R165" s="11"/>
      <c r="S165" s="341"/>
      <c r="T165" s="341"/>
      <c r="U165" s="341"/>
    </row>
    <row r="166" spans="1:21" x14ac:dyDescent="0.2">
      <c r="A166" t="str">
        <f t="shared" si="109"/>
        <v>52 Skilled metal, electrical and electronic trades</v>
      </c>
      <c r="B166" s="11">
        <v>1.1431989310028869</v>
      </c>
      <c r="C166" s="11">
        <v>1.2555270873205469</v>
      </c>
      <c r="D166" s="11">
        <f t="shared" si="110"/>
        <v>0.11232815631765991</v>
      </c>
      <c r="E166" s="11">
        <v>0.54780584841378477</v>
      </c>
      <c r="F166" s="11">
        <f t="shared" si="115"/>
        <v>0.66013400473144468</v>
      </c>
      <c r="G166" s="200">
        <f t="shared" si="113"/>
        <v>2.6443073366936964E-2</v>
      </c>
      <c r="I166" s="11"/>
      <c r="J166" s="11"/>
      <c r="K166" s="11"/>
      <c r="L166" s="11"/>
      <c r="M166" s="11"/>
      <c r="N166" s="11"/>
      <c r="P166" s="11"/>
      <c r="Q166" s="11"/>
      <c r="R166" s="11"/>
      <c r="S166" s="341"/>
      <c r="T166" s="341"/>
      <c r="U166" s="341"/>
    </row>
    <row r="167" spans="1:21" x14ac:dyDescent="0.2">
      <c r="A167" t="str">
        <f t="shared" si="109"/>
        <v>53 Skilled construction and building trades</v>
      </c>
      <c r="B167" s="11">
        <v>0.36548720675783841</v>
      </c>
      <c r="C167" s="11">
        <v>0.49225975892272178</v>
      </c>
      <c r="D167" s="11">
        <f t="shared" si="110"/>
        <v>0.12677255216488337</v>
      </c>
      <c r="E167" s="11">
        <v>0.2542116102332026</v>
      </c>
      <c r="F167" s="11">
        <f t="shared" ref="F167" si="116">SUM(D167:E167)</f>
        <v>0.38098416239808597</v>
      </c>
      <c r="G167" s="200">
        <f t="shared" si="113"/>
        <v>3.5827012586961082E-2</v>
      </c>
      <c r="I167" s="11"/>
      <c r="J167" s="11"/>
      <c r="K167" s="11"/>
      <c r="L167" s="11"/>
      <c r="M167" s="11"/>
      <c r="N167" s="11"/>
      <c r="P167" s="11"/>
      <c r="Q167" s="11"/>
      <c r="R167" s="11"/>
      <c r="S167" s="341"/>
      <c r="T167" s="341"/>
      <c r="U167" s="341"/>
    </row>
    <row r="168" spans="1:21" x14ac:dyDescent="0.2">
      <c r="A168" t="str">
        <f t="shared" si="109"/>
        <v>54 Textiles, printing and other skilled trades</v>
      </c>
      <c r="B168" s="11">
        <v>0.26271153546926618</v>
      </c>
      <c r="C168" s="11">
        <v>0.30869731530942318</v>
      </c>
      <c r="D168" s="11">
        <f t="shared" si="110"/>
        <v>4.5985779840157004E-2</v>
      </c>
      <c r="E168" s="11">
        <v>0.17241350297331257</v>
      </c>
      <c r="F168" s="11">
        <f t="shared" ref="F168" si="117">SUM(D168:E168)</f>
        <v>0.21839928281346957</v>
      </c>
      <c r="G168" s="200">
        <f t="shared" si="113"/>
        <v>3.4210625622854041E-2</v>
      </c>
      <c r="I168" s="11"/>
      <c r="J168" s="11"/>
      <c r="K168" s="11"/>
      <c r="L168" s="11"/>
      <c r="M168" s="11"/>
      <c r="N168" s="11"/>
      <c r="P168" s="11"/>
      <c r="Q168" s="11"/>
      <c r="R168" s="11"/>
      <c r="S168" s="341"/>
      <c r="T168" s="341"/>
      <c r="U168" s="341"/>
    </row>
    <row r="169" spans="1:21" x14ac:dyDescent="0.2">
      <c r="A169" t="str">
        <f t="shared" si="109"/>
        <v>61 Caring personal service occupations</v>
      </c>
      <c r="B169" s="11">
        <v>1.6228292933725634</v>
      </c>
      <c r="C169" s="11">
        <v>1.8197401696070568</v>
      </c>
      <c r="D169" s="11">
        <f>C169-B169</f>
        <v>0.19691087623449333</v>
      </c>
      <c r="E169" s="11">
        <v>1.0584220626124896</v>
      </c>
      <c r="F169" s="11">
        <f>SUM(D169:E169)</f>
        <v>1.2553329388469829</v>
      </c>
      <c r="G169" s="200">
        <f t="shared" si="113"/>
        <v>3.4040731083302189E-2</v>
      </c>
      <c r="I169" s="11"/>
      <c r="J169" s="11"/>
      <c r="K169" s="11"/>
      <c r="L169" s="11"/>
      <c r="M169" s="11"/>
      <c r="N169" s="11"/>
      <c r="P169" s="11"/>
      <c r="Q169" s="11"/>
      <c r="R169" s="11"/>
      <c r="S169" s="341"/>
      <c r="T169" s="341"/>
      <c r="U169" s="341"/>
    </row>
    <row r="170" spans="1:21" x14ac:dyDescent="0.2">
      <c r="A170" t="str">
        <f t="shared" si="109"/>
        <v>62 Leisure, travel and related personal service occupations</v>
      </c>
      <c r="B170" s="11">
        <v>0.86686385207471839</v>
      </c>
      <c r="C170" s="11">
        <v>1.3895658524813066</v>
      </c>
      <c r="D170" s="11">
        <f t="shared" ref="D170:D176" si="118">C170-B170</f>
        <v>0.52270200040658821</v>
      </c>
      <c r="E170" s="11">
        <v>0.70068179238219963</v>
      </c>
      <c r="F170" s="11">
        <f t="shared" ref="F170:F171" si="119">SUM(D170:E170)</f>
        <v>1.2233837927887878</v>
      </c>
      <c r="G170" s="200">
        <f t="shared" si="113"/>
        <v>4.0282485923376576E-2</v>
      </c>
      <c r="I170" s="11"/>
      <c r="J170" s="11"/>
      <c r="K170" s="11"/>
      <c r="L170" s="11"/>
      <c r="M170" s="11"/>
      <c r="N170" s="11"/>
      <c r="P170" s="11"/>
      <c r="Q170" s="11"/>
      <c r="R170" s="11"/>
      <c r="S170" s="341"/>
      <c r="T170" s="341"/>
      <c r="U170" s="341"/>
    </row>
    <row r="171" spans="1:21" x14ac:dyDescent="0.2">
      <c r="A171" t="str">
        <f t="shared" si="109"/>
        <v>63 Community and civil enforcement occupations</v>
      </c>
      <c r="B171" s="11">
        <v>2.4531096713598578E-2</v>
      </c>
      <c r="C171" s="11">
        <v>2.462228807259428E-2</v>
      </c>
      <c r="D171" s="11">
        <f t="shared" si="118"/>
        <v>9.1191358995702104E-5</v>
      </c>
      <c r="E171" s="11">
        <v>1.5212867361100203E-2</v>
      </c>
      <c r="F171" s="11">
        <f t="shared" si="119"/>
        <v>1.5304058720095905E-2</v>
      </c>
      <c r="G171" s="200">
        <f t="shared" si="113"/>
        <v>3.2690736076712135E-2</v>
      </c>
      <c r="I171" s="11"/>
      <c r="J171" s="11"/>
      <c r="K171" s="11"/>
      <c r="L171" s="11"/>
      <c r="M171" s="11"/>
      <c r="N171" s="11"/>
      <c r="P171" s="11"/>
      <c r="Q171" s="11"/>
      <c r="R171" s="11"/>
      <c r="S171" s="341"/>
      <c r="T171" s="341"/>
      <c r="U171" s="341"/>
    </row>
    <row r="172" spans="1:21" x14ac:dyDescent="0.2">
      <c r="A172" t="str">
        <f t="shared" si="109"/>
        <v>71 Sales occupations</v>
      </c>
      <c r="B172" s="11">
        <v>1.2579159373850879</v>
      </c>
      <c r="C172" s="11">
        <v>1.5993657254874378</v>
      </c>
      <c r="D172" s="11">
        <f t="shared" si="118"/>
        <v>0.34144978810234994</v>
      </c>
      <c r="E172" s="11">
        <v>0.72709334984183782</v>
      </c>
      <c r="F172" s="11">
        <f t="shared" ref="F172:F173" si="120">SUM(D172:E172)</f>
        <v>1.0685431379441876</v>
      </c>
      <c r="G172" s="200">
        <f t="shared" si="113"/>
        <v>3.0878293076623597E-2</v>
      </c>
      <c r="I172" s="11"/>
      <c r="J172" s="11"/>
      <c r="K172" s="11"/>
      <c r="L172" s="11"/>
      <c r="M172" s="11"/>
      <c r="N172" s="11"/>
      <c r="P172" s="11"/>
      <c r="Q172" s="11"/>
      <c r="R172" s="11"/>
      <c r="S172" s="341"/>
      <c r="T172" s="341"/>
      <c r="U172" s="341"/>
    </row>
    <row r="173" spans="1:21" x14ac:dyDescent="0.2">
      <c r="A173" t="str">
        <f t="shared" si="109"/>
        <v>72 Customer service occupations</v>
      </c>
      <c r="B173" s="11">
        <v>0.52592571926905585</v>
      </c>
      <c r="C173" s="11">
        <v>0.87397613798244855</v>
      </c>
      <c r="D173" s="11">
        <f t="shared" si="118"/>
        <v>0.34805041871339271</v>
      </c>
      <c r="E173" s="11">
        <v>0.37113519925606786</v>
      </c>
      <c r="F173" s="11">
        <f t="shared" si="120"/>
        <v>0.71918561796946057</v>
      </c>
      <c r="G173" s="200">
        <f t="shared" si="113"/>
        <v>3.6238765503007864E-2</v>
      </c>
      <c r="I173" s="11"/>
      <c r="J173" s="11"/>
      <c r="K173" s="11"/>
      <c r="L173" s="11"/>
      <c r="M173" s="11"/>
      <c r="N173" s="11"/>
      <c r="P173" s="11"/>
      <c r="Q173" s="11"/>
      <c r="R173" s="11"/>
      <c r="S173" s="341"/>
      <c r="T173" s="341"/>
      <c r="U173" s="341"/>
    </row>
    <row r="174" spans="1:21" x14ac:dyDescent="0.2">
      <c r="A174" t="str">
        <f t="shared" si="109"/>
        <v>81 Process, plant and machine operatives</v>
      </c>
      <c r="B174" s="11">
        <v>0.42789478139802806</v>
      </c>
      <c r="C174" s="11">
        <v>0.68593583434646976</v>
      </c>
      <c r="D174" s="11">
        <f t="shared" si="118"/>
        <v>0.25804105294844171</v>
      </c>
      <c r="E174" s="11">
        <v>0.27346309675740188</v>
      </c>
      <c r="F174" s="11">
        <f t="shared" ref="F174:F175" si="121">SUM(D174:E174)</f>
        <v>0.53150414970584359</v>
      </c>
      <c r="G174" s="200">
        <f t="shared" si="113"/>
        <v>3.3491349802982739E-2</v>
      </c>
      <c r="I174" s="11"/>
      <c r="J174" s="11"/>
      <c r="K174" s="11"/>
      <c r="L174" s="11"/>
      <c r="M174" s="11"/>
      <c r="N174" s="11"/>
      <c r="P174" s="11"/>
      <c r="Q174" s="11"/>
      <c r="R174" s="11"/>
      <c r="S174" s="341"/>
      <c r="T174" s="341"/>
      <c r="U174" s="341"/>
    </row>
    <row r="175" spans="1:21" x14ac:dyDescent="0.2">
      <c r="A175" t="str">
        <f t="shared" si="109"/>
        <v>82 Transport and mobile machine drivers and operatives</v>
      </c>
      <c r="B175" s="11">
        <v>0.52105456782129933</v>
      </c>
      <c r="C175" s="11">
        <v>0.66603137134503487</v>
      </c>
      <c r="D175" s="11">
        <f t="shared" si="118"/>
        <v>0.14497680352373554</v>
      </c>
      <c r="E175" s="11">
        <v>0.4181310863895138</v>
      </c>
      <c r="F175" s="11">
        <f t="shared" si="121"/>
        <v>0.56310788991324934</v>
      </c>
      <c r="G175" s="200">
        <f t="shared" si="113"/>
        <v>4.0058775819398207E-2</v>
      </c>
      <c r="I175" s="11"/>
      <c r="J175" s="11"/>
      <c r="K175" s="11"/>
      <c r="L175" s="11"/>
      <c r="M175" s="11"/>
      <c r="N175" s="11"/>
      <c r="P175" s="11"/>
      <c r="Q175" s="11"/>
      <c r="R175" s="11"/>
      <c r="S175" s="341"/>
      <c r="T175" s="341"/>
      <c r="U175" s="341"/>
    </row>
    <row r="176" spans="1:21" x14ac:dyDescent="0.2">
      <c r="A176" t="str">
        <f t="shared" si="109"/>
        <v>91 Elementary trades and related occupations</v>
      </c>
      <c r="B176" s="11">
        <v>0.16091493039720267</v>
      </c>
      <c r="C176" s="11">
        <v>0.16429517087095913</v>
      </c>
      <c r="D176" s="11">
        <f t="shared" si="118"/>
        <v>3.3802404737564573E-3</v>
      </c>
      <c r="E176" s="11">
        <v>8.1134549987196991E-2</v>
      </c>
      <c r="F176" s="11">
        <f t="shared" ref="F176" si="122">SUM(D176:E176)</f>
        <v>8.4514790460953448E-2</v>
      </c>
      <c r="G176" s="200">
        <f t="shared" si="113"/>
        <v>2.7591541731518454E-2</v>
      </c>
      <c r="I176" s="11"/>
      <c r="J176" s="11"/>
      <c r="K176" s="11"/>
      <c r="L176" s="11"/>
      <c r="M176" s="11"/>
      <c r="N176" s="11"/>
      <c r="P176" s="11"/>
      <c r="Q176" s="11"/>
      <c r="R176" s="11"/>
      <c r="S176" s="341"/>
      <c r="T176" s="341"/>
      <c r="U176" s="341"/>
    </row>
    <row r="177" spans="1:21" x14ac:dyDescent="0.2">
      <c r="A177" t="str">
        <f t="shared" si="109"/>
        <v>92 Elementary administration and service occupations</v>
      </c>
      <c r="B177" s="11">
        <v>1.2818045656061297</v>
      </c>
      <c r="C177" s="11">
        <v>1.9943011122818175</v>
      </c>
      <c r="D177" s="11">
        <f t="shared" ref="D177" si="123">C177-B177</f>
        <v>0.71249654667568785</v>
      </c>
      <c r="E177" s="11">
        <v>1.0254443353871261</v>
      </c>
      <c r="F177" s="11">
        <f t="shared" ref="F177" si="124">SUM(D177:E177)</f>
        <v>1.7379408820628139</v>
      </c>
      <c r="G177" s="200">
        <f t="shared" si="113"/>
        <v>3.9963688242428352E-2</v>
      </c>
      <c r="I177" s="11"/>
      <c r="J177" s="11"/>
      <c r="K177" s="11"/>
      <c r="L177" s="11"/>
      <c r="M177" s="11"/>
      <c r="N177" s="11"/>
      <c r="P177" s="11"/>
      <c r="Q177" s="11"/>
      <c r="R177" s="11"/>
      <c r="S177" s="341"/>
      <c r="T177" s="341"/>
      <c r="U177" s="341"/>
    </row>
    <row r="178" spans="1:21" x14ac:dyDescent="0.2">
      <c r="A178" t="str">
        <f t="shared" si="109"/>
        <v>All occupations</v>
      </c>
      <c r="B178" s="11">
        <f>SUM(B152:B177)</f>
        <v>22.536999605775801</v>
      </c>
      <c r="C178" s="11">
        <f t="shared" ref="C178:F178" si="125">SUM(C152:C177)</f>
        <v>27.320613571405779</v>
      </c>
      <c r="D178" s="11">
        <f t="shared" si="125"/>
        <v>4.7836139656299794</v>
      </c>
      <c r="E178" s="11">
        <f t="shared" si="125"/>
        <v>13.124970489556581</v>
      </c>
      <c r="F178" s="11">
        <f t="shared" si="125"/>
        <v>17.908584455186563</v>
      </c>
      <c r="G178" s="200">
        <f t="shared" si="113"/>
        <v>3.1067938023477737E-2</v>
      </c>
      <c r="I178" s="11"/>
      <c r="J178" s="11"/>
      <c r="K178" s="11"/>
      <c r="L178" s="11"/>
      <c r="M178" s="11"/>
      <c r="N178" s="11"/>
      <c r="P178" s="11"/>
      <c r="Q178" s="11"/>
      <c r="R178" s="11"/>
      <c r="S178" s="341"/>
      <c r="T178" s="341"/>
      <c r="U178" s="341"/>
    </row>
    <row r="179" spans="1:21" x14ac:dyDescent="0.2">
      <c r="I179" s="11"/>
      <c r="J179" s="11"/>
      <c r="K179" s="11"/>
      <c r="L179" s="11"/>
      <c r="M179" s="11"/>
      <c r="N179" s="11"/>
      <c r="P179" s="11"/>
      <c r="Q179" s="11"/>
      <c r="R179" s="11"/>
      <c r="S179" s="341"/>
      <c r="T179" s="341"/>
      <c r="U179" s="341"/>
    </row>
    <row r="180" spans="1:21" ht="38.25" x14ac:dyDescent="0.2">
      <c r="A180" s="201" t="str">
        <f>CONCATENATE(name!F9," (Constrained)")</f>
        <v>RQF3 A level &amp; equivalent (Constrained)</v>
      </c>
      <c r="B180" s="88">
        <f t="shared" ref="B180:G180" si="126">B93</f>
        <v>2020</v>
      </c>
      <c r="C180" s="88">
        <f t="shared" si="126"/>
        <v>2035</v>
      </c>
      <c r="D180" s="88" t="str">
        <f t="shared" si="126"/>
        <v>Net Change</v>
      </c>
      <c r="E180" s="88" t="str">
        <f t="shared" si="126"/>
        <v>Replacement Demand level</v>
      </c>
      <c r="F180" s="88" t="str">
        <f t="shared" si="126"/>
        <v>Total Requirement</v>
      </c>
      <c r="G180" s="88" t="str">
        <f t="shared" si="126"/>
        <v>Replacement Demand rate</v>
      </c>
      <c r="I180" s="11"/>
      <c r="J180" s="11"/>
      <c r="K180" s="11"/>
      <c r="L180" s="11"/>
      <c r="M180" s="11"/>
      <c r="N180" s="11"/>
      <c r="P180" s="11"/>
      <c r="Q180" s="11"/>
      <c r="R180" s="11"/>
      <c r="S180" s="341"/>
      <c r="T180" s="341"/>
      <c r="U180" s="341"/>
    </row>
    <row r="181" spans="1:21" x14ac:dyDescent="0.2">
      <c r="A181" t="str">
        <f t="shared" ref="A181:A207" si="127">A94</f>
        <v>11 Corporate managers and directors</v>
      </c>
      <c r="B181" s="11">
        <v>6.2098407990820288</v>
      </c>
      <c r="C181" s="11">
        <v>5.3384770329177931</v>
      </c>
      <c r="D181" s="11">
        <f>C181-B181</f>
        <v>-0.87136376616423572</v>
      </c>
      <c r="E181" s="11">
        <v>2.2847175726554112</v>
      </c>
      <c r="F181" s="11">
        <f>SUM(D181:E181)</f>
        <v>1.4133538064911755</v>
      </c>
      <c r="G181" s="200">
        <f>IF(B181&gt;0,(1+(E181/B181))^(1/($C$6-$B$6))-1,0)</f>
        <v>2.1105673508587941E-2</v>
      </c>
      <c r="I181" s="11"/>
      <c r="J181" s="11"/>
      <c r="K181" s="11"/>
      <c r="L181" s="11"/>
      <c r="M181" s="11"/>
      <c r="N181" s="11"/>
      <c r="P181" s="82"/>
      <c r="Q181" s="73"/>
    </row>
    <row r="182" spans="1:21" x14ac:dyDescent="0.2">
      <c r="A182" t="str">
        <f t="shared" si="127"/>
        <v>12 Other managers and proprietors</v>
      </c>
      <c r="B182" s="11">
        <v>3.2033363056455406</v>
      </c>
      <c r="C182" s="11">
        <v>3.7330631163983776</v>
      </c>
      <c r="D182" s="11">
        <f t="shared" ref="D182:D197" si="128">C182-B182</f>
        <v>0.52972681075283701</v>
      </c>
      <c r="E182" s="11">
        <v>1.6442221941760411</v>
      </c>
      <c r="F182" s="11">
        <f t="shared" ref="F182:F189" si="129">SUM(D182:E182)</f>
        <v>2.1739490049288781</v>
      </c>
      <c r="G182" s="200">
        <f t="shared" ref="G182:G184" si="130">IF(B182&gt;0,(1+(E182/B182))^(1/($C$6-$B$6))-1,0)</f>
        <v>2.80037562100377E-2</v>
      </c>
      <c r="I182" s="11"/>
      <c r="J182" s="11"/>
      <c r="K182" s="11"/>
      <c r="L182" s="11"/>
      <c r="M182" s="11"/>
      <c r="N182" s="11"/>
    </row>
    <row r="183" spans="1:21" x14ac:dyDescent="0.2">
      <c r="A183" t="str">
        <f t="shared" si="127"/>
        <v>21 Science, research, engineering and technology professionals</v>
      </c>
      <c r="B183" s="11">
        <v>4.8727131843911176</v>
      </c>
      <c r="C183" s="11">
        <v>3.7842448295288356</v>
      </c>
      <c r="D183" s="11">
        <f t="shared" si="128"/>
        <v>-1.088468354862282</v>
      </c>
      <c r="E183" s="11">
        <v>1.1469218541043937</v>
      </c>
      <c r="F183" s="11">
        <f t="shared" si="129"/>
        <v>5.8453499242111739E-2</v>
      </c>
      <c r="G183" s="200">
        <f t="shared" si="130"/>
        <v>1.4191471489818142E-2</v>
      </c>
      <c r="I183" s="11"/>
      <c r="J183" s="11"/>
      <c r="K183" s="11"/>
      <c r="L183" s="11"/>
      <c r="M183" s="11"/>
      <c r="N183" s="11"/>
    </row>
    <row r="184" spans="1:21" x14ac:dyDescent="0.2">
      <c r="A184" t="str">
        <f t="shared" si="127"/>
        <v>22 Health professionals</v>
      </c>
      <c r="B184" s="11">
        <v>3.6029747214039158</v>
      </c>
      <c r="C184" s="11">
        <v>4.8816439043339139</v>
      </c>
      <c r="D184" s="11">
        <f t="shared" si="128"/>
        <v>1.2786691829299981</v>
      </c>
      <c r="E184" s="11">
        <v>2.4374998205486067</v>
      </c>
      <c r="F184" s="11">
        <f t="shared" si="129"/>
        <v>3.7161690034786048</v>
      </c>
      <c r="G184" s="200">
        <f t="shared" si="130"/>
        <v>3.5048394895030199E-2</v>
      </c>
      <c r="I184" s="11"/>
      <c r="J184" s="11"/>
      <c r="K184" s="11"/>
      <c r="L184" s="11"/>
      <c r="M184" s="11"/>
      <c r="N184" s="11"/>
    </row>
    <row r="185" spans="1:21" x14ac:dyDescent="0.2">
      <c r="A185" t="str">
        <f t="shared" si="127"/>
        <v>23 Teaching and other educational professionals</v>
      </c>
      <c r="B185" s="11">
        <v>1.1634296043237597</v>
      </c>
      <c r="C185" s="11">
        <v>1.338269308065215</v>
      </c>
      <c r="D185" s="11">
        <f t="shared" si="128"/>
        <v>0.1748397037414553</v>
      </c>
      <c r="E185" s="11">
        <v>0.49101384764154477</v>
      </c>
      <c r="F185" s="11">
        <f t="shared" si="129"/>
        <v>0.66585355138300006</v>
      </c>
      <c r="G185" s="200">
        <f>IF(B185&gt;0,(1+(E185/B185))^(1/($C$6-$B$6))-1,0)</f>
        <v>2.3750486495700329E-2</v>
      </c>
      <c r="I185" s="11"/>
      <c r="J185" s="11"/>
      <c r="K185" s="11"/>
      <c r="L185" s="11"/>
      <c r="M185" s="11"/>
      <c r="N185" s="11"/>
    </row>
    <row r="186" spans="1:21" x14ac:dyDescent="0.2">
      <c r="A186" t="str">
        <f t="shared" si="127"/>
        <v>24 Business, media and public service professionals</v>
      </c>
      <c r="B186" s="11">
        <v>4.5131550638916096</v>
      </c>
      <c r="C186" s="11">
        <v>4.918816677061546</v>
      </c>
      <c r="D186" s="11">
        <f t="shared" si="128"/>
        <v>0.40566161316993643</v>
      </c>
      <c r="E186" s="11">
        <v>1.9563746219117299</v>
      </c>
      <c r="F186" s="11">
        <f t="shared" si="129"/>
        <v>2.3620362350816664</v>
      </c>
      <c r="G186" s="200">
        <f t="shared" ref="G186:G205" si="131">IF(B186&gt;0,(1+(E186/B186))^(1/($C$6-$B$6))-1,0)</f>
        <v>2.4297620062133651E-2</v>
      </c>
      <c r="I186" s="11"/>
      <c r="J186" s="11"/>
      <c r="K186" s="11"/>
      <c r="L186" s="11"/>
      <c r="M186" s="11"/>
      <c r="N186" s="11"/>
    </row>
    <row r="187" spans="1:21" x14ac:dyDescent="0.2">
      <c r="A187" t="str">
        <f t="shared" si="127"/>
        <v>31 Science, engineering and technology associate professionals</v>
      </c>
      <c r="B187" s="11">
        <v>2.994096612824821</v>
      </c>
      <c r="C187" s="11">
        <v>1.8232969103883219</v>
      </c>
      <c r="D187" s="11">
        <f t="shared" si="128"/>
        <v>-1.1707997024364991</v>
      </c>
      <c r="E187" s="11">
        <v>0.69566904779226968</v>
      </c>
      <c r="F187" s="11">
        <f t="shared" si="129"/>
        <v>-0.47513065464422943</v>
      </c>
      <c r="G187" s="200">
        <f t="shared" si="131"/>
        <v>1.4025473189968718E-2</v>
      </c>
      <c r="I187" s="11"/>
      <c r="J187" s="11"/>
      <c r="K187" s="11"/>
      <c r="L187" s="11"/>
      <c r="M187" s="11"/>
      <c r="N187" s="11"/>
    </row>
    <row r="188" spans="1:21" x14ac:dyDescent="0.2">
      <c r="A188" t="str">
        <f t="shared" si="127"/>
        <v>32 Health and social care associate professionals</v>
      </c>
      <c r="B188" s="11">
        <v>2.1218456166019086</v>
      </c>
      <c r="C188" s="11">
        <v>2.6205764046343289</v>
      </c>
      <c r="D188" s="11">
        <f t="shared" si="128"/>
        <v>0.49873078803242032</v>
      </c>
      <c r="E188" s="11">
        <v>1.3981006396188123</v>
      </c>
      <c r="F188" s="11">
        <f t="shared" si="129"/>
        <v>1.8968314276512326</v>
      </c>
      <c r="G188" s="200">
        <f t="shared" si="131"/>
        <v>3.4319748183712084E-2</v>
      </c>
      <c r="I188" s="11"/>
      <c r="J188" s="11"/>
      <c r="K188" s="11"/>
      <c r="L188" s="11"/>
      <c r="M188" s="11"/>
      <c r="N188" s="11"/>
    </row>
    <row r="189" spans="1:21" x14ac:dyDescent="0.2">
      <c r="A189" t="str">
        <f t="shared" si="127"/>
        <v>33 Protective service occupations</v>
      </c>
      <c r="B189" s="11">
        <v>1.7713248318182044</v>
      </c>
      <c r="C189" s="11">
        <v>1.632520976562746</v>
      </c>
      <c r="D189" s="11">
        <f t="shared" si="128"/>
        <v>-0.13880385525545846</v>
      </c>
      <c r="E189" s="11">
        <v>0.42134197867649942</v>
      </c>
      <c r="F189" s="11">
        <f t="shared" si="129"/>
        <v>0.28253812342104095</v>
      </c>
      <c r="G189" s="200">
        <f t="shared" si="131"/>
        <v>1.4327722857184089E-2</v>
      </c>
      <c r="I189" s="11"/>
      <c r="J189" s="11"/>
      <c r="K189" s="11"/>
      <c r="L189" s="11"/>
      <c r="M189" s="11"/>
      <c r="N189" s="11"/>
    </row>
    <row r="190" spans="1:21" x14ac:dyDescent="0.2">
      <c r="A190" t="str">
        <f t="shared" si="127"/>
        <v>34 Culture, media and sports occupations</v>
      </c>
      <c r="B190" s="11">
        <v>1.0611962584370773</v>
      </c>
      <c r="C190" s="11">
        <v>1.124794920386061</v>
      </c>
      <c r="D190" s="11">
        <f t="shared" si="128"/>
        <v>6.359866194898367E-2</v>
      </c>
      <c r="E190" s="11">
        <v>0.41536995616404093</v>
      </c>
      <c r="F190" s="11">
        <f t="shared" ref="F190:F191" si="132">SUM(D190:E190)</f>
        <v>0.4789686181130246</v>
      </c>
      <c r="G190" s="200">
        <f t="shared" si="131"/>
        <v>2.2265759496576498E-2</v>
      </c>
      <c r="I190" s="11"/>
      <c r="J190" s="11"/>
      <c r="K190" s="11"/>
      <c r="L190" s="11"/>
      <c r="M190" s="11"/>
      <c r="N190" s="11"/>
    </row>
    <row r="191" spans="1:21" x14ac:dyDescent="0.2">
      <c r="A191" t="str">
        <f t="shared" si="127"/>
        <v>35 Business and public service associate professionals</v>
      </c>
      <c r="B191" s="11">
        <v>5.6013774597483419</v>
      </c>
      <c r="C191" s="11">
        <v>4.9678112881439489</v>
      </c>
      <c r="D191" s="11">
        <f t="shared" si="128"/>
        <v>-0.63356617160439299</v>
      </c>
      <c r="E191" s="11">
        <v>2.1328135652434814</v>
      </c>
      <c r="F191" s="11">
        <f t="shared" si="132"/>
        <v>1.4992473936390884</v>
      </c>
      <c r="G191" s="200">
        <f t="shared" si="131"/>
        <v>2.1742214149941042E-2</v>
      </c>
      <c r="I191" s="11"/>
      <c r="J191" s="11"/>
      <c r="K191" s="11"/>
      <c r="L191" s="11"/>
      <c r="M191" s="11"/>
      <c r="N191" s="11"/>
    </row>
    <row r="192" spans="1:21" x14ac:dyDescent="0.2">
      <c r="A192" t="str">
        <f t="shared" si="127"/>
        <v>41 Administrative occupations</v>
      </c>
      <c r="B192" s="11">
        <v>10.778413058241584</v>
      </c>
      <c r="C192" s="11">
        <v>8.5987682335941162</v>
      </c>
      <c r="D192" s="11">
        <f t="shared" si="128"/>
        <v>-2.1796448246474682</v>
      </c>
      <c r="E192" s="11">
        <v>4.5084868928723001</v>
      </c>
      <c r="F192" s="11">
        <f t="shared" ref="F192:F195" si="133">SUM(D192:E192)</f>
        <v>2.3288420682248319</v>
      </c>
      <c r="G192" s="200">
        <f t="shared" si="131"/>
        <v>2.3570215499649771E-2</v>
      </c>
      <c r="I192" s="11"/>
      <c r="J192" s="11"/>
      <c r="K192" s="11"/>
      <c r="L192" s="11"/>
      <c r="M192" s="11"/>
      <c r="N192" s="11"/>
    </row>
    <row r="193" spans="1:14" x14ac:dyDescent="0.2">
      <c r="A193" t="str">
        <f t="shared" si="127"/>
        <v>42 Secretarial and related occupations</v>
      </c>
      <c r="B193" s="11">
        <v>1.8685602008362978</v>
      </c>
      <c r="C193" s="11">
        <v>1.6662019130719021</v>
      </c>
      <c r="D193" s="11">
        <f t="shared" si="128"/>
        <v>-0.20235828776439568</v>
      </c>
      <c r="E193" s="11">
        <v>1.1512162903810355</v>
      </c>
      <c r="F193" s="11">
        <f t="shared" si="133"/>
        <v>0.94885800261663977</v>
      </c>
      <c r="G193" s="200">
        <f t="shared" si="131"/>
        <v>3.2518512415496748E-2</v>
      </c>
      <c r="I193" s="11"/>
      <c r="J193" s="11"/>
      <c r="K193" s="11"/>
      <c r="L193" s="11"/>
      <c r="M193" s="11"/>
      <c r="N193" s="11"/>
    </row>
    <row r="194" spans="1:14" x14ac:dyDescent="0.2">
      <c r="A194" t="str">
        <f t="shared" si="127"/>
        <v>51 Skilled agricultural and related trades</v>
      </c>
      <c r="B194" s="11">
        <v>0.69782140930513803</v>
      </c>
      <c r="C194" s="11">
        <v>0.67577489078230157</v>
      </c>
      <c r="D194" s="11">
        <f t="shared" si="128"/>
        <v>-2.2046518522836456E-2</v>
      </c>
      <c r="E194" s="11">
        <v>0.34618627301745358</v>
      </c>
      <c r="F194" s="11">
        <f t="shared" si="133"/>
        <v>0.32413975449461713</v>
      </c>
      <c r="G194" s="200">
        <f t="shared" si="131"/>
        <v>2.7221167949596614E-2</v>
      </c>
      <c r="I194" s="11"/>
      <c r="J194" s="11"/>
      <c r="K194" s="11"/>
      <c r="L194" s="11"/>
      <c r="M194" s="11"/>
      <c r="N194" s="11"/>
    </row>
    <row r="195" spans="1:14" x14ac:dyDescent="0.2">
      <c r="A195" t="str">
        <f t="shared" si="127"/>
        <v>52 Skilled metal, electrical and electronic trades</v>
      </c>
      <c r="B195" s="11">
        <v>10.380191958519889</v>
      </c>
      <c r="C195" s="11">
        <v>8.2486918974974071</v>
      </c>
      <c r="D195" s="11">
        <f t="shared" si="128"/>
        <v>-2.1315000610224821</v>
      </c>
      <c r="E195" s="11">
        <v>3.1312107376138734</v>
      </c>
      <c r="F195" s="11">
        <f t="shared" si="133"/>
        <v>0.99971067659139123</v>
      </c>
      <c r="G195" s="200">
        <f t="shared" si="131"/>
        <v>1.773100057585375E-2</v>
      </c>
      <c r="I195" s="82"/>
      <c r="J195" s="73"/>
    </row>
    <row r="196" spans="1:14" x14ac:dyDescent="0.2">
      <c r="A196" t="str">
        <f t="shared" si="127"/>
        <v>53 Skilled construction and building trades</v>
      </c>
      <c r="B196" s="11">
        <v>6.8205459765480834</v>
      </c>
      <c r="C196" s="11">
        <v>5.0080025632478407</v>
      </c>
      <c r="D196" s="11">
        <f t="shared" si="128"/>
        <v>-1.8125434133002427</v>
      </c>
      <c r="E196" s="11">
        <v>2.1903802622502138</v>
      </c>
      <c r="F196" s="11">
        <f t="shared" ref="F196" si="134">SUM(D196:E196)</f>
        <v>0.37783684894997105</v>
      </c>
      <c r="G196" s="200">
        <f t="shared" si="131"/>
        <v>1.8739986421147714E-2</v>
      </c>
    </row>
    <row r="197" spans="1:14" x14ac:dyDescent="0.2">
      <c r="A197" t="str">
        <f t="shared" si="127"/>
        <v>54 Textiles, printing and other skilled trades</v>
      </c>
      <c r="B197" s="11">
        <v>2.4049342472892548</v>
      </c>
      <c r="C197" s="11">
        <v>2.6444459690096989</v>
      </c>
      <c r="D197" s="11">
        <f t="shared" si="128"/>
        <v>0.2395117217204441</v>
      </c>
      <c r="E197" s="11">
        <v>1.0965743018780041</v>
      </c>
      <c r="F197" s="11">
        <f t="shared" ref="F197" si="135">SUM(D197:E197)</f>
        <v>1.3360860235984482</v>
      </c>
      <c r="G197" s="200">
        <f t="shared" si="131"/>
        <v>2.5361009632315357E-2</v>
      </c>
    </row>
    <row r="198" spans="1:14" x14ac:dyDescent="0.2">
      <c r="A198" t="str">
        <f t="shared" si="127"/>
        <v>61 Caring personal service occupations</v>
      </c>
      <c r="B198" s="11">
        <v>12.347220709712236</v>
      </c>
      <c r="C198" s="11">
        <v>16.253684403565405</v>
      </c>
      <c r="D198" s="11">
        <f>C198-B198</f>
        <v>3.9064636938531692</v>
      </c>
      <c r="E198" s="11">
        <v>8.6128197138263385</v>
      </c>
      <c r="F198" s="11">
        <f>SUM(D198:E198)</f>
        <v>12.519283407679508</v>
      </c>
      <c r="G198" s="200">
        <f t="shared" si="131"/>
        <v>3.5908810907453903E-2</v>
      </c>
    </row>
    <row r="199" spans="1:14" x14ac:dyDescent="0.2">
      <c r="A199" t="str">
        <f t="shared" si="127"/>
        <v>62 Leisure, travel and related personal service occupations</v>
      </c>
      <c r="B199" s="11">
        <v>2.8843011023289353</v>
      </c>
      <c r="C199" s="11">
        <v>3.0213568610562751</v>
      </c>
      <c r="D199" s="11">
        <f t="shared" ref="D199:D205" si="136">C199-B199</f>
        <v>0.13705575872733977</v>
      </c>
      <c r="E199" s="11">
        <v>1.3691407237535009</v>
      </c>
      <c r="F199" s="11">
        <f t="shared" ref="F199:F200" si="137">SUM(D199:E199)</f>
        <v>1.5061964824808407</v>
      </c>
      <c r="G199" s="200">
        <f t="shared" si="131"/>
        <v>2.6234616728284532E-2</v>
      </c>
    </row>
    <row r="200" spans="1:14" x14ac:dyDescent="0.2">
      <c r="A200" t="str">
        <f t="shared" si="127"/>
        <v>63 Community and civil enforcement occupations</v>
      </c>
      <c r="B200" s="11">
        <v>0.13691433956394289</v>
      </c>
      <c r="C200" s="11">
        <v>7.9849718453883972E-2</v>
      </c>
      <c r="D200" s="11">
        <f t="shared" si="136"/>
        <v>-5.7064621110058916E-2</v>
      </c>
      <c r="E200" s="11">
        <v>3.1295558488261134E-2</v>
      </c>
      <c r="F200" s="11">
        <f t="shared" si="137"/>
        <v>-2.5769062621797782E-2</v>
      </c>
      <c r="G200" s="200">
        <f t="shared" si="131"/>
        <v>1.3818411807388076E-2</v>
      </c>
    </row>
    <row r="201" spans="1:14" x14ac:dyDescent="0.2">
      <c r="A201" t="str">
        <f t="shared" si="127"/>
        <v>71 Sales occupations</v>
      </c>
      <c r="B201" s="11">
        <v>12.804985410345585</v>
      </c>
      <c r="C201" s="11">
        <v>14.582765110083519</v>
      </c>
      <c r="D201" s="11">
        <f t="shared" si="136"/>
        <v>1.777779699737934</v>
      </c>
      <c r="E201" s="11">
        <v>6.8758135044385646</v>
      </c>
      <c r="F201" s="11">
        <f t="shared" ref="F201:F202" si="138">SUM(D201:E201)</f>
        <v>8.6535932041764987</v>
      </c>
      <c r="G201" s="200">
        <f t="shared" si="131"/>
        <v>2.9068400109451664E-2</v>
      </c>
    </row>
    <row r="202" spans="1:14" x14ac:dyDescent="0.2">
      <c r="A202" t="str">
        <f t="shared" si="127"/>
        <v>72 Customer service occupations</v>
      </c>
      <c r="B202" s="11">
        <v>2.5038406203927721</v>
      </c>
      <c r="C202" s="11">
        <v>3.6362760267747989</v>
      </c>
      <c r="D202" s="11">
        <f t="shared" si="136"/>
        <v>1.1324354063820268</v>
      </c>
      <c r="E202" s="11">
        <v>1.4354480944121382</v>
      </c>
      <c r="F202" s="11">
        <f t="shared" si="138"/>
        <v>2.5678835007941649</v>
      </c>
      <c r="G202" s="200">
        <f t="shared" si="131"/>
        <v>3.0672627078015324E-2</v>
      </c>
    </row>
    <row r="203" spans="1:14" x14ac:dyDescent="0.2">
      <c r="A203" t="str">
        <f t="shared" si="127"/>
        <v>81 Process, plant and machine operatives</v>
      </c>
      <c r="B203" s="11">
        <v>5.3489131740203817</v>
      </c>
      <c r="C203" s="11">
        <v>6.7938006421108801</v>
      </c>
      <c r="D203" s="11">
        <f t="shared" si="136"/>
        <v>1.4448874680904984</v>
      </c>
      <c r="E203" s="11">
        <v>2.3448413047265433</v>
      </c>
      <c r="F203" s="11">
        <f t="shared" ref="F203:F204" si="139">SUM(D203:E203)</f>
        <v>3.7897287728170417</v>
      </c>
      <c r="G203" s="200">
        <f t="shared" si="131"/>
        <v>2.4530405384457277E-2</v>
      </c>
    </row>
    <row r="204" spans="1:14" x14ac:dyDescent="0.2">
      <c r="A204" t="str">
        <f t="shared" si="127"/>
        <v>82 Transport and mobile machine drivers and operatives</v>
      </c>
      <c r="B204" s="11">
        <v>4.9673138457962898</v>
      </c>
      <c r="C204" s="11">
        <v>4.6389782974832379</v>
      </c>
      <c r="D204" s="11">
        <f t="shared" si="136"/>
        <v>-0.32833554831305189</v>
      </c>
      <c r="E204" s="11">
        <v>2.347320684717253</v>
      </c>
      <c r="F204" s="11">
        <f t="shared" si="139"/>
        <v>2.0189851364042011</v>
      </c>
      <c r="G204" s="200">
        <f t="shared" si="131"/>
        <v>2.6135553815579193E-2</v>
      </c>
    </row>
    <row r="205" spans="1:14" x14ac:dyDescent="0.2">
      <c r="A205" t="str">
        <f t="shared" si="127"/>
        <v>91 Elementary trades and related occupations</v>
      </c>
      <c r="B205" s="11">
        <v>1.2600979481020038</v>
      </c>
      <c r="C205" s="11">
        <v>0.95451640396736004</v>
      </c>
      <c r="D205" s="11">
        <f t="shared" si="136"/>
        <v>-0.30558154413464378</v>
      </c>
      <c r="E205" s="11">
        <v>0.35932290055256555</v>
      </c>
      <c r="F205" s="11">
        <f t="shared" ref="F205" si="140">SUM(D205:E205)</f>
        <v>5.3741356417921771E-2</v>
      </c>
      <c r="G205" s="200">
        <f t="shared" si="131"/>
        <v>1.6865925793501324E-2</v>
      </c>
    </row>
    <row r="206" spans="1:14" x14ac:dyDescent="0.2">
      <c r="A206" t="str">
        <f t="shared" si="127"/>
        <v>92 Elementary administration and service occupations</v>
      </c>
      <c r="B206" s="11">
        <v>9.5312698231434325</v>
      </c>
      <c r="C206" s="11">
        <v>8.8964533787368225</v>
      </c>
      <c r="D206" s="11">
        <f t="shared" ref="D206" si="141">C206-B206</f>
        <v>-0.63481644440661</v>
      </c>
      <c r="E206" s="11">
        <v>4.4324578626187545</v>
      </c>
      <c r="F206" s="11">
        <f t="shared" ref="F206" si="142">SUM(D206:E206)</f>
        <v>3.7976414182121445</v>
      </c>
      <c r="G206" s="200">
        <f t="shared" ref="G206:G207" si="143">IF(B206&gt;0,(1+(E206/B206))^(1/($C$6-$B$6))-1,0)</f>
        <v>2.5785857371255494E-2</v>
      </c>
    </row>
    <row r="207" spans="1:14" x14ac:dyDescent="0.2">
      <c r="A207" t="str">
        <f t="shared" si="127"/>
        <v>All occupations</v>
      </c>
      <c r="B207" s="11">
        <f>SUM(B181:B206)</f>
        <v>121.85061428231413</v>
      </c>
      <c r="C207" s="11">
        <f t="shared" ref="C207:F207" si="144">SUM(C181:C206)</f>
        <v>121.86308167785653</v>
      </c>
      <c r="D207" s="11">
        <f t="shared" si="144"/>
        <v>1.2467395542384074E-2</v>
      </c>
      <c r="E207" s="11">
        <f t="shared" si="144"/>
        <v>55.256560204079626</v>
      </c>
      <c r="F207" s="11">
        <f t="shared" si="144"/>
        <v>55.269027599622014</v>
      </c>
      <c r="G207" s="200">
        <f t="shared" si="143"/>
        <v>2.5243982086815331E-2</v>
      </c>
    </row>
    <row r="209" spans="1:7" ht="38.25" x14ac:dyDescent="0.2">
      <c r="A209" s="201" t="str">
        <f>CONCATENATE(name!F10," (Constrained)")</f>
        <v>RQF2 GCSE(A-C) &amp; equivalent (Constrained)</v>
      </c>
      <c r="B209" s="88">
        <f t="shared" ref="B209:G209" si="145">B122</f>
        <v>2020</v>
      </c>
      <c r="C209" s="88">
        <f t="shared" si="145"/>
        <v>2035</v>
      </c>
      <c r="D209" s="88" t="str">
        <f t="shared" si="145"/>
        <v>Net Change</v>
      </c>
      <c r="E209" s="88" t="str">
        <f t="shared" si="145"/>
        <v>Replacement Demand level</v>
      </c>
      <c r="F209" s="88" t="str">
        <f t="shared" si="145"/>
        <v>Total Requirement</v>
      </c>
      <c r="G209" s="88" t="str">
        <f t="shared" si="145"/>
        <v>Replacement Demand rate</v>
      </c>
    </row>
    <row r="210" spans="1:7" x14ac:dyDescent="0.2">
      <c r="A210" t="str">
        <f t="shared" ref="A210:A236" si="146">A123</f>
        <v>11 Corporate managers and directors</v>
      </c>
      <c r="B210" s="11">
        <v>4.1527579111068924</v>
      </c>
      <c r="C210" s="11">
        <v>3.2395572957065761</v>
      </c>
      <c r="D210" s="11">
        <f>C210-B210</f>
        <v>-0.91320061540031627</v>
      </c>
      <c r="E210" s="11">
        <v>1.5230899997788063</v>
      </c>
      <c r="F210" s="11">
        <f>SUM(D210:E210)</f>
        <v>0.60988938437849005</v>
      </c>
      <c r="G210" s="200">
        <f>IF(B210&gt;0,(1+(E210/B210))^(1/($C$6-$B$6))-1,0)</f>
        <v>2.1048274406659573E-2</v>
      </c>
    </row>
    <row r="211" spans="1:7" x14ac:dyDescent="0.2">
      <c r="A211" t="str">
        <f t="shared" si="146"/>
        <v>12 Other managers and proprietors</v>
      </c>
      <c r="B211" s="11">
        <v>3.198474681053356</v>
      </c>
      <c r="C211" s="11">
        <v>3.8745600950612489</v>
      </c>
      <c r="D211" s="11">
        <f t="shared" ref="D211:D226" si="147">C211-B211</f>
        <v>0.6760854140078929</v>
      </c>
      <c r="E211" s="11">
        <v>1.8987756871766115</v>
      </c>
      <c r="F211" s="11">
        <f t="shared" ref="F211:F218" si="148">SUM(D211:E211)</f>
        <v>2.5748611011845046</v>
      </c>
      <c r="G211" s="200">
        <f t="shared" ref="G211:G213" si="149">IF(B211&gt;0,(1+(E211/B211))^(1/($C$6-$B$6))-1,0)</f>
        <v>3.1556143591970232E-2</v>
      </c>
    </row>
    <row r="212" spans="1:7" x14ac:dyDescent="0.2">
      <c r="A212" t="str">
        <f t="shared" si="146"/>
        <v>21 Science, research, engineering and technology professionals</v>
      </c>
      <c r="B212" s="11">
        <v>2.7747518143948176</v>
      </c>
      <c r="C212" s="11">
        <v>2.5714289638957437</v>
      </c>
      <c r="D212" s="11">
        <f t="shared" si="147"/>
        <v>-0.20332285049907384</v>
      </c>
      <c r="E212" s="11">
        <v>0.81620563967726623</v>
      </c>
      <c r="F212" s="11">
        <f t="shared" si="148"/>
        <v>0.61288278917819239</v>
      </c>
      <c r="G212" s="200">
        <f t="shared" si="149"/>
        <v>1.733911105597663E-2</v>
      </c>
    </row>
    <row r="213" spans="1:7" x14ac:dyDescent="0.2">
      <c r="A213" t="str">
        <f t="shared" si="146"/>
        <v>22 Health professionals</v>
      </c>
      <c r="B213" s="11">
        <v>2.5063487909959856</v>
      </c>
      <c r="C213" s="11">
        <v>2.1847614049129316</v>
      </c>
      <c r="D213" s="11">
        <f t="shared" si="147"/>
        <v>-0.32158738608305404</v>
      </c>
      <c r="E213" s="11">
        <v>1.0542440756353597</v>
      </c>
      <c r="F213" s="11">
        <f t="shared" si="148"/>
        <v>0.73265668955230567</v>
      </c>
      <c r="G213" s="200">
        <f t="shared" si="149"/>
        <v>2.3682755117916621E-2</v>
      </c>
    </row>
    <row r="214" spans="1:7" x14ac:dyDescent="0.2">
      <c r="A214" t="str">
        <f t="shared" si="146"/>
        <v>23 Teaching and other educational professionals</v>
      </c>
      <c r="B214" s="11">
        <v>0.83717414822925029</v>
      </c>
      <c r="C214" s="11">
        <v>0.67310634718283779</v>
      </c>
      <c r="D214" s="11">
        <f t="shared" si="147"/>
        <v>-0.1640678010464125</v>
      </c>
      <c r="E214" s="11">
        <v>0.3335874961394435</v>
      </c>
      <c r="F214" s="11">
        <f t="shared" si="148"/>
        <v>0.169519695093031</v>
      </c>
      <c r="G214" s="200">
        <f>IF(B214&gt;0,(1+(E214/B214))^(1/($C$6-$B$6))-1,0)</f>
        <v>2.2610337030654959E-2</v>
      </c>
    </row>
    <row r="215" spans="1:7" x14ac:dyDescent="0.2">
      <c r="A215" t="str">
        <f t="shared" si="146"/>
        <v>24 Business, media and public service professionals</v>
      </c>
      <c r="B215" s="11">
        <v>2.6887170987274036</v>
      </c>
      <c r="C215" s="11">
        <v>2.5372422566600745</v>
      </c>
      <c r="D215" s="11">
        <f t="shared" si="147"/>
        <v>-0.15147484206732909</v>
      </c>
      <c r="E215" s="11">
        <v>1.0483703923757417</v>
      </c>
      <c r="F215" s="11">
        <f t="shared" si="148"/>
        <v>0.89689555030841261</v>
      </c>
      <c r="G215" s="200">
        <f t="shared" ref="G215:G234" si="150">IF(B215&gt;0,(1+(E215/B215))^(1/($C$6-$B$6))-1,0)</f>
        <v>2.2192155475747599E-2</v>
      </c>
    </row>
    <row r="216" spans="1:7" x14ac:dyDescent="0.2">
      <c r="A216" t="str">
        <f t="shared" si="146"/>
        <v>31 Science, engineering and technology associate professionals</v>
      </c>
      <c r="B216" s="11">
        <v>1.9423501448343408</v>
      </c>
      <c r="C216" s="11">
        <v>1.5401417009002809</v>
      </c>
      <c r="D216" s="11">
        <f t="shared" si="147"/>
        <v>-0.40220844393405986</v>
      </c>
      <c r="E216" s="11">
        <v>0.54961224402387221</v>
      </c>
      <c r="F216" s="11">
        <f t="shared" si="148"/>
        <v>0.14740380008981235</v>
      </c>
      <c r="G216" s="200">
        <f t="shared" si="150"/>
        <v>1.675019428145319E-2</v>
      </c>
    </row>
    <row r="217" spans="1:7" x14ac:dyDescent="0.2">
      <c r="A217" t="str">
        <f t="shared" si="146"/>
        <v>32 Health and social care associate professionals</v>
      </c>
      <c r="B217" s="11">
        <v>1.5036898040463855</v>
      </c>
      <c r="C217" s="11">
        <v>1.07968830439645</v>
      </c>
      <c r="D217" s="11">
        <f t="shared" si="147"/>
        <v>-0.4240014996499355</v>
      </c>
      <c r="E217" s="11">
        <v>0.62252011349594816</v>
      </c>
      <c r="F217" s="11">
        <f t="shared" si="148"/>
        <v>0.19851861384601266</v>
      </c>
      <c r="G217" s="200">
        <f t="shared" si="150"/>
        <v>2.3363348985810495E-2</v>
      </c>
    </row>
    <row r="218" spans="1:7" x14ac:dyDescent="0.2">
      <c r="A218" t="str">
        <f t="shared" si="146"/>
        <v>33 Protective service occupations</v>
      </c>
      <c r="B218" s="11">
        <v>1.7754291652312735</v>
      </c>
      <c r="C218" s="11">
        <v>1.8264921086818093</v>
      </c>
      <c r="D218" s="11">
        <f t="shared" si="147"/>
        <v>5.1062943450535858E-2</v>
      </c>
      <c r="E218" s="11">
        <v>0.54083098559457321</v>
      </c>
      <c r="F218" s="11">
        <f t="shared" si="148"/>
        <v>0.59189392904510907</v>
      </c>
      <c r="G218" s="200">
        <f t="shared" si="150"/>
        <v>1.7885510769860336E-2</v>
      </c>
    </row>
    <row r="219" spans="1:7" x14ac:dyDescent="0.2">
      <c r="A219" t="str">
        <f t="shared" si="146"/>
        <v>34 Culture, media and sports occupations</v>
      </c>
      <c r="B219" s="11">
        <v>0.40532660683845295</v>
      </c>
      <c r="C219" s="11">
        <v>0.20939563600767389</v>
      </c>
      <c r="D219" s="11">
        <f t="shared" si="147"/>
        <v>-0.19593097083077907</v>
      </c>
      <c r="E219" s="11">
        <v>0.10868352340894108</v>
      </c>
      <c r="F219" s="11">
        <f t="shared" ref="F219:F220" si="151">SUM(D219:E219)</f>
        <v>-8.7247447421837987E-2</v>
      </c>
      <c r="G219" s="200">
        <f t="shared" si="150"/>
        <v>1.5962717400391346E-2</v>
      </c>
    </row>
    <row r="220" spans="1:7" x14ac:dyDescent="0.2">
      <c r="A220" t="str">
        <f t="shared" si="146"/>
        <v>35 Business and public service associate professionals</v>
      </c>
      <c r="B220" s="11">
        <v>3.7664599828221679</v>
      </c>
      <c r="C220" s="11">
        <v>2.9932665238968075</v>
      </c>
      <c r="D220" s="11">
        <f t="shared" si="147"/>
        <v>-0.7731934589253604</v>
      </c>
      <c r="E220" s="11">
        <v>1.228261085321831</v>
      </c>
      <c r="F220" s="11">
        <f t="shared" si="151"/>
        <v>0.45506762639647058</v>
      </c>
      <c r="G220" s="200">
        <f t="shared" si="150"/>
        <v>1.8994544355960707E-2</v>
      </c>
    </row>
    <row r="221" spans="1:7" x14ac:dyDescent="0.2">
      <c r="A221" t="str">
        <f t="shared" si="146"/>
        <v>41 Administrative occupations</v>
      </c>
      <c r="B221" s="11">
        <v>11.272895009653755</v>
      </c>
      <c r="C221" s="11">
        <v>6.8372471447730234</v>
      </c>
      <c r="D221" s="11">
        <f t="shared" si="147"/>
        <v>-4.4356478648807318</v>
      </c>
      <c r="E221" s="11">
        <v>3.5289050803986131</v>
      </c>
      <c r="F221" s="11">
        <f t="shared" ref="F221:F224" si="152">SUM(D221:E221)</f>
        <v>-0.90674278448211876</v>
      </c>
      <c r="G221" s="200">
        <f t="shared" si="150"/>
        <v>1.8322340088133604E-2</v>
      </c>
    </row>
    <row r="222" spans="1:7" x14ac:dyDescent="0.2">
      <c r="A222" t="str">
        <f t="shared" si="146"/>
        <v>42 Secretarial and related occupations</v>
      </c>
      <c r="B222" s="11">
        <v>1.8472679742692513</v>
      </c>
      <c r="C222" s="11">
        <v>0.36893378922441861</v>
      </c>
      <c r="D222" s="11">
        <f t="shared" si="147"/>
        <v>-1.4783341850448326</v>
      </c>
      <c r="E222" s="11">
        <v>0.47191679508027923</v>
      </c>
      <c r="F222" s="11">
        <f t="shared" si="152"/>
        <v>-1.0064173899645534</v>
      </c>
      <c r="G222" s="200">
        <f t="shared" si="150"/>
        <v>1.5282802628984404E-2</v>
      </c>
    </row>
    <row r="223" spans="1:7" x14ac:dyDescent="0.2">
      <c r="A223" t="str">
        <f t="shared" si="146"/>
        <v>51 Skilled agricultural and related trades</v>
      </c>
      <c r="B223" s="11">
        <v>1.0913691632942735</v>
      </c>
      <c r="C223" s="11">
        <v>1.2348693138231075</v>
      </c>
      <c r="D223" s="11">
        <f t="shared" si="147"/>
        <v>0.14350015052883403</v>
      </c>
      <c r="E223" s="11">
        <v>0.60667818247312133</v>
      </c>
      <c r="F223" s="11">
        <f t="shared" si="152"/>
        <v>0.75017833300195536</v>
      </c>
      <c r="G223" s="200">
        <f t="shared" si="150"/>
        <v>2.9908259653042002E-2</v>
      </c>
    </row>
    <row r="224" spans="1:7" x14ac:dyDescent="0.2">
      <c r="A224" t="str">
        <f t="shared" si="146"/>
        <v>52 Skilled metal, electrical and electronic trades</v>
      </c>
      <c r="B224" s="11">
        <v>4.7895197567496277</v>
      </c>
      <c r="C224" s="11">
        <v>4.1201145622919615</v>
      </c>
      <c r="D224" s="11">
        <f t="shared" si="147"/>
        <v>-0.66940519445766622</v>
      </c>
      <c r="E224" s="11">
        <v>1.5990181960075642</v>
      </c>
      <c r="F224" s="11">
        <f t="shared" si="152"/>
        <v>0.92961300154989801</v>
      </c>
      <c r="G224" s="200">
        <f t="shared" si="150"/>
        <v>1.9390622183095507E-2</v>
      </c>
    </row>
    <row r="225" spans="1:7" x14ac:dyDescent="0.2">
      <c r="A225" t="str">
        <f t="shared" si="146"/>
        <v>53 Skilled construction and building trades</v>
      </c>
      <c r="B225" s="11">
        <v>5.5519255494629105</v>
      </c>
      <c r="C225" s="11">
        <v>6.374020846000735</v>
      </c>
      <c r="D225" s="11">
        <f t="shared" si="147"/>
        <v>0.82209529653782454</v>
      </c>
      <c r="E225" s="11">
        <v>2.6604266281249886</v>
      </c>
      <c r="F225" s="11">
        <f t="shared" ref="F225" si="153">SUM(D225:E225)</f>
        <v>3.4825219246628132</v>
      </c>
      <c r="G225" s="200">
        <f t="shared" si="150"/>
        <v>2.6443216163793304E-2</v>
      </c>
    </row>
    <row r="226" spans="1:7" x14ac:dyDescent="0.2">
      <c r="A226" t="str">
        <f t="shared" si="146"/>
        <v>54 Textiles, printing and other skilled trades</v>
      </c>
      <c r="B226" s="11">
        <v>2.4364927620676102</v>
      </c>
      <c r="C226" s="11">
        <v>1.7427565229304389</v>
      </c>
      <c r="D226" s="11">
        <f t="shared" si="147"/>
        <v>-0.69373623913717131</v>
      </c>
      <c r="E226" s="11">
        <v>0.78295709867242413</v>
      </c>
      <c r="F226" s="11">
        <f t="shared" ref="F226" si="154">SUM(D226:E226)</f>
        <v>8.9220859535252828E-2</v>
      </c>
      <c r="G226" s="200">
        <f t="shared" si="150"/>
        <v>1.8750346238794569E-2</v>
      </c>
    </row>
    <row r="227" spans="1:7" x14ac:dyDescent="0.2">
      <c r="A227" t="str">
        <f t="shared" si="146"/>
        <v>61 Caring personal service occupations</v>
      </c>
      <c r="B227" s="11">
        <v>8.4657852009768213</v>
      </c>
      <c r="C227" s="11">
        <v>5.5024863440189105</v>
      </c>
      <c r="D227" s="11">
        <f>C227-B227</f>
        <v>-2.9632988569579108</v>
      </c>
      <c r="E227" s="11">
        <v>3.4078629449138775</v>
      </c>
      <c r="F227" s="11">
        <f>SUM(D227:E227)</f>
        <v>0.44456408795596669</v>
      </c>
      <c r="G227" s="200">
        <f t="shared" si="150"/>
        <v>2.2808814307130332E-2</v>
      </c>
    </row>
    <row r="228" spans="1:7" x14ac:dyDescent="0.2">
      <c r="A228" t="str">
        <f t="shared" si="146"/>
        <v>62 Leisure, travel and related personal service occupations</v>
      </c>
      <c r="B228" s="11">
        <v>2.8451374314048974</v>
      </c>
      <c r="C228" s="11">
        <v>1.9093798730427274</v>
      </c>
      <c r="D228" s="11">
        <f t="shared" ref="D228:D234" si="155">C228-B228</f>
        <v>-0.93575755836217001</v>
      </c>
      <c r="E228" s="11">
        <v>1.053757424186776</v>
      </c>
      <c r="F228" s="11">
        <f t="shared" ref="F228:F229" si="156">SUM(D228:E228)</f>
        <v>0.11799986582460598</v>
      </c>
      <c r="G228" s="200">
        <f t="shared" si="150"/>
        <v>2.1227618668554937E-2</v>
      </c>
    </row>
    <row r="229" spans="1:7" x14ac:dyDescent="0.2">
      <c r="A229" t="str">
        <f t="shared" si="146"/>
        <v>63 Community and civil enforcement occupations</v>
      </c>
      <c r="B229" s="11">
        <v>0.1860519429334889</v>
      </c>
      <c r="C229" s="11">
        <v>0.15236000541524741</v>
      </c>
      <c r="D229" s="11">
        <f t="shared" si="155"/>
        <v>-3.3691937518241483E-2</v>
      </c>
      <c r="E229" s="11">
        <v>6.2259442114605254E-2</v>
      </c>
      <c r="F229" s="11">
        <f t="shared" si="156"/>
        <v>2.8567504596363771E-2</v>
      </c>
      <c r="G229" s="200">
        <f t="shared" si="150"/>
        <v>1.9430199274013793E-2</v>
      </c>
    </row>
    <row r="230" spans="1:7" x14ac:dyDescent="0.2">
      <c r="A230" t="str">
        <f t="shared" si="146"/>
        <v>71 Sales occupations</v>
      </c>
      <c r="B230" s="11">
        <v>11.992911840563142</v>
      </c>
      <c r="C230" s="11">
        <v>7.7627195453410041</v>
      </c>
      <c r="D230" s="11">
        <f t="shared" si="155"/>
        <v>-4.230192295222138</v>
      </c>
      <c r="E230" s="11">
        <v>4.638871644201461</v>
      </c>
      <c r="F230" s="11">
        <f t="shared" ref="F230:F231" si="157">SUM(D230:E230)</f>
        <v>0.40867934897932301</v>
      </c>
      <c r="G230" s="200">
        <f t="shared" si="150"/>
        <v>2.2039338248517781E-2</v>
      </c>
    </row>
    <row r="231" spans="1:7" x14ac:dyDescent="0.2">
      <c r="A231" t="str">
        <f t="shared" si="146"/>
        <v>72 Customer service occupations</v>
      </c>
      <c r="B231" s="11">
        <v>2.5410728347510725</v>
      </c>
      <c r="C231" s="11">
        <v>3.0509103857415254</v>
      </c>
      <c r="D231" s="11">
        <f t="shared" si="155"/>
        <v>0.50983755099045291</v>
      </c>
      <c r="E231" s="11">
        <v>1.3407282287126008</v>
      </c>
      <c r="F231" s="11">
        <f t="shared" si="157"/>
        <v>1.8505657797030537</v>
      </c>
      <c r="G231" s="200">
        <f t="shared" si="150"/>
        <v>2.8650269213738033E-2</v>
      </c>
    </row>
    <row r="232" spans="1:7" x14ac:dyDescent="0.2">
      <c r="A232" t="str">
        <f t="shared" si="146"/>
        <v>81 Process, plant and machine operatives</v>
      </c>
      <c r="B232" s="11">
        <v>5.4475157537852361</v>
      </c>
      <c r="C232" s="11">
        <v>7.109185946335125</v>
      </c>
      <c r="D232" s="11">
        <f t="shared" si="155"/>
        <v>1.6616701925498889</v>
      </c>
      <c r="E232" s="11">
        <v>2.5847953001690924</v>
      </c>
      <c r="F232" s="11">
        <f t="shared" ref="F232:F233" si="158">SUM(D232:E232)</f>
        <v>4.2464654927189809</v>
      </c>
      <c r="G232" s="200">
        <f t="shared" si="150"/>
        <v>2.622549908733629E-2</v>
      </c>
    </row>
    <row r="233" spans="1:7" x14ac:dyDescent="0.2">
      <c r="A233" t="str">
        <f t="shared" si="146"/>
        <v>82 Transport and mobile machine drivers and operatives</v>
      </c>
      <c r="B233" s="11">
        <v>6.6277424921039731</v>
      </c>
      <c r="C233" s="11">
        <v>7.6474008132038733</v>
      </c>
      <c r="D233" s="11">
        <f t="shared" si="155"/>
        <v>1.0196583210999002</v>
      </c>
      <c r="E233" s="11">
        <v>3.7747328640830471</v>
      </c>
      <c r="F233" s="11">
        <f t="shared" si="158"/>
        <v>4.7943911851829473</v>
      </c>
      <c r="G233" s="200">
        <f t="shared" si="150"/>
        <v>3.0508087762062708E-2</v>
      </c>
    </row>
    <row r="234" spans="1:7" x14ac:dyDescent="0.2">
      <c r="A234" t="str">
        <f t="shared" si="146"/>
        <v>91 Elementary trades and related occupations</v>
      </c>
      <c r="B234" s="11">
        <v>2.1490570019369923</v>
      </c>
      <c r="C234" s="11">
        <v>1.8454696830842179</v>
      </c>
      <c r="D234" s="11">
        <f t="shared" si="155"/>
        <v>-0.30358731885277446</v>
      </c>
      <c r="E234" s="11">
        <v>0.66411024345878489</v>
      </c>
      <c r="F234" s="11">
        <f t="shared" ref="F234" si="159">SUM(D234:E234)</f>
        <v>0.36052292460601043</v>
      </c>
      <c r="G234" s="200">
        <f t="shared" si="150"/>
        <v>1.8114230630249528E-2</v>
      </c>
    </row>
    <row r="235" spans="1:7" x14ac:dyDescent="0.2">
      <c r="A235" t="str">
        <f t="shared" si="146"/>
        <v>92 Elementary administration and service occupations</v>
      </c>
      <c r="B235" s="11">
        <v>15.659190463330214</v>
      </c>
      <c r="C235" s="11">
        <v>15.503413798475416</v>
      </c>
      <c r="D235" s="11">
        <f t="shared" ref="D235" si="160">C235-B235</f>
        <v>-0.15577666485479824</v>
      </c>
      <c r="E235" s="11">
        <v>7.1865619331644295</v>
      </c>
      <c r="F235" s="11">
        <f t="shared" ref="F235" si="161">SUM(D235:E235)</f>
        <v>7.0307852683096312</v>
      </c>
      <c r="G235" s="200">
        <f t="shared" ref="G235:G236" si="162">IF(B235&gt;0,(1+(E235/B235))^(1/($C$6-$B$6))-1,0)</f>
        <v>2.5500187098138616E-2</v>
      </c>
    </row>
    <row r="236" spans="1:7" x14ac:dyDescent="0.2">
      <c r="A236" t="str">
        <f t="shared" si="146"/>
        <v>All occupations</v>
      </c>
      <c r="B236" s="11">
        <f>SUM(B210:B235)</f>
        <v>108.45541532556362</v>
      </c>
      <c r="C236" s="11">
        <f t="shared" ref="C236:F236" si="163">SUM(C210:C235)</f>
        <v>93.890909211004171</v>
      </c>
      <c r="D236" s="11">
        <f t="shared" si="163"/>
        <v>-14.564506114559428</v>
      </c>
      <c r="E236" s="11">
        <f t="shared" si="163"/>
        <v>44.087763248390061</v>
      </c>
      <c r="F236" s="11">
        <f t="shared" si="163"/>
        <v>29.523257133830629</v>
      </c>
      <c r="G236" s="200">
        <f t="shared" si="162"/>
        <v>2.3001106187345188E-2</v>
      </c>
    </row>
    <row r="238" spans="1:7" ht="38.25" x14ac:dyDescent="0.2">
      <c r="A238" s="201" t="str">
        <f>CONCATENATE(name!F11," (Constrained)")</f>
        <v>RQF1 GCSE(below grade C) &amp; equivalent (Constrained)</v>
      </c>
      <c r="B238" s="88">
        <f t="shared" ref="B238:G238" si="164">B151</f>
        <v>2020</v>
      </c>
      <c r="C238" s="88">
        <f t="shared" si="164"/>
        <v>2035</v>
      </c>
      <c r="D238" s="88" t="str">
        <f t="shared" si="164"/>
        <v>Net Change</v>
      </c>
      <c r="E238" s="88" t="str">
        <f t="shared" si="164"/>
        <v>Replacement Demand level</v>
      </c>
      <c r="F238" s="88" t="str">
        <f t="shared" si="164"/>
        <v>Total Requirement</v>
      </c>
      <c r="G238" s="88" t="str">
        <f t="shared" si="164"/>
        <v>Replacement Demand rate</v>
      </c>
    </row>
    <row r="239" spans="1:7" x14ac:dyDescent="0.2">
      <c r="A239" t="str">
        <f t="shared" ref="A239:A265" si="165">A152</f>
        <v>11 Corporate managers and directors</v>
      </c>
      <c r="B239" s="11">
        <v>2.0291642224238133</v>
      </c>
      <c r="C239" s="11">
        <v>1.3127876611024298</v>
      </c>
      <c r="D239" s="11">
        <f>C239-B239</f>
        <v>-0.7163765613213835</v>
      </c>
      <c r="E239" s="11">
        <v>0.72616515362260781</v>
      </c>
      <c r="F239" s="11">
        <f>SUM(D239:E239)</f>
        <v>9.7885923012243081E-3</v>
      </c>
      <c r="G239" s="200">
        <f>IF(B239&gt;0,(1+(E239/B239))^(1/($C$6-$B$6))-1,0)</f>
        <v>2.0603582400161358E-2</v>
      </c>
    </row>
    <row r="240" spans="1:7" x14ac:dyDescent="0.2">
      <c r="A240" t="str">
        <f t="shared" si="165"/>
        <v>12 Other managers and proprietors</v>
      </c>
      <c r="B240" s="11">
        <v>1.6756043408706491</v>
      </c>
      <c r="C240" s="11">
        <v>1.4372022170921739</v>
      </c>
      <c r="D240" s="11">
        <f t="shared" ref="D240:D255" si="166">C240-B240</f>
        <v>-0.23840212377847525</v>
      </c>
      <c r="E240" s="11">
        <v>0.80786979914348755</v>
      </c>
      <c r="F240" s="11">
        <f t="shared" ref="F240:F247" si="167">SUM(D240:E240)</f>
        <v>0.5694676753650123</v>
      </c>
      <c r="G240" s="200">
        <f t="shared" ref="G240:G242" si="168">IF(B240&gt;0,(1+(E240/B240))^(1/($C$6-$B$6))-1,0)</f>
        <v>2.6579398049415337E-2</v>
      </c>
    </row>
    <row r="241" spans="1:7" x14ac:dyDescent="0.2">
      <c r="A241" t="str">
        <f t="shared" si="165"/>
        <v>21 Science, research, engineering and technology professionals</v>
      </c>
      <c r="B241" s="11">
        <v>1.2446303958247051</v>
      </c>
      <c r="C241" s="11">
        <v>1.0923053278951242</v>
      </c>
      <c r="D241" s="11">
        <f t="shared" si="166"/>
        <v>-0.15232506792958089</v>
      </c>
      <c r="E241" s="11">
        <v>0.36593964820172559</v>
      </c>
      <c r="F241" s="11">
        <f t="shared" si="167"/>
        <v>0.21361458027214469</v>
      </c>
      <c r="G241" s="200">
        <f t="shared" si="168"/>
        <v>1.7331786622497125E-2</v>
      </c>
    </row>
    <row r="242" spans="1:7" x14ac:dyDescent="0.2">
      <c r="A242" t="str">
        <f t="shared" si="165"/>
        <v>22 Health professionals</v>
      </c>
      <c r="B242" s="11">
        <v>1.0068364295744432</v>
      </c>
      <c r="C242" s="11">
        <v>0.44727478416687</v>
      </c>
      <c r="D242" s="11">
        <f t="shared" si="166"/>
        <v>-0.55956164540757314</v>
      </c>
      <c r="E242" s="11">
        <v>0.29810490792121863</v>
      </c>
      <c r="F242" s="11">
        <f t="shared" si="167"/>
        <v>-0.26145673748635451</v>
      </c>
      <c r="G242" s="200">
        <f t="shared" si="168"/>
        <v>1.7439992704845864E-2</v>
      </c>
    </row>
    <row r="243" spans="1:7" x14ac:dyDescent="0.2">
      <c r="A243" t="str">
        <f t="shared" si="165"/>
        <v>23 Teaching and other educational professionals</v>
      </c>
      <c r="B243" s="11">
        <v>0.51494349283777352</v>
      </c>
      <c r="C243" s="11">
        <v>0.34116609981990825</v>
      </c>
      <c r="D243" s="11">
        <f t="shared" si="166"/>
        <v>-0.17377739301786527</v>
      </c>
      <c r="E243" s="11">
        <v>0.1796515971620864</v>
      </c>
      <c r="F243" s="11">
        <f t="shared" si="167"/>
        <v>5.874204144221129E-3</v>
      </c>
      <c r="G243" s="200">
        <f>IF(B243&gt;0,(1+(E243/B243))^(1/($C$6-$B$6))-1,0)</f>
        <v>2.0151820619478844E-2</v>
      </c>
    </row>
    <row r="244" spans="1:7" x14ac:dyDescent="0.2">
      <c r="A244" t="str">
        <f t="shared" si="165"/>
        <v>24 Business, media and public service professionals</v>
      </c>
      <c r="B244" s="11">
        <v>1.2104142142840084</v>
      </c>
      <c r="C244" s="11">
        <v>0.77207275350683691</v>
      </c>
      <c r="D244" s="11">
        <f t="shared" si="166"/>
        <v>-0.43834146077717151</v>
      </c>
      <c r="E244" s="11">
        <v>0.40467450923023057</v>
      </c>
      <c r="F244" s="11">
        <f t="shared" si="167"/>
        <v>-3.3666951546940938E-2</v>
      </c>
      <c r="G244" s="200">
        <f t="shared" ref="G244:G263" si="169">IF(B244&gt;0,(1+(E244/B244))^(1/($C$6-$B$6))-1,0)</f>
        <v>1.9414542292311099E-2</v>
      </c>
    </row>
    <row r="245" spans="1:7" x14ac:dyDescent="0.2">
      <c r="A245" t="str">
        <f t="shared" si="165"/>
        <v>31 Science, engineering and technology associate professionals</v>
      </c>
      <c r="B245" s="11">
        <v>1.0285630477896444</v>
      </c>
      <c r="C245" s="11">
        <v>0.76521514479412256</v>
      </c>
      <c r="D245" s="11">
        <f t="shared" si="166"/>
        <v>-0.2633479029955218</v>
      </c>
      <c r="E245" s="11">
        <v>0.30418177722528089</v>
      </c>
      <c r="F245" s="11">
        <f t="shared" si="167"/>
        <v>4.0833874229759093E-2</v>
      </c>
      <c r="G245" s="200">
        <f>IF(B245&gt;0,(1+(E245/B245))^(1/($C$6-$B$6))-1,0)</f>
        <v>1.7421878657595924E-2</v>
      </c>
    </row>
    <row r="246" spans="1:7" x14ac:dyDescent="0.2">
      <c r="A246" t="str">
        <f t="shared" si="165"/>
        <v>32 Health and social care associate professionals</v>
      </c>
      <c r="B246" s="11">
        <v>0.40396691963046338</v>
      </c>
      <c r="C246" s="11">
        <v>0.15728659326959724</v>
      </c>
      <c r="D246" s="11">
        <f t="shared" si="166"/>
        <v>-0.24668032636086615</v>
      </c>
      <c r="E246" s="11">
        <v>0.1112695268755983</v>
      </c>
      <c r="F246" s="11">
        <f t="shared" si="167"/>
        <v>-0.13541079948526785</v>
      </c>
      <c r="G246" s="200">
        <f t="shared" si="169"/>
        <v>1.6351778741546363E-2</v>
      </c>
    </row>
    <row r="247" spans="1:7" x14ac:dyDescent="0.2">
      <c r="A247" t="str">
        <f t="shared" si="165"/>
        <v>33 Protective service occupations</v>
      </c>
      <c r="B247" s="11">
        <v>0.76422203440992065</v>
      </c>
      <c r="C247" s="11">
        <v>0.51139601996230488</v>
      </c>
      <c r="D247" s="11">
        <f t="shared" si="166"/>
        <v>-0.25282601444761577</v>
      </c>
      <c r="E247" s="11">
        <v>0.26934409765778317</v>
      </c>
      <c r="F247" s="11">
        <f t="shared" si="167"/>
        <v>1.65180832101674E-2</v>
      </c>
      <c r="G247" s="200">
        <f t="shared" si="169"/>
        <v>2.0331389817979106E-2</v>
      </c>
    </row>
    <row r="248" spans="1:7" x14ac:dyDescent="0.2">
      <c r="A248" t="str">
        <f t="shared" si="165"/>
        <v>34 Culture, media and sports occupations</v>
      </c>
      <c r="B248" s="11">
        <v>0.29802571026515823</v>
      </c>
      <c r="C248" s="11">
        <v>0.11921586892339972</v>
      </c>
      <c r="D248" s="11">
        <f t="shared" si="166"/>
        <v>-0.17880984134175851</v>
      </c>
      <c r="E248" s="11">
        <v>6.8766197159272346E-2</v>
      </c>
      <c r="F248" s="11">
        <f t="shared" ref="F248:F249" si="170">SUM(D248:E248)</f>
        <v>-0.11004364418248616</v>
      </c>
      <c r="G248" s="200">
        <f t="shared" si="169"/>
        <v>1.3937224603285614E-2</v>
      </c>
    </row>
    <row r="249" spans="1:7" x14ac:dyDescent="0.2">
      <c r="A249" t="str">
        <f t="shared" si="165"/>
        <v>35 Business and public service associate professionals</v>
      </c>
      <c r="B249" s="11">
        <v>1.6621036205748383</v>
      </c>
      <c r="C249" s="11">
        <v>0.82781184259721441</v>
      </c>
      <c r="D249" s="11">
        <f t="shared" si="166"/>
        <v>-0.83429177797762388</v>
      </c>
      <c r="E249" s="11">
        <v>0.43423329702638336</v>
      </c>
      <c r="F249" s="11">
        <f t="shared" si="170"/>
        <v>-0.40005848095124052</v>
      </c>
      <c r="G249" s="200">
        <f t="shared" si="169"/>
        <v>1.5594169967609872E-2</v>
      </c>
    </row>
    <row r="250" spans="1:7" x14ac:dyDescent="0.2">
      <c r="A250" t="str">
        <f t="shared" si="165"/>
        <v>41 Administrative occupations</v>
      </c>
      <c r="B250" s="11">
        <v>4.0763821658184796</v>
      </c>
      <c r="C250" s="11">
        <v>1.0322596421697885</v>
      </c>
      <c r="D250" s="11">
        <f t="shared" si="166"/>
        <v>-3.0441225236486913</v>
      </c>
      <c r="E250" s="11">
        <v>0.83136732159301963</v>
      </c>
      <c r="F250" s="11">
        <f t="shared" ref="F250:F253" si="171">SUM(D250:E250)</f>
        <v>-2.2127552020556718</v>
      </c>
      <c r="G250" s="200">
        <f t="shared" si="169"/>
        <v>1.2450578577174021E-2</v>
      </c>
    </row>
    <row r="251" spans="1:7" x14ac:dyDescent="0.2">
      <c r="A251" t="str">
        <f t="shared" si="165"/>
        <v>42 Secretarial and related occupations</v>
      </c>
      <c r="B251" s="11">
        <v>1.5944872953321207</v>
      </c>
      <c r="C251" s="11">
        <v>0.22978250689487362</v>
      </c>
      <c r="D251" s="11">
        <f t="shared" si="166"/>
        <v>-1.3647047884372472</v>
      </c>
      <c r="E251" s="11">
        <v>0.35001273529564397</v>
      </c>
      <c r="F251" s="11">
        <f t="shared" si="171"/>
        <v>-1.0146920531416033</v>
      </c>
      <c r="G251" s="200">
        <f t="shared" si="169"/>
        <v>1.3318082746627047E-2</v>
      </c>
    </row>
    <row r="252" spans="1:7" x14ac:dyDescent="0.2">
      <c r="A252" t="str">
        <f t="shared" si="165"/>
        <v>51 Skilled agricultural and related trades</v>
      </c>
      <c r="B252" s="11">
        <v>0.62529450429837741</v>
      </c>
      <c r="C252" s="11">
        <v>0.749236205313069</v>
      </c>
      <c r="D252" s="11">
        <f t="shared" si="166"/>
        <v>0.1239417010146916</v>
      </c>
      <c r="E252" s="11">
        <v>0.32171299914829954</v>
      </c>
      <c r="F252" s="11">
        <f t="shared" si="171"/>
        <v>0.44565470016299114</v>
      </c>
      <c r="G252" s="200">
        <f t="shared" si="169"/>
        <v>2.8058718666732041E-2</v>
      </c>
    </row>
    <row r="253" spans="1:7" x14ac:dyDescent="0.2">
      <c r="A253" t="str">
        <f t="shared" si="165"/>
        <v>52 Skilled metal, electrical and electronic trades</v>
      </c>
      <c r="B253" s="11">
        <v>1.6444347789505251</v>
      </c>
      <c r="C253" s="11">
        <v>0.83941921043034062</v>
      </c>
      <c r="D253" s="11">
        <f t="shared" si="166"/>
        <v>-0.80501556852018452</v>
      </c>
      <c r="E253" s="11">
        <v>0.49919258496059321</v>
      </c>
      <c r="F253" s="11">
        <f t="shared" si="171"/>
        <v>-0.30582298355959131</v>
      </c>
      <c r="G253" s="200">
        <f t="shared" si="169"/>
        <v>1.7830613890642111E-2</v>
      </c>
    </row>
    <row r="254" spans="1:7" x14ac:dyDescent="0.2">
      <c r="A254" t="str">
        <f t="shared" si="165"/>
        <v>53 Skilled construction and building trades</v>
      </c>
      <c r="B254" s="11">
        <v>1.7546091812086089</v>
      </c>
      <c r="C254" s="11">
        <v>1.3225626996364446</v>
      </c>
      <c r="D254" s="11">
        <f t="shared" si="166"/>
        <v>-0.4320464815721643</v>
      </c>
      <c r="E254" s="11">
        <v>0.67518286552941376</v>
      </c>
      <c r="F254" s="11">
        <f t="shared" ref="F254" si="172">SUM(D254:E254)</f>
        <v>0.24313638395724946</v>
      </c>
      <c r="G254" s="200">
        <f t="shared" si="169"/>
        <v>2.1941213262805181E-2</v>
      </c>
    </row>
    <row r="255" spans="1:7" x14ac:dyDescent="0.2">
      <c r="A255" t="str">
        <f t="shared" si="165"/>
        <v>54 Textiles, printing and other skilled trades</v>
      </c>
      <c r="B255" s="11">
        <v>1.41321697811991</v>
      </c>
      <c r="C255" s="11">
        <v>0.86052936841669436</v>
      </c>
      <c r="D255" s="11">
        <f t="shared" si="166"/>
        <v>-0.55268760970321562</v>
      </c>
      <c r="E255" s="11">
        <v>0.44224562324716754</v>
      </c>
      <c r="F255" s="11">
        <f t="shared" ref="F255" si="173">SUM(D255:E255)</f>
        <v>-0.11044198645604808</v>
      </c>
      <c r="G255" s="200">
        <f t="shared" si="169"/>
        <v>1.8316757448531451E-2</v>
      </c>
    </row>
    <row r="256" spans="1:7" x14ac:dyDescent="0.2">
      <c r="A256" t="str">
        <f t="shared" si="165"/>
        <v>61 Caring personal service occupations</v>
      </c>
      <c r="B256" s="11">
        <v>1.2457354572102439</v>
      </c>
      <c r="C256" s="11">
        <v>0.79094039684653028</v>
      </c>
      <c r="D256" s="11">
        <f>C256-B256</f>
        <v>-0.45479506036371364</v>
      </c>
      <c r="E256" s="11">
        <v>0.30903867918599343</v>
      </c>
      <c r="F256" s="11">
        <f>SUM(D256:E256)</f>
        <v>-0.14575638117772022</v>
      </c>
      <c r="G256" s="200">
        <f t="shared" si="169"/>
        <v>1.4883282630312245E-2</v>
      </c>
    </row>
    <row r="257" spans="1:7" x14ac:dyDescent="0.2">
      <c r="A257" t="str">
        <f t="shared" si="165"/>
        <v>62 Leisure, travel and related personal service occupations</v>
      </c>
      <c r="B257" s="11">
        <v>1.5770960339757798</v>
      </c>
      <c r="C257" s="11">
        <v>0.94827977803194807</v>
      </c>
      <c r="D257" s="11">
        <f t="shared" ref="D257:D263" si="174">C257-B257</f>
        <v>-0.62881625594383173</v>
      </c>
      <c r="E257" s="11">
        <v>0.53943460312281322</v>
      </c>
      <c r="F257" s="11">
        <f t="shared" ref="F257:F258" si="175">SUM(D257:E257)</f>
        <v>-8.9381652821018509E-2</v>
      </c>
      <c r="G257" s="200">
        <f t="shared" si="169"/>
        <v>1.9806466157532787E-2</v>
      </c>
    </row>
    <row r="258" spans="1:7" x14ac:dyDescent="0.2">
      <c r="A258" t="str">
        <f t="shared" si="165"/>
        <v>63 Community and civil enforcement occupations</v>
      </c>
      <c r="B258" s="11">
        <v>0.1167202365727041</v>
      </c>
      <c r="C258" s="11">
        <v>7.9690632576770157E-2</v>
      </c>
      <c r="D258" s="11">
        <f t="shared" si="174"/>
        <v>-3.7029603995933941E-2</v>
      </c>
      <c r="E258" s="11">
        <v>3.9275665140175844E-2</v>
      </c>
      <c r="F258" s="11">
        <f t="shared" si="175"/>
        <v>2.2460611442419037E-3</v>
      </c>
      <c r="G258" s="200">
        <f t="shared" si="169"/>
        <v>1.9524817602853517E-2</v>
      </c>
    </row>
    <row r="259" spans="1:7" x14ac:dyDescent="0.2">
      <c r="A259" t="str">
        <f t="shared" si="165"/>
        <v>71 Sales occupations</v>
      </c>
      <c r="B259" s="11">
        <v>6.6139820606109803</v>
      </c>
      <c r="C259" s="11">
        <v>2.4810635600472271</v>
      </c>
      <c r="D259" s="11">
        <f t="shared" si="174"/>
        <v>-4.1329185005637532</v>
      </c>
      <c r="E259" s="11">
        <v>1.8204607207995107</v>
      </c>
      <c r="F259" s="11">
        <f t="shared" ref="F259:F260" si="176">SUM(D259:E259)</f>
        <v>-2.3124577797642427</v>
      </c>
      <c r="G259" s="200">
        <f t="shared" si="169"/>
        <v>1.6341264912987485E-2</v>
      </c>
    </row>
    <row r="260" spans="1:7" x14ac:dyDescent="0.2">
      <c r="A260" t="str">
        <f t="shared" si="165"/>
        <v>72 Customer service occupations</v>
      </c>
      <c r="B260" s="11">
        <v>0.93312535828609322</v>
      </c>
      <c r="C260" s="11">
        <v>1.0278220325295047</v>
      </c>
      <c r="D260" s="11">
        <f t="shared" si="174"/>
        <v>9.4696674243411438E-2</v>
      </c>
      <c r="E260" s="11">
        <v>0.34987183222703583</v>
      </c>
      <c r="F260" s="11">
        <f t="shared" si="176"/>
        <v>0.44456850647044727</v>
      </c>
      <c r="G260" s="200">
        <f t="shared" si="169"/>
        <v>2.1454550624635749E-2</v>
      </c>
    </row>
    <row r="261" spans="1:7" x14ac:dyDescent="0.2">
      <c r="A261" t="str">
        <f t="shared" si="165"/>
        <v>81 Process, plant and machine operatives</v>
      </c>
      <c r="B261" s="11">
        <v>2.9118356364058884</v>
      </c>
      <c r="C261" s="11">
        <v>1.34638997734846</v>
      </c>
      <c r="D261" s="11">
        <f t="shared" si="174"/>
        <v>-1.5654456590574284</v>
      </c>
      <c r="E261" s="11">
        <v>0.86840775388517066</v>
      </c>
      <c r="F261" s="11">
        <f t="shared" ref="F261:F262" si="177">SUM(D261:E261)</f>
        <v>-0.69703790517225772</v>
      </c>
      <c r="G261" s="200">
        <f t="shared" si="169"/>
        <v>1.7552581437991099E-2</v>
      </c>
    </row>
    <row r="262" spans="1:7" x14ac:dyDescent="0.2">
      <c r="A262" t="str">
        <f t="shared" si="165"/>
        <v>82 Transport and mobile machine drivers and operatives</v>
      </c>
      <c r="B262" s="11">
        <v>3.7633327886879875</v>
      </c>
      <c r="C262" s="11">
        <v>2.4872115805638066</v>
      </c>
      <c r="D262" s="11">
        <f t="shared" si="174"/>
        <v>-1.2761212081241808</v>
      </c>
      <c r="E262" s="11">
        <v>1.5505137665064146</v>
      </c>
      <c r="F262" s="11">
        <f t="shared" si="177"/>
        <v>0.27439255838223375</v>
      </c>
      <c r="G262" s="200">
        <f t="shared" si="169"/>
        <v>2.3267291755941555E-2</v>
      </c>
    </row>
    <row r="263" spans="1:7" x14ac:dyDescent="0.2">
      <c r="A263" t="str">
        <f t="shared" si="165"/>
        <v>91 Elementary trades and related occupations</v>
      </c>
      <c r="B263" s="11">
        <v>1.8112783664148571</v>
      </c>
      <c r="C263" s="11">
        <v>1.0514438630051333</v>
      </c>
      <c r="D263" s="11">
        <f t="shared" si="174"/>
        <v>-0.7598345034097238</v>
      </c>
      <c r="E263" s="11">
        <v>0.49483699258980579</v>
      </c>
      <c r="F263" s="11">
        <f t="shared" ref="F263" si="178">SUM(D263:E263)</f>
        <v>-0.26499751081991801</v>
      </c>
      <c r="G263" s="200">
        <f t="shared" si="169"/>
        <v>1.6232442211949749E-2</v>
      </c>
    </row>
    <row r="264" spans="1:7" x14ac:dyDescent="0.2">
      <c r="A264" t="str">
        <f t="shared" si="165"/>
        <v>92 Elementary administration and service occupations</v>
      </c>
      <c r="B264" s="11">
        <v>10.506256056874514</v>
      </c>
      <c r="C264" s="11">
        <v>7.5179761683239592</v>
      </c>
      <c r="D264" s="11">
        <f t="shared" ref="D264" si="179">C264-B264</f>
        <v>-2.9882798885505553</v>
      </c>
      <c r="E264" s="11">
        <v>3.7839532027298461</v>
      </c>
      <c r="F264" s="11">
        <f>SUM(D264:E264)</f>
        <v>0.79567331417929088</v>
      </c>
      <c r="G264" s="200">
        <f t="shared" ref="G264:G265" si="180">IF(B264&gt;0,(1+(E264/B264))^(1/($C$6-$B$6))-1,0)</f>
        <v>2.0718627572576143E-2</v>
      </c>
    </row>
    <row r="265" spans="1:7" x14ac:dyDescent="0.2">
      <c r="A265" t="str">
        <f t="shared" si="165"/>
        <v>All occupations</v>
      </c>
      <c r="B265" s="11">
        <f>SUM(B239:B264)</f>
        <v>52.426261327252483</v>
      </c>
      <c r="C265" s="11">
        <f t="shared" ref="C265:F265" si="181">SUM(C239:C264)</f>
        <v>30.548341935264528</v>
      </c>
      <c r="D265" s="11">
        <f t="shared" si="181"/>
        <v>-21.877919391987955</v>
      </c>
      <c r="E265" s="11">
        <f t="shared" si="181"/>
        <v>16.845707857186579</v>
      </c>
      <c r="F265" s="11">
        <f t="shared" si="181"/>
        <v>-5.0322115348013785</v>
      </c>
      <c r="G265" s="200">
        <f t="shared" si="180"/>
        <v>1.8749111619971393E-2</v>
      </c>
    </row>
    <row r="267" spans="1:7" ht="38.25" x14ac:dyDescent="0.2">
      <c r="A267" s="201" t="str">
        <f>CONCATENATE(name!F12," (Constrained)")</f>
        <v>No Qualification (Constrained)</v>
      </c>
      <c r="B267" s="88">
        <f t="shared" ref="B267:G267" si="182">B180</f>
        <v>2020</v>
      </c>
      <c r="C267" s="88">
        <f t="shared" si="182"/>
        <v>2035</v>
      </c>
      <c r="D267" s="88" t="str">
        <f t="shared" si="182"/>
        <v>Net Change</v>
      </c>
      <c r="E267" s="88" t="str">
        <f t="shared" si="182"/>
        <v>Replacement Demand level</v>
      </c>
      <c r="F267" s="88" t="str">
        <f t="shared" si="182"/>
        <v>Total Requirement</v>
      </c>
      <c r="G267" s="88" t="str">
        <f t="shared" si="182"/>
        <v>Replacement Demand rate</v>
      </c>
    </row>
    <row r="268" spans="1:7" x14ac:dyDescent="0.2">
      <c r="A268" t="str">
        <f t="shared" ref="A268:A294" si="183">A181</f>
        <v>11 Corporate managers and directors</v>
      </c>
      <c r="B268" s="11">
        <v>0.54661260737156048</v>
      </c>
      <c r="C268" s="11">
        <v>0.51536551563924482</v>
      </c>
      <c r="D268" s="11">
        <f>C268-B268</f>
        <v>-3.1247091732315657E-2</v>
      </c>
      <c r="E268" s="11">
        <v>0.18808229990053243</v>
      </c>
      <c r="F268" s="11">
        <f>SUM(D268:E268)</f>
        <v>0.15683520816821678</v>
      </c>
      <c r="G268" s="200">
        <f>IF(B268&gt;0,(1+(E268/B268))^(1/($C$6-$B$6))-1,0)</f>
        <v>1.9909942949574821E-2</v>
      </c>
    </row>
    <row r="269" spans="1:7" x14ac:dyDescent="0.2">
      <c r="A269" t="str">
        <f t="shared" si="183"/>
        <v>12 Other managers and proprietors</v>
      </c>
      <c r="B269" s="11">
        <v>0.55920271825084833</v>
      </c>
      <c r="C269" s="11">
        <v>0.62703557362000883</v>
      </c>
      <c r="D269" s="11">
        <f t="shared" ref="D269:D284" si="184">C269-B269</f>
        <v>6.7832855369160505E-2</v>
      </c>
      <c r="E269" s="11">
        <v>0.22954978214813093</v>
      </c>
      <c r="F269" s="11">
        <f t="shared" ref="F269:F276" si="185">SUM(D269:E269)</f>
        <v>0.29738263751729144</v>
      </c>
      <c r="G269" s="200">
        <f t="shared" ref="G269:G271" si="186">IF(B269&gt;0,(1+(E269/B269))^(1/($C$6-$B$6))-1,0)</f>
        <v>2.3194267559853099E-2</v>
      </c>
    </row>
    <row r="270" spans="1:7" x14ac:dyDescent="0.2">
      <c r="A270" t="str">
        <f t="shared" si="183"/>
        <v>21 Science, research, engineering and technology professionals</v>
      </c>
      <c r="B270" s="11">
        <v>0.27733029223187555</v>
      </c>
      <c r="C270" s="11">
        <v>0.29034720576545742</v>
      </c>
      <c r="D270" s="11">
        <f t="shared" si="184"/>
        <v>1.3016913533581864E-2</v>
      </c>
      <c r="E270" s="11">
        <v>9.8502987951029755E-2</v>
      </c>
      <c r="F270" s="11">
        <f t="shared" si="185"/>
        <v>0.11151990148461162</v>
      </c>
      <c r="G270" s="200">
        <f t="shared" si="186"/>
        <v>2.0469106918000302E-2</v>
      </c>
    </row>
    <row r="271" spans="1:7" x14ac:dyDescent="0.2">
      <c r="A271" t="str">
        <f t="shared" si="183"/>
        <v>22 Health professionals</v>
      </c>
      <c r="B271" s="11">
        <v>0.16676797871926174</v>
      </c>
      <c r="C271" s="11">
        <v>0.21090505649431895</v>
      </c>
      <c r="D271" s="11">
        <f t="shared" si="184"/>
        <v>4.413707777505721E-2</v>
      </c>
      <c r="E271" s="11">
        <v>7.5196946745585455E-2</v>
      </c>
      <c r="F271" s="11">
        <f t="shared" si="185"/>
        <v>0.11933402452064266</v>
      </c>
      <c r="G271" s="200">
        <f t="shared" si="186"/>
        <v>2.5123013757317292E-2</v>
      </c>
    </row>
    <row r="272" spans="1:7" x14ac:dyDescent="0.2">
      <c r="A272" t="str">
        <f t="shared" si="183"/>
        <v>23 Teaching and other educational professionals</v>
      </c>
      <c r="B272" s="11">
        <v>0.12863133376919597</v>
      </c>
      <c r="C272" s="11">
        <v>0.16102889204868279</v>
      </c>
      <c r="D272" s="11">
        <f t="shared" si="184"/>
        <v>3.2397558279486816E-2</v>
      </c>
      <c r="E272" s="11">
        <v>5.9215978838985564E-2</v>
      </c>
      <c r="F272" s="11">
        <f t="shared" si="185"/>
        <v>9.161353711847238E-2</v>
      </c>
      <c r="G272" s="200">
        <f>IF(B272&gt;0,(1+(E272/B272))^(1/($C$6-$B$6))-1,0)</f>
        <v>2.5566629093441984E-2</v>
      </c>
    </row>
    <row r="273" spans="1:7" x14ac:dyDescent="0.2">
      <c r="A273" t="str">
        <f t="shared" si="183"/>
        <v>24 Business, media and public service professionals</v>
      </c>
      <c r="B273" s="11">
        <v>0.37100520215712196</v>
      </c>
      <c r="C273" s="11">
        <v>0.45689818767531298</v>
      </c>
      <c r="D273" s="11">
        <f t="shared" si="184"/>
        <v>8.5892985518191023E-2</v>
      </c>
      <c r="E273" s="11">
        <v>0.16358609184031822</v>
      </c>
      <c r="F273" s="11">
        <f t="shared" si="185"/>
        <v>0.24947907735850924</v>
      </c>
      <c r="G273" s="200">
        <f t="shared" ref="G273" si="187">IF(B273&gt;0,(1+(E273/B273))^(1/($C$6-$B$6))-1,0)</f>
        <v>2.4651371053730164E-2</v>
      </c>
    </row>
    <row r="274" spans="1:7" x14ac:dyDescent="0.2">
      <c r="A274" t="str">
        <f t="shared" si="183"/>
        <v>31 Science, engineering and technology associate professionals</v>
      </c>
      <c r="B274" s="11">
        <v>0.19571628307944552</v>
      </c>
      <c r="C274" s="11">
        <v>0.21624037014545908</v>
      </c>
      <c r="D274" s="11">
        <f t="shared" si="184"/>
        <v>2.0524087066013552E-2</v>
      </c>
      <c r="E274" s="11">
        <v>7.7111267441301867E-2</v>
      </c>
      <c r="F274" s="11">
        <f t="shared" si="185"/>
        <v>9.7635354507315419E-2</v>
      </c>
      <c r="G274" s="200">
        <f>IF(B274&gt;0,(1+(E274/B274))^(1/($C$6-$B$6))-1,0)</f>
        <v>2.2391941315994979E-2</v>
      </c>
    </row>
    <row r="275" spans="1:7" x14ac:dyDescent="0.2">
      <c r="A275" t="str">
        <f t="shared" si="183"/>
        <v>32 Health and social care associate professionals</v>
      </c>
      <c r="B275" s="11">
        <v>7.653489064252314E-2</v>
      </c>
      <c r="C275" s="11">
        <v>8.4694096915339787E-2</v>
      </c>
      <c r="D275" s="11">
        <f t="shared" si="184"/>
        <v>8.1592062728166465E-3</v>
      </c>
      <c r="E275" s="11">
        <v>3.2350491746854462E-2</v>
      </c>
      <c r="F275" s="11">
        <f t="shared" si="185"/>
        <v>4.0509698019671109E-2</v>
      </c>
      <c r="G275" s="200">
        <f t="shared" ref="G275:G292" si="188">IF(B275&gt;0,(1+(E275/B275))^(1/($C$6-$B$6))-1,0)</f>
        <v>2.3781649706778207E-2</v>
      </c>
    </row>
    <row r="276" spans="1:7" x14ac:dyDescent="0.2">
      <c r="A276" t="str">
        <f t="shared" si="183"/>
        <v>33 Protective service occupations</v>
      </c>
      <c r="B276" s="11">
        <v>0.11335893604988947</v>
      </c>
      <c r="C276" s="11">
        <v>8.6510457337601765E-2</v>
      </c>
      <c r="D276" s="11">
        <f t="shared" si="184"/>
        <v>-2.684847871228771E-2</v>
      </c>
      <c r="E276" s="11">
        <v>2.3154761401531606E-2</v>
      </c>
      <c r="F276" s="11">
        <f t="shared" si="185"/>
        <v>-3.693717310756104E-3</v>
      </c>
      <c r="G276" s="200">
        <f t="shared" si="188"/>
        <v>1.2468136956943043E-2</v>
      </c>
    </row>
    <row r="277" spans="1:7" x14ac:dyDescent="0.2">
      <c r="A277" t="str">
        <f t="shared" si="183"/>
        <v>34 Culture, media and sports occupations</v>
      </c>
      <c r="B277" s="11">
        <v>0.12943598380104196</v>
      </c>
      <c r="C277" s="11">
        <v>0.20328727877938838</v>
      </c>
      <c r="D277" s="11">
        <f t="shared" si="184"/>
        <v>7.3851294978346416E-2</v>
      </c>
      <c r="E277" s="11">
        <v>5.5015398069763126E-2</v>
      </c>
      <c r="F277" s="11">
        <f t="shared" ref="F277:F278" si="189">SUM(D277:E277)</f>
        <v>0.12886669304810955</v>
      </c>
      <c r="G277" s="200">
        <f t="shared" si="188"/>
        <v>2.3894300752712372E-2</v>
      </c>
    </row>
    <row r="278" spans="1:7" x14ac:dyDescent="0.2">
      <c r="A278" t="str">
        <f t="shared" si="183"/>
        <v>35 Business and public service associate professionals</v>
      </c>
      <c r="B278" s="11">
        <v>0.41168348638679236</v>
      </c>
      <c r="C278" s="11">
        <v>0.43930585362542923</v>
      </c>
      <c r="D278" s="11">
        <f t="shared" si="184"/>
        <v>2.7622367238636869E-2</v>
      </c>
      <c r="E278" s="11">
        <v>0.14851972093089247</v>
      </c>
      <c r="F278" s="11">
        <f t="shared" si="189"/>
        <v>0.17614208816952934</v>
      </c>
      <c r="G278" s="200">
        <f t="shared" si="188"/>
        <v>2.0748639182981421E-2</v>
      </c>
    </row>
    <row r="279" spans="1:7" x14ac:dyDescent="0.2">
      <c r="A279" t="str">
        <f t="shared" si="183"/>
        <v>41 Administrative occupations</v>
      </c>
      <c r="B279" s="11">
        <v>1.2384000719676183</v>
      </c>
      <c r="C279" s="11">
        <v>1.1493817598071303</v>
      </c>
      <c r="D279" s="11">
        <f t="shared" si="184"/>
        <v>-8.9018312160487945E-2</v>
      </c>
      <c r="E279" s="11">
        <v>0.41798684646564443</v>
      </c>
      <c r="F279" s="11">
        <f t="shared" ref="F279:F282" si="190">SUM(D279:E279)</f>
        <v>0.32896853430515649</v>
      </c>
      <c r="G279" s="200">
        <f t="shared" si="188"/>
        <v>1.957705859908665E-2</v>
      </c>
    </row>
    <row r="280" spans="1:7" x14ac:dyDescent="0.2">
      <c r="A280" t="str">
        <f t="shared" si="183"/>
        <v>42 Secretarial and related occupations</v>
      </c>
      <c r="B280" s="11">
        <v>0.47420093793176832</v>
      </c>
      <c r="C280" s="11">
        <v>0.56884598464309877</v>
      </c>
      <c r="D280" s="11">
        <f t="shared" si="184"/>
        <v>9.4645046711330449E-2</v>
      </c>
      <c r="E280" s="11">
        <v>0.28508961879703215</v>
      </c>
      <c r="F280" s="11">
        <f t="shared" si="190"/>
        <v>0.3797346655083626</v>
      </c>
      <c r="G280" s="200">
        <f t="shared" si="188"/>
        <v>3.1881214134540592E-2</v>
      </c>
    </row>
    <row r="281" spans="1:7" x14ac:dyDescent="0.2">
      <c r="A281" t="str">
        <f t="shared" si="183"/>
        <v>51 Skilled agricultural and related trades</v>
      </c>
      <c r="B281" s="11">
        <v>0.47390901410616548</v>
      </c>
      <c r="C281" s="11">
        <v>0.21459955984913248</v>
      </c>
      <c r="D281" s="11">
        <f t="shared" si="184"/>
        <v>-0.259309454257033</v>
      </c>
      <c r="E281" s="11">
        <v>0.14222307676582166</v>
      </c>
      <c r="F281" s="11">
        <f t="shared" si="190"/>
        <v>-0.11708637749121134</v>
      </c>
      <c r="G281" s="200">
        <f t="shared" si="188"/>
        <v>1.7650360222473349E-2</v>
      </c>
    </row>
    <row r="282" spans="1:7" x14ac:dyDescent="0.2">
      <c r="A282" t="str">
        <f t="shared" si="183"/>
        <v>52 Skilled metal, electrical and electronic trades</v>
      </c>
      <c r="B282" s="11">
        <v>0.6250290967893728</v>
      </c>
      <c r="C282" s="11">
        <v>0.35171957669395348</v>
      </c>
      <c r="D282" s="11">
        <f t="shared" si="184"/>
        <v>-0.27330952009541931</v>
      </c>
      <c r="E282" s="11">
        <v>0.17364784915202863</v>
      </c>
      <c r="F282" s="11">
        <f t="shared" si="190"/>
        <v>-9.9661670943390679E-2</v>
      </c>
      <c r="G282" s="200">
        <f t="shared" si="188"/>
        <v>1.6478181144279347E-2</v>
      </c>
    </row>
    <row r="283" spans="1:7" x14ac:dyDescent="0.2">
      <c r="A283" t="str">
        <f t="shared" si="183"/>
        <v>53 Skilled construction and building trades</v>
      </c>
      <c r="B283" s="11">
        <v>0.91736049705249578</v>
      </c>
      <c r="C283" s="11">
        <v>0.11297749065175056</v>
      </c>
      <c r="D283" s="11">
        <f t="shared" si="184"/>
        <v>-0.80438300640074523</v>
      </c>
      <c r="E283" s="11">
        <v>0.14215641865652459</v>
      </c>
      <c r="F283" s="11">
        <f t="shared" ref="F283" si="191">SUM(D283:E283)</f>
        <v>-0.66222658774422061</v>
      </c>
      <c r="G283" s="200">
        <f t="shared" si="188"/>
        <v>9.6507928870976922E-3</v>
      </c>
    </row>
    <row r="284" spans="1:7" x14ac:dyDescent="0.2">
      <c r="A284" t="str">
        <f t="shared" si="183"/>
        <v>54 Textiles, printing and other skilled trades</v>
      </c>
      <c r="B284" s="11">
        <v>0.72214587838580624</v>
      </c>
      <c r="C284" s="11">
        <v>0.45699584194852783</v>
      </c>
      <c r="D284" s="11">
        <f t="shared" si="184"/>
        <v>-0.26515003643727841</v>
      </c>
      <c r="E284" s="11">
        <v>0.19700993950828088</v>
      </c>
      <c r="F284" s="11">
        <f t="shared" ref="F284" si="192">SUM(D284:E284)</f>
        <v>-6.8140096928997529E-2</v>
      </c>
      <c r="G284" s="200">
        <f t="shared" si="188"/>
        <v>1.6211909309341355E-2</v>
      </c>
    </row>
    <row r="285" spans="1:7" x14ac:dyDescent="0.2">
      <c r="A285" t="str">
        <f t="shared" si="183"/>
        <v>61 Caring personal service occupations</v>
      </c>
      <c r="B285" s="11">
        <v>0.38482804697592632</v>
      </c>
      <c r="C285" s="11">
        <v>0.42265183116480171</v>
      </c>
      <c r="D285" s="11">
        <f>C285-B285</f>
        <v>3.7823784188875387E-2</v>
      </c>
      <c r="E285" s="11">
        <v>0.12806742198855725</v>
      </c>
      <c r="F285" s="11">
        <f>SUM(D285:E285)</f>
        <v>0.16589120617743264</v>
      </c>
      <c r="G285" s="200">
        <f t="shared" si="188"/>
        <v>1.9336267273669216E-2</v>
      </c>
    </row>
    <row r="286" spans="1:7" x14ac:dyDescent="0.2">
      <c r="A286" t="str">
        <f t="shared" si="183"/>
        <v>62 Leisure, travel and related personal service occupations</v>
      </c>
      <c r="B286" s="11">
        <v>0.55529456629512897</v>
      </c>
      <c r="C286" s="11">
        <v>0.35499256202314117</v>
      </c>
      <c r="D286" s="11">
        <f t="shared" ref="D286:D292" si="193">C286-B286</f>
        <v>-0.2003020042719878</v>
      </c>
      <c r="E286" s="11">
        <v>0.14726702747129297</v>
      </c>
      <c r="F286" s="11">
        <f t="shared" ref="F286:F287" si="194">SUM(D286:E286)</f>
        <v>-5.3034976800694827E-2</v>
      </c>
      <c r="G286" s="200">
        <f t="shared" si="188"/>
        <v>1.5805902595207755E-2</v>
      </c>
    </row>
    <row r="287" spans="1:7" x14ac:dyDescent="0.2">
      <c r="A287" t="str">
        <f t="shared" si="183"/>
        <v>63 Community and civil enforcement occupations</v>
      </c>
      <c r="B287" s="11">
        <v>3.3374728564537125E-2</v>
      </c>
      <c r="C287" s="11">
        <v>1.1117373907575303E-2</v>
      </c>
      <c r="D287" s="11">
        <f t="shared" si="193"/>
        <v>-2.2257354656961822E-2</v>
      </c>
      <c r="E287" s="11">
        <v>4.6241680507253004E-3</v>
      </c>
      <c r="F287" s="11">
        <f t="shared" si="194"/>
        <v>-1.7633186606236521E-2</v>
      </c>
      <c r="G287" s="200">
        <f t="shared" si="188"/>
        <v>8.6880666718003319E-3</v>
      </c>
    </row>
    <row r="288" spans="1:7" x14ac:dyDescent="0.2">
      <c r="A288" t="str">
        <f t="shared" si="183"/>
        <v>71 Sales occupations</v>
      </c>
      <c r="B288" s="11">
        <v>2.4835491454295355</v>
      </c>
      <c r="C288" s="11">
        <v>0.96129510392351525</v>
      </c>
      <c r="D288" s="11">
        <f t="shared" si="193"/>
        <v>-1.5222540415060202</v>
      </c>
      <c r="E288" s="11">
        <v>0.5316772555207453</v>
      </c>
      <c r="F288" s="11">
        <f t="shared" ref="F288:F289" si="195">SUM(D288:E288)</f>
        <v>-0.99057678598527488</v>
      </c>
      <c r="G288" s="200">
        <f t="shared" si="188"/>
        <v>1.3016403691807676E-2</v>
      </c>
    </row>
    <row r="289" spans="1:7" x14ac:dyDescent="0.2">
      <c r="A289" t="str">
        <f t="shared" si="183"/>
        <v>72 Customer service occupations</v>
      </c>
      <c r="B289" s="11">
        <v>0.34328225535001733</v>
      </c>
      <c r="C289" s="11">
        <v>0.56158167362192424</v>
      </c>
      <c r="D289" s="11">
        <f t="shared" si="193"/>
        <v>0.21829941827190691</v>
      </c>
      <c r="E289" s="11">
        <v>0.19971506739677078</v>
      </c>
      <c r="F289" s="11">
        <f t="shared" si="195"/>
        <v>0.41801448566867772</v>
      </c>
      <c r="G289" s="200">
        <f t="shared" si="188"/>
        <v>3.1042155238632629E-2</v>
      </c>
    </row>
    <row r="290" spans="1:7" x14ac:dyDescent="0.2">
      <c r="A290" t="str">
        <f t="shared" si="183"/>
        <v>81 Process, plant and machine operatives</v>
      </c>
      <c r="B290" s="11">
        <v>1.4847258444894542</v>
      </c>
      <c r="C290" s="11">
        <v>0.33155857172158859</v>
      </c>
      <c r="D290" s="11">
        <f t="shared" si="193"/>
        <v>-1.1531672727678657</v>
      </c>
      <c r="E290" s="11">
        <v>0.20631322741793309</v>
      </c>
      <c r="F290" s="11">
        <f t="shared" ref="F290:F291" si="196">SUM(D290:E290)</f>
        <v>-0.94685404534993256</v>
      </c>
      <c r="G290" s="200">
        <f t="shared" si="188"/>
        <v>8.7119323570332696E-3</v>
      </c>
    </row>
    <row r="291" spans="1:7" x14ac:dyDescent="0.2">
      <c r="A291" t="str">
        <f t="shared" si="183"/>
        <v>82 Transport and mobile machine drivers and operatives</v>
      </c>
      <c r="B291" s="11">
        <v>1.9695101886441775</v>
      </c>
      <c r="C291" s="11">
        <v>0.52059231667613559</v>
      </c>
      <c r="D291" s="11">
        <f t="shared" si="193"/>
        <v>-1.448917871968042</v>
      </c>
      <c r="E291" s="11">
        <v>0.47276892010821464</v>
      </c>
      <c r="F291" s="11">
        <f t="shared" si="196"/>
        <v>-0.97614895185982742</v>
      </c>
      <c r="G291" s="200">
        <f t="shared" si="188"/>
        <v>1.4446475270710746E-2</v>
      </c>
    </row>
    <row r="292" spans="1:7" x14ac:dyDescent="0.2">
      <c r="A292" t="str">
        <f t="shared" si="183"/>
        <v>91 Elementary trades and related occupations</v>
      </c>
      <c r="B292" s="11">
        <v>0.91523230898972074</v>
      </c>
      <c r="C292" s="11">
        <v>0.35998602034072619</v>
      </c>
      <c r="D292" s="11">
        <f t="shared" si="193"/>
        <v>-0.55524628864899461</v>
      </c>
      <c r="E292" s="11">
        <v>0.16663741534258827</v>
      </c>
      <c r="F292" s="11">
        <f t="shared" ref="F292" si="197">SUM(D292:E292)</f>
        <v>-0.38860887330640637</v>
      </c>
      <c r="G292" s="200">
        <f t="shared" si="188"/>
        <v>1.1213614935172256E-2</v>
      </c>
    </row>
    <row r="293" spans="1:7" x14ac:dyDescent="0.2">
      <c r="A293" t="str">
        <f t="shared" si="183"/>
        <v>92 Elementary administration and service occupations</v>
      </c>
      <c r="B293" s="11">
        <v>3.7745914037183552</v>
      </c>
      <c r="C293" s="11">
        <v>1.7270955832417769</v>
      </c>
      <c r="D293" s="11">
        <f t="shared" ref="D293" si="198">C293-B293</f>
        <v>-2.0474958204765783</v>
      </c>
      <c r="E293" s="11">
        <v>0.76003869426365356</v>
      </c>
      <c r="F293" s="11">
        <f t="shared" ref="F293" si="199">SUM(D293:E293)</f>
        <v>-1.2874571262129249</v>
      </c>
      <c r="G293" s="200">
        <f t="shared" ref="G293:G294" si="200">IF(B293&gt;0,(1+(E293/B293))^(1/($C$6-$B$6))-1,0)</f>
        <v>1.2305185043486544E-2</v>
      </c>
    </row>
    <row r="294" spans="1:7" x14ac:dyDescent="0.2">
      <c r="A294" s="24" t="str">
        <f t="shared" si="183"/>
        <v>All occupations</v>
      </c>
      <c r="B294" s="34">
        <f>SUM(B268:B293)</f>
        <v>19.371713697149634</v>
      </c>
      <c r="C294" s="34">
        <f t="shared" ref="C294:F294" si="201">SUM(C268:C293)</f>
        <v>11.397009738261021</v>
      </c>
      <c r="D294" s="34">
        <f t="shared" si="201"/>
        <v>-7.9747039588886146</v>
      </c>
      <c r="E294" s="34">
        <f t="shared" si="201"/>
        <v>5.1255086739207396</v>
      </c>
      <c r="F294" s="34">
        <f t="shared" si="201"/>
        <v>-2.849195284967875</v>
      </c>
      <c r="G294" s="234">
        <f t="shared" si="200"/>
        <v>1.5772817726147359E-2</v>
      </c>
    </row>
  </sheetData>
  <mergeCells count="4">
    <mergeCell ref="A1:G2"/>
    <mergeCell ref="I1:N2"/>
    <mergeCell ref="P1:V2"/>
    <mergeCell ref="X1:AD2"/>
  </mergeCells>
  <phoneticPr fontId="4" type="noConversion"/>
  <pageMargins left="0.39370078740157483" right="0.39370078740157483" top="0.39370078740157483" bottom="0.39370078740157483" header="0.51181102362204722" footer="0.51181102362204722"/>
  <pageSetup paperSize="9" scale="63" orientation="portrait" r:id="rId1"/>
  <headerFooter alignWithMargins="0"/>
  <rowBreaks count="5" manualBreakCount="5">
    <brk id="61" min="8" max="14" man="1"/>
    <brk id="62" max="7" man="1"/>
    <brk id="120" max="7" man="1"/>
    <brk id="178" max="7" man="1"/>
    <brk id="236" max="7" man="1"/>
  </rowBreaks>
  <colBreaks count="1" manualBreakCount="1">
    <brk id="8" max="1048575" man="1"/>
  </colBreaks>
  <drawing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Sheet20"/>
  <dimension ref="A1:Q65"/>
  <sheetViews>
    <sheetView zoomScale="85" zoomScaleNormal="85" workbookViewId="0"/>
  </sheetViews>
  <sheetFormatPr defaultRowHeight="12.75" x14ac:dyDescent="0.2"/>
  <cols>
    <col min="1" max="14" width="9.140625" style="81"/>
    <col min="15" max="15" width="44.140625" customWidth="1"/>
    <col min="16" max="17" width="16.85546875" customWidth="1"/>
  </cols>
  <sheetData>
    <row r="1" spans="1:17" ht="15.75" x14ac:dyDescent="0.25">
      <c r="A1" s="80" t="str">
        <f>CONCATENATE("Replacement Demand Figure 1  Replacement Demand by Occupation Group (SOC 2020), ",P4,", ",Info!B5)</f>
        <v>Replacement Demand Figure 1  Replacement Demand by Occupation Group (SOC 2020), 2020-2035, North East</v>
      </c>
    </row>
    <row r="2" spans="1:17" x14ac:dyDescent="0.2">
      <c r="A2" s="364" t="s">
        <v>519</v>
      </c>
    </row>
    <row r="3" spans="1:17" x14ac:dyDescent="0.2">
      <c r="O3" s="46" t="s">
        <v>415</v>
      </c>
    </row>
    <row r="4" spans="1:17" x14ac:dyDescent="0.2">
      <c r="P4" s="16" t="str">
        <f>'Occ T1'!H4</f>
        <v>2020-2035</v>
      </c>
    </row>
    <row r="5" spans="1:17" x14ac:dyDescent="0.2">
      <c r="P5" s="16" t="str">
        <f>CONCATENATE('Occ T1'!H5," ",'Occ T1'!H6)</f>
        <v>Net Change</v>
      </c>
      <c r="Q5" s="16" t="str">
        <f>CONCATENATE('Occ T1'!J5," ",'Occ T1'!J6)</f>
        <v>Total Requirement</v>
      </c>
    </row>
    <row r="6" spans="1:17" x14ac:dyDescent="0.2">
      <c r="P6" s="11"/>
      <c r="Q6" s="11"/>
    </row>
    <row r="7" spans="1:17" x14ac:dyDescent="0.2">
      <c r="O7" t="str">
        <f>name!E12</f>
        <v>Elementary occupations</v>
      </c>
      <c r="P7" s="11">
        <f>'Occ T1'!H16</f>
        <v>-3.0737263147282761</v>
      </c>
      <c r="Q7" s="11">
        <f>'Occ T1'!J16</f>
        <v>20.794262039103881</v>
      </c>
    </row>
    <row r="8" spans="1:17" x14ac:dyDescent="0.2">
      <c r="O8" t="str">
        <f>name!E11</f>
        <v>Process, plant and machine operatives</v>
      </c>
      <c r="P8" s="11">
        <f>'Occ T1'!H15</f>
        <v>0.55170309031444731</v>
      </c>
      <c r="Q8" s="11">
        <f>'Occ T1'!J15</f>
        <v>17.223478991628241</v>
      </c>
    </row>
    <row r="9" spans="1:17" x14ac:dyDescent="0.2">
      <c r="O9" t="str">
        <f>name!E10</f>
        <v>Sales and customer service occupations</v>
      </c>
      <c r="P9" s="11">
        <f>'Occ T1'!H14</f>
        <v>0.34696808479632324</v>
      </c>
      <c r="Q9" s="11">
        <f>'Occ T1'!J14</f>
        <v>25.925967754083942</v>
      </c>
    </row>
    <row r="10" spans="1:17" x14ac:dyDescent="0.2">
      <c r="O10" t="str">
        <f>name!E9</f>
        <v>Caring, leisure and other service occupations</v>
      </c>
      <c r="P10" s="11">
        <f>'Occ T1'!H13</f>
        <v>3.2083341448382399</v>
      </c>
      <c r="Q10" s="11">
        <f>'Occ T1'!J13</f>
        <v>28.033057958563429</v>
      </c>
    </row>
    <row r="11" spans="1:17" x14ac:dyDescent="0.2">
      <c r="O11" t="str">
        <f>name!E8</f>
        <v>Skilled trades occupations</v>
      </c>
      <c r="P11" s="11">
        <f>'Occ T1'!H12</f>
        <v>-5.0692250301274626</v>
      </c>
      <c r="Q11" s="11">
        <f>'Occ T1'!J12</f>
        <v>13.991225143257353</v>
      </c>
    </row>
    <row r="12" spans="1:17" x14ac:dyDescent="0.2">
      <c r="O12" t="str">
        <f>name!E7</f>
        <v>Administrative and secretarial occupations</v>
      </c>
      <c r="P12" s="11">
        <f>'Occ T1'!H11</f>
        <v>-6.6344997982928575</v>
      </c>
      <c r="Q12" s="11">
        <f>'Occ T1'!J11</f>
        <v>18.056075644107576</v>
      </c>
    </row>
    <row r="13" spans="1:17" x14ac:dyDescent="0.2">
      <c r="O13" t="str">
        <f>name!E6</f>
        <v>Associate professional occupations</v>
      </c>
      <c r="P13" s="11">
        <f>'Occ T1'!H10</f>
        <v>1.3420165578050387</v>
      </c>
      <c r="Q13" s="11">
        <f>'Occ T1'!J10</f>
        <v>26.862997113844322</v>
      </c>
    </row>
    <row r="14" spans="1:17" x14ac:dyDescent="0.2">
      <c r="O14" t="str">
        <f>name!E5</f>
        <v>Professional occupations</v>
      </c>
      <c r="P14" s="11">
        <f>'Occ T1'!H9</f>
        <v>17.736370174239553</v>
      </c>
      <c r="Q14" s="11">
        <f>'Occ T1'!J9</f>
        <v>70.138072867236218</v>
      </c>
    </row>
    <row r="15" spans="1:17" x14ac:dyDescent="0.2">
      <c r="O15" t="str">
        <f>name!E4</f>
        <v>Managers, directors and senior officials</v>
      </c>
      <c r="P15" s="11">
        <f>'Occ T1'!H8</f>
        <v>5.4440590911547417</v>
      </c>
      <c r="Q15" s="11">
        <f>'Occ T1'!J8</f>
        <v>28.20267651807935</v>
      </c>
    </row>
    <row r="34" spans="1:17" ht="15.75" x14ac:dyDescent="0.25">
      <c r="A34" s="80" t="str">
        <f>CONCATENATE("Replacement Demand Figure 1.1  Replacement Demand by Occupation (SOC 2020), ",P35,", ",Info!B5)</f>
        <v>Replacement Demand Figure 1.1  Replacement Demand by Occupation (SOC 2020), 2020-2035, North East</v>
      </c>
      <c r="O34" s="46" t="s">
        <v>415</v>
      </c>
    </row>
    <row r="35" spans="1:17" x14ac:dyDescent="0.2">
      <c r="P35" s="16" t="str">
        <f>'Occ T1'!H4</f>
        <v>2020-2035</v>
      </c>
    </row>
    <row r="36" spans="1:17" x14ac:dyDescent="0.2">
      <c r="P36" s="16" t="str">
        <f>CONCATENATE('Occ T1'!H5," ",'Occ T1'!H6)</f>
        <v>Net Change</v>
      </c>
      <c r="Q36" s="16" t="str">
        <f>CONCATENATE('Occ T1'!J5," ",'Occ T1'!J6)</f>
        <v>Total Requirement</v>
      </c>
    </row>
    <row r="37" spans="1:17" x14ac:dyDescent="0.2">
      <c r="O37" s="10" t="str">
        <f>name!D4</f>
        <v>11 Corporate managers and directors</v>
      </c>
      <c r="P37" s="11">
        <f>'Occ T2'!H8</f>
        <v>-0.1789845582760563</v>
      </c>
      <c r="Q37" s="11">
        <f>'Occ T2'!J8</f>
        <v>12.157534740346327</v>
      </c>
    </row>
    <row r="38" spans="1:17" x14ac:dyDescent="0.2">
      <c r="O38" s="10" t="str">
        <f>name!D5</f>
        <v>12 Other managers and proprietors</v>
      </c>
      <c r="P38" s="11">
        <f>'Occ T2'!H9</f>
        <v>5.6230436494307945</v>
      </c>
      <c r="Q38" s="11">
        <f>'Occ T2'!J9</f>
        <v>16.045141777733022</v>
      </c>
    </row>
    <row r="39" spans="1:17" x14ac:dyDescent="0.2">
      <c r="O39" s="10" t="str">
        <f>name!D6</f>
        <v>21 Science, research, engineering and technology professionals</v>
      </c>
      <c r="P39" s="11">
        <f>'Occ T2'!H10</f>
        <v>3.0051780574364457</v>
      </c>
      <c r="Q39" s="11">
        <f>'Occ T2'!J10</f>
        <v>12.08536579381752</v>
      </c>
    </row>
    <row r="40" spans="1:17" x14ac:dyDescent="0.2">
      <c r="O40" s="10" t="str">
        <f>name!D7</f>
        <v>22 Health professionals</v>
      </c>
      <c r="P40" s="11">
        <f>'Occ T2'!H11</f>
        <v>5.2981705426432093</v>
      </c>
      <c r="Q40" s="11">
        <f>'Occ T2'!J11</f>
        <v>22.8986183683981</v>
      </c>
    </row>
    <row r="41" spans="1:17" x14ac:dyDescent="0.2">
      <c r="O41" s="10" t="str">
        <f>name!D8</f>
        <v>23 Teaching and other educational professionals</v>
      </c>
      <c r="P41" s="11">
        <f>'Occ T2'!H12</f>
        <v>3.7216334370332511</v>
      </c>
      <c r="Q41" s="11">
        <f>'Occ T2'!J12</f>
        <v>15.934375631546482</v>
      </c>
    </row>
    <row r="42" spans="1:17" x14ac:dyDescent="0.2">
      <c r="O42" s="10" t="str">
        <f>name!D9</f>
        <v>24 Business, media and public service professionals</v>
      </c>
      <c r="P42" s="11">
        <f>'Occ T2'!H13</f>
        <v>5.7113881371266508</v>
      </c>
      <c r="Q42" s="11">
        <f>'Occ T2'!J13</f>
        <v>19.219713073474111</v>
      </c>
    </row>
    <row r="43" spans="1:17" x14ac:dyDescent="0.2">
      <c r="O43" s="10" t="str">
        <f>name!D10</f>
        <v>31 Science, engineering and technology associate professionals</v>
      </c>
      <c r="P43" s="11">
        <f>'Occ T2'!H14</f>
        <v>-1.3429596124176317</v>
      </c>
      <c r="Q43" s="11">
        <f>'Occ T2'!J14</f>
        <v>2.3182055577610949</v>
      </c>
    </row>
    <row r="44" spans="1:17" x14ac:dyDescent="0.2">
      <c r="O44" s="10" t="str">
        <f>name!D11</f>
        <v>32 Health and social care associate professionals</v>
      </c>
      <c r="P44" s="11">
        <f>'Occ T2'!H15</f>
        <v>0.76395423180199451</v>
      </c>
      <c r="Q44" s="11">
        <f>'Occ T2'!J15</f>
        <v>7.0004426816589858</v>
      </c>
    </row>
    <row r="45" spans="1:17" x14ac:dyDescent="0.2">
      <c r="O45" s="10" t="str">
        <f>name!D12</f>
        <v>33 Protective service occupations</v>
      </c>
      <c r="P45" s="11">
        <f>'Occ T2'!H16</f>
        <v>1.9842019589937738</v>
      </c>
      <c r="Q45" s="11">
        <f>'Occ T2'!J16</f>
        <v>4.9294083479954196</v>
      </c>
    </row>
    <row r="46" spans="1:17" x14ac:dyDescent="0.2">
      <c r="O46" s="10" t="str">
        <f>name!D13</f>
        <v>34 Culture, media and sports occupations</v>
      </c>
      <c r="P46" s="11">
        <f>'Occ T2'!H17</f>
        <v>0.26354035848689428</v>
      </c>
      <c r="Q46" s="11">
        <f>'Occ T2'!J17</f>
        <v>3.0095176242247765</v>
      </c>
    </row>
    <row r="47" spans="1:17" x14ac:dyDescent="0.2">
      <c r="O47" s="10" t="str">
        <f>name!D14</f>
        <v>35 Business and public service associate professionals</v>
      </c>
      <c r="P47" s="11">
        <f>'Occ T2'!H18</f>
        <v>-0.32672037905998863</v>
      </c>
      <c r="Q47" s="11">
        <f>'Occ T2'!J18</f>
        <v>9.6054229022040474</v>
      </c>
    </row>
    <row r="48" spans="1:17" x14ac:dyDescent="0.2">
      <c r="O48" s="10" t="str">
        <f>name!D15</f>
        <v>41 Administrative occupations</v>
      </c>
      <c r="P48" s="11">
        <f>'Occ T2'!H19</f>
        <v>-6.1568661400787192</v>
      </c>
      <c r="Q48" s="11">
        <f>'Occ T2'!J19</f>
        <v>13.895887349768099</v>
      </c>
    </row>
    <row r="49" spans="15:17" x14ac:dyDescent="0.2">
      <c r="O49" s="10" t="str">
        <f>name!D16</f>
        <v>42 Secretarial and related occupations</v>
      </c>
      <c r="P49" s="11">
        <f>'Occ T2'!H20</f>
        <v>-0.47763365821413561</v>
      </c>
      <c r="Q49" s="11">
        <f>'Occ T2'!J20</f>
        <v>4.1601882943394806</v>
      </c>
    </row>
    <row r="50" spans="15:17" x14ac:dyDescent="0.2">
      <c r="O50" s="10" t="str">
        <f>name!D17</f>
        <v>51 Skilled agricultural and related trades</v>
      </c>
      <c r="P50" s="11">
        <f>'Occ T2'!H21</f>
        <v>0.47446004355916571</v>
      </c>
      <c r="Q50" s="11">
        <f>'Occ T2'!J21</f>
        <v>2.7577148400056077</v>
      </c>
    </row>
    <row r="51" spans="15:17" x14ac:dyDescent="0.2">
      <c r="O51" s="10" t="str">
        <f>name!D18</f>
        <v>52 Skilled metal, electrical and electronic trades</v>
      </c>
      <c r="P51" s="11">
        <f>'Occ T2'!H22</f>
        <v>-3.069804290544532</v>
      </c>
      <c r="Q51" s="11">
        <f>'Occ T2'!J22</f>
        <v>3.6924514225083653</v>
      </c>
    </row>
    <row r="52" spans="15:17" x14ac:dyDescent="0.2">
      <c r="O52" s="10" t="str">
        <f>name!D19</f>
        <v>53 Skilled construction and building trades</v>
      </c>
      <c r="P52" s="11">
        <f>'Occ T2'!H23</f>
        <v>-1.8669184254696489</v>
      </c>
      <c r="Q52" s="11">
        <f>'Occ T2'!J23</f>
        <v>4.5083739418535069</v>
      </c>
    </row>
    <row r="53" spans="15:17" x14ac:dyDescent="0.2">
      <c r="O53" s="10" t="str">
        <f>name!D20</f>
        <v>54 Textiles, printing and other skilled trades</v>
      </c>
      <c r="P53" s="11">
        <f>'Occ T2'!H24</f>
        <v>-0.60696235767244744</v>
      </c>
      <c r="Q53" s="11">
        <f>'Occ T2'!J24</f>
        <v>3.0326849388898722</v>
      </c>
    </row>
    <row r="54" spans="15:17" x14ac:dyDescent="0.2">
      <c r="O54" s="10" t="str">
        <f>name!D21</f>
        <v>61 Caring personal service occupations</v>
      </c>
      <c r="P54" s="11">
        <f>'Occ T2'!H25</f>
        <v>3.2684360730787816</v>
      </c>
      <c r="Q54" s="11">
        <f>'Occ T2'!J25</f>
        <v>22.460438729159868</v>
      </c>
    </row>
    <row r="55" spans="15:17" x14ac:dyDescent="0.2">
      <c r="O55" s="10" t="str">
        <f>name!D22</f>
        <v>62 Leisure, travel and related personal service occupations</v>
      </c>
      <c r="P55" s="11">
        <f>'Occ T2'!H26</f>
        <v>2.1728094785634866E-2</v>
      </c>
      <c r="Q55" s="11">
        <f>'Occ T2'!J26</f>
        <v>5.3845520225403094</v>
      </c>
    </row>
    <row r="56" spans="15:17" x14ac:dyDescent="0.2">
      <c r="O56" s="10" t="str">
        <f>name!D23</f>
        <v>63 Community and civil enforcement occupations</v>
      </c>
      <c r="P56" s="11">
        <f>'Occ T2'!H27</f>
        <v>-8.1830023026183474E-2</v>
      </c>
      <c r="Q56" s="11">
        <f>'Occ T2'!J27</f>
        <v>0.18806720686324424</v>
      </c>
    </row>
    <row r="57" spans="15:17" x14ac:dyDescent="0.2">
      <c r="O57" s="10" t="str">
        <f>name!D24</f>
        <v>71 Sales occupations</v>
      </c>
      <c r="P57" s="11">
        <f>'Occ T2'!H28</f>
        <v>-3.9274776221846395</v>
      </c>
      <c r="Q57" s="11">
        <f>'Occ T2'!J28</f>
        <v>16.224508378415926</v>
      </c>
    </row>
    <row r="58" spans="15:17" x14ac:dyDescent="0.2">
      <c r="O58" s="10" t="str">
        <f>name!D25</f>
        <v>72 Customer service occupations</v>
      </c>
      <c r="P58" s="11">
        <f>'Occ T2'!H29</f>
        <v>4.2744457069809609</v>
      </c>
      <c r="Q58" s="11">
        <f>'Occ T2'!J29</f>
        <v>9.7014593756680121</v>
      </c>
    </row>
    <row r="59" spans="15:17" x14ac:dyDescent="0.2">
      <c r="O59" s="10" t="str">
        <f>name!D26</f>
        <v>81 Process, plant and machine operatives</v>
      </c>
      <c r="P59" s="11">
        <f>'Occ T2'!H30</f>
        <v>1.7355589637515365</v>
      </c>
      <c r="Q59" s="11">
        <f>'Occ T2'!J30</f>
        <v>8.7728679866793993</v>
      </c>
    </row>
    <row r="60" spans="15:17" x14ac:dyDescent="0.2">
      <c r="O60" s="10" t="str">
        <f>name!D27</f>
        <v>82 Transport and mobile machine drivers and operatives</v>
      </c>
      <c r="P60" s="11">
        <f>'Occ T2'!H31</f>
        <v>-1.1838558734370928</v>
      </c>
      <c r="Q60" s="11">
        <f>'Occ T2'!J31</f>
        <v>8.4506110049488381</v>
      </c>
    </row>
    <row r="61" spans="15:17" x14ac:dyDescent="0.2">
      <c r="O61" s="10" t="str">
        <f>name!D28</f>
        <v>91 Elementary trades and related occupations</v>
      </c>
      <c r="P61" s="11">
        <f>'Occ T2'!H32</f>
        <v>-1.8135103276913602</v>
      </c>
      <c r="Q61" s="11">
        <f>'Occ T2'!J32</f>
        <v>0.20747831280513163</v>
      </c>
    </row>
    <row r="62" spans="15:17" x14ac:dyDescent="0.2">
      <c r="O62" s="10" t="str">
        <f>name!D29</f>
        <v>92 Elementary administration and service occupations</v>
      </c>
      <c r="P62" s="11">
        <f>'Occ T2'!H33</f>
        <v>-1.260215987036915</v>
      </c>
      <c r="Q62" s="11">
        <f>'Occ T2'!J33</f>
        <v>20.586783726298751</v>
      </c>
    </row>
    <row r="63" spans="15:17" x14ac:dyDescent="0.2">
      <c r="O63" s="10"/>
      <c r="P63" s="11"/>
      <c r="Q63" s="11"/>
    </row>
    <row r="64" spans="15:17" x14ac:dyDescent="0.2">
      <c r="O64" s="10" t="str">
        <f>name!D3</f>
        <v>All occupations</v>
      </c>
      <c r="P64" s="11">
        <f>'Occ T2'!H35</f>
        <v>13.851999999999691</v>
      </c>
      <c r="Q64" s="11">
        <f>'Occ T2'!J35</f>
        <v>249.22781402990427</v>
      </c>
    </row>
    <row r="65" spans="15:15" x14ac:dyDescent="0.2">
      <c r="O65" s="10" t="str">
        <f>name!D31</f>
        <v xml:space="preserve"> </v>
      </c>
    </row>
  </sheetData>
  <phoneticPr fontId="4" type="noConversion"/>
  <pageMargins left="0.75" right="0.75" top="1" bottom="1" header="0.5" footer="0.5"/>
  <pageSetup paperSize="9" scale="80" orientation="landscape" r:id="rId1"/>
  <headerFooter alignWithMargins="0"/>
  <rowBreaks count="1" manualBreakCount="1">
    <brk id="33" max="13" man="1"/>
  </rowBreaks>
  <colBreaks count="1" manualBreakCount="1">
    <brk id="14" max="1048575" man="1"/>
  </colBreaks>
  <drawing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 codeName="Sheet25"/>
  <dimension ref="A1:AN101"/>
  <sheetViews>
    <sheetView showGridLines="0" zoomScale="85" zoomScaleNormal="85" workbookViewId="0"/>
  </sheetViews>
  <sheetFormatPr defaultColWidth="9.140625" defaultRowHeight="12.75" x14ac:dyDescent="0.2"/>
  <cols>
    <col min="1" max="1" width="37.5703125" style="13" customWidth="1"/>
    <col min="2" max="40" width="7.7109375" style="13" customWidth="1"/>
    <col min="41" max="16384" width="9.140625" style="13"/>
  </cols>
  <sheetData>
    <row r="1" spans="1:40" ht="15.75" x14ac:dyDescent="0.25">
      <c r="A1" s="19" t="str">
        <f>CONCATENATE("Basic Table 1  Employment by Industry Sector, Occupation Group and Qualification, ",B$5,"-",D$5,", ",Info!B5)</f>
        <v>Basic Table 1  Employment by Industry Sector, Occupation Group and Qualification, 2020-2035, North East</v>
      </c>
    </row>
    <row r="2" spans="1:40" ht="12.75" customHeight="1" x14ac:dyDescent="0.2">
      <c r="A2" s="182" t="s">
        <v>523</v>
      </c>
    </row>
    <row r="3" spans="1:40" ht="12.75" customHeight="1" x14ac:dyDescent="0.25">
      <c r="A3" s="19"/>
      <c r="AN3" s="38" t="s">
        <v>36</v>
      </c>
    </row>
    <row r="4" spans="1:40" ht="24.75" customHeight="1" x14ac:dyDescent="0.2">
      <c r="A4" s="78"/>
      <c r="B4" s="382" t="str">
        <f>name!F3</f>
        <v>All qualifications</v>
      </c>
      <c r="C4" s="382"/>
      <c r="D4" s="382"/>
      <c r="E4" s="78"/>
      <c r="F4" s="383" t="str">
        <f>name!F4</f>
        <v>RQF8 Doctorate</v>
      </c>
      <c r="G4" s="383"/>
      <c r="H4" s="383"/>
      <c r="I4" s="78"/>
      <c r="J4" s="383" t="str">
        <f>name!F5</f>
        <v>RQF7 Other higher degree</v>
      </c>
      <c r="K4" s="383"/>
      <c r="L4" s="383"/>
      <c r="M4" s="78"/>
      <c r="N4" s="383" t="str">
        <f>name!F6</f>
        <v>RQF6 First degree</v>
      </c>
      <c r="O4" s="383"/>
      <c r="P4" s="383"/>
      <c r="Q4" s="78"/>
      <c r="R4" s="383" t="str">
        <f>name!F7</f>
        <v>RQF5 Foundation degree;Nursing;Teaching</v>
      </c>
      <c r="S4" s="383"/>
      <c r="T4" s="383"/>
      <c r="U4" s="78"/>
      <c r="V4" s="383" t="str">
        <f>name!F8</f>
        <v>RQF4 HE below degree level</v>
      </c>
      <c r="W4" s="383"/>
      <c r="X4" s="383"/>
      <c r="Y4" s="78"/>
      <c r="Z4" s="383" t="str">
        <f>name!F9</f>
        <v>RQF3 A level &amp; equivalent</v>
      </c>
      <c r="AA4" s="383"/>
      <c r="AB4" s="383"/>
      <c r="AC4" s="78"/>
      <c r="AD4" s="383" t="str">
        <f>name!F10</f>
        <v>RQF2 GCSE(A-C) &amp; equivalent</v>
      </c>
      <c r="AE4" s="383"/>
      <c r="AF4" s="383"/>
      <c r="AG4" s="78"/>
      <c r="AH4" s="383" t="str">
        <f>name!F11</f>
        <v>RQF1 GCSE(below grade C) &amp; equivalent</v>
      </c>
      <c r="AI4" s="383"/>
      <c r="AJ4" s="383"/>
      <c r="AK4" s="78"/>
      <c r="AL4" s="383" t="str">
        <f>name!F12</f>
        <v>No Qualification</v>
      </c>
      <c r="AM4" s="383"/>
      <c r="AN4" s="383"/>
    </row>
    <row r="5" spans="1:40" x14ac:dyDescent="0.2">
      <c r="A5" s="39"/>
      <c r="B5" s="42">
        <v>2020</v>
      </c>
      <c r="C5" s="42">
        <v>2025</v>
      </c>
      <c r="D5" s="42">
        <v>2035</v>
      </c>
      <c r="E5" s="39"/>
      <c r="F5" s="35">
        <f>B5</f>
        <v>2020</v>
      </c>
      <c r="G5" s="35">
        <f>C5</f>
        <v>2025</v>
      </c>
      <c r="H5" s="35">
        <f>D5</f>
        <v>2035</v>
      </c>
      <c r="I5" s="39"/>
      <c r="J5" s="35">
        <f>B5</f>
        <v>2020</v>
      </c>
      <c r="K5" s="35">
        <f>C5</f>
        <v>2025</v>
      </c>
      <c r="L5" s="35">
        <f>D5</f>
        <v>2035</v>
      </c>
      <c r="M5" s="39"/>
      <c r="N5" s="35">
        <f>B5</f>
        <v>2020</v>
      </c>
      <c r="O5" s="35">
        <f>C5</f>
        <v>2025</v>
      </c>
      <c r="P5" s="35">
        <f>D5</f>
        <v>2035</v>
      </c>
      <c r="Q5" s="39"/>
      <c r="R5" s="35">
        <f>F5</f>
        <v>2020</v>
      </c>
      <c r="S5" s="35">
        <f>G5</f>
        <v>2025</v>
      </c>
      <c r="T5" s="35">
        <f>H5</f>
        <v>2035</v>
      </c>
      <c r="U5" s="39"/>
      <c r="V5" s="35">
        <f>J5</f>
        <v>2020</v>
      </c>
      <c r="W5" s="35">
        <f>K5</f>
        <v>2025</v>
      </c>
      <c r="X5" s="35">
        <f>L5</f>
        <v>2035</v>
      </c>
      <c r="Y5" s="39"/>
      <c r="Z5" s="35">
        <f>N5</f>
        <v>2020</v>
      </c>
      <c r="AA5" s="35">
        <f>O5</f>
        <v>2025</v>
      </c>
      <c r="AB5" s="35">
        <f>P5</f>
        <v>2035</v>
      </c>
      <c r="AC5" s="39"/>
      <c r="AD5" s="35">
        <f>R5</f>
        <v>2020</v>
      </c>
      <c r="AE5" s="35">
        <f>S5</f>
        <v>2025</v>
      </c>
      <c r="AF5" s="35">
        <f>T5</f>
        <v>2035</v>
      </c>
      <c r="AG5" s="39"/>
      <c r="AH5" s="35">
        <f>V5</f>
        <v>2020</v>
      </c>
      <c r="AI5" s="35">
        <f>W5</f>
        <v>2025</v>
      </c>
      <c r="AJ5" s="35">
        <f>X5</f>
        <v>2035</v>
      </c>
      <c r="AK5" s="39"/>
      <c r="AL5" s="35">
        <f>Z5</f>
        <v>2020</v>
      </c>
      <c r="AM5" s="35">
        <f>AA5</f>
        <v>2025</v>
      </c>
      <c r="AN5" s="35">
        <f>AB5</f>
        <v>2035</v>
      </c>
    </row>
    <row r="7" spans="1:40" x14ac:dyDescent="0.2">
      <c r="A7" s="1" t="str">
        <f>name!C3</f>
        <v>All industries</v>
      </c>
      <c r="E7" s="77"/>
      <c r="F7" s="77"/>
      <c r="G7" s="77"/>
      <c r="H7" s="77"/>
      <c r="I7" s="77"/>
      <c r="J7" s="77"/>
      <c r="K7" s="77"/>
      <c r="L7" s="77"/>
      <c r="M7" s="77"/>
      <c r="N7" s="77"/>
      <c r="O7" s="77"/>
      <c r="P7" s="77"/>
      <c r="R7" s="77"/>
      <c r="S7" s="77"/>
      <c r="T7" s="77"/>
      <c r="V7" s="77"/>
      <c r="W7" s="77"/>
      <c r="X7" s="77"/>
      <c r="Z7" s="77"/>
      <c r="AA7" s="77"/>
      <c r="AB7" s="77"/>
      <c r="AD7" s="77"/>
      <c r="AE7" s="77"/>
      <c r="AF7" s="77"/>
      <c r="AH7" s="77"/>
      <c r="AI7" s="77"/>
      <c r="AJ7" s="77"/>
      <c r="AL7" s="77"/>
      <c r="AM7" s="77"/>
      <c r="AN7" s="77"/>
    </row>
    <row r="8" spans="1:40" x14ac:dyDescent="0.2">
      <c r="A8" s="13" t="str">
        <f>name!E3</f>
        <v>All occupations</v>
      </c>
      <c r="B8" s="305">
        <f>SUM(B9:B17)</f>
        <v>478.92600000000022</v>
      </c>
      <c r="C8" s="305">
        <f>SUM(C9:C17)</f>
        <v>482.75099999999986</v>
      </c>
      <c r="D8" s="305">
        <f>SUM(D9:D17)</f>
        <v>492.77800000000002</v>
      </c>
      <c r="E8" s="304"/>
      <c r="F8" s="305">
        <f>SUM(F9:F17)</f>
        <v>6.2191239061433201</v>
      </c>
      <c r="G8" s="305">
        <f>SUM(G9:G17)</f>
        <v>7.6363712242585455</v>
      </c>
      <c r="H8" s="305">
        <f>SUM(H9:H17)</f>
        <v>9.5144226538408088</v>
      </c>
      <c r="I8" s="304"/>
      <c r="J8" s="305">
        <f>SUM(J9:J17)</f>
        <v>39.987739972030056</v>
      </c>
      <c r="K8" s="305">
        <f>SUM(K9:K17)</f>
        <v>47.60473155002844</v>
      </c>
      <c r="L8" s="305">
        <f>SUM(L9:L17)</f>
        <v>57.863806783400982</v>
      </c>
      <c r="M8" s="304"/>
      <c r="N8" s="305">
        <f>SUM(N9:N17)</f>
        <v>82.750564635315811</v>
      </c>
      <c r="O8" s="305">
        <f>SUM(O9:O17)</f>
        <v>92.194326075888526</v>
      </c>
      <c r="P8" s="305">
        <f>SUM(P9:P17)</f>
        <v>113.11901698064987</v>
      </c>
      <c r="Q8" s="306"/>
      <c r="R8" s="305">
        <f>SUM(R9:R17)</f>
        <v>25.327567248455289</v>
      </c>
      <c r="S8" s="305">
        <f>SUM(S9:S17)</f>
        <v>24.707546523062931</v>
      </c>
      <c r="T8" s="305">
        <f>SUM(T9:T17)</f>
        <v>27.260797448316339</v>
      </c>
      <c r="U8" s="306"/>
      <c r="V8" s="305">
        <f>SUM(V9:V17)</f>
        <v>22.536999605775801</v>
      </c>
      <c r="W8" s="305">
        <f>SUM(W9:W17)</f>
        <v>23.861334773563105</v>
      </c>
      <c r="X8" s="305">
        <f>SUM(X9:X17)</f>
        <v>27.320613571405779</v>
      </c>
      <c r="Y8" s="306"/>
      <c r="Z8" s="305">
        <f>SUM(Z9:Z17)</f>
        <v>121.85061428231415</v>
      </c>
      <c r="AA8" s="305">
        <f>SUM(AA9:AA17)</f>
        <v>117.13492343992282</v>
      </c>
      <c r="AB8" s="305">
        <f>SUM(AB9:AB17)</f>
        <v>121.86308167785653</v>
      </c>
      <c r="AC8" s="306"/>
      <c r="AD8" s="305">
        <f>SUM(AD9:AD17)</f>
        <v>108.45541532556359</v>
      </c>
      <c r="AE8" s="305">
        <f>SUM(AE9:AE17)</f>
        <v>104.31154617294393</v>
      </c>
      <c r="AF8" s="305">
        <f>SUM(AF9:AF17)</f>
        <v>93.890909211004171</v>
      </c>
      <c r="AG8" s="306"/>
      <c r="AH8" s="305">
        <f>SUM(AH9:AH17)</f>
        <v>52.426261327252497</v>
      </c>
      <c r="AI8" s="305">
        <f>SUM(AI9:AI17)</f>
        <v>49.211328820675782</v>
      </c>
      <c r="AJ8" s="305">
        <f>SUM(AJ9:AJ17)</f>
        <v>30.548341935264538</v>
      </c>
      <c r="AK8" s="306"/>
      <c r="AL8" s="305">
        <f>SUM(AL9:AL17)</f>
        <v>19.371713697149634</v>
      </c>
      <c r="AM8" s="305">
        <f>SUM(AM9:AM17)</f>
        <v>16.088891419655763</v>
      </c>
      <c r="AN8" s="305">
        <f>SUM(AN9:AN17)</f>
        <v>11.397009738261021</v>
      </c>
    </row>
    <row r="9" spans="1:40" x14ac:dyDescent="0.2">
      <c r="A9" s="13" t="str">
        <f>name!E4</f>
        <v>Managers, directors and senior officials</v>
      </c>
      <c r="B9" s="304">
        <f>SUM(B21,B33,B51,B63,B75,B93)</f>
        <v>40.245078724761157</v>
      </c>
      <c r="C9" s="304">
        <f t="shared" ref="B9:D17" si="0">SUM(C21,C33,C51,C63,C75,C93)</f>
        <v>40.862520683519094</v>
      </c>
      <c r="D9" s="304">
        <f t="shared" si="0"/>
        <v>45.689137815915949</v>
      </c>
      <c r="E9" s="304"/>
      <c r="F9" s="304">
        <f t="shared" ref="F9:H17" si="1">SUM(F21,F33,F51,F63,F75,F93)</f>
        <v>0.38471351717075386</v>
      </c>
      <c r="G9" s="304">
        <f t="shared" si="1"/>
        <v>0.47403939302395059</v>
      </c>
      <c r="H9" s="304">
        <f t="shared" si="1"/>
        <v>0.65793191262709005</v>
      </c>
      <c r="I9" s="304"/>
      <c r="J9" s="304">
        <f t="shared" ref="J9:L17" si="2">SUM(J21,J33,J51,J63,J75,J93)</f>
        <v>3.7316969253098495</v>
      </c>
      <c r="K9" s="304">
        <f t="shared" si="2"/>
        <v>4.4275286316422537</v>
      </c>
      <c r="L9" s="304">
        <f t="shared" si="2"/>
        <v>5.9134643768770276</v>
      </c>
      <c r="M9" s="304"/>
      <c r="N9" s="304">
        <f t="shared" ref="N9:P17" si="3">SUM(N21,N33,N51,N63,N75,N93)</f>
        <v>9.3162230452617933</v>
      </c>
      <c r="O9" s="304">
        <f t="shared" si="3"/>
        <v>10.316503393396783</v>
      </c>
      <c r="P9" s="304">
        <f t="shared" si="3"/>
        <v>12.715885564254124</v>
      </c>
      <c r="Q9" s="306"/>
      <c r="R9" s="304">
        <f t="shared" ref="R9:T9" si="4">SUM(R21,R33,R51,R63,R75,R93)</f>
        <v>2.5965504094162921</v>
      </c>
      <c r="S9" s="304">
        <f t="shared" si="4"/>
        <v>2.7158560057982921</v>
      </c>
      <c r="T9" s="304">
        <f t="shared" si="4"/>
        <v>3.2940100179275449</v>
      </c>
      <c r="U9" s="306"/>
      <c r="V9" s="304">
        <f t="shared" ref="V9:X9" si="5">SUM(V21,V33,V51,V63,V75,V93)</f>
        <v>2.6409012417977773</v>
      </c>
      <c r="W9" s="304">
        <f t="shared" si="5"/>
        <v>2.7252939055492913</v>
      </c>
      <c r="X9" s="304">
        <f t="shared" si="5"/>
        <v>3.0297974366923093</v>
      </c>
      <c r="Y9" s="306"/>
      <c r="Z9" s="304">
        <f t="shared" ref="Z9:AB9" si="6">SUM(Z21,Z33,Z51,Z63,Z75,Z93)</f>
        <v>9.4131771047275734</v>
      </c>
      <c r="AA9" s="304">
        <f t="shared" si="6"/>
        <v>8.1801394870351913</v>
      </c>
      <c r="AB9" s="304">
        <f t="shared" si="6"/>
        <v>9.0715401493161743</v>
      </c>
      <c r="AC9" s="306"/>
      <c r="AD9" s="304">
        <f>SUM(AD21,AD33,AD51,AD63,AD75,AD93)</f>
        <v>7.351232592160251</v>
      </c>
      <c r="AE9" s="304">
        <f t="shared" ref="AE9:AF9" si="7">SUM(AE21,AE33,AE51,AE63,AE75,AE93)</f>
        <v>7.1547134823646914</v>
      </c>
      <c r="AF9" s="304">
        <f t="shared" si="7"/>
        <v>7.1141173907678255</v>
      </c>
      <c r="AG9" s="306"/>
      <c r="AH9" s="304">
        <f t="shared" ref="AH9:AJ9" si="8">SUM(AH21,AH33,AH51,AH63,AH75,AH93)</f>
        <v>3.7047685632944618</v>
      </c>
      <c r="AI9" s="304">
        <f t="shared" si="8"/>
        <v>3.7534323566568766</v>
      </c>
      <c r="AJ9" s="304">
        <f t="shared" si="8"/>
        <v>2.7499898781946039</v>
      </c>
      <c r="AK9" s="306"/>
      <c r="AL9" s="304">
        <f t="shared" ref="AL9:AN9" si="9">SUM(AL21,AL33,AL51,AL63,AL75,AL93)</f>
        <v>1.1058153256224084</v>
      </c>
      <c r="AM9" s="304">
        <f t="shared" si="9"/>
        <v>1.1150140280517664</v>
      </c>
      <c r="AN9" s="304">
        <f t="shared" si="9"/>
        <v>1.1424010892592533</v>
      </c>
    </row>
    <row r="10" spans="1:40" x14ac:dyDescent="0.2">
      <c r="A10" s="13" t="str">
        <f>name!E5</f>
        <v>Professional occupations</v>
      </c>
      <c r="B10" s="304">
        <f t="shared" si="0"/>
        <v>99.067530958461148</v>
      </c>
      <c r="C10" s="304">
        <f t="shared" si="0"/>
        <v>106.4965017389784</v>
      </c>
      <c r="D10" s="304">
        <f t="shared" si="0"/>
        <v>116.80390113270073</v>
      </c>
      <c r="E10" s="304"/>
      <c r="F10" s="304">
        <f t="shared" si="1"/>
        <v>4.8713618499748348</v>
      </c>
      <c r="G10" s="304">
        <f t="shared" si="1"/>
        <v>6.0233091804070051</v>
      </c>
      <c r="H10" s="304">
        <f t="shared" si="1"/>
        <v>7.3538890989313508</v>
      </c>
      <c r="I10" s="304"/>
      <c r="J10" s="304">
        <f t="shared" si="2"/>
        <v>23.786948273451738</v>
      </c>
      <c r="K10" s="304">
        <f t="shared" si="2"/>
        <v>28.526514284981474</v>
      </c>
      <c r="L10" s="304">
        <f t="shared" si="2"/>
        <v>33.316303247949946</v>
      </c>
      <c r="M10" s="304"/>
      <c r="N10" s="304">
        <f t="shared" si="3"/>
        <v>32.658659490644489</v>
      </c>
      <c r="O10" s="304">
        <f t="shared" si="3"/>
        <v>36.097595246297679</v>
      </c>
      <c r="P10" s="304">
        <f t="shared" si="3"/>
        <v>42.108736189100313</v>
      </c>
      <c r="Q10" s="306"/>
      <c r="R10" s="304">
        <f t="shared" ref="R10:T10" si="10">SUM(R22,R34,R52,R64,R76,R94)</f>
        <v>5.5111412722109838</v>
      </c>
      <c r="S10" s="304">
        <f t="shared" si="10"/>
        <v>3.8706956265732111</v>
      </c>
      <c r="T10" s="304">
        <f t="shared" si="10"/>
        <v>2.5180837645515499</v>
      </c>
      <c r="U10" s="306"/>
      <c r="V10" s="304">
        <f t="shared" ref="V10:X10" si="11">SUM(V22,V34,V52,V64,V76,V94)</f>
        <v>4.3595963064228469</v>
      </c>
      <c r="W10" s="304">
        <f t="shared" si="11"/>
        <v>4.5541211807377682</v>
      </c>
      <c r="X10" s="304">
        <f t="shared" si="11"/>
        <v>4.8453768331539742</v>
      </c>
      <c r="Y10" s="306"/>
      <c r="Z10" s="304">
        <f t="shared" ref="Z10:AB10" si="12">SUM(Z22,Z34,Z52,Z64,Z76,Z94)</f>
        <v>14.152272574010407</v>
      </c>
      <c r="AA10" s="304">
        <f t="shared" si="12"/>
        <v>13.802047086221265</v>
      </c>
      <c r="AB10" s="304">
        <f t="shared" si="12"/>
        <v>14.922974718989508</v>
      </c>
      <c r="AC10" s="306"/>
      <c r="AD10" s="304">
        <f t="shared" ref="AD10:AF10" si="13">SUM(AD22,AD34,AD52,AD64,AD76,AD94)</f>
        <v>8.806991852347462</v>
      </c>
      <c r="AE10" s="304">
        <f t="shared" si="13"/>
        <v>8.5918571177287362</v>
      </c>
      <c r="AF10" s="304">
        <f t="shared" si="13"/>
        <v>7.9665389726515876</v>
      </c>
      <c r="AG10" s="306"/>
      <c r="AH10" s="304">
        <f t="shared" ref="AH10:AJ10" si="14">SUM(AH22,AH34,AH52,AH64,AH76,AH94)</f>
        <v>3.9768245325209319</v>
      </c>
      <c r="AI10" s="304">
        <f t="shared" si="14"/>
        <v>3.9650323741762468</v>
      </c>
      <c r="AJ10" s="304">
        <f t="shared" si="14"/>
        <v>2.6528189653887395</v>
      </c>
      <c r="AK10" s="306"/>
      <c r="AL10" s="304">
        <f t="shared" ref="AL10:AN10" si="15">SUM(AL22,AL34,AL52,AL64,AL76,AL94)</f>
        <v>0.94373480687745537</v>
      </c>
      <c r="AM10" s="304">
        <f t="shared" si="15"/>
        <v>1.0653296418550113</v>
      </c>
      <c r="AN10" s="304">
        <f t="shared" si="15"/>
        <v>1.1191793419837719</v>
      </c>
    </row>
    <row r="11" spans="1:40" x14ac:dyDescent="0.2">
      <c r="A11" s="13" t="str">
        <f>name!E6</f>
        <v>Associate professional occupations</v>
      </c>
      <c r="B11" s="304">
        <f>SUM(B23,B35,B53,B65,B77,B95)</f>
        <v>56.07705623292037</v>
      </c>
      <c r="C11" s="304">
        <f t="shared" si="0"/>
        <v>53.792100904177971</v>
      </c>
      <c r="D11" s="304">
        <f>SUM(D23,D35,D53,D65,D77,D95)</f>
        <v>57.419072790725409</v>
      </c>
      <c r="E11" s="304"/>
      <c r="F11" s="304">
        <f t="shared" si="1"/>
        <v>0.48939615114344315</v>
      </c>
      <c r="G11" s="304">
        <f t="shared" si="1"/>
        <v>0.55507141127191106</v>
      </c>
      <c r="H11" s="304">
        <f t="shared" si="1"/>
        <v>0.73427862442336578</v>
      </c>
      <c r="I11" s="304"/>
      <c r="J11" s="304">
        <f t="shared" si="2"/>
        <v>5.5676303855603582</v>
      </c>
      <c r="K11" s="304">
        <f t="shared" si="2"/>
        <v>6.1048294165059751</v>
      </c>
      <c r="L11" s="304">
        <f t="shared" si="2"/>
        <v>7.4798176200755098</v>
      </c>
      <c r="M11" s="304"/>
      <c r="N11" s="304">
        <f t="shared" si="3"/>
        <v>14.223146850285598</v>
      </c>
      <c r="O11" s="304">
        <f t="shared" si="3"/>
        <v>14.975928518982716</v>
      </c>
      <c r="P11" s="304">
        <f t="shared" si="3"/>
        <v>18.260847387578437</v>
      </c>
      <c r="Q11" s="306"/>
      <c r="R11" s="304">
        <f t="shared" ref="R11:T11" si="16">SUM(R23,R35,R53,R65,R77,R95)</f>
        <v>4.357072130966503</v>
      </c>
      <c r="S11" s="304">
        <f t="shared" si="16"/>
        <v>4.0341219941224828</v>
      </c>
      <c r="T11" s="304">
        <f t="shared" si="16"/>
        <v>4.1165020460012354</v>
      </c>
      <c r="U11" s="306"/>
      <c r="V11" s="304">
        <f t="shared" ref="V11:X11" si="17">SUM(V23,V35,V53,V65,V77,V95)</f>
        <v>3.4131033191317703</v>
      </c>
      <c r="W11" s="304">
        <f t="shared" si="17"/>
        <v>3.2467472851459545</v>
      </c>
      <c r="X11" s="304">
        <f t="shared" si="17"/>
        <v>3.5986788122985822</v>
      </c>
      <c r="Y11" s="306"/>
      <c r="Z11" s="304">
        <f t="shared" ref="Z11:AB11" si="18">SUM(Z23,Z35,Z53,Z65,Z77,Z95)</f>
        <v>13.549840779430349</v>
      </c>
      <c r="AA11" s="304">
        <f t="shared" si="18"/>
        <v>11.786854218745765</v>
      </c>
      <c r="AB11" s="304">
        <f t="shared" si="18"/>
        <v>12.169000500115406</v>
      </c>
      <c r="AC11" s="306"/>
      <c r="AD11" s="304">
        <f t="shared" ref="AD11:AF11" si="19">SUM(AD23,AD35,AD53,AD65,AD77,AD95)</f>
        <v>9.3932557037726205</v>
      </c>
      <c r="AE11" s="304">
        <f t="shared" si="19"/>
        <v>8.4462421198384927</v>
      </c>
      <c r="AF11" s="304">
        <f t="shared" si="19"/>
        <v>7.648984273883018</v>
      </c>
      <c r="AG11" s="306"/>
      <c r="AH11" s="304">
        <f t="shared" ref="AH11:AJ11" si="20">SUM(AH23,AH35,AH53,AH65,AH77,AH95)</f>
        <v>4.1568813326700251</v>
      </c>
      <c r="AI11" s="304">
        <f t="shared" si="20"/>
        <v>3.7566739092447956</v>
      </c>
      <c r="AJ11" s="304">
        <f t="shared" si="20"/>
        <v>2.3809254695466402</v>
      </c>
      <c r="AK11" s="306"/>
      <c r="AL11" s="304">
        <f t="shared" ref="AL11:AN11" si="21">SUM(AL23,AL35,AL53,AL65,AL77,AL95)</f>
        <v>0.92672957995969241</v>
      </c>
      <c r="AM11" s="304">
        <f t="shared" si="21"/>
        <v>0.88563203031988824</v>
      </c>
      <c r="AN11" s="304">
        <f t="shared" si="21"/>
        <v>1.0300380568032181</v>
      </c>
    </row>
    <row r="12" spans="1:40" x14ac:dyDescent="0.2">
      <c r="A12" s="13" t="str">
        <f>name!E7</f>
        <v>Administrative and secretarial occupations</v>
      </c>
      <c r="B12" s="304">
        <f t="shared" si="0"/>
        <v>52.503095815052461</v>
      </c>
      <c r="C12" s="304">
        <f t="shared" si="0"/>
        <v>49.196634777047393</v>
      </c>
      <c r="D12" s="304">
        <f t="shared" si="0"/>
        <v>45.868596016759639</v>
      </c>
      <c r="E12" s="304"/>
      <c r="F12" s="304">
        <f t="shared" si="1"/>
        <v>0.22286635752091791</v>
      </c>
      <c r="G12" s="304">
        <f t="shared" si="1"/>
        <v>0.25156800375180616</v>
      </c>
      <c r="H12" s="304">
        <f t="shared" si="1"/>
        <v>0.31104965513558652</v>
      </c>
      <c r="I12" s="304"/>
      <c r="J12" s="304">
        <f t="shared" si="2"/>
        <v>2.6696957737880895</v>
      </c>
      <c r="K12" s="304">
        <f t="shared" si="2"/>
        <v>3.0781486590646061</v>
      </c>
      <c r="L12" s="304">
        <f t="shared" si="2"/>
        <v>3.6496862692582051</v>
      </c>
      <c r="M12" s="304"/>
      <c r="N12" s="304">
        <f t="shared" si="3"/>
        <v>9.4252304958420616</v>
      </c>
      <c r="O12" s="304">
        <f t="shared" si="3"/>
        <v>10.284330048947815</v>
      </c>
      <c r="P12" s="304">
        <f t="shared" si="3"/>
        <v>12.972124664656608</v>
      </c>
      <c r="Q12" s="306"/>
      <c r="R12" s="304">
        <f t="shared" ref="R12:T12" si="22">SUM(R24,R36,R54,R66,R78,R96)</f>
        <v>3.7004245385340981</v>
      </c>
      <c r="S12" s="304">
        <f t="shared" si="22"/>
        <v>3.8492254962964179</v>
      </c>
      <c r="T12" s="304">
        <f t="shared" si="22"/>
        <v>4.3868257636125083</v>
      </c>
      <c r="U12" s="306"/>
      <c r="V12" s="304">
        <f t="shared" ref="V12:X12" si="23">SUM(V24,V36,V54,V66,V78,V96)</f>
        <v>3.3342719353164112</v>
      </c>
      <c r="W12" s="304">
        <f t="shared" si="23"/>
        <v>3.4351498338512321</v>
      </c>
      <c r="X12" s="304">
        <f t="shared" si="23"/>
        <v>4.0974886899183778</v>
      </c>
      <c r="Y12" s="306"/>
      <c r="Z12" s="304">
        <f t="shared" ref="Z12:AA12" si="24">SUM(Z24,Z36,Z54,Z66,Z78,Z96)</f>
        <v>12.646973259077884</v>
      </c>
      <c r="AA12" s="304">
        <f t="shared" si="24"/>
        <v>11.885154556576364</v>
      </c>
      <c r="AB12" s="304">
        <f>SUM(AB24,AB36,AB54,AB66,AB78,AB96)</f>
        <v>10.264970146666023</v>
      </c>
      <c r="AC12" s="306"/>
      <c r="AD12" s="304">
        <f t="shared" ref="AD12:AE12" si="25">SUM(AD24,AD36,AD54,AD66,AD78,AD96)</f>
        <v>13.120162983923006</v>
      </c>
      <c r="AE12" s="304">
        <f t="shared" si="25"/>
        <v>10.599674497980065</v>
      </c>
      <c r="AF12" s="304">
        <f>SUM(AF24,AF36,AF54,AF66,AF78,AF96)</f>
        <v>7.206180933997441</v>
      </c>
      <c r="AG12" s="306"/>
      <c r="AH12" s="304">
        <f t="shared" ref="AH12:AI12" si="26">SUM(AH24,AH36,AH54,AH66,AH78,AH96)</f>
        <v>5.6708694611506028</v>
      </c>
      <c r="AI12" s="304">
        <f t="shared" si="26"/>
        <v>3.9518472247376213</v>
      </c>
      <c r="AJ12" s="304">
        <f>SUM(AJ24,AJ36,AJ54,AJ66,AJ78,AJ96)</f>
        <v>1.2620421490646625</v>
      </c>
      <c r="AK12" s="306"/>
      <c r="AL12" s="304">
        <f t="shared" ref="AL12:AM12" si="27">SUM(AL24,AL36,AL54,AL66,AL78,AL96)</f>
        <v>1.7126010098993865</v>
      </c>
      <c r="AM12" s="304">
        <f t="shared" si="27"/>
        <v>1.8615364558414722</v>
      </c>
      <c r="AN12" s="304">
        <f>SUM(AN24,AN36,AN54,AN66,AN78,AN96)</f>
        <v>1.718227744450229</v>
      </c>
    </row>
    <row r="13" spans="1:40" x14ac:dyDescent="0.2">
      <c r="A13" s="13" t="str">
        <f>name!E8</f>
        <v>Skilled trades occupations</v>
      </c>
      <c r="B13" s="304">
        <f t="shared" si="0"/>
        <v>48.245712549332211</v>
      </c>
      <c r="C13" s="304">
        <f t="shared" si="0"/>
        <v>46.732747293258726</v>
      </c>
      <c r="D13" s="304">
        <f t="shared" si="0"/>
        <v>43.176487519204755</v>
      </c>
      <c r="E13" s="304"/>
      <c r="F13" s="304">
        <f t="shared" si="1"/>
        <v>4.2806960850947609E-2</v>
      </c>
      <c r="G13" s="304">
        <f t="shared" si="1"/>
        <v>5.2924727777095962E-2</v>
      </c>
      <c r="H13" s="304">
        <f t="shared" si="1"/>
        <v>6.7880281840304993E-2</v>
      </c>
      <c r="I13" s="304"/>
      <c r="J13" s="304">
        <f t="shared" si="2"/>
        <v>0.60033283959965855</v>
      </c>
      <c r="K13" s="304">
        <f t="shared" si="2"/>
        <v>0.80735270240130264</v>
      </c>
      <c r="L13" s="304">
        <f t="shared" si="2"/>
        <v>1.0999492850209565</v>
      </c>
      <c r="M13" s="304"/>
      <c r="N13" s="304">
        <f t="shared" si="3"/>
        <v>2.0759702024288118</v>
      </c>
      <c r="O13" s="304">
        <f t="shared" si="3"/>
        <v>2.5475750425269239</v>
      </c>
      <c r="P13" s="304">
        <f t="shared" si="3"/>
        <v>3.0171978081911286</v>
      </c>
      <c r="Q13" s="306"/>
      <c r="R13" s="304">
        <f t="shared" ref="R13:T13" si="28">SUM(R25,R37,R55,R67,R79,R97)</f>
        <v>1.0784097352354345</v>
      </c>
      <c r="S13" s="304">
        <f t="shared" si="28"/>
        <v>1.2371892854033721</v>
      </c>
      <c r="T13" s="304">
        <f t="shared" si="28"/>
        <v>1.5033054887615402</v>
      </c>
      <c r="U13" s="306"/>
      <c r="V13" s="304">
        <f t="shared" ref="V13:X13" si="29">SUM(V25,V37,V55,V67,V79,V97)</f>
        <v>2.0993920590693107</v>
      </c>
      <c r="W13" s="304">
        <f t="shared" si="29"/>
        <v>2.372236098148528</v>
      </c>
      <c r="X13" s="304">
        <f t="shared" si="29"/>
        <v>2.531438136867413</v>
      </c>
      <c r="Y13" s="306"/>
      <c r="Z13" s="304">
        <f t="shared" ref="Z13:AB13" si="30">SUM(Z25,Z37,Z55,Z67,Z79,Z97)</f>
        <v>20.30349359166236</v>
      </c>
      <c r="AA13" s="304">
        <f t="shared" si="30"/>
        <v>17.940328361116133</v>
      </c>
      <c r="AB13" s="304">
        <f t="shared" si="30"/>
        <v>16.576915320537253</v>
      </c>
      <c r="AC13" s="306"/>
      <c r="AD13" s="304">
        <f t="shared" ref="AD13:AF13" si="31">SUM(AD25,AD37,AD55,AD67,AD79,AD97)</f>
        <v>13.869307231574425</v>
      </c>
      <c r="AE13" s="304">
        <f t="shared" si="31"/>
        <v>14.087532571963091</v>
      </c>
      <c r="AF13" s="304">
        <f t="shared" si="31"/>
        <v>13.471761245046244</v>
      </c>
      <c r="AG13" s="306"/>
      <c r="AH13" s="304">
        <f t="shared" ref="AH13:AJ13" si="32">SUM(AH25,AH37,AH55,AH67,AH79,AH97)</f>
        <v>5.4375554425774206</v>
      </c>
      <c r="AI13" s="304">
        <f t="shared" si="32"/>
        <v>5.5866953121047107</v>
      </c>
      <c r="AJ13" s="304">
        <f t="shared" si="32"/>
        <v>3.7717474837965477</v>
      </c>
      <c r="AK13" s="306"/>
      <c r="AL13" s="304">
        <f t="shared" ref="AL13:AN13" si="33">SUM(AL25,AL37,AL55,AL67,AL79,AL97)</f>
        <v>2.7384444863338402</v>
      </c>
      <c r="AM13" s="304">
        <f t="shared" si="33"/>
        <v>2.1009131918175763</v>
      </c>
      <c r="AN13" s="304">
        <f t="shared" si="33"/>
        <v>1.1362924691433642</v>
      </c>
    </row>
    <row r="14" spans="1:40" x14ac:dyDescent="0.2">
      <c r="A14" s="13" t="str">
        <f>name!E9</f>
        <v>Caring, leisure and other service occupations</v>
      </c>
      <c r="B14" s="304">
        <f t="shared" si="0"/>
        <v>42.842121741005322</v>
      </c>
      <c r="C14" s="304">
        <f t="shared" si="0"/>
        <v>44.580249740757608</v>
      </c>
      <c r="D14" s="304">
        <f t="shared" si="0"/>
        <v>46.050455885843604</v>
      </c>
      <c r="E14" s="304"/>
      <c r="F14" s="304">
        <f t="shared" si="1"/>
        <v>3.0278431619923024E-2</v>
      </c>
      <c r="G14" s="304">
        <f t="shared" si="1"/>
        <v>3.7985910941585821E-2</v>
      </c>
      <c r="H14" s="304">
        <f t="shared" si="1"/>
        <v>4.9915543489867473E-2</v>
      </c>
      <c r="I14" s="304"/>
      <c r="J14" s="304">
        <f t="shared" si="2"/>
        <v>1.1787359386846772</v>
      </c>
      <c r="K14" s="304">
        <f t="shared" si="2"/>
        <v>1.4263335200400882</v>
      </c>
      <c r="L14" s="304">
        <f t="shared" si="2"/>
        <v>1.7141762500541105</v>
      </c>
      <c r="M14" s="304"/>
      <c r="N14" s="304">
        <f t="shared" si="3"/>
        <v>4.7095320237132619</v>
      </c>
      <c r="O14" s="304">
        <f t="shared" si="3"/>
        <v>5.5745739531844638</v>
      </c>
      <c r="P14" s="304">
        <f t="shared" si="3"/>
        <v>7.1274917912074587</v>
      </c>
      <c r="Q14" s="306"/>
      <c r="R14" s="304">
        <f>SUM(R26,R38,R56,R68,R80,R98)</f>
        <v>3.6308913083119396</v>
      </c>
      <c r="S14" s="304">
        <f t="shared" ref="S14:T14" si="34">SUM(S26,S38,S56,S68,S80,S98)</f>
        <v>3.8115775564361076</v>
      </c>
      <c r="T14" s="304">
        <f t="shared" si="34"/>
        <v>4.3981542108279985</v>
      </c>
      <c r="U14" s="306"/>
      <c r="V14" s="304">
        <f t="shared" ref="V14:X14" si="35">SUM(V26,V38,V56,V68,V80,V98)</f>
        <v>2.5142242421608803</v>
      </c>
      <c r="W14" s="304">
        <f t="shared" si="35"/>
        <v>2.6991168381881603</v>
      </c>
      <c r="X14" s="304">
        <f t="shared" si="35"/>
        <v>3.2339283101609571</v>
      </c>
      <c r="Y14" s="306"/>
      <c r="Z14" s="304">
        <f t="shared" ref="Z14:AB14" si="36">SUM(Z26,Z38,Z56,Z68,Z80,Z98)</f>
        <v>15.368436151605113</v>
      </c>
      <c r="AA14" s="304">
        <f t="shared" si="36"/>
        <v>17.333967550461988</v>
      </c>
      <c r="AB14" s="304">
        <f t="shared" si="36"/>
        <v>19.35489098307556</v>
      </c>
      <c r="AC14" s="306"/>
      <c r="AD14" s="304">
        <f t="shared" ref="AD14:AF14" si="37">SUM(AD26,AD38,AD56,AD68,AD80,AD98)</f>
        <v>11.496974575315209</v>
      </c>
      <c r="AE14" s="304">
        <f t="shared" si="37"/>
        <v>10.246452722594727</v>
      </c>
      <c r="AF14" s="304">
        <f t="shared" si="37"/>
        <v>7.5642262224768855</v>
      </c>
      <c r="AG14" s="306"/>
      <c r="AH14" s="304">
        <f t="shared" ref="AH14:AJ14" si="38">SUM(AH26,AH38,AH56,AH68,AH80,AH98)</f>
        <v>2.9395517277587278</v>
      </c>
      <c r="AI14" s="304">
        <f t="shared" si="38"/>
        <v>2.5366108772815634</v>
      </c>
      <c r="AJ14" s="304">
        <f t="shared" si="38"/>
        <v>1.8189108074552482</v>
      </c>
      <c r="AK14" s="306"/>
      <c r="AL14" s="304">
        <f t="shared" ref="AL14:AN14" si="39">SUM(AL26,AL38,AL56,AL68,AL80,AL98)</f>
        <v>0.97349734183559278</v>
      </c>
      <c r="AM14" s="304">
        <f t="shared" si="39"/>
        <v>0.91363081162892446</v>
      </c>
      <c r="AN14" s="304">
        <f t="shared" si="39"/>
        <v>0.78876176709551826</v>
      </c>
    </row>
    <row r="15" spans="1:40" x14ac:dyDescent="0.2">
      <c r="A15" s="13" t="str">
        <f>name!E10</f>
        <v>Sales and customer service occupations</v>
      </c>
      <c r="B15" s="304">
        <f t="shared" si="0"/>
        <v>51.568261223138883</v>
      </c>
      <c r="C15" s="304">
        <f t="shared" si="0"/>
        <v>51.47460691376255</v>
      </c>
      <c r="D15" s="304">
        <f t="shared" si="0"/>
        <v>51.915229307935121</v>
      </c>
      <c r="E15" s="304"/>
      <c r="F15" s="304">
        <f t="shared" si="1"/>
        <v>8.4852913767903687E-2</v>
      </c>
      <c r="G15" s="304">
        <f t="shared" si="1"/>
        <v>0.1074945240235337</v>
      </c>
      <c r="H15" s="304">
        <f t="shared" si="1"/>
        <v>0.13933898113992307</v>
      </c>
      <c r="I15" s="304"/>
      <c r="J15" s="304">
        <f t="shared" si="2"/>
        <v>1.2490482611226297</v>
      </c>
      <c r="K15" s="304">
        <f t="shared" si="2"/>
        <v>1.574038229979478</v>
      </c>
      <c r="L15" s="304">
        <f t="shared" si="2"/>
        <v>2.1572629348389514</v>
      </c>
      <c r="M15" s="304"/>
      <c r="N15" s="304">
        <f t="shared" si="3"/>
        <v>6.0224324157961133</v>
      </c>
      <c r="O15" s="304">
        <f t="shared" si="3"/>
        <v>7.0569998195481167</v>
      </c>
      <c r="P15" s="304">
        <f t="shared" si="3"/>
        <v>9.6266106344545737</v>
      </c>
      <c r="Q15" s="306"/>
      <c r="R15" s="304">
        <f t="shared" ref="R15:T15" si="40">SUM(R27,R39,R57,R69,R81,R99)</f>
        <v>2.2113364500688903</v>
      </c>
      <c r="S15" s="304">
        <f t="shared" si="40"/>
        <v>2.4979682883517036</v>
      </c>
      <c r="T15" s="304">
        <f t="shared" si="40"/>
        <v>3.4542414559687655</v>
      </c>
      <c r="U15" s="306"/>
      <c r="V15" s="304">
        <f t="shared" ref="V15:X15" si="41">SUM(V27,V39,V57,V69,V81,V99)</f>
        <v>1.7838416566541435</v>
      </c>
      <c r="W15" s="304">
        <f t="shared" si="41"/>
        <v>1.9761499264695013</v>
      </c>
      <c r="X15" s="304">
        <f t="shared" si="41"/>
        <v>2.4733418634698858</v>
      </c>
      <c r="Y15" s="306"/>
      <c r="Z15" s="304">
        <f t="shared" ref="Z15:AB15" si="42">SUM(Z27,Z39,Z57,Z69,Z81,Z99)</f>
        <v>15.308826030738357</v>
      </c>
      <c r="AA15" s="304">
        <f t="shared" si="42"/>
        <v>15.753401476411177</v>
      </c>
      <c r="AB15" s="304">
        <f t="shared" si="42"/>
        <v>18.219041136858312</v>
      </c>
      <c r="AC15" s="306"/>
      <c r="AD15" s="304">
        <f t="shared" ref="AD15:AF15" si="43">SUM(AD27,AD39,AD57,AD69,AD81,AD99)</f>
        <v>14.533984675314214</v>
      </c>
      <c r="AE15" s="304">
        <f t="shared" si="43"/>
        <v>13.385409665193672</v>
      </c>
      <c r="AF15" s="304">
        <f t="shared" si="43"/>
        <v>10.813629931082531</v>
      </c>
      <c r="AG15" s="306"/>
      <c r="AH15" s="304">
        <f t="shared" ref="AH15:AJ15" si="44">SUM(AH27,AH39,AH57,AH69,AH81,AH99)</f>
        <v>7.5471074188970748</v>
      </c>
      <c r="AI15" s="304">
        <f t="shared" si="44"/>
        <v>6.6947060490390013</v>
      </c>
      <c r="AJ15" s="304">
        <f t="shared" si="44"/>
        <v>3.5088855925767328</v>
      </c>
      <c r="AK15" s="306"/>
      <c r="AL15" s="304">
        <f t="shared" ref="AL15:AN15" si="45">SUM(AL27,AL39,AL57,AL69,AL81,AL99)</f>
        <v>2.826831400779553</v>
      </c>
      <c r="AM15" s="304">
        <f t="shared" si="45"/>
        <v>2.4284389347463722</v>
      </c>
      <c r="AN15" s="304">
        <f t="shared" si="45"/>
        <v>1.5228767775454393</v>
      </c>
    </row>
    <row r="16" spans="1:40" x14ac:dyDescent="0.2">
      <c r="A16" s="13" t="str">
        <f>name!E11</f>
        <v>Process, plant and machine operatives</v>
      </c>
      <c r="B16" s="304">
        <f t="shared" si="0"/>
        <v>35.57919068978012</v>
      </c>
      <c r="C16" s="304">
        <f t="shared" si="0"/>
        <v>38.295208327413938</v>
      </c>
      <c r="D16" s="304">
        <f t="shared" si="0"/>
        <v>36.130893780094624</v>
      </c>
      <c r="E16" s="304"/>
      <c r="F16" s="304">
        <f t="shared" si="1"/>
        <v>5.7504250305075937E-2</v>
      </c>
      <c r="G16" s="304">
        <f t="shared" si="1"/>
        <v>8.7691630771866397E-2</v>
      </c>
      <c r="H16" s="304">
        <f t="shared" si="1"/>
        <v>0.13702110406456891</v>
      </c>
      <c r="I16" s="304"/>
      <c r="J16" s="304">
        <f t="shared" si="2"/>
        <v>0.32953457800369235</v>
      </c>
      <c r="K16" s="304">
        <f t="shared" si="2"/>
        <v>0.48690830417484277</v>
      </c>
      <c r="L16" s="304">
        <f t="shared" si="2"/>
        <v>0.75329731368141561</v>
      </c>
      <c r="M16" s="304"/>
      <c r="N16" s="304">
        <f t="shared" si="3"/>
        <v>1.1317845625813461</v>
      </c>
      <c r="O16" s="304">
        <f t="shared" si="3"/>
        <v>1.5090352723938147</v>
      </c>
      <c r="P16" s="304">
        <f t="shared" si="3"/>
        <v>2.1017603742816409</v>
      </c>
      <c r="Q16" s="306"/>
      <c r="R16" s="304">
        <f t="shared" ref="R16:T16" si="46">SUM(R28,R40,R58,R70,R82,R100)</f>
        <v>0.59052822573728692</v>
      </c>
      <c r="S16" s="304">
        <f t="shared" si="46"/>
        <v>0.76279324142322302</v>
      </c>
      <c r="T16" s="304">
        <f t="shared" si="46"/>
        <v>0.91172963693238729</v>
      </c>
      <c r="U16" s="306"/>
      <c r="V16" s="304">
        <f t="shared" ref="V16:X16" si="47">SUM(V28,V40,V58,V70,V82,V100)</f>
        <v>0.94894934921932761</v>
      </c>
      <c r="W16" s="304">
        <f t="shared" si="47"/>
        <v>1.2233701783788957</v>
      </c>
      <c r="X16" s="304">
        <f t="shared" si="47"/>
        <v>1.3519672056915055</v>
      </c>
      <c r="Y16" s="306"/>
      <c r="Z16" s="304">
        <f t="shared" ref="Z16:AB16" si="48">SUM(Z28,Z40,Z58,Z70,Z82,Z100)</f>
        <v>10.316227019816676</v>
      </c>
      <c r="AA16" s="304">
        <f t="shared" si="48"/>
        <v>10.731606544166651</v>
      </c>
      <c r="AB16" s="304">
        <f t="shared" si="48"/>
        <v>11.432778939594121</v>
      </c>
      <c r="AC16" s="306"/>
      <c r="AD16" s="304">
        <f t="shared" ref="AD16:AF16" si="49">SUM(AD28,AD40,AD58,AD70,AD82,AD100)</f>
        <v>12.075258245889206</v>
      </c>
      <c r="AE16" s="304">
        <f t="shared" si="49"/>
        <v>14.214685564166292</v>
      </c>
      <c r="AF16" s="304">
        <f t="shared" si="49"/>
        <v>14.756586759538999</v>
      </c>
      <c r="AG16" s="306"/>
      <c r="AH16" s="304">
        <f t="shared" ref="AH16:AJ16" si="50">SUM(AH28,AH40,AH58,AH70,AH82,AH100)</f>
        <v>6.6751684250938785</v>
      </c>
      <c r="AI16" s="304">
        <f t="shared" si="50"/>
        <v>7.0336178824913107</v>
      </c>
      <c r="AJ16" s="304">
        <f t="shared" si="50"/>
        <v>3.8336015579122673</v>
      </c>
      <c r="AK16" s="306"/>
      <c r="AL16" s="304">
        <f t="shared" ref="AL16:AN16" si="51">SUM(AL28,AL40,AL58,AL70,AL82,AL100)</f>
        <v>3.4542360331336295</v>
      </c>
      <c r="AM16" s="304">
        <f t="shared" si="51"/>
        <v>2.2454997094470417</v>
      </c>
      <c r="AN16" s="304">
        <f t="shared" si="51"/>
        <v>0.85215088839772424</v>
      </c>
    </row>
    <row r="17" spans="1:40" x14ac:dyDescent="0.2">
      <c r="A17" s="13" t="str">
        <f>name!E12</f>
        <v>Elementary occupations</v>
      </c>
      <c r="B17" s="304">
        <f t="shared" si="0"/>
        <v>52.797952065548508</v>
      </c>
      <c r="C17" s="304">
        <f t="shared" si="0"/>
        <v>51.320429621084131</v>
      </c>
      <c r="D17" s="304">
        <f t="shared" si="0"/>
        <v>49.724225750820203</v>
      </c>
      <c r="E17" s="304"/>
      <c r="F17" s="304">
        <f t="shared" si="1"/>
        <v>3.53434737895209E-2</v>
      </c>
      <c r="G17" s="304">
        <f t="shared" si="1"/>
        <v>4.6286442289789585E-2</v>
      </c>
      <c r="H17" s="304">
        <f t="shared" si="1"/>
        <v>6.3117452188750034E-2</v>
      </c>
      <c r="I17" s="304"/>
      <c r="J17" s="304">
        <f t="shared" si="2"/>
        <v>0.87411699650935626</v>
      </c>
      <c r="K17" s="304">
        <f t="shared" si="2"/>
        <v>1.1730778012384226</v>
      </c>
      <c r="L17" s="304">
        <f t="shared" si="2"/>
        <v>1.7798494856448612</v>
      </c>
      <c r="M17" s="304"/>
      <c r="N17" s="304">
        <f t="shared" si="3"/>
        <v>3.1875855487623426</v>
      </c>
      <c r="O17" s="304">
        <f t="shared" si="3"/>
        <v>3.8317847806102163</v>
      </c>
      <c r="P17" s="304">
        <f t="shared" si="3"/>
        <v>5.1883625669255871</v>
      </c>
      <c r="Q17" s="306"/>
      <c r="R17" s="304">
        <f t="shared" ref="R17:T17" si="52">SUM(R29,R41,R59,R71,R83,R101)</f>
        <v>1.6512131779738564</v>
      </c>
      <c r="S17" s="304">
        <f t="shared" si="52"/>
        <v>1.9281190286581242</v>
      </c>
      <c r="T17" s="304">
        <f t="shared" si="52"/>
        <v>2.6779450637328082</v>
      </c>
      <c r="U17" s="306"/>
      <c r="V17" s="304">
        <f t="shared" ref="V17:X17" si="53">SUM(V29,V41,V59,V71,V83,V101)</f>
        <v>1.4427194960033334</v>
      </c>
      <c r="W17" s="304">
        <f t="shared" si="53"/>
        <v>1.6291495270937719</v>
      </c>
      <c r="X17" s="304">
        <f t="shared" si="53"/>
        <v>2.158596283152777</v>
      </c>
      <c r="Y17" s="306"/>
      <c r="Z17" s="304">
        <f t="shared" ref="Z17:AB17" si="54">SUM(Z29,Z41,Z59,Z71,Z83,Z101)</f>
        <v>10.791367771245435</v>
      </c>
      <c r="AA17" s="304">
        <f t="shared" si="54"/>
        <v>9.7214241591882899</v>
      </c>
      <c r="AB17" s="304">
        <f t="shared" si="54"/>
        <v>9.8509697827041816</v>
      </c>
      <c r="AC17" s="306"/>
      <c r="AD17" s="304">
        <f t="shared" ref="AD17:AF17" si="55">SUM(AD29,AD41,AD59,AD71,AD83,AD101)</f>
        <v>17.808247465267204</v>
      </c>
      <c r="AE17" s="304">
        <f t="shared" si="55"/>
        <v>17.584978431114163</v>
      </c>
      <c r="AF17" s="304">
        <f t="shared" si="55"/>
        <v>17.348883481559636</v>
      </c>
      <c r="AG17" s="306"/>
      <c r="AH17" s="304">
        <f t="shared" ref="AH17:AJ17" si="56">SUM(AH29,AH41,AH59,AH71,AH83,AH101)</f>
        <v>12.317534423289375</v>
      </c>
      <c r="AI17" s="304">
        <f t="shared" si="56"/>
        <v>11.932712834943651</v>
      </c>
      <c r="AJ17" s="304">
        <f t="shared" si="56"/>
        <v>8.5694200313290967</v>
      </c>
      <c r="AK17" s="306"/>
      <c r="AL17" s="304">
        <f t="shared" ref="AL17:AN17" si="57">SUM(AL29,AL41,AL59,AL71,AL83,AL101)</f>
        <v>4.6898237127080771</v>
      </c>
      <c r="AM17" s="304">
        <f t="shared" si="57"/>
        <v>3.4728966159477102</v>
      </c>
      <c r="AN17" s="304">
        <f t="shared" si="57"/>
        <v>2.0870816035825026</v>
      </c>
    </row>
    <row r="18" spans="1:40" x14ac:dyDescent="0.2">
      <c r="B18" s="304"/>
      <c r="C18" s="304"/>
      <c r="D18" s="304"/>
      <c r="E18" s="304"/>
      <c r="F18" s="304"/>
      <c r="G18" s="304"/>
      <c r="H18" s="304"/>
      <c r="I18" s="304"/>
      <c r="J18" s="304"/>
      <c r="K18" s="304"/>
      <c r="L18" s="304"/>
      <c r="M18" s="304"/>
      <c r="N18" s="304"/>
      <c r="O18" s="304"/>
      <c r="P18" s="304"/>
      <c r="Q18" s="306"/>
      <c r="R18" s="304"/>
      <c r="S18" s="304"/>
      <c r="T18" s="304"/>
      <c r="U18" s="306"/>
      <c r="V18" s="304"/>
      <c r="W18" s="304"/>
      <c r="X18" s="304"/>
      <c r="Y18" s="306"/>
      <c r="Z18" s="304"/>
      <c r="AA18" s="304"/>
      <c r="AB18" s="304"/>
      <c r="AC18" s="306"/>
      <c r="AD18" s="304"/>
      <c r="AE18" s="304"/>
      <c r="AF18" s="304"/>
      <c r="AG18" s="306"/>
      <c r="AH18" s="304"/>
      <c r="AI18" s="304"/>
      <c r="AJ18" s="304"/>
      <c r="AK18" s="306"/>
      <c r="AL18" s="304"/>
      <c r="AM18" s="304"/>
      <c r="AN18" s="304"/>
    </row>
    <row r="19" spans="1:40" x14ac:dyDescent="0.2">
      <c r="A19" s="1" t="str">
        <f>name!C4</f>
        <v>Primary sector and utilities</v>
      </c>
      <c r="B19" s="306"/>
      <c r="C19" s="306"/>
      <c r="D19" s="306"/>
      <c r="E19" s="304"/>
      <c r="F19" s="304"/>
      <c r="G19" s="304"/>
      <c r="H19" s="304"/>
      <c r="I19" s="304"/>
      <c r="J19" s="304"/>
      <c r="K19" s="304"/>
      <c r="L19" s="304"/>
      <c r="M19" s="304"/>
      <c r="N19" s="304"/>
      <c r="O19" s="304"/>
      <c r="P19" s="304"/>
      <c r="Q19" s="306"/>
      <c r="R19" s="304"/>
      <c r="S19" s="304"/>
      <c r="T19" s="304"/>
      <c r="U19" s="306"/>
      <c r="V19" s="304"/>
      <c r="W19" s="304"/>
      <c r="X19" s="304"/>
      <c r="Y19" s="306"/>
      <c r="Z19" s="304"/>
      <c r="AA19" s="304"/>
      <c r="AB19" s="304"/>
      <c r="AC19" s="306"/>
      <c r="AD19" s="304"/>
      <c r="AE19" s="304"/>
      <c r="AF19" s="304"/>
      <c r="AG19" s="306"/>
      <c r="AH19" s="304"/>
      <c r="AI19" s="304"/>
      <c r="AJ19" s="304"/>
      <c r="AK19" s="306"/>
      <c r="AL19" s="304"/>
      <c r="AM19" s="304"/>
      <c r="AN19" s="304"/>
    </row>
    <row r="20" spans="1:40" x14ac:dyDescent="0.2">
      <c r="A20" s="13" t="str">
        <f t="shared" ref="A20:A29" si="58">A8</f>
        <v>All occupations</v>
      </c>
      <c r="B20" s="305">
        <f>SUM(B21:B29)</f>
        <v>11.736000000000001</v>
      </c>
      <c r="C20" s="305">
        <f>SUM(C21:C29)</f>
        <v>11.704999999999993</v>
      </c>
      <c r="D20" s="305">
        <f>SUM(D21:D29)</f>
        <v>11.858000000000009</v>
      </c>
      <c r="E20" s="304"/>
      <c r="F20" s="305">
        <f>SUM(F21:F29)</f>
        <v>0.15098139290024248</v>
      </c>
      <c r="G20" s="305">
        <f>SUM(G21:G29)</f>
        <v>0.19248081531820468</v>
      </c>
      <c r="H20" s="305">
        <f>SUM(H21:H29)</f>
        <v>0.26436197775612702</v>
      </c>
      <c r="I20" s="304"/>
      <c r="J20" s="305">
        <f>SUM(J21:J29)</f>
        <v>0.84916936095635609</v>
      </c>
      <c r="K20" s="305">
        <f>SUM(K21:K29)</f>
        <v>1.0492852150525367</v>
      </c>
      <c r="L20" s="305">
        <f>SUM(L21:L29)</f>
        <v>1.4350852924416795</v>
      </c>
      <c r="M20" s="304"/>
      <c r="N20" s="305">
        <f>SUM(N21:N29)</f>
        <v>2.1350559460448388</v>
      </c>
      <c r="O20" s="305">
        <f>SUM(O21:O29)</f>
        <v>2.2553767626786101</v>
      </c>
      <c r="P20" s="305">
        <f>SUM(P21:P29)</f>
        <v>2.5071901144618116</v>
      </c>
      <c r="Q20" s="306"/>
      <c r="R20" s="305">
        <f>SUM(R21:R29)</f>
        <v>0.34431274680260321</v>
      </c>
      <c r="S20" s="305">
        <f>SUM(S21:S29)</f>
        <v>0.36920729964118892</v>
      </c>
      <c r="T20" s="305">
        <f>SUM(T21:T29)</f>
        <v>0.41420683134465658</v>
      </c>
      <c r="U20" s="306"/>
      <c r="V20" s="305">
        <f>SUM(V21:V29)</f>
        <v>0.94001695445012112</v>
      </c>
      <c r="W20" s="305">
        <f>SUM(W21:W29)</f>
        <v>0.94376230479945089</v>
      </c>
      <c r="X20" s="305">
        <f>SUM(X21:X29)</f>
        <v>1.0050870378763506</v>
      </c>
      <c r="Y20" s="306"/>
      <c r="Z20" s="305">
        <f>SUM(Z21:Z29)</f>
        <v>2.9933712516569742</v>
      </c>
      <c r="AA20" s="305">
        <f>SUM(AA21:AA29)</f>
        <v>2.6883763051295375</v>
      </c>
      <c r="AB20" s="305">
        <f>SUM(AB21:AB29)</f>
        <v>2.7054012739887874</v>
      </c>
      <c r="AC20" s="306"/>
      <c r="AD20" s="305">
        <f>SUM(AD21:AD29)</f>
        <v>2.1974265559811554</v>
      </c>
      <c r="AE20" s="305">
        <f>SUM(AE21:AE29)</f>
        <v>2.0646542419097567</v>
      </c>
      <c r="AF20" s="305">
        <f>SUM(AF21:AF29)</f>
        <v>1.8554442562741937</v>
      </c>
      <c r="AG20" s="306"/>
      <c r="AH20" s="305">
        <f>SUM(AH21:AH29)</f>
        <v>1.2102250390791576</v>
      </c>
      <c r="AI20" s="305">
        <f>SUM(AI21:AI29)</f>
        <v>1.1861218634025736</v>
      </c>
      <c r="AJ20" s="305">
        <f>SUM(AJ21:AJ29)</f>
        <v>0.86616268067789404</v>
      </c>
      <c r="AK20" s="306"/>
      <c r="AL20" s="305">
        <f>SUM(AL21:AL29)</f>
        <v>0.91544075212855058</v>
      </c>
      <c r="AM20" s="305">
        <f>SUM(AM21:AM29)</f>
        <v>0.95573519206813351</v>
      </c>
      <c r="AN20" s="305">
        <f>SUM(AN21:AN29)</f>
        <v>0.80506053517851062</v>
      </c>
    </row>
    <row r="21" spans="1:40" x14ac:dyDescent="0.2">
      <c r="A21" s="13" t="str">
        <f t="shared" si="58"/>
        <v>Managers, directors and senior officials</v>
      </c>
      <c r="B21" s="304">
        <f>SUM(F21,J21,N21,R21,V21,Z21,AD21,AH21,AL21)</f>
        <v>1.4393805184066943</v>
      </c>
      <c r="C21" s="304">
        <f t="shared" ref="C21:D21" si="59">SUM(G21,K21,O21,S21,W21,AA21,AE21,AI21,AM21)</f>
        <v>1.4686235645059891</v>
      </c>
      <c r="D21" s="304">
        <f t="shared" si="59"/>
        <v>1.6028309748606016</v>
      </c>
      <c r="E21" s="304"/>
      <c r="F21" s="304">
        <v>2.6511514718560187E-2</v>
      </c>
      <c r="G21" s="304">
        <v>3.0998199247071555E-2</v>
      </c>
      <c r="H21" s="304">
        <v>3.7193919427778555E-2</v>
      </c>
      <c r="I21" s="304"/>
      <c r="J21" s="304">
        <v>0.22724985842323897</v>
      </c>
      <c r="K21" s="304">
        <v>0.26201834982338829</v>
      </c>
      <c r="L21" s="304">
        <v>0.35119792860078997</v>
      </c>
      <c r="M21" s="304"/>
      <c r="N21" s="304">
        <v>0.40362922705461213</v>
      </c>
      <c r="O21" s="304">
        <v>0.40828667378548911</v>
      </c>
      <c r="P21" s="304">
        <v>0.45099586365200445</v>
      </c>
      <c r="Q21" s="306"/>
      <c r="R21" s="304">
        <v>6.6233744827699531E-2</v>
      </c>
      <c r="S21" s="304">
        <v>7.0225987924122754E-2</v>
      </c>
      <c r="T21" s="304">
        <v>7.8669830435367474E-2</v>
      </c>
      <c r="U21" s="306"/>
      <c r="V21" s="304">
        <v>0.14465405591591504</v>
      </c>
      <c r="W21" s="304">
        <v>0.1323099817039381</v>
      </c>
      <c r="X21" s="304">
        <v>0.12796925347752938</v>
      </c>
      <c r="Y21" s="306"/>
      <c r="Z21" s="304">
        <v>0.19477873828261408</v>
      </c>
      <c r="AA21" s="304">
        <v>0.1904546044284233</v>
      </c>
      <c r="AB21" s="304">
        <v>0.2465710144228179</v>
      </c>
      <c r="AC21" s="306"/>
      <c r="AD21" s="304">
        <v>0.16473843566423266</v>
      </c>
      <c r="AE21" s="304">
        <v>0.16086247973890572</v>
      </c>
      <c r="AF21" s="304">
        <v>0.14159600927169924</v>
      </c>
      <c r="AG21" s="306"/>
      <c r="AH21" s="304">
        <v>0.13594341242525193</v>
      </c>
      <c r="AI21" s="304">
        <v>0.13523141579007969</v>
      </c>
      <c r="AJ21" s="304">
        <v>9.2001050537646026E-2</v>
      </c>
      <c r="AK21" s="306"/>
      <c r="AL21" s="304">
        <v>7.5641531094569683E-2</v>
      </c>
      <c r="AM21" s="304">
        <v>7.8235872064570583E-2</v>
      </c>
      <c r="AN21" s="304">
        <v>7.6636105034968371E-2</v>
      </c>
    </row>
    <row r="22" spans="1:40" x14ac:dyDescent="0.2">
      <c r="A22" s="13" t="str">
        <f t="shared" si="58"/>
        <v>Professional occupations</v>
      </c>
      <c r="B22" s="304">
        <f t="shared" ref="B22:B29" si="60">SUM(F22,J22,N22,R22,V22,Z22,AD22,AH22,AL22)</f>
        <v>2.3221590745156582</v>
      </c>
      <c r="C22" s="304">
        <f t="shared" ref="C22:C29" si="61">SUM(G22,K22,O22,S22,W22,AA22,AE22,AI22,AM22)</f>
        <v>2.412491352656513</v>
      </c>
      <c r="D22" s="304">
        <f t="shared" ref="D22:D29" si="62">SUM(H22,L22,P22,T22,X22,AB22,AF22,AJ22,AN22)</f>
        <v>2.6429979503201833</v>
      </c>
      <c r="E22" s="304"/>
      <c r="F22" s="304">
        <v>8.5970527785930922E-2</v>
      </c>
      <c r="G22" s="304">
        <v>0.11703284771453239</v>
      </c>
      <c r="H22" s="304">
        <v>0.17306819116908867</v>
      </c>
      <c r="I22" s="304"/>
      <c r="J22" s="304">
        <v>0.35879034824934303</v>
      </c>
      <c r="K22" s="304">
        <v>0.46674495712586056</v>
      </c>
      <c r="L22" s="304">
        <v>0.66460104038496004</v>
      </c>
      <c r="M22" s="304"/>
      <c r="N22" s="304">
        <v>0.70224731304265309</v>
      </c>
      <c r="O22" s="304">
        <v>0.76536755825434855</v>
      </c>
      <c r="P22" s="304">
        <v>0.82803059807168167</v>
      </c>
      <c r="Q22" s="306"/>
      <c r="R22" s="304">
        <v>7.8713819020145806E-2</v>
      </c>
      <c r="S22" s="304">
        <v>8.6774427648511454E-2</v>
      </c>
      <c r="T22" s="304">
        <v>8.9982240020004919E-2</v>
      </c>
      <c r="U22" s="306"/>
      <c r="V22" s="304">
        <v>0.28597768473631219</v>
      </c>
      <c r="W22" s="304">
        <v>0.26626089694865662</v>
      </c>
      <c r="X22" s="304">
        <v>0.24474908804382403</v>
      </c>
      <c r="Y22" s="306"/>
      <c r="Z22" s="304">
        <v>0.47527014880431923</v>
      </c>
      <c r="AA22" s="304">
        <v>0.42551743318326907</v>
      </c>
      <c r="AB22" s="304">
        <v>0.41451561581782254</v>
      </c>
      <c r="AC22" s="306"/>
      <c r="AD22" s="304">
        <v>0.16979996781247556</v>
      </c>
      <c r="AE22" s="304">
        <v>0.11041524129736251</v>
      </c>
      <c r="AF22" s="304">
        <v>8.6793626077400723E-2</v>
      </c>
      <c r="AG22" s="306"/>
      <c r="AH22" s="304">
        <v>0.10331594812661569</v>
      </c>
      <c r="AI22" s="304">
        <v>0.11076564532617754</v>
      </c>
      <c r="AJ22" s="304">
        <v>8.0669711731322508E-2</v>
      </c>
      <c r="AK22" s="306"/>
      <c r="AL22" s="304">
        <v>6.2073316937862597E-2</v>
      </c>
      <c r="AM22" s="304">
        <v>6.3612345157794223E-2</v>
      </c>
      <c r="AN22" s="304">
        <v>6.0587839004077909E-2</v>
      </c>
    </row>
    <row r="23" spans="1:40" x14ac:dyDescent="0.2">
      <c r="A23" s="13" t="str">
        <f t="shared" si="58"/>
        <v>Associate professional occupations</v>
      </c>
      <c r="B23" s="304">
        <f t="shared" si="60"/>
        <v>1.7823045099469583</v>
      </c>
      <c r="C23" s="304">
        <f t="shared" si="61"/>
        <v>1.6571835192981639</v>
      </c>
      <c r="D23" s="304">
        <f t="shared" si="62"/>
        <v>1.7356298251822528</v>
      </c>
      <c r="E23" s="304"/>
      <c r="F23" s="304">
        <v>2.2003147567189629E-2</v>
      </c>
      <c r="G23" s="304">
        <v>2.5943273392226244E-2</v>
      </c>
      <c r="H23" s="304">
        <v>3.2930389783830144E-2</v>
      </c>
      <c r="I23" s="304"/>
      <c r="J23" s="304">
        <v>0.10275307629163329</v>
      </c>
      <c r="K23" s="304">
        <v>0.12483128225231269</v>
      </c>
      <c r="L23" s="304">
        <v>0.16334857483244478</v>
      </c>
      <c r="M23" s="304"/>
      <c r="N23" s="304">
        <v>0.38343880012778386</v>
      </c>
      <c r="O23" s="304">
        <v>0.38061625374751523</v>
      </c>
      <c r="P23" s="304">
        <v>0.41469117450559723</v>
      </c>
      <c r="Q23" s="306"/>
      <c r="R23" s="304">
        <v>3.730199069716704E-2</v>
      </c>
      <c r="S23" s="304">
        <v>3.744112280101148E-2</v>
      </c>
      <c r="T23" s="304">
        <v>4.3810924183394204E-2</v>
      </c>
      <c r="U23" s="306"/>
      <c r="V23" s="304">
        <v>0.19565286509565713</v>
      </c>
      <c r="W23" s="304">
        <v>0.20686928654646036</v>
      </c>
      <c r="X23" s="304">
        <v>0.25375548433871548</v>
      </c>
      <c r="Y23" s="306"/>
      <c r="Z23" s="304">
        <v>0.65405389363692035</v>
      </c>
      <c r="AA23" s="304">
        <v>0.54486171481898693</v>
      </c>
      <c r="AB23" s="304">
        <v>0.5555145845902334</v>
      </c>
      <c r="AC23" s="306"/>
      <c r="AD23" s="304">
        <v>0.18778516732996395</v>
      </c>
      <c r="AE23" s="304">
        <v>0.13459981945480848</v>
      </c>
      <c r="AF23" s="304">
        <v>9.0171733307927548E-2</v>
      </c>
      <c r="AG23" s="306"/>
      <c r="AH23" s="304">
        <v>0.13294431908098306</v>
      </c>
      <c r="AI23" s="304">
        <v>0.12777976156825874</v>
      </c>
      <c r="AJ23" s="304">
        <v>8.363161642526229E-2</v>
      </c>
      <c r="AK23" s="306"/>
      <c r="AL23" s="304">
        <v>6.6371250119659914E-2</v>
      </c>
      <c r="AM23" s="304">
        <v>7.4241004716583528E-2</v>
      </c>
      <c r="AN23" s="304">
        <v>9.7775343214847862E-2</v>
      </c>
    </row>
    <row r="24" spans="1:40" x14ac:dyDescent="0.2">
      <c r="A24" s="13" t="str">
        <f t="shared" si="58"/>
        <v>Administrative and secretarial occupations</v>
      </c>
      <c r="B24" s="304">
        <f t="shared" si="60"/>
        <v>0.58663505940144578</v>
      </c>
      <c r="C24" s="304">
        <f t="shared" si="61"/>
        <v>0.54423709744227589</v>
      </c>
      <c r="D24" s="304">
        <f t="shared" si="62"/>
        <v>0.49533952510071094</v>
      </c>
      <c r="E24" s="304"/>
      <c r="F24" s="304">
        <v>2.1027429785027245E-3</v>
      </c>
      <c r="G24" s="304">
        <v>1.9728092748190844E-3</v>
      </c>
      <c r="H24" s="304">
        <v>1.8876506424357787E-3</v>
      </c>
      <c r="I24" s="304"/>
      <c r="J24" s="304">
        <v>3.2651479996549937E-2</v>
      </c>
      <c r="K24" s="304">
        <v>3.6088982148661825E-2</v>
      </c>
      <c r="L24" s="304">
        <v>4.3232810064234045E-2</v>
      </c>
      <c r="M24" s="304"/>
      <c r="N24" s="304">
        <v>0.10099478955884196</v>
      </c>
      <c r="O24" s="304">
        <v>9.7828029443502662E-2</v>
      </c>
      <c r="P24" s="304">
        <v>0.10162112219192045</v>
      </c>
      <c r="Q24" s="306"/>
      <c r="R24" s="304">
        <v>1.9039650115427905E-2</v>
      </c>
      <c r="S24" s="304">
        <v>1.7678994439513946E-2</v>
      </c>
      <c r="T24" s="304">
        <v>1.7899062300941303E-2</v>
      </c>
      <c r="U24" s="306"/>
      <c r="V24" s="304">
        <v>4.6747841058306705E-2</v>
      </c>
      <c r="W24" s="304">
        <v>4.692943294657264E-2</v>
      </c>
      <c r="X24" s="304">
        <v>4.6707432626028521E-2</v>
      </c>
      <c r="Y24" s="306"/>
      <c r="Z24" s="304">
        <v>0.14384382159309986</v>
      </c>
      <c r="AA24" s="304">
        <v>0.13014484900367873</v>
      </c>
      <c r="AB24" s="304">
        <v>0.11267155849558595</v>
      </c>
      <c r="AC24" s="306"/>
      <c r="AD24" s="304">
        <v>0.11610381244766624</v>
      </c>
      <c r="AE24" s="304">
        <v>8.5391743770945355E-2</v>
      </c>
      <c r="AF24" s="304">
        <v>5.5434277634763565E-2</v>
      </c>
      <c r="AG24" s="306"/>
      <c r="AH24" s="304">
        <v>7.8786636082170916E-2</v>
      </c>
      <c r="AI24" s="304">
        <v>6.9144435090690168E-2</v>
      </c>
      <c r="AJ24" s="304">
        <v>4.0970560352519274E-2</v>
      </c>
      <c r="AK24" s="306"/>
      <c r="AL24" s="304">
        <v>4.6364285570879488E-2</v>
      </c>
      <c r="AM24" s="304">
        <v>5.9057821323891445E-2</v>
      </c>
      <c r="AN24" s="304">
        <v>7.4915050792282056E-2</v>
      </c>
    </row>
    <row r="25" spans="1:40" x14ac:dyDescent="0.2">
      <c r="A25" s="13" t="str">
        <f t="shared" si="58"/>
        <v>Skilled trades occupations</v>
      </c>
      <c r="B25" s="304">
        <f t="shared" si="60"/>
        <v>2.4473224352839158</v>
      </c>
      <c r="C25" s="304">
        <f t="shared" si="61"/>
        <v>2.3746868096633249</v>
      </c>
      <c r="D25" s="304">
        <f t="shared" si="62"/>
        <v>2.1972478561191111</v>
      </c>
      <c r="E25" s="304"/>
      <c r="F25" s="304">
        <v>8.6604593873443013E-3</v>
      </c>
      <c r="G25" s="304">
        <v>1.0250016340231826E-2</v>
      </c>
      <c r="H25" s="304">
        <v>1.2313481298927786E-2</v>
      </c>
      <c r="I25" s="304"/>
      <c r="J25" s="304">
        <v>5.1448690640706549E-2</v>
      </c>
      <c r="K25" s="304">
        <v>6.8840873161951477E-2</v>
      </c>
      <c r="L25" s="304">
        <v>9.9279120030841814E-2</v>
      </c>
      <c r="M25" s="304"/>
      <c r="N25" s="304">
        <v>0.30629795911996388</v>
      </c>
      <c r="O25" s="304">
        <v>0.3603549117900619</v>
      </c>
      <c r="P25" s="304">
        <v>0.45188006593679753</v>
      </c>
      <c r="Q25" s="306"/>
      <c r="R25" s="304">
        <v>8.3721063468664481E-2</v>
      </c>
      <c r="S25" s="304">
        <v>9.109923772982978E-2</v>
      </c>
      <c r="T25" s="304">
        <v>0.10334080134162089</v>
      </c>
      <c r="U25" s="306"/>
      <c r="V25" s="304">
        <v>0.17972897949391242</v>
      </c>
      <c r="W25" s="304">
        <v>0.19805029594771073</v>
      </c>
      <c r="X25" s="304">
        <v>0.23704946078320488</v>
      </c>
      <c r="Y25" s="306"/>
      <c r="Z25" s="304">
        <v>0.72747251177695238</v>
      </c>
      <c r="AA25" s="304">
        <v>0.5977503838484387</v>
      </c>
      <c r="AB25" s="304">
        <v>0.50305940567544605</v>
      </c>
      <c r="AC25" s="306"/>
      <c r="AD25" s="304">
        <v>0.58709128051416437</v>
      </c>
      <c r="AE25" s="304">
        <v>0.57195059511020174</v>
      </c>
      <c r="AF25" s="304">
        <v>0.5091128109786639</v>
      </c>
      <c r="AG25" s="306"/>
      <c r="AH25" s="304">
        <v>0.27704100942405174</v>
      </c>
      <c r="AI25" s="304">
        <v>0.28064269483863452</v>
      </c>
      <c r="AJ25" s="304">
        <v>0.2089737999707896</v>
      </c>
      <c r="AK25" s="306"/>
      <c r="AL25" s="304">
        <v>0.22586048145815552</v>
      </c>
      <c r="AM25" s="304">
        <v>0.19574780089626451</v>
      </c>
      <c r="AN25" s="304">
        <v>7.2238910102819118E-2</v>
      </c>
    </row>
    <row r="26" spans="1:40" x14ac:dyDescent="0.2">
      <c r="A26" s="13" t="str">
        <f t="shared" si="58"/>
        <v>Caring, leisure and other service occupations</v>
      </c>
      <c r="B26" s="304">
        <f t="shared" si="60"/>
        <v>0.56065761659437552</v>
      </c>
      <c r="C26" s="304">
        <f t="shared" si="61"/>
        <v>0.57634174666098636</v>
      </c>
      <c r="D26" s="304">
        <f t="shared" si="62"/>
        <v>0.59926953878353395</v>
      </c>
      <c r="E26" s="304"/>
      <c r="F26" s="304">
        <v>2.0977730498564916E-3</v>
      </c>
      <c r="G26" s="304">
        <v>2.3331779584905401E-3</v>
      </c>
      <c r="H26" s="304">
        <v>2.4452029443801167E-3</v>
      </c>
      <c r="I26" s="304"/>
      <c r="J26" s="304">
        <v>3.2867929253627123E-2</v>
      </c>
      <c r="K26" s="304">
        <v>3.6068158510324667E-2</v>
      </c>
      <c r="L26" s="304">
        <v>4.0700498663377563E-2</v>
      </c>
      <c r="M26" s="304"/>
      <c r="N26" s="304">
        <v>0.12490565499473393</v>
      </c>
      <c r="O26" s="304">
        <v>0.11840953095266371</v>
      </c>
      <c r="P26" s="304">
        <v>0.11945185578784723</v>
      </c>
      <c r="Q26" s="306"/>
      <c r="R26" s="304">
        <v>1.3316230011394583E-2</v>
      </c>
      <c r="S26" s="304">
        <v>1.437204424392839E-2</v>
      </c>
      <c r="T26" s="304">
        <v>1.6600512978137805E-2</v>
      </c>
      <c r="U26" s="306"/>
      <c r="V26" s="304">
        <v>3.3189536424010208E-2</v>
      </c>
      <c r="W26" s="304">
        <v>3.1832759891823846E-2</v>
      </c>
      <c r="X26" s="304">
        <v>3.2154244314513879E-2</v>
      </c>
      <c r="Y26" s="306"/>
      <c r="Z26" s="304">
        <v>0.12727541907575673</v>
      </c>
      <c r="AA26" s="304">
        <v>0.12561009244595681</v>
      </c>
      <c r="AB26" s="304">
        <v>0.1231088464960369</v>
      </c>
      <c r="AC26" s="306"/>
      <c r="AD26" s="304">
        <v>0.10014625664269948</v>
      </c>
      <c r="AE26" s="304">
        <v>8.8620708320195737E-2</v>
      </c>
      <c r="AF26" s="304">
        <v>6.2518113979163015E-2</v>
      </c>
      <c r="AG26" s="306"/>
      <c r="AH26" s="304">
        <v>3.3727347862376675E-2</v>
      </c>
      <c r="AI26" s="304">
        <v>3.1395626290394572E-2</v>
      </c>
      <c r="AJ26" s="304">
        <v>2.3633831278261408E-2</v>
      </c>
      <c r="AK26" s="306"/>
      <c r="AL26" s="304">
        <v>9.3131469279920248E-2</v>
      </c>
      <c r="AM26" s="304">
        <v>0.12769964804720801</v>
      </c>
      <c r="AN26" s="304">
        <v>0.17865643234181602</v>
      </c>
    </row>
    <row r="27" spans="1:40" x14ac:dyDescent="0.2">
      <c r="A27" s="13" t="str">
        <f t="shared" si="58"/>
        <v>Sales and customer service occupations</v>
      </c>
      <c r="B27" s="304">
        <f t="shared" si="60"/>
        <v>0.47386248940083314</v>
      </c>
      <c r="C27" s="304">
        <f t="shared" si="61"/>
        <v>0.48035466233705471</v>
      </c>
      <c r="D27" s="304">
        <f t="shared" si="62"/>
        <v>0.47784521164053251</v>
      </c>
      <c r="E27" s="304"/>
      <c r="F27" s="304">
        <v>3.5641200337621637E-3</v>
      </c>
      <c r="G27" s="304">
        <v>3.8481934367882512E-3</v>
      </c>
      <c r="H27" s="304">
        <v>4.3712580922513787E-3</v>
      </c>
      <c r="I27" s="304"/>
      <c r="J27" s="304">
        <v>1.6762921459600354E-2</v>
      </c>
      <c r="K27" s="304">
        <v>1.7766343923184384E-2</v>
      </c>
      <c r="L27" s="304">
        <v>1.9749688175134908E-2</v>
      </c>
      <c r="M27" s="304"/>
      <c r="N27" s="304">
        <v>7.1603799481440022E-2</v>
      </c>
      <c r="O27" s="304">
        <v>7.0998748360908595E-2</v>
      </c>
      <c r="P27" s="304">
        <v>7.8139131249335539E-2</v>
      </c>
      <c r="Q27" s="306"/>
      <c r="R27" s="304">
        <v>2.987544587167008E-2</v>
      </c>
      <c r="S27" s="304">
        <v>3.2650386094349629E-2</v>
      </c>
      <c r="T27" s="304">
        <v>4.2358295999004932E-2</v>
      </c>
      <c r="U27" s="306"/>
      <c r="V27" s="304">
        <v>2.0884346944348983E-2</v>
      </c>
      <c r="W27" s="304">
        <v>2.1168326489041923E-2</v>
      </c>
      <c r="X27" s="304">
        <v>2.151960553529007E-2</v>
      </c>
      <c r="Y27" s="306"/>
      <c r="Z27" s="304">
        <v>0.13071640672034371</v>
      </c>
      <c r="AA27" s="304">
        <v>0.15645493578783431</v>
      </c>
      <c r="AB27" s="304">
        <v>0.19291342268574738</v>
      </c>
      <c r="AC27" s="306"/>
      <c r="AD27" s="304">
        <v>7.2476369028208767E-2</v>
      </c>
      <c r="AE27" s="304">
        <v>6.6224352868090447E-2</v>
      </c>
      <c r="AF27" s="304">
        <v>5.296460062940303E-2</v>
      </c>
      <c r="AG27" s="306"/>
      <c r="AH27" s="304">
        <v>9.2443361090128198E-2</v>
      </c>
      <c r="AI27" s="304">
        <v>7.5948630429094388E-2</v>
      </c>
      <c r="AJ27" s="304">
        <v>3.7099234453533761E-2</v>
      </c>
      <c r="AK27" s="306"/>
      <c r="AL27" s="304">
        <v>3.5535718771330889E-2</v>
      </c>
      <c r="AM27" s="304">
        <v>3.5294744947762732E-2</v>
      </c>
      <c r="AN27" s="304">
        <v>2.8729974820831571E-2</v>
      </c>
    </row>
    <row r="28" spans="1:40" x14ac:dyDescent="0.2">
      <c r="A28" s="13" t="str">
        <f t="shared" si="58"/>
        <v>Process, plant and machine operatives</v>
      </c>
      <c r="B28" s="304">
        <f t="shared" si="60"/>
        <v>1.180630834888216</v>
      </c>
      <c r="C28" s="304">
        <f t="shared" si="61"/>
        <v>1.2548224272366757</v>
      </c>
      <c r="D28" s="304">
        <f t="shared" si="62"/>
        <v>1.2199131989492169</v>
      </c>
      <c r="E28" s="304"/>
      <c r="F28" s="304">
        <v>4.7903921246391108E-5</v>
      </c>
      <c r="G28" s="304">
        <v>7.6706065378158637E-5</v>
      </c>
      <c r="H28" s="304">
        <v>1.239065557865421E-4</v>
      </c>
      <c r="I28" s="304"/>
      <c r="J28" s="304">
        <v>1.1560164157876571E-2</v>
      </c>
      <c r="K28" s="304">
        <v>1.7292519036487295E-2</v>
      </c>
      <c r="L28" s="304">
        <v>2.5610120637475406E-2</v>
      </c>
      <c r="M28" s="304"/>
      <c r="N28" s="304">
        <v>2.7499811527629293E-2</v>
      </c>
      <c r="O28" s="304">
        <v>3.5299456394688747E-2</v>
      </c>
      <c r="P28" s="304">
        <v>4.0778732813502708E-2</v>
      </c>
      <c r="Q28" s="306"/>
      <c r="R28" s="304">
        <v>8.9466494660970456E-3</v>
      </c>
      <c r="S28" s="304">
        <v>1.0631122653560508E-2</v>
      </c>
      <c r="T28" s="304">
        <v>1.1573911257194496E-2</v>
      </c>
      <c r="U28" s="306"/>
      <c r="V28" s="304">
        <v>1.9774206363217958E-2</v>
      </c>
      <c r="W28" s="304">
        <v>2.5086688824934072E-2</v>
      </c>
      <c r="X28" s="304">
        <v>2.4446340725044004E-2</v>
      </c>
      <c r="Y28" s="306"/>
      <c r="Z28" s="304">
        <v>0.3497509738963907</v>
      </c>
      <c r="AA28" s="304">
        <v>0.35863186379305412</v>
      </c>
      <c r="AB28" s="304">
        <v>0.41210111838237617</v>
      </c>
      <c r="AC28" s="306"/>
      <c r="AD28" s="304">
        <v>0.39391559401616699</v>
      </c>
      <c r="AE28" s="304">
        <v>0.43507337315783606</v>
      </c>
      <c r="AF28" s="304">
        <v>0.44355978123689638</v>
      </c>
      <c r="AG28" s="306"/>
      <c r="AH28" s="304">
        <v>0.13338399500301742</v>
      </c>
      <c r="AI28" s="304">
        <v>0.12838276659768813</v>
      </c>
      <c r="AJ28" s="304">
        <v>0.11257632976839245</v>
      </c>
      <c r="AK28" s="306"/>
      <c r="AL28" s="304">
        <v>0.2357515365365736</v>
      </c>
      <c r="AM28" s="304">
        <v>0.24434793071304842</v>
      </c>
      <c r="AN28" s="304">
        <v>0.14914295757254886</v>
      </c>
    </row>
    <row r="29" spans="1:40" x14ac:dyDescent="0.2">
      <c r="A29" s="13" t="str">
        <f t="shared" si="58"/>
        <v>Elementary occupations</v>
      </c>
      <c r="B29" s="304">
        <f t="shared" si="60"/>
        <v>0.94304746156190311</v>
      </c>
      <c r="C29" s="304">
        <f t="shared" si="61"/>
        <v>0.93625882019901019</v>
      </c>
      <c r="D29" s="304">
        <f t="shared" si="62"/>
        <v>0.88692591904386664</v>
      </c>
      <c r="E29" s="304"/>
      <c r="F29" s="304">
        <v>2.3203457849645151E-5</v>
      </c>
      <c r="G29" s="304">
        <v>2.5591888666683145E-5</v>
      </c>
      <c r="H29" s="304">
        <v>2.7977841648071915E-5</v>
      </c>
      <c r="I29" s="304"/>
      <c r="J29" s="304">
        <v>1.5084892483780176E-2</v>
      </c>
      <c r="K29" s="304">
        <v>1.963374907036565E-2</v>
      </c>
      <c r="L29" s="304">
        <v>2.7365511052420667E-2</v>
      </c>
      <c r="M29" s="304"/>
      <c r="N29" s="304">
        <v>1.4438591137181008E-2</v>
      </c>
      <c r="O29" s="304">
        <v>1.8215599949431525E-2</v>
      </c>
      <c r="P29" s="304">
        <v>2.1601570253124255E-2</v>
      </c>
      <c r="Q29" s="306"/>
      <c r="R29" s="304">
        <v>7.164153324336721E-3</v>
      </c>
      <c r="S29" s="304">
        <v>8.3339761063609494E-3</v>
      </c>
      <c r="T29" s="304">
        <v>9.9712528289905619E-3</v>
      </c>
      <c r="U29" s="306"/>
      <c r="V29" s="304">
        <v>1.3407438418440651E-2</v>
      </c>
      <c r="W29" s="304">
        <v>1.5254635500312724E-2</v>
      </c>
      <c r="X29" s="304">
        <v>1.6736128032200325E-2</v>
      </c>
      <c r="Y29" s="306"/>
      <c r="Z29" s="304">
        <v>0.19020933787057687</v>
      </c>
      <c r="AA29" s="304">
        <v>0.15895042781989605</v>
      </c>
      <c r="AB29" s="304">
        <v>0.14494570742272098</v>
      </c>
      <c r="AC29" s="306"/>
      <c r="AD29" s="304">
        <v>0.40536967252557748</v>
      </c>
      <c r="AE29" s="304">
        <v>0.41151592819141075</v>
      </c>
      <c r="AF29" s="304">
        <v>0.4132933031582765</v>
      </c>
      <c r="AG29" s="306"/>
      <c r="AH29" s="304">
        <v>0.2226390099845619</v>
      </c>
      <c r="AI29" s="304">
        <v>0.2268308874715558</v>
      </c>
      <c r="AJ29" s="304">
        <v>0.18660654616016661</v>
      </c>
      <c r="AK29" s="306"/>
      <c r="AL29" s="304">
        <v>7.4711162359598668E-2</v>
      </c>
      <c r="AM29" s="304">
        <v>7.7498024201010124E-2</v>
      </c>
      <c r="AN29" s="304">
        <v>6.6377922294318756E-2</v>
      </c>
    </row>
    <row r="30" spans="1:40" x14ac:dyDescent="0.2">
      <c r="B30" s="305"/>
      <c r="C30" s="305"/>
      <c r="D30" s="305"/>
      <c r="E30" s="304"/>
      <c r="F30" s="304"/>
      <c r="G30" s="304"/>
      <c r="H30" s="304"/>
      <c r="I30" s="304"/>
      <c r="J30" s="304"/>
      <c r="K30" s="304"/>
      <c r="L30" s="304"/>
      <c r="M30" s="304"/>
      <c r="N30" s="304"/>
      <c r="O30" s="304"/>
      <c r="P30" s="304"/>
      <c r="Q30" s="306"/>
      <c r="R30" s="304"/>
      <c r="S30" s="304"/>
      <c r="T30" s="304"/>
      <c r="U30" s="306"/>
      <c r="V30" s="304"/>
      <c r="W30" s="304"/>
      <c r="X30" s="304"/>
      <c r="Y30" s="306"/>
      <c r="Z30" s="304"/>
      <c r="AA30" s="304"/>
      <c r="AB30" s="304"/>
      <c r="AC30" s="306"/>
      <c r="AD30" s="304"/>
      <c r="AE30" s="304"/>
      <c r="AF30" s="304"/>
      <c r="AG30" s="306"/>
      <c r="AH30" s="304"/>
      <c r="AI30" s="304"/>
      <c r="AJ30" s="304"/>
      <c r="AK30" s="306"/>
      <c r="AL30" s="304"/>
      <c r="AM30" s="304"/>
      <c r="AN30" s="304"/>
    </row>
    <row r="31" spans="1:40" x14ac:dyDescent="0.2">
      <c r="A31" s="1" t="str">
        <f>name!C5</f>
        <v>Manufacturing</v>
      </c>
      <c r="B31" s="306"/>
      <c r="C31" s="306"/>
      <c r="D31" s="306"/>
      <c r="E31" s="304"/>
      <c r="F31" s="304"/>
      <c r="G31" s="304"/>
      <c r="H31" s="304"/>
      <c r="I31" s="304"/>
      <c r="J31" s="304"/>
      <c r="K31" s="304"/>
      <c r="L31" s="304"/>
      <c r="M31" s="304"/>
      <c r="N31" s="304"/>
      <c r="O31" s="304"/>
      <c r="P31" s="304"/>
      <c r="Q31" s="306"/>
      <c r="R31" s="304"/>
      <c r="S31" s="304"/>
      <c r="T31" s="304"/>
      <c r="U31" s="306"/>
      <c r="V31" s="304"/>
      <c r="W31" s="304"/>
      <c r="X31" s="304"/>
      <c r="Y31" s="306"/>
      <c r="Z31" s="304"/>
      <c r="AA31" s="304"/>
      <c r="AB31" s="304"/>
      <c r="AC31" s="306"/>
      <c r="AD31" s="304"/>
      <c r="AE31" s="304"/>
      <c r="AF31" s="304"/>
      <c r="AG31" s="306"/>
      <c r="AH31" s="304"/>
      <c r="AI31" s="304"/>
      <c r="AJ31" s="304"/>
      <c r="AK31" s="306"/>
      <c r="AL31" s="304"/>
      <c r="AM31" s="304"/>
      <c r="AN31" s="304"/>
    </row>
    <row r="32" spans="1:40" x14ac:dyDescent="0.2">
      <c r="A32" s="13" t="str">
        <f t="shared" ref="A32:A41" si="63">A8</f>
        <v>All occupations</v>
      </c>
      <c r="B32" s="305">
        <f>SUM(B33:B41)</f>
        <v>55.157000000000004</v>
      </c>
      <c r="C32" s="305">
        <f>SUM(C33:C41)</f>
        <v>53.937999999999938</v>
      </c>
      <c r="D32" s="305">
        <f>SUM(D33:D41)</f>
        <v>49.054999999999993</v>
      </c>
      <c r="E32" s="304"/>
      <c r="F32" s="305">
        <f>SUM(F33:F41)</f>
        <v>0.49724971379992944</v>
      </c>
      <c r="G32" s="305">
        <f>SUM(G33:G41)</f>
        <v>0.62036586349609513</v>
      </c>
      <c r="H32" s="305">
        <f>SUM(H33:H41)</f>
        <v>0.77399267126722882</v>
      </c>
      <c r="I32" s="304"/>
      <c r="J32" s="305">
        <f>SUM(J33:J41)</f>
        <v>2.458092992218512</v>
      </c>
      <c r="K32" s="305">
        <f>SUM(K33:K41)</f>
        <v>3.0470132736863977</v>
      </c>
      <c r="L32" s="305">
        <f>SUM(L33:L41)</f>
        <v>3.7606891045725175</v>
      </c>
      <c r="M32" s="304"/>
      <c r="N32" s="305">
        <f>SUM(N33:N41)</f>
        <v>6.4117742149421666</v>
      </c>
      <c r="O32" s="305">
        <f>SUM(O33:O41)</f>
        <v>7.0051852785829931</v>
      </c>
      <c r="P32" s="305">
        <f>SUM(P33:P41)</f>
        <v>7.3349619222907689</v>
      </c>
      <c r="Q32" s="306"/>
      <c r="R32" s="305">
        <f>SUM(R33:R41)</f>
        <v>1.5571813234048895</v>
      </c>
      <c r="S32" s="305">
        <f>SUM(S33:S41)</f>
        <v>1.706609778365181</v>
      </c>
      <c r="T32" s="305">
        <f>SUM(T33:T41)</f>
        <v>1.8666669888024063</v>
      </c>
      <c r="U32" s="306"/>
      <c r="V32" s="305">
        <f>SUM(V33:V41)</f>
        <v>3.7297191678969486</v>
      </c>
      <c r="W32" s="305">
        <f>SUM(W33:W41)</f>
        <v>3.929852269352315</v>
      </c>
      <c r="X32" s="305">
        <f>SUM(X33:X41)</f>
        <v>3.7072440184010396</v>
      </c>
      <c r="Y32" s="306"/>
      <c r="Z32" s="305">
        <f>SUM(Z33:Z41)</f>
        <v>18.242423301361924</v>
      </c>
      <c r="AA32" s="305">
        <f>SUM(AA33:AA41)</f>
        <v>16.611143976992903</v>
      </c>
      <c r="AB32" s="305">
        <f>SUM(AB33:AB41)</f>
        <v>15.618418800414624</v>
      </c>
      <c r="AC32" s="306"/>
      <c r="AD32" s="305">
        <f>SUM(AD33:AD41)</f>
        <v>13.193311720771836</v>
      </c>
      <c r="AE32" s="305">
        <f>SUM(AE33:AE41)</f>
        <v>13.218248986476205</v>
      </c>
      <c r="AF32" s="305">
        <f>SUM(AF33:AF41)</f>
        <v>11.519352639480017</v>
      </c>
      <c r="AG32" s="306"/>
      <c r="AH32" s="305">
        <f>SUM(AH33:AH41)</f>
        <v>6.6318436413831146</v>
      </c>
      <c r="AI32" s="305">
        <f>SUM(AI33:AI41)</f>
        <v>6.284769889895526</v>
      </c>
      <c r="AJ32" s="305">
        <f>SUM(AJ33:AJ41)</f>
        <v>3.4391002430777728</v>
      </c>
      <c r="AK32" s="306"/>
      <c r="AL32" s="305">
        <f>SUM(AL33:AL41)</f>
        <v>2.4354039242206782</v>
      </c>
      <c r="AM32" s="305">
        <f>SUM(AM33:AM41)</f>
        <v>1.5148106831523189</v>
      </c>
      <c r="AN32" s="305">
        <f>SUM(AN33:AN41)</f>
        <v>1.0345736116936239</v>
      </c>
    </row>
    <row r="33" spans="1:40" x14ac:dyDescent="0.2">
      <c r="A33" s="13" t="str">
        <f t="shared" si="63"/>
        <v>Managers, directors and senior officials</v>
      </c>
      <c r="B33" s="304">
        <f>SUM(F33,J33,N33,R33,V33,Z33,AD33,AH33,AL33)</f>
        <v>4.7757274244794514</v>
      </c>
      <c r="C33" s="304">
        <f t="shared" ref="C33:C41" si="64">SUM(G33,K33,O33,S33,W33,AA33,AE33,AI33,AM33)</f>
        <v>4.5376062684957885</v>
      </c>
      <c r="D33" s="304">
        <f t="shared" ref="D33:D40" si="65">SUM(H33,L33,P33,T33,X33,AB33,AF33,AJ33,AN33)</f>
        <v>4.3851280563775541</v>
      </c>
      <c r="E33" s="304"/>
      <c r="F33" s="304">
        <v>4.4866080138165322E-2</v>
      </c>
      <c r="G33" s="304">
        <v>4.5758177965105569E-2</v>
      </c>
      <c r="H33" s="304">
        <v>4.0479125342336247E-2</v>
      </c>
      <c r="I33" s="304"/>
      <c r="J33" s="304">
        <v>0.39734925956330391</v>
      </c>
      <c r="K33" s="304">
        <v>0.46957819977102699</v>
      </c>
      <c r="L33" s="304">
        <v>0.56372120842986329</v>
      </c>
      <c r="M33" s="304"/>
      <c r="N33" s="304">
        <v>1.0644128553560706</v>
      </c>
      <c r="O33" s="304">
        <v>1.1105995566387943</v>
      </c>
      <c r="P33" s="304">
        <v>1.1158787238991938</v>
      </c>
      <c r="Q33" s="306"/>
      <c r="R33" s="304">
        <v>0.22942292489698082</v>
      </c>
      <c r="S33" s="304">
        <v>0.23570063501207625</v>
      </c>
      <c r="T33" s="304">
        <v>0.25668992465548102</v>
      </c>
      <c r="U33" s="306"/>
      <c r="V33" s="304">
        <v>0.53614697823279034</v>
      </c>
      <c r="W33" s="304">
        <v>0.53724879939680092</v>
      </c>
      <c r="X33" s="304">
        <v>0.51104672277160268</v>
      </c>
      <c r="Y33" s="306"/>
      <c r="Z33" s="304">
        <v>1.311661860141295</v>
      </c>
      <c r="AA33" s="304">
        <v>1.0489493696180991</v>
      </c>
      <c r="AB33" s="304">
        <v>0.9576986931035274</v>
      </c>
      <c r="AC33" s="306"/>
      <c r="AD33" s="304">
        <v>0.84408197201157276</v>
      </c>
      <c r="AE33" s="304">
        <v>0.77754099166570245</v>
      </c>
      <c r="AF33" s="304">
        <v>0.74882420876008726</v>
      </c>
      <c r="AG33" s="306"/>
      <c r="AH33" s="304">
        <v>0.28814627850869645</v>
      </c>
      <c r="AI33" s="304">
        <v>0.24404320551740016</v>
      </c>
      <c r="AJ33" s="304">
        <v>0.11785159671686392</v>
      </c>
      <c r="AK33" s="306"/>
      <c r="AL33" s="304">
        <v>5.9639215630576503E-2</v>
      </c>
      <c r="AM33" s="304">
        <v>6.818733291078248E-2</v>
      </c>
      <c r="AN33" s="304">
        <v>7.2937852698598676E-2</v>
      </c>
    </row>
    <row r="34" spans="1:40" x14ac:dyDescent="0.2">
      <c r="A34" s="13" t="str">
        <f t="shared" si="63"/>
        <v>Professional occupations</v>
      </c>
      <c r="B34" s="304">
        <f t="shared" ref="B34:B41" si="66">SUM(F34,J34,N34,R34,V34,Z34,AD34,AH34,AL34)</f>
        <v>10.286166712849564</v>
      </c>
      <c r="C34" s="304">
        <f t="shared" si="64"/>
        <v>10.733449259721052</v>
      </c>
      <c r="D34" s="304">
        <f t="shared" si="65"/>
        <v>10.788777859401106</v>
      </c>
      <c r="E34" s="304"/>
      <c r="F34" s="304">
        <v>0.36316756307409986</v>
      </c>
      <c r="G34" s="304">
        <v>0.47372800981906837</v>
      </c>
      <c r="H34" s="304">
        <v>0.61364367608673487</v>
      </c>
      <c r="I34" s="304"/>
      <c r="J34" s="304">
        <v>1.2078326142731073</v>
      </c>
      <c r="K34" s="304">
        <v>1.5615642750486338</v>
      </c>
      <c r="L34" s="304">
        <v>1.996526323287801</v>
      </c>
      <c r="M34" s="304"/>
      <c r="N34" s="304">
        <v>2.5116308691390969</v>
      </c>
      <c r="O34" s="304">
        <v>2.7604549127663893</v>
      </c>
      <c r="P34" s="304">
        <v>2.7354755891093343</v>
      </c>
      <c r="Q34" s="306"/>
      <c r="R34" s="304">
        <v>0.25515895564552937</v>
      </c>
      <c r="S34" s="304">
        <v>0.27059421315478338</v>
      </c>
      <c r="T34" s="304">
        <v>0.27466405315480785</v>
      </c>
      <c r="U34" s="306"/>
      <c r="V34" s="304">
        <v>1.1132074187677872</v>
      </c>
      <c r="W34" s="304">
        <v>1.1752057100507731</v>
      </c>
      <c r="X34" s="304">
        <v>1.0872193686599949</v>
      </c>
      <c r="Y34" s="306"/>
      <c r="Z34" s="304">
        <v>2.799351236531749</v>
      </c>
      <c r="AA34" s="304">
        <v>2.4383554693014031</v>
      </c>
      <c r="AB34" s="304">
        <v>2.287096696819988</v>
      </c>
      <c r="AC34" s="306"/>
      <c r="AD34" s="304">
        <v>1.3076682860288997</v>
      </c>
      <c r="AE34" s="304">
        <v>1.2695242851101836</v>
      </c>
      <c r="AF34" s="304">
        <v>1.1246552685760229</v>
      </c>
      <c r="AG34" s="306"/>
      <c r="AH34" s="304">
        <v>0.60191148216744705</v>
      </c>
      <c r="AI34" s="304">
        <v>0.63691857102282379</v>
      </c>
      <c r="AJ34" s="304">
        <v>0.54586820413398884</v>
      </c>
      <c r="AK34" s="306"/>
      <c r="AL34" s="304">
        <v>0.12623828722184957</v>
      </c>
      <c r="AM34" s="304">
        <v>0.14710381344699447</v>
      </c>
      <c r="AN34" s="304">
        <v>0.12362867957243381</v>
      </c>
    </row>
    <row r="35" spans="1:40" x14ac:dyDescent="0.2">
      <c r="A35" s="13" t="str">
        <f t="shared" si="63"/>
        <v>Associate professional occupations</v>
      </c>
      <c r="B35" s="304">
        <f t="shared" si="66"/>
        <v>7.0122085856554577</v>
      </c>
      <c r="C35" s="304">
        <f t="shared" si="64"/>
        <v>6.237809091296441</v>
      </c>
      <c r="D35" s="304">
        <f t="shared" si="65"/>
        <v>5.8620756805523815</v>
      </c>
      <c r="E35" s="304"/>
      <c r="F35" s="304">
        <v>6.1037233720896103E-2</v>
      </c>
      <c r="G35" s="304">
        <v>6.9956071339541293E-2</v>
      </c>
      <c r="H35" s="304">
        <v>8.8550905092930829E-2</v>
      </c>
      <c r="I35" s="304"/>
      <c r="J35" s="304">
        <v>0.4242583136169587</v>
      </c>
      <c r="K35" s="304">
        <v>0.46427259267624693</v>
      </c>
      <c r="L35" s="304">
        <v>0.52911526770662354</v>
      </c>
      <c r="M35" s="304"/>
      <c r="N35" s="304">
        <v>1.2696064992757958</v>
      </c>
      <c r="O35" s="304">
        <v>1.2736352919888256</v>
      </c>
      <c r="P35" s="304">
        <v>1.287059512652319</v>
      </c>
      <c r="Q35" s="306"/>
      <c r="R35" s="304">
        <v>0.39098162653181795</v>
      </c>
      <c r="S35" s="304">
        <v>0.41065123563495926</v>
      </c>
      <c r="T35" s="304">
        <v>0.44390533977294167</v>
      </c>
      <c r="U35" s="306"/>
      <c r="V35" s="304">
        <v>0.63317247164427415</v>
      </c>
      <c r="W35" s="304">
        <v>0.56916507473184763</v>
      </c>
      <c r="X35" s="304">
        <v>0.49565458345596491</v>
      </c>
      <c r="Y35" s="306"/>
      <c r="Z35" s="304">
        <v>2.2182682226373021</v>
      </c>
      <c r="AA35" s="304">
        <v>1.708742739496419</v>
      </c>
      <c r="AB35" s="304">
        <v>1.5027362222863685</v>
      </c>
      <c r="AC35" s="306"/>
      <c r="AD35" s="304">
        <v>1.3966249321379245</v>
      </c>
      <c r="AE35" s="304">
        <v>1.2277757884997438</v>
      </c>
      <c r="AF35" s="304">
        <v>1.1334771325206192</v>
      </c>
      <c r="AG35" s="306"/>
      <c r="AH35" s="304">
        <v>0.54022273848957891</v>
      </c>
      <c r="AI35" s="304">
        <v>0.44131286503521833</v>
      </c>
      <c r="AJ35" s="304">
        <v>0.32429408981385333</v>
      </c>
      <c r="AK35" s="306"/>
      <c r="AL35" s="304">
        <v>7.8036547600910347E-2</v>
      </c>
      <c r="AM35" s="304">
        <v>7.2297431893639158E-2</v>
      </c>
      <c r="AN35" s="304">
        <v>5.7282627250759575E-2</v>
      </c>
    </row>
    <row r="36" spans="1:40" x14ac:dyDescent="0.2">
      <c r="A36" s="13" t="str">
        <f t="shared" si="63"/>
        <v>Administrative and secretarial occupations</v>
      </c>
      <c r="B36" s="304">
        <f t="shared" si="66"/>
        <v>4.1669691872308778</v>
      </c>
      <c r="C36" s="304">
        <f t="shared" si="64"/>
        <v>3.7312813284446302</v>
      </c>
      <c r="D36" s="304">
        <f t="shared" si="65"/>
        <v>3.2144206150195695</v>
      </c>
      <c r="E36" s="304"/>
      <c r="F36" s="304">
        <v>9.9035373294626052E-3</v>
      </c>
      <c r="G36" s="304">
        <v>1.0836951880292782E-2</v>
      </c>
      <c r="H36" s="304">
        <v>1.0172043895678464E-2</v>
      </c>
      <c r="I36" s="304"/>
      <c r="J36" s="304">
        <v>0.14158030199492685</v>
      </c>
      <c r="K36" s="304">
        <v>0.15890097215627041</v>
      </c>
      <c r="L36" s="304">
        <v>0.16175584481893474</v>
      </c>
      <c r="M36" s="304"/>
      <c r="N36" s="304">
        <v>0.63273075109362453</v>
      </c>
      <c r="O36" s="304">
        <v>0.69864549234161555</v>
      </c>
      <c r="P36" s="304">
        <v>0.76952837807095709</v>
      </c>
      <c r="Q36" s="306"/>
      <c r="R36" s="304">
        <v>0.234955062406278</v>
      </c>
      <c r="S36" s="304">
        <v>0.25897798502287367</v>
      </c>
      <c r="T36" s="304">
        <v>0.3012970120268772</v>
      </c>
      <c r="U36" s="306"/>
      <c r="V36" s="304">
        <v>0.26782234052257153</v>
      </c>
      <c r="W36" s="304">
        <v>0.28156066428211335</v>
      </c>
      <c r="X36" s="304">
        <v>0.31034823597195116</v>
      </c>
      <c r="Y36" s="306"/>
      <c r="Z36" s="304">
        <v>1.0837676814558403</v>
      </c>
      <c r="AA36" s="304">
        <v>0.97118566534628126</v>
      </c>
      <c r="AB36" s="304">
        <v>0.8696546410917162</v>
      </c>
      <c r="AC36" s="306"/>
      <c r="AD36" s="304">
        <v>1.2991630753658656</v>
      </c>
      <c r="AE36" s="304">
        <v>1.0394122475593268</v>
      </c>
      <c r="AF36" s="304">
        <v>0.64811364138271044</v>
      </c>
      <c r="AG36" s="306"/>
      <c r="AH36" s="304">
        <v>0.40551098359683602</v>
      </c>
      <c r="AI36" s="304">
        <v>0.20744795180147965</v>
      </c>
      <c r="AJ36" s="304">
        <v>4.7180498766869861E-2</v>
      </c>
      <c r="AK36" s="306"/>
      <c r="AL36" s="304">
        <v>9.1535453465471844E-2</v>
      </c>
      <c r="AM36" s="304">
        <v>0.10431339805437684</v>
      </c>
      <c r="AN36" s="304">
        <v>9.6370318993874229E-2</v>
      </c>
    </row>
    <row r="37" spans="1:40" x14ac:dyDescent="0.2">
      <c r="A37" s="13" t="str">
        <f t="shared" si="63"/>
        <v>Skilled trades occupations</v>
      </c>
      <c r="B37" s="304">
        <f t="shared" si="66"/>
        <v>11.804734529675811</v>
      </c>
      <c r="C37" s="304">
        <f t="shared" si="64"/>
        <v>10.893227168603001</v>
      </c>
      <c r="D37" s="304">
        <f t="shared" si="65"/>
        <v>8.8484177899198873</v>
      </c>
      <c r="E37" s="304"/>
      <c r="F37" s="304">
        <v>1.293372850749639E-3</v>
      </c>
      <c r="G37" s="304">
        <v>1.4547880508852949E-3</v>
      </c>
      <c r="H37" s="304">
        <v>1.5639709921118528E-3</v>
      </c>
      <c r="I37" s="304"/>
      <c r="J37" s="304">
        <v>0.11078463833996986</v>
      </c>
      <c r="K37" s="304">
        <v>0.15880515225962491</v>
      </c>
      <c r="L37" s="304">
        <v>0.19658816406823901</v>
      </c>
      <c r="M37" s="304"/>
      <c r="N37" s="304">
        <v>0.3051472385974407</v>
      </c>
      <c r="O37" s="304">
        <v>0.37681770392617137</v>
      </c>
      <c r="P37" s="304">
        <v>0.39996860386494204</v>
      </c>
      <c r="Q37" s="306"/>
      <c r="R37" s="304">
        <v>0.16135872764727752</v>
      </c>
      <c r="S37" s="304">
        <v>0.18991078934768849</v>
      </c>
      <c r="T37" s="304">
        <v>0.20358914041460455</v>
      </c>
      <c r="U37" s="306"/>
      <c r="V37" s="304">
        <v>0.69982098852886654</v>
      </c>
      <c r="W37" s="304">
        <v>0.7660970512943277</v>
      </c>
      <c r="X37" s="304">
        <v>0.6851282891720698</v>
      </c>
      <c r="Y37" s="306"/>
      <c r="Z37" s="304">
        <v>5.9949487695564931</v>
      </c>
      <c r="AA37" s="304">
        <v>5.2343682718720732</v>
      </c>
      <c r="AB37" s="304">
        <v>4.5624509493527823</v>
      </c>
      <c r="AC37" s="306"/>
      <c r="AD37" s="304">
        <v>2.8889080248566916</v>
      </c>
      <c r="AE37" s="304">
        <v>2.7838577255157433</v>
      </c>
      <c r="AF37" s="304">
        <v>2.0863897791119275</v>
      </c>
      <c r="AG37" s="306"/>
      <c r="AH37" s="304">
        <v>1.208429332066671</v>
      </c>
      <c r="AI37" s="304">
        <v>1.1660521082254482</v>
      </c>
      <c r="AJ37" s="304">
        <v>0.57311608363212929</v>
      </c>
      <c r="AK37" s="306"/>
      <c r="AL37" s="304">
        <v>0.4340434372316499</v>
      </c>
      <c r="AM37" s="304">
        <v>0.21586357811103865</v>
      </c>
      <c r="AN37" s="304">
        <v>0.13962280931108176</v>
      </c>
    </row>
    <row r="38" spans="1:40" x14ac:dyDescent="0.2">
      <c r="A38" s="13" t="str">
        <f t="shared" si="63"/>
        <v>Caring, leisure and other service occupations</v>
      </c>
      <c r="B38" s="304">
        <f t="shared" si="66"/>
        <v>0.70022533505615536</v>
      </c>
      <c r="C38" s="304">
        <f t="shared" si="64"/>
        <v>0.73703327760091564</v>
      </c>
      <c r="D38" s="304">
        <f t="shared" si="65"/>
        <v>0.72126267113195264</v>
      </c>
      <c r="E38" s="304"/>
      <c r="F38" s="304">
        <v>6.5492882960343632E-3</v>
      </c>
      <c r="G38" s="304">
        <v>6.565685232644369E-3</v>
      </c>
      <c r="H38" s="304">
        <v>6.2707552560227302E-3</v>
      </c>
      <c r="I38" s="304"/>
      <c r="J38" s="304">
        <v>7.4970941262801792E-3</v>
      </c>
      <c r="K38" s="304">
        <v>7.5049077991234175E-3</v>
      </c>
      <c r="L38" s="304">
        <v>6.7006895324682944E-3</v>
      </c>
      <c r="M38" s="304"/>
      <c r="N38" s="304">
        <v>6.9836989045739026E-2</v>
      </c>
      <c r="O38" s="304">
        <v>6.709474511837818E-2</v>
      </c>
      <c r="P38" s="304">
        <v>6.7237967848677138E-2</v>
      </c>
      <c r="Q38" s="306"/>
      <c r="R38" s="304">
        <v>1.754712611542213E-2</v>
      </c>
      <c r="S38" s="304">
        <v>1.6213271516417587E-2</v>
      </c>
      <c r="T38" s="304">
        <v>1.5342769765874082E-2</v>
      </c>
      <c r="U38" s="306"/>
      <c r="V38" s="304">
        <v>7.1431058088723312E-2</v>
      </c>
      <c r="W38" s="304">
        <v>7.353300921295218E-2</v>
      </c>
      <c r="X38" s="304">
        <v>7.0250231841824676E-2</v>
      </c>
      <c r="Y38" s="306"/>
      <c r="Z38" s="304">
        <v>0.10769286132029532</v>
      </c>
      <c r="AA38" s="304">
        <v>0.10331456957855291</v>
      </c>
      <c r="AB38" s="304">
        <v>8.4041480105122163E-2</v>
      </c>
      <c r="AC38" s="306"/>
      <c r="AD38" s="304">
        <v>9.8416093224119164E-2</v>
      </c>
      <c r="AE38" s="304">
        <v>7.966427769617207E-2</v>
      </c>
      <c r="AF38" s="304">
        <v>5.4914708087995354E-2</v>
      </c>
      <c r="AG38" s="306"/>
      <c r="AH38" s="304">
        <v>0.26470422177589525</v>
      </c>
      <c r="AI38" s="304">
        <v>0.31294373943534098</v>
      </c>
      <c r="AJ38" s="304">
        <v>0.34933776760690877</v>
      </c>
      <c r="AK38" s="306"/>
      <c r="AL38" s="304">
        <v>5.6550603063646655E-2</v>
      </c>
      <c r="AM38" s="304">
        <v>7.0199072011333963E-2</v>
      </c>
      <c r="AN38" s="304">
        <v>6.7166301087059441E-2</v>
      </c>
    </row>
    <row r="39" spans="1:40" x14ac:dyDescent="0.2">
      <c r="A39" s="13" t="str">
        <f t="shared" si="63"/>
        <v>Sales and customer service occupations</v>
      </c>
      <c r="B39" s="304">
        <f t="shared" si="66"/>
        <v>1.468601750074628</v>
      </c>
      <c r="C39" s="304">
        <f t="shared" si="64"/>
        <v>1.4741551009877378</v>
      </c>
      <c r="D39" s="304">
        <f t="shared" si="65"/>
        <v>1.4444079094304247</v>
      </c>
      <c r="E39" s="304"/>
      <c r="F39" s="304">
        <v>4.7135541460071621E-3</v>
      </c>
      <c r="G39" s="304">
        <v>5.1029266336796546E-3</v>
      </c>
      <c r="H39" s="304">
        <v>5.0610988356957183E-3</v>
      </c>
      <c r="I39" s="304"/>
      <c r="J39" s="304">
        <v>5.7719682691515457E-2</v>
      </c>
      <c r="K39" s="304">
        <v>6.9854613669823859E-2</v>
      </c>
      <c r="L39" s="304">
        <v>8.735451227288471E-2</v>
      </c>
      <c r="M39" s="304"/>
      <c r="N39" s="304">
        <v>0.20836325365966585</v>
      </c>
      <c r="O39" s="304">
        <v>0.22890636082247487</v>
      </c>
      <c r="P39" s="304">
        <v>0.24445539039245606</v>
      </c>
      <c r="Q39" s="306"/>
      <c r="R39" s="304">
        <v>7.4514932031035097E-2</v>
      </c>
      <c r="S39" s="304">
        <v>8.5879114998557465E-2</v>
      </c>
      <c r="T39" s="304">
        <v>9.8434266717611324E-2</v>
      </c>
      <c r="U39" s="306"/>
      <c r="V39" s="304">
        <v>8.8967822459043583E-2</v>
      </c>
      <c r="W39" s="304">
        <v>0.1049796018376209</v>
      </c>
      <c r="X39" s="304">
        <v>0.12455021759564112</v>
      </c>
      <c r="Y39" s="306"/>
      <c r="Z39" s="304">
        <v>0.42032110111791088</v>
      </c>
      <c r="AA39" s="304">
        <v>0.40883038308950098</v>
      </c>
      <c r="AB39" s="304">
        <v>0.39617964122375071</v>
      </c>
      <c r="AC39" s="306"/>
      <c r="AD39" s="304">
        <v>0.36398060376978775</v>
      </c>
      <c r="AE39" s="304">
        <v>0.34477730745238816</v>
      </c>
      <c r="AF39" s="304">
        <v>0.33032341327300685</v>
      </c>
      <c r="AG39" s="306"/>
      <c r="AH39" s="304">
        <v>0.1546204438718253</v>
      </c>
      <c r="AI39" s="304">
        <v>0.11583384017929617</v>
      </c>
      <c r="AJ39" s="304">
        <v>3.7585223667525147E-2</v>
      </c>
      <c r="AK39" s="306"/>
      <c r="AL39" s="304">
        <v>9.5400356327836874E-2</v>
      </c>
      <c r="AM39" s="304">
        <v>0.10999095230439591</v>
      </c>
      <c r="AN39" s="304">
        <v>0.12046414545185302</v>
      </c>
    </row>
    <row r="40" spans="1:40" x14ac:dyDescent="0.2">
      <c r="A40" s="13" t="str">
        <f t="shared" si="63"/>
        <v>Process, plant and machine operatives</v>
      </c>
      <c r="B40" s="304">
        <f t="shared" si="66"/>
        <v>11.807584991097716</v>
      </c>
      <c r="C40" s="304">
        <f t="shared" si="64"/>
        <v>13.077185497940963</v>
      </c>
      <c r="D40" s="304">
        <f t="shared" si="65"/>
        <v>11.805632073949093</v>
      </c>
      <c r="E40" s="304"/>
      <c r="F40" s="304">
        <v>4.1909797339977057E-4</v>
      </c>
      <c r="G40" s="304">
        <v>6.1070440968848713E-4</v>
      </c>
      <c r="H40" s="304">
        <v>8.4777922029687796E-4</v>
      </c>
      <c r="I40" s="304"/>
      <c r="J40" s="304">
        <v>8.188402459991774E-2</v>
      </c>
      <c r="K40" s="304">
        <v>0.12069611592326211</v>
      </c>
      <c r="L40" s="304">
        <v>0.17302304879719252</v>
      </c>
      <c r="M40" s="304"/>
      <c r="N40" s="304">
        <v>0.23499079007083457</v>
      </c>
      <c r="O40" s="304">
        <v>0.37013541015008461</v>
      </c>
      <c r="P40" s="304">
        <v>0.58269739855841596</v>
      </c>
      <c r="Q40" s="306"/>
      <c r="R40" s="305">
        <v>0.12598805902981947</v>
      </c>
      <c r="S40" s="305">
        <v>0.17550169544751731</v>
      </c>
      <c r="T40" s="305">
        <v>0.1962883471356984</v>
      </c>
      <c r="U40" s="306"/>
      <c r="V40" s="305">
        <v>0.26254427615655374</v>
      </c>
      <c r="W40" s="305">
        <v>0.36540824059260923</v>
      </c>
      <c r="X40" s="305">
        <v>0.35949707083664167</v>
      </c>
      <c r="Y40" s="306"/>
      <c r="Z40" s="305">
        <v>3.7750024373174522</v>
      </c>
      <c r="AA40" s="305">
        <v>4.2977375352008256</v>
      </c>
      <c r="AB40" s="305">
        <v>4.5995814843655509</v>
      </c>
      <c r="AC40" s="306"/>
      <c r="AD40" s="305">
        <v>4.0934164022765342</v>
      </c>
      <c r="AE40" s="305">
        <v>5.0044897219036741</v>
      </c>
      <c r="AF40" s="305">
        <v>4.8804847552322439</v>
      </c>
      <c r="AG40" s="306"/>
      <c r="AH40" s="305">
        <v>2.173612753564814</v>
      </c>
      <c r="AI40" s="305">
        <v>2.3269853443630986</v>
      </c>
      <c r="AJ40" s="305">
        <v>0.89418364892525815</v>
      </c>
      <c r="AK40" s="306"/>
      <c r="AL40" s="305">
        <v>1.0597271501083898</v>
      </c>
      <c r="AM40" s="305">
        <v>0.41562072995020127</v>
      </c>
      <c r="AN40" s="305">
        <v>0.1190285408777938</v>
      </c>
    </row>
    <row r="41" spans="1:40" x14ac:dyDescent="0.2">
      <c r="A41" s="39" t="str">
        <f t="shared" si="63"/>
        <v>Elementary occupations</v>
      </c>
      <c r="B41" s="307">
        <f t="shared" si="66"/>
        <v>3.1347814838803369</v>
      </c>
      <c r="C41" s="307">
        <f t="shared" si="64"/>
        <v>2.5162530069094049</v>
      </c>
      <c r="D41" s="307">
        <f>SUM(H41,L41,P41,T41,X41,AB41,AF41,AJ41,AN41)</f>
        <v>1.9848773442180272</v>
      </c>
      <c r="E41" s="307"/>
      <c r="F41" s="307">
        <v>5.2999862711145835E-3</v>
      </c>
      <c r="G41" s="307">
        <v>6.3525481651893582E-3</v>
      </c>
      <c r="H41" s="307">
        <v>7.4033165454212534E-3</v>
      </c>
      <c r="I41" s="307"/>
      <c r="J41" s="307">
        <v>2.9187063012532169E-2</v>
      </c>
      <c r="K41" s="307">
        <v>3.5836444382385167E-2</v>
      </c>
      <c r="L41" s="307">
        <v>4.5904045658510598E-2</v>
      </c>
      <c r="M41" s="307"/>
      <c r="N41" s="307">
        <v>0.11505496870389947</v>
      </c>
      <c r="O41" s="307">
        <v>0.11889580483025898</v>
      </c>
      <c r="P41" s="307">
        <v>0.13266035789447303</v>
      </c>
      <c r="Q41" s="308"/>
      <c r="R41" s="307">
        <v>6.7253909100729078E-2</v>
      </c>
      <c r="S41" s="307">
        <v>6.3180838230307651E-2</v>
      </c>
      <c r="T41" s="307">
        <v>7.6456135158510088E-2</v>
      </c>
      <c r="U41" s="308"/>
      <c r="V41" s="307">
        <v>5.6605813496337531E-2</v>
      </c>
      <c r="W41" s="307">
        <v>5.6654117953270085E-2</v>
      </c>
      <c r="X41" s="307">
        <v>6.3549298095348941E-2</v>
      </c>
      <c r="Y41" s="308"/>
      <c r="Z41" s="307">
        <v>0.53140913128358769</v>
      </c>
      <c r="AA41" s="307">
        <v>0.39965997348974769</v>
      </c>
      <c r="AB41" s="307">
        <v>0.35897899206581446</v>
      </c>
      <c r="AC41" s="308"/>
      <c r="AD41" s="307">
        <v>0.90105233110043925</v>
      </c>
      <c r="AE41" s="307">
        <v>0.69120664107326957</v>
      </c>
      <c r="AF41" s="307">
        <v>0.51216973253540388</v>
      </c>
      <c r="AG41" s="308"/>
      <c r="AH41" s="307">
        <v>0.99468540734135036</v>
      </c>
      <c r="AI41" s="307">
        <v>0.8332322643154203</v>
      </c>
      <c r="AJ41" s="307">
        <v>0.54968312981437528</v>
      </c>
      <c r="AK41" s="308"/>
      <c r="AL41" s="307">
        <v>0.43423287357034701</v>
      </c>
      <c r="AM41" s="307">
        <v>0.31123437446955604</v>
      </c>
      <c r="AN41" s="307">
        <v>0.23807233645016965</v>
      </c>
    </row>
    <row r="42" spans="1:40" x14ac:dyDescent="0.2">
      <c r="B42" s="32"/>
      <c r="C42" s="32"/>
      <c r="D42" s="32"/>
    </row>
    <row r="43" spans="1:40" ht="15.75" x14ac:dyDescent="0.25">
      <c r="A43" s="19" t="str">
        <f>CONCATENATE(A1," (Continued)")</f>
        <v>Basic Table 1  Employment by Industry Sector, Occupation Group and Qualification, 2020-2035, North East (Continued)</v>
      </c>
    </row>
    <row r="44" spans="1:40" ht="12.75" customHeight="1" x14ac:dyDescent="0.25">
      <c r="A44" s="19"/>
    </row>
    <row r="45" spans="1:40" ht="12.75" customHeight="1" x14ac:dyDescent="0.25">
      <c r="A45" s="19"/>
    </row>
    <row r="46" spans="1:40" ht="26.25" customHeight="1" x14ac:dyDescent="0.2">
      <c r="A46" s="78"/>
      <c r="B46" s="78"/>
      <c r="C46" s="79" t="str">
        <f>B4</f>
        <v>All qualifications</v>
      </c>
      <c r="D46" s="78"/>
      <c r="E46" s="78"/>
      <c r="F46" s="78"/>
      <c r="G46" s="79" t="str">
        <f>F4</f>
        <v>RQF8 Doctorate</v>
      </c>
      <c r="H46" s="78"/>
      <c r="I46" s="78"/>
      <c r="J46" s="78"/>
      <c r="K46" s="79" t="str">
        <f>J4</f>
        <v>RQF7 Other higher degree</v>
      </c>
      <c r="L46" s="78"/>
      <c r="M46" s="78"/>
      <c r="N46" s="382" t="str">
        <f>N4</f>
        <v>RQF6 First degree</v>
      </c>
      <c r="O46" s="382"/>
      <c r="P46" s="382"/>
      <c r="Q46" s="78"/>
      <c r="R46" s="382" t="str">
        <f>R4</f>
        <v>RQF5 Foundation degree;Nursing;Teaching</v>
      </c>
      <c r="S46" s="382"/>
      <c r="T46" s="382"/>
      <c r="U46" s="78"/>
      <c r="V46" s="382" t="str">
        <f>V4</f>
        <v>RQF4 HE below degree level</v>
      </c>
      <c r="W46" s="382"/>
      <c r="X46" s="382"/>
      <c r="Y46" s="78"/>
      <c r="Z46" s="382" t="str">
        <f>Z4</f>
        <v>RQF3 A level &amp; equivalent</v>
      </c>
      <c r="AA46" s="382"/>
      <c r="AB46" s="382"/>
      <c r="AC46" s="78"/>
      <c r="AD46" s="382" t="str">
        <f>AD4</f>
        <v>RQF2 GCSE(A-C) &amp; equivalent</v>
      </c>
      <c r="AE46" s="382"/>
      <c r="AF46" s="382"/>
      <c r="AG46" s="78"/>
      <c r="AH46" s="382" t="str">
        <f>AH4</f>
        <v>RQF1 GCSE(below grade C) &amp; equivalent</v>
      </c>
      <c r="AI46" s="382"/>
      <c r="AJ46" s="382"/>
      <c r="AK46" s="78"/>
      <c r="AL46" s="382" t="str">
        <f>AL4</f>
        <v>No Qualification</v>
      </c>
      <c r="AM46" s="382"/>
      <c r="AN46" s="382"/>
    </row>
    <row r="47" spans="1:40" x14ac:dyDescent="0.2">
      <c r="A47" s="39"/>
      <c r="B47" s="42">
        <f>B5</f>
        <v>2020</v>
      </c>
      <c r="C47" s="42">
        <f>C5</f>
        <v>2025</v>
      </c>
      <c r="D47" s="42">
        <f>D5</f>
        <v>2035</v>
      </c>
      <c r="E47" s="39"/>
      <c r="F47" s="35">
        <f>B47</f>
        <v>2020</v>
      </c>
      <c r="G47" s="35">
        <f>C47</f>
        <v>2025</v>
      </c>
      <c r="H47" s="35">
        <f>D47</f>
        <v>2035</v>
      </c>
      <c r="I47" s="39"/>
      <c r="J47" s="35">
        <f>B47</f>
        <v>2020</v>
      </c>
      <c r="K47" s="35">
        <f>C47</f>
        <v>2025</v>
      </c>
      <c r="L47" s="35">
        <f>D47</f>
        <v>2035</v>
      </c>
      <c r="M47" s="39"/>
      <c r="N47" s="35">
        <f>B47</f>
        <v>2020</v>
      </c>
      <c r="O47" s="35">
        <f>C47</f>
        <v>2025</v>
      </c>
      <c r="P47" s="35">
        <f>D47</f>
        <v>2035</v>
      </c>
      <c r="Q47" s="39"/>
      <c r="R47" s="35">
        <f>F47</f>
        <v>2020</v>
      </c>
      <c r="S47" s="35">
        <f>G47</f>
        <v>2025</v>
      </c>
      <c r="T47" s="35">
        <f>H47</f>
        <v>2035</v>
      </c>
      <c r="U47" s="39"/>
      <c r="V47" s="35">
        <f>J47</f>
        <v>2020</v>
      </c>
      <c r="W47" s="35">
        <f>K47</f>
        <v>2025</v>
      </c>
      <c r="X47" s="35">
        <f>L47</f>
        <v>2035</v>
      </c>
      <c r="Y47" s="39"/>
      <c r="Z47" s="35">
        <f>N47</f>
        <v>2020</v>
      </c>
      <c r="AA47" s="35">
        <f>O47</f>
        <v>2025</v>
      </c>
      <c r="AB47" s="35">
        <f>P47</f>
        <v>2035</v>
      </c>
      <c r="AC47" s="39"/>
      <c r="AD47" s="35">
        <f>R47</f>
        <v>2020</v>
      </c>
      <c r="AE47" s="35">
        <f>S47</f>
        <v>2025</v>
      </c>
      <c r="AF47" s="35">
        <f>T47</f>
        <v>2035</v>
      </c>
      <c r="AG47" s="39"/>
      <c r="AH47" s="35">
        <f>V47</f>
        <v>2020</v>
      </c>
      <c r="AI47" s="35">
        <f>W47</f>
        <v>2025</v>
      </c>
      <c r="AJ47" s="35">
        <f>X47</f>
        <v>2035</v>
      </c>
      <c r="AK47" s="39"/>
      <c r="AL47" s="35">
        <f>Z47</f>
        <v>2020</v>
      </c>
      <c r="AM47" s="35">
        <f>AA47</f>
        <v>2025</v>
      </c>
      <c r="AN47" s="35">
        <f>AB47</f>
        <v>2035</v>
      </c>
    </row>
    <row r="48" spans="1:40" x14ac:dyDescent="0.2">
      <c r="B48" s="32"/>
      <c r="C48" s="32"/>
      <c r="D48" s="32"/>
    </row>
    <row r="49" spans="1:40" x14ac:dyDescent="0.2">
      <c r="A49" s="1" t="str">
        <f>name!C6</f>
        <v>Construction</v>
      </c>
      <c r="E49" s="77"/>
      <c r="F49" s="77"/>
      <c r="G49" s="77"/>
      <c r="H49" s="77"/>
      <c r="I49" s="77"/>
      <c r="J49" s="77"/>
      <c r="K49" s="77"/>
      <c r="L49" s="77"/>
      <c r="M49" s="77"/>
      <c r="N49" s="77"/>
      <c r="O49" s="77"/>
      <c r="P49" s="77"/>
      <c r="Q49" s="77"/>
      <c r="R49" s="77"/>
      <c r="S49" s="77"/>
      <c r="T49" s="77"/>
      <c r="U49" s="77"/>
      <c r="V49" s="77"/>
      <c r="W49" s="77"/>
      <c r="X49" s="77"/>
      <c r="Y49" s="77"/>
      <c r="Z49" s="77"/>
      <c r="AA49" s="77"/>
      <c r="AB49" s="77"/>
      <c r="AC49" s="77"/>
      <c r="AD49" s="77"/>
      <c r="AE49" s="77"/>
      <c r="AF49" s="77"/>
      <c r="AG49" s="77"/>
      <c r="AH49" s="77"/>
      <c r="AI49" s="77"/>
      <c r="AJ49" s="77"/>
      <c r="AK49" s="77"/>
      <c r="AL49" s="77"/>
      <c r="AM49" s="77"/>
      <c r="AN49" s="77"/>
    </row>
    <row r="50" spans="1:40" x14ac:dyDescent="0.2">
      <c r="A50" s="13" t="str">
        <f t="shared" ref="A50:A59" si="67">A8</f>
        <v>All occupations</v>
      </c>
      <c r="B50" s="305">
        <f>SUM(B51:B59)</f>
        <v>30.615000000000006</v>
      </c>
      <c r="C50" s="305">
        <f>SUM(C51:C59)</f>
        <v>29.637000000000011</v>
      </c>
      <c r="D50" s="305">
        <f>SUM(D51:D59)</f>
        <v>29.410000000000021</v>
      </c>
      <c r="E50" s="304"/>
      <c r="F50" s="305">
        <f>SUM(F51:F59)</f>
        <v>4.7735249632691115E-2</v>
      </c>
      <c r="G50" s="305">
        <f>SUM(G51:G59)</f>
        <v>5.8977096602625775E-2</v>
      </c>
      <c r="H50" s="305">
        <f>SUM(H51:H59)</f>
        <v>8.3772678580404547E-2</v>
      </c>
      <c r="I50" s="304"/>
      <c r="J50" s="305">
        <f>SUM(J51:J59)</f>
        <v>0.8505789311550459</v>
      </c>
      <c r="K50" s="305">
        <f>SUM(K51:K59)</f>
        <v>1.0451891929973873</v>
      </c>
      <c r="L50" s="305">
        <f>SUM(L51:L59)</f>
        <v>1.4484926372217894</v>
      </c>
      <c r="M50" s="304"/>
      <c r="N50" s="305">
        <f>SUM(N51:N59)</f>
        <v>1.8552624858240994</v>
      </c>
      <c r="O50" s="305">
        <f>SUM(O51:O59)</f>
        <v>2.0010118106558497</v>
      </c>
      <c r="P50" s="305">
        <f>SUM(P51:P59)</f>
        <v>2.328719630873326</v>
      </c>
      <c r="Q50" s="304"/>
      <c r="R50" s="305">
        <f>SUM(R51:R59)</f>
        <v>0.73560105067920678</v>
      </c>
      <c r="S50" s="305">
        <f>SUM(S51:S59)</f>
        <v>0.78827872221176953</v>
      </c>
      <c r="T50" s="305">
        <f>SUM(T51:T59)</f>
        <v>0.97106861836694913</v>
      </c>
      <c r="U50" s="304"/>
      <c r="V50" s="305">
        <f>SUM(V51:V59)</f>
        <v>1.383352340060737</v>
      </c>
      <c r="W50" s="305">
        <f>SUM(W51:W59)</f>
        <v>1.4556938545856619</v>
      </c>
      <c r="X50" s="305">
        <f>SUM(X51:X59)</f>
        <v>1.6384686975341536</v>
      </c>
      <c r="Y50" s="304"/>
      <c r="Z50" s="305">
        <f>SUM(Z51:Z59)</f>
        <v>12.071427373840724</v>
      </c>
      <c r="AA50" s="305">
        <f>SUM(AA51:AA59)</f>
        <v>10.486972556879092</v>
      </c>
      <c r="AB50" s="305">
        <f>SUM(AB51:AB59)</f>
        <v>10.241888419780478</v>
      </c>
      <c r="AC50" s="304"/>
      <c r="AD50" s="305">
        <f>SUM(AD51:AD59)</f>
        <v>8.7192847373857063</v>
      </c>
      <c r="AE50" s="305">
        <f>SUM(AE51:AE59)</f>
        <v>9.2398230568463795</v>
      </c>
      <c r="AF50" s="305">
        <f>SUM(AF51:AF59)</f>
        <v>9.8111560105018309</v>
      </c>
      <c r="AG50" s="304"/>
      <c r="AH50" s="305">
        <f>SUM(AH51:AH59)</f>
        <v>3.5337067884844005</v>
      </c>
      <c r="AI50" s="305">
        <f>SUM(AI51:AI59)</f>
        <v>3.6005259928528122</v>
      </c>
      <c r="AJ50" s="305">
        <f>SUM(AJ51:AJ59)</f>
        <v>2.5282149144673958</v>
      </c>
      <c r="AK50" s="304"/>
      <c r="AL50" s="305">
        <f>SUM(AL51:AL59)</f>
        <v>1.4180510429373936</v>
      </c>
      <c r="AM50" s="305">
        <f>SUM(AM51:AM59)</f>
        <v>0.96052771636843204</v>
      </c>
      <c r="AN50" s="305">
        <f>SUM(AN51:AN59)</f>
        <v>0.35821839267368866</v>
      </c>
    </row>
    <row r="51" spans="1:40" x14ac:dyDescent="0.2">
      <c r="A51" s="13" t="str">
        <f t="shared" si="67"/>
        <v>Managers, directors and senior officials</v>
      </c>
      <c r="B51" s="304">
        <f>SUM(F51,J51,N51,R51,V51,Z51,AD51,AH51,AL51)</f>
        <v>2.6084324528048812</v>
      </c>
      <c r="C51" s="304">
        <f t="shared" ref="C51:D51" si="68">SUM(G51,K51,O51,S51,W51,AA51,AE51,AI51,AM51)</f>
        <v>2.3898368728247812</v>
      </c>
      <c r="D51" s="304">
        <f t="shared" si="68"/>
        <v>2.7013144021129385</v>
      </c>
      <c r="E51" s="304"/>
      <c r="F51" s="304">
        <v>7.5969284192729455E-3</v>
      </c>
      <c r="G51" s="304">
        <v>1.0132367479480774E-2</v>
      </c>
      <c r="H51" s="304">
        <v>1.6546383438168073E-2</v>
      </c>
      <c r="I51" s="304"/>
      <c r="J51" s="304">
        <v>0.21416046928416524</v>
      </c>
      <c r="K51" s="304">
        <v>0.25602782159923299</v>
      </c>
      <c r="L51" s="304">
        <v>0.35942353666321591</v>
      </c>
      <c r="M51" s="304"/>
      <c r="N51" s="304">
        <v>0.39581144364079851</v>
      </c>
      <c r="O51" s="304">
        <v>0.40529723076891844</v>
      </c>
      <c r="P51" s="304">
        <v>0.48178975674666169</v>
      </c>
      <c r="Q51" s="304"/>
      <c r="R51" s="304">
        <v>0.1007359759077243</v>
      </c>
      <c r="S51" s="304">
        <v>9.4769666690329699E-2</v>
      </c>
      <c r="T51" s="304">
        <v>0.10369093040657737</v>
      </c>
      <c r="U51" s="304"/>
      <c r="V51" s="304">
        <v>0.24195768463203984</v>
      </c>
      <c r="W51" s="304">
        <v>0.22996298105237767</v>
      </c>
      <c r="X51" s="304">
        <v>0.25591999522766373</v>
      </c>
      <c r="Y51" s="304"/>
      <c r="Z51" s="304">
        <v>0.85317902724545958</v>
      </c>
      <c r="AA51" s="304">
        <v>0.65443291112461222</v>
      </c>
      <c r="AB51" s="304">
        <v>0.75459984242916944</v>
      </c>
      <c r="AC51" s="304"/>
      <c r="AD51" s="304">
        <v>0.48494438614936702</v>
      </c>
      <c r="AE51" s="304">
        <v>0.44939326224962245</v>
      </c>
      <c r="AF51" s="304">
        <v>0.50175870292009317</v>
      </c>
      <c r="AG51" s="304"/>
      <c r="AH51" s="304">
        <v>0.21899627792579981</v>
      </c>
      <c r="AI51" s="304">
        <v>0.20552313282915674</v>
      </c>
      <c r="AJ51" s="304">
        <v>0.15330888379138619</v>
      </c>
      <c r="AK51" s="304"/>
      <c r="AL51" s="304">
        <v>9.1050259600253813E-2</v>
      </c>
      <c r="AM51" s="304">
        <v>8.4297499031050008E-2</v>
      </c>
      <c r="AN51" s="304">
        <v>7.4276370490002797E-2</v>
      </c>
    </row>
    <row r="52" spans="1:40" x14ac:dyDescent="0.2">
      <c r="A52" s="13" t="str">
        <f t="shared" si="67"/>
        <v>Professional occupations</v>
      </c>
      <c r="B52" s="304">
        <f t="shared" ref="B52:B59" si="69">SUM(F52,J52,N52,R52,V52,Z52,AD52,AH52,AL52)</f>
        <v>2.5413483893519504</v>
      </c>
      <c r="C52" s="304">
        <f t="shared" ref="C52:C59" si="70">SUM(G52,K52,O52,S52,W52,AA52,AE52,AI52,AM52)</f>
        <v>2.5464805617693096</v>
      </c>
      <c r="D52" s="304">
        <f t="shared" ref="D52:D59" si="71">SUM(H52,L52,P52,T52,X52,AB52,AF52,AJ52,AN52)</f>
        <v>2.9108070118054536</v>
      </c>
      <c r="E52" s="304"/>
      <c r="F52" s="304">
        <v>1.8416629313411172E-2</v>
      </c>
      <c r="G52" s="304">
        <v>2.1765525002690543E-2</v>
      </c>
      <c r="H52" s="304">
        <v>2.72825721976208E-2</v>
      </c>
      <c r="I52" s="304"/>
      <c r="J52" s="304">
        <v>0.30791762031600789</v>
      </c>
      <c r="K52" s="304">
        <v>0.38506287200830763</v>
      </c>
      <c r="L52" s="304">
        <v>0.53106281594180416</v>
      </c>
      <c r="M52" s="304"/>
      <c r="N52" s="304">
        <v>0.44573249596550946</v>
      </c>
      <c r="O52" s="304">
        <v>0.4565583840018792</v>
      </c>
      <c r="P52" s="304">
        <v>0.47582596367286539</v>
      </c>
      <c r="Q52" s="304"/>
      <c r="R52" s="304">
        <v>5.6129117352086158E-2</v>
      </c>
      <c r="S52" s="304">
        <v>5.1052997958072263E-2</v>
      </c>
      <c r="T52" s="304">
        <v>6.4956918820244736E-2</v>
      </c>
      <c r="U52" s="304"/>
      <c r="V52" s="304">
        <v>0.16579827860016105</v>
      </c>
      <c r="W52" s="304">
        <v>0.1374795255493044</v>
      </c>
      <c r="X52" s="304">
        <v>0.10444437453530435</v>
      </c>
      <c r="Y52" s="304"/>
      <c r="Z52" s="304">
        <v>0.90219328700480306</v>
      </c>
      <c r="AA52" s="304">
        <v>0.8257672832438715</v>
      </c>
      <c r="AB52" s="304">
        <v>1.0062705317218281</v>
      </c>
      <c r="AC52" s="304"/>
      <c r="AD52" s="304">
        <v>0.44472538391141281</v>
      </c>
      <c r="AE52" s="304">
        <v>0.46502711224733162</v>
      </c>
      <c r="AF52" s="304">
        <v>0.55325902686925998</v>
      </c>
      <c r="AG52" s="304"/>
      <c r="AH52" s="304">
        <v>0.14236747375529529</v>
      </c>
      <c r="AI52" s="304">
        <v>0.14829722672214957</v>
      </c>
      <c r="AJ52" s="304">
        <v>0.10604083460315539</v>
      </c>
      <c r="AK52" s="304"/>
      <c r="AL52" s="304">
        <v>5.8068103133263604E-2</v>
      </c>
      <c r="AM52" s="304">
        <v>5.5469635035703055E-2</v>
      </c>
      <c r="AN52" s="304">
        <v>4.1663973443371208E-2</v>
      </c>
    </row>
    <row r="53" spans="1:40" x14ac:dyDescent="0.2">
      <c r="A53" s="13" t="str">
        <f t="shared" si="67"/>
        <v>Associate professional occupations</v>
      </c>
      <c r="B53" s="304">
        <f t="shared" si="69"/>
        <v>1.7688594811479896</v>
      </c>
      <c r="C53" s="304">
        <f t="shared" si="70"/>
        <v>1.5354023693476793</v>
      </c>
      <c r="D53" s="304">
        <f t="shared" si="71"/>
        <v>1.6935492571862962</v>
      </c>
      <c r="E53" s="304"/>
      <c r="F53" s="304">
        <v>2.2540746712807823E-3</v>
      </c>
      <c r="G53" s="304">
        <v>2.7339197864855282E-3</v>
      </c>
      <c r="H53" s="304">
        <v>4.2372862390150307E-3</v>
      </c>
      <c r="I53" s="304"/>
      <c r="J53" s="304">
        <v>0.11079893594618237</v>
      </c>
      <c r="K53" s="304">
        <v>0.12608476938205779</v>
      </c>
      <c r="L53" s="304">
        <v>0.18151899888542244</v>
      </c>
      <c r="M53" s="304"/>
      <c r="N53" s="304">
        <v>0.24915705825471735</v>
      </c>
      <c r="O53" s="304">
        <v>0.24150103099076409</v>
      </c>
      <c r="P53" s="304">
        <v>0.28138204794821114</v>
      </c>
      <c r="Q53" s="304"/>
      <c r="R53" s="304">
        <v>0.10644571309625726</v>
      </c>
      <c r="S53" s="304">
        <v>0.10901847493785773</v>
      </c>
      <c r="T53" s="304">
        <v>0.13835077809415203</v>
      </c>
      <c r="U53" s="304"/>
      <c r="V53" s="304">
        <v>0.21739375198002933</v>
      </c>
      <c r="W53" s="304">
        <v>0.1919187700625134</v>
      </c>
      <c r="X53" s="304">
        <v>0.21887741856377627</v>
      </c>
      <c r="Y53" s="304"/>
      <c r="Z53" s="304">
        <v>0.44374918046891759</v>
      </c>
      <c r="AA53" s="304">
        <v>0.27526168473667695</v>
      </c>
      <c r="AB53" s="304">
        <v>0.24803890666721623</v>
      </c>
      <c r="AC53" s="304"/>
      <c r="AD53" s="304">
        <v>0.38629074407215297</v>
      </c>
      <c r="AE53" s="304">
        <v>0.34982922648442655</v>
      </c>
      <c r="AF53" s="304">
        <v>0.41832288869693568</v>
      </c>
      <c r="AG53" s="304"/>
      <c r="AH53" s="304">
        <v>0.22006115852187197</v>
      </c>
      <c r="AI53" s="304">
        <v>0.21466125335131545</v>
      </c>
      <c r="AJ53" s="304">
        <v>0.17961262303102019</v>
      </c>
      <c r="AK53" s="304"/>
      <c r="AL53" s="304">
        <v>3.270886413658005E-2</v>
      </c>
      <c r="AM53" s="304">
        <v>2.4393239615581996E-2</v>
      </c>
      <c r="AN53" s="304">
        <v>2.3208309060547251E-2</v>
      </c>
    </row>
    <row r="54" spans="1:40" x14ac:dyDescent="0.2">
      <c r="A54" s="13" t="str">
        <f t="shared" si="67"/>
        <v>Administrative and secretarial occupations</v>
      </c>
      <c r="B54" s="304">
        <f t="shared" si="69"/>
        <v>2.0100956042274079</v>
      </c>
      <c r="C54" s="304">
        <f t="shared" si="70"/>
        <v>1.7907152044872985</v>
      </c>
      <c r="D54" s="304">
        <f t="shared" si="71"/>
        <v>1.6035078004227274</v>
      </c>
      <c r="E54" s="304"/>
      <c r="F54" s="304">
        <v>1.2766321722036277E-2</v>
      </c>
      <c r="G54" s="304">
        <v>1.4062570914280729E-2</v>
      </c>
      <c r="H54" s="304">
        <v>2.032794918605027E-2</v>
      </c>
      <c r="I54" s="304"/>
      <c r="J54" s="304">
        <v>8.3245883383950559E-2</v>
      </c>
      <c r="K54" s="304">
        <v>9.8993220487007483E-2</v>
      </c>
      <c r="L54" s="304">
        <v>0.13392085192629613</v>
      </c>
      <c r="M54" s="304"/>
      <c r="N54" s="304">
        <v>0.29419979988888068</v>
      </c>
      <c r="O54" s="304">
        <v>0.32892344586773886</v>
      </c>
      <c r="P54" s="304">
        <v>0.44646474174192896</v>
      </c>
      <c r="Q54" s="304"/>
      <c r="R54" s="304">
        <v>0.18883536666487105</v>
      </c>
      <c r="S54" s="304">
        <v>0.19665732990310739</v>
      </c>
      <c r="T54" s="304">
        <v>0.27108529165222645</v>
      </c>
      <c r="U54" s="304"/>
      <c r="V54" s="304">
        <v>9.1883560326862471E-2</v>
      </c>
      <c r="W54" s="304">
        <v>9.288821087475875E-2</v>
      </c>
      <c r="X54" s="304">
        <v>0.13456071311518911</v>
      </c>
      <c r="Y54" s="304"/>
      <c r="Z54" s="304">
        <v>0.41475350270224481</v>
      </c>
      <c r="AA54" s="304">
        <v>0.34014438358470889</v>
      </c>
      <c r="AB54" s="304">
        <v>0.2555446982494477</v>
      </c>
      <c r="AC54" s="304"/>
      <c r="AD54" s="304">
        <v>0.35339937547540956</v>
      </c>
      <c r="AE54" s="304">
        <v>0.22448444765103207</v>
      </c>
      <c r="AF54" s="304">
        <v>7.8764780964960854E-2</v>
      </c>
      <c r="AG54" s="304"/>
      <c r="AH54" s="304">
        <v>0.48081374485356498</v>
      </c>
      <c r="AI54" s="304">
        <v>0.43109925085996575</v>
      </c>
      <c r="AJ54" s="304">
        <v>0.22867254385860028</v>
      </c>
      <c r="AK54" s="304"/>
      <c r="AL54" s="304">
        <v>9.0198049209587405E-2</v>
      </c>
      <c r="AM54" s="304">
        <v>6.3462344344698426E-2</v>
      </c>
      <c r="AN54" s="304">
        <v>3.4166229728027894E-2</v>
      </c>
    </row>
    <row r="55" spans="1:40" x14ac:dyDescent="0.2">
      <c r="A55" s="13" t="str">
        <f t="shared" si="67"/>
        <v>Skilled trades occupations</v>
      </c>
      <c r="B55" s="304">
        <f t="shared" si="69"/>
        <v>17.446407159435708</v>
      </c>
      <c r="C55" s="304">
        <f t="shared" si="70"/>
        <v>17.074517426996767</v>
      </c>
      <c r="D55" s="304">
        <f t="shared" si="71"/>
        <v>16.153753756561329</v>
      </c>
      <c r="E55" s="304"/>
      <c r="F55" s="304">
        <v>1.5639630872460622E-3</v>
      </c>
      <c r="G55" s="304">
        <v>2.0861892696779978E-3</v>
      </c>
      <c r="H55" s="304">
        <v>2.9077729160170572E-3</v>
      </c>
      <c r="I55" s="304"/>
      <c r="J55" s="304">
        <v>9.1103346187744849E-2</v>
      </c>
      <c r="K55" s="304">
        <v>0.12120716023193906</v>
      </c>
      <c r="L55" s="304">
        <v>0.16209015704857374</v>
      </c>
      <c r="M55" s="304"/>
      <c r="N55" s="304">
        <v>0.3210150740963007</v>
      </c>
      <c r="O55" s="304">
        <v>0.39821241468457474</v>
      </c>
      <c r="P55" s="304">
        <v>0.43889315726000611</v>
      </c>
      <c r="Q55" s="304"/>
      <c r="R55" s="304">
        <v>0.22084760313650759</v>
      </c>
      <c r="S55" s="304">
        <v>0.26175479601194035</v>
      </c>
      <c r="T55" s="304">
        <v>0.30122152204998692</v>
      </c>
      <c r="U55" s="304"/>
      <c r="V55" s="304">
        <v>0.52391960059267018</v>
      </c>
      <c r="W55" s="304">
        <v>0.63362866464624468</v>
      </c>
      <c r="X55" s="304">
        <v>0.74291965240668922</v>
      </c>
      <c r="Y55" s="304"/>
      <c r="Z55" s="304">
        <v>8.0048720361960566</v>
      </c>
      <c r="AA55" s="304">
        <v>6.9630891942759581</v>
      </c>
      <c r="AB55" s="304">
        <v>6.3454538650986825</v>
      </c>
      <c r="AC55" s="304"/>
      <c r="AD55" s="304">
        <v>5.7004364706273201</v>
      </c>
      <c r="AE55" s="304">
        <v>6.2500153691779659</v>
      </c>
      <c r="AF55" s="304">
        <v>6.5684250535319872</v>
      </c>
      <c r="AG55" s="304"/>
      <c r="AH55" s="304">
        <v>1.7557067958704173</v>
      </c>
      <c r="AI55" s="304">
        <v>1.9092237077536052</v>
      </c>
      <c r="AJ55" s="304">
        <v>1.513671539659518</v>
      </c>
      <c r="AK55" s="304"/>
      <c r="AL55" s="304">
        <v>0.82694226964144668</v>
      </c>
      <c r="AM55" s="304">
        <v>0.53529993094486139</v>
      </c>
      <c r="AN55" s="304">
        <v>7.8171036589867612E-2</v>
      </c>
    </row>
    <row r="56" spans="1:40" x14ac:dyDescent="0.2">
      <c r="A56" s="13" t="str">
        <f t="shared" si="67"/>
        <v>Caring, leisure and other service occupations</v>
      </c>
      <c r="B56" s="304">
        <f t="shared" si="69"/>
        <v>6.6628503940556347E-2</v>
      </c>
      <c r="C56" s="304">
        <f t="shared" si="70"/>
        <v>6.237665106668306E-2</v>
      </c>
      <c r="D56" s="304">
        <f t="shared" si="71"/>
        <v>6.4159282416642552E-2</v>
      </c>
      <c r="E56" s="304"/>
      <c r="F56" s="304">
        <v>3.6538461982477557E-5</v>
      </c>
      <c r="G56" s="304">
        <v>3.9285066169990115E-5</v>
      </c>
      <c r="H56" s="304">
        <v>6.5306575762107426E-5</v>
      </c>
      <c r="I56" s="304"/>
      <c r="J56" s="304">
        <v>1.9205031583581832E-3</v>
      </c>
      <c r="K56" s="304">
        <v>2.0408652774438489E-3</v>
      </c>
      <c r="L56" s="304">
        <v>2.1015828522017973E-3</v>
      </c>
      <c r="M56" s="304"/>
      <c r="N56" s="304">
        <v>3.5176968162418517E-3</v>
      </c>
      <c r="O56" s="304">
        <v>3.5007119194259213E-3</v>
      </c>
      <c r="P56" s="304">
        <v>3.9852648643514486E-3</v>
      </c>
      <c r="Q56" s="304"/>
      <c r="R56" s="304">
        <v>7.1319283992023782E-4</v>
      </c>
      <c r="S56" s="304">
        <v>7.9241327813553116E-4</v>
      </c>
      <c r="T56" s="304">
        <v>9.6129956834355309E-4</v>
      </c>
      <c r="U56" s="304"/>
      <c r="V56" s="304">
        <v>1.79547371035064E-3</v>
      </c>
      <c r="W56" s="304">
        <v>1.6510377197281221E-3</v>
      </c>
      <c r="X56" s="304">
        <v>1.6725727308650618E-3</v>
      </c>
      <c r="Y56" s="304"/>
      <c r="Z56" s="304">
        <v>2.5644997198697946E-2</v>
      </c>
      <c r="AA56" s="304">
        <v>2.6454215843398386E-2</v>
      </c>
      <c r="AB56" s="304">
        <v>3.185120537345814E-2</v>
      </c>
      <c r="AC56" s="304"/>
      <c r="AD56" s="304">
        <v>5.4905136908653613E-3</v>
      </c>
      <c r="AE56" s="304">
        <v>4.4020819020991154E-3</v>
      </c>
      <c r="AF56" s="304">
        <v>4.9179230672246645E-3</v>
      </c>
      <c r="AG56" s="304"/>
      <c r="AH56" s="304">
        <v>1.4403005173453274E-2</v>
      </c>
      <c r="AI56" s="304">
        <v>1.3201816751049759E-2</v>
      </c>
      <c r="AJ56" s="304">
        <v>1.3062463066248807E-2</v>
      </c>
      <c r="AK56" s="304"/>
      <c r="AL56" s="304">
        <v>1.3106582890686365E-2</v>
      </c>
      <c r="AM56" s="304">
        <v>1.029422330923239E-2</v>
      </c>
      <c r="AN56" s="304">
        <v>5.5416643181869776E-3</v>
      </c>
    </row>
    <row r="57" spans="1:40" x14ac:dyDescent="0.2">
      <c r="A57" s="13" t="str">
        <f t="shared" si="67"/>
        <v>Sales and customer service occupations</v>
      </c>
      <c r="B57" s="304">
        <f t="shared" si="69"/>
        <v>0.56452176416179611</v>
      </c>
      <c r="C57" s="304">
        <f t="shared" si="70"/>
        <v>0.58091971065335146</v>
      </c>
      <c r="D57" s="304">
        <f t="shared" si="71"/>
        <v>0.57830761114703177</v>
      </c>
      <c r="E57" s="304"/>
      <c r="F57" s="304">
        <v>7.7374890860996341E-4</v>
      </c>
      <c r="G57" s="304">
        <v>1.0772237590816007E-3</v>
      </c>
      <c r="H57" s="304">
        <v>1.4447299020446704E-3</v>
      </c>
      <c r="I57" s="304"/>
      <c r="J57" s="304">
        <v>1.8915663171417491E-2</v>
      </c>
      <c r="K57" s="304">
        <v>2.1499868498834E-2</v>
      </c>
      <c r="L57" s="304">
        <v>2.3524204763881236E-2</v>
      </c>
      <c r="M57" s="304"/>
      <c r="N57" s="304">
        <v>9.6523917034692541E-2</v>
      </c>
      <c r="O57" s="304">
        <v>0.10833669077156192</v>
      </c>
      <c r="P57" s="304">
        <v>0.1294371886970597</v>
      </c>
      <c r="Q57" s="304"/>
      <c r="R57" s="304">
        <v>3.1820406653889757E-2</v>
      </c>
      <c r="S57" s="304">
        <v>3.5972953099654426E-2</v>
      </c>
      <c r="T57" s="304">
        <v>4.2670686328960129E-2</v>
      </c>
      <c r="U57" s="304"/>
      <c r="V57" s="304">
        <v>2.4377661287599332E-2</v>
      </c>
      <c r="W57" s="304">
        <v>2.7579122698517266E-2</v>
      </c>
      <c r="X57" s="304">
        <v>3.1529342744535366E-2</v>
      </c>
      <c r="Y57" s="304"/>
      <c r="Z57" s="304">
        <v>0.22753009479686745</v>
      </c>
      <c r="AA57" s="304">
        <v>0.23343849798213256</v>
      </c>
      <c r="AB57" s="304">
        <v>0.25313103358111844</v>
      </c>
      <c r="AC57" s="304"/>
      <c r="AD57" s="304">
        <v>4.5590411456946825E-2</v>
      </c>
      <c r="AE57" s="304">
        <v>2.6784282162177334E-2</v>
      </c>
      <c r="AF57" s="304">
        <v>1.1566760915736111E-2</v>
      </c>
      <c r="AG57" s="304"/>
      <c r="AH57" s="304">
        <v>5.0646924117829631E-2</v>
      </c>
      <c r="AI57" s="304">
        <v>5.1972256390635706E-2</v>
      </c>
      <c r="AJ57" s="304">
        <v>1.8554446956015831E-2</v>
      </c>
      <c r="AK57" s="304"/>
      <c r="AL57" s="304">
        <v>6.8342936733943163E-2</v>
      </c>
      <c r="AM57" s="304">
        <v>7.4258815290756661E-2</v>
      </c>
      <c r="AN57" s="304">
        <v>6.6449217257680313E-2</v>
      </c>
    </row>
    <row r="58" spans="1:40" x14ac:dyDescent="0.2">
      <c r="A58" s="13" t="str">
        <f t="shared" si="67"/>
        <v>Process, plant and machine operatives</v>
      </c>
      <c r="B58" s="304">
        <f t="shared" si="69"/>
        <v>2.2118654902060042</v>
      </c>
      <c r="C58" s="304">
        <f t="shared" si="70"/>
        <v>2.437064195966677</v>
      </c>
      <c r="D58" s="304">
        <f t="shared" si="71"/>
        <v>2.4828802394726761</v>
      </c>
      <c r="E58" s="304"/>
      <c r="F58" s="304">
        <v>4.2309378243287525E-3</v>
      </c>
      <c r="G58" s="304">
        <v>6.9727223692214492E-3</v>
      </c>
      <c r="H58" s="304">
        <v>1.0846706093312062E-2</v>
      </c>
      <c r="I58" s="304"/>
      <c r="J58" s="304">
        <v>1.3863327266809791E-2</v>
      </c>
      <c r="K58" s="304">
        <v>2.2361265975458098E-2</v>
      </c>
      <c r="L58" s="304">
        <v>3.5928345054148762E-2</v>
      </c>
      <c r="M58" s="304"/>
      <c r="N58" s="304">
        <v>2.2777081723478778E-2</v>
      </c>
      <c r="O58" s="304">
        <v>3.0148486975219796E-2</v>
      </c>
      <c r="P58" s="304">
        <v>4.2835968388705833E-2</v>
      </c>
      <c r="Q58" s="304"/>
      <c r="R58" s="304">
        <v>2.3314300825282488E-2</v>
      </c>
      <c r="S58" s="304">
        <v>3.1568751143507233E-2</v>
      </c>
      <c r="T58" s="304">
        <v>4.1858259741618158E-2</v>
      </c>
      <c r="U58" s="304"/>
      <c r="V58" s="304">
        <v>7.0726350819297165E-2</v>
      </c>
      <c r="W58" s="304">
        <v>8.875177164609499E-2</v>
      </c>
      <c r="X58" s="304">
        <v>9.4302014944875195E-2</v>
      </c>
      <c r="Y58" s="304"/>
      <c r="Z58" s="304">
        <v>0.74741775464704363</v>
      </c>
      <c r="AA58" s="304">
        <v>0.75885901815251922</v>
      </c>
      <c r="AB58" s="304">
        <v>0.83999275360703596</v>
      </c>
      <c r="AC58" s="304"/>
      <c r="AD58" s="304">
        <v>0.86182327327181585</v>
      </c>
      <c r="AE58" s="304">
        <v>1.0642509054089302</v>
      </c>
      <c r="AF58" s="304">
        <v>1.2294790489918446</v>
      </c>
      <c r="AG58" s="304"/>
      <c r="AH58" s="304">
        <v>0.36068078474041609</v>
      </c>
      <c r="AI58" s="304">
        <v>0.36747512159547852</v>
      </c>
      <c r="AJ58" s="304">
        <v>0.16606003359406679</v>
      </c>
      <c r="AK58" s="304"/>
      <c r="AL58" s="304">
        <v>0.1070316790875316</v>
      </c>
      <c r="AM58" s="304">
        <v>6.6676152700247515E-2</v>
      </c>
      <c r="AN58" s="304">
        <v>2.1577109057069065E-2</v>
      </c>
    </row>
    <row r="59" spans="1:40" x14ac:dyDescent="0.2">
      <c r="A59" s="13" t="str">
        <f t="shared" si="67"/>
        <v>Elementary occupations</v>
      </c>
      <c r="B59" s="304">
        <f t="shared" si="69"/>
        <v>1.3968411547237101</v>
      </c>
      <c r="C59" s="304">
        <f t="shared" si="70"/>
        <v>1.2196870068874637</v>
      </c>
      <c r="D59" s="304">
        <f t="shared" si="71"/>
        <v>1.2217206388749227</v>
      </c>
      <c r="E59" s="304"/>
      <c r="F59" s="304">
        <v>9.6107224522682178E-5</v>
      </c>
      <c r="G59" s="304">
        <v>1.0729295553716007E-4</v>
      </c>
      <c r="H59" s="304">
        <v>1.1397203241447547E-4</v>
      </c>
      <c r="I59" s="304"/>
      <c r="J59" s="304">
        <v>8.6531824404094178E-3</v>
      </c>
      <c r="K59" s="304">
        <v>1.1911349537106151E-2</v>
      </c>
      <c r="L59" s="304">
        <v>1.8922144086245221E-2</v>
      </c>
      <c r="M59" s="304"/>
      <c r="N59" s="304">
        <v>2.652791840347949E-2</v>
      </c>
      <c r="O59" s="304">
        <v>2.853341467576696E-2</v>
      </c>
      <c r="P59" s="304">
        <v>2.8105541553535871E-2</v>
      </c>
      <c r="Q59" s="304"/>
      <c r="R59" s="304">
        <v>6.7593742026679495E-3</v>
      </c>
      <c r="S59" s="304">
        <v>6.6913391891648714E-3</v>
      </c>
      <c r="T59" s="304">
        <v>6.2729317048397966E-3</v>
      </c>
      <c r="U59" s="304"/>
      <c r="V59" s="304">
        <v>4.5499978111727006E-2</v>
      </c>
      <c r="W59" s="304">
        <v>5.1833770336122485E-2</v>
      </c>
      <c r="X59" s="304">
        <v>5.4242613265255049E-2</v>
      </c>
      <c r="Y59" s="304"/>
      <c r="Z59" s="304">
        <v>0.45208749358063377</v>
      </c>
      <c r="AA59" s="304">
        <v>0.40952536793521588</v>
      </c>
      <c r="AB59" s="304">
        <v>0.50700558305252375</v>
      </c>
      <c r="AC59" s="304"/>
      <c r="AD59" s="304">
        <v>0.43658417873041716</v>
      </c>
      <c r="AE59" s="304">
        <v>0.4056363695627937</v>
      </c>
      <c r="AF59" s="304">
        <v>0.44466182454378844</v>
      </c>
      <c r="AG59" s="304"/>
      <c r="AH59" s="304">
        <v>0.29003062352575176</v>
      </c>
      <c r="AI59" s="304">
        <v>0.25907222659945578</v>
      </c>
      <c r="AJ59" s="304">
        <v>0.14923154590738472</v>
      </c>
      <c r="AK59" s="304"/>
      <c r="AL59" s="304">
        <v>0.13060229850410088</v>
      </c>
      <c r="AM59" s="304">
        <v>4.6375876096300631E-2</v>
      </c>
      <c r="AN59" s="304">
        <v>1.3164482728935497E-2</v>
      </c>
    </row>
    <row r="60" spans="1:40" x14ac:dyDescent="0.2">
      <c r="B60" s="304"/>
      <c r="C60" s="304"/>
      <c r="D60" s="304"/>
      <c r="E60" s="304"/>
      <c r="F60" s="304"/>
      <c r="G60" s="304"/>
      <c r="H60" s="304"/>
      <c r="I60" s="304"/>
      <c r="J60" s="304"/>
      <c r="K60" s="304"/>
      <c r="L60" s="304"/>
      <c r="M60" s="304"/>
      <c r="N60" s="304"/>
      <c r="O60" s="304"/>
      <c r="P60" s="304"/>
      <c r="Q60" s="304"/>
      <c r="R60" s="304"/>
      <c r="S60" s="304"/>
      <c r="T60" s="304"/>
      <c r="U60" s="304"/>
      <c r="V60" s="304"/>
      <c r="W60" s="304"/>
      <c r="X60" s="304"/>
      <c r="Y60" s="304"/>
      <c r="Z60" s="304"/>
      <c r="AA60" s="304"/>
      <c r="AB60" s="304"/>
      <c r="AC60" s="304"/>
      <c r="AD60" s="304"/>
      <c r="AE60" s="304"/>
      <c r="AF60" s="304"/>
      <c r="AG60" s="304"/>
      <c r="AH60" s="304"/>
      <c r="AI60" s="304"/>
      <c r="AJ60" s="304"/>
      <c r="AK60" s="304"/>
      <c r="AL60" s="304"/>
      <c r="AM60" s="304"/>
      <c r="AN60" s="304"/>
    </row>
    <row r="61" spans="1:40" x14ac:dyDescent="0.2">
      <c r="A61" s="1" t="str">
        <f>name!C7</f>
        <v>Trade, accomod. and transport</v>
      </c>
      <c r="B61" s="306"/>
      <c r="C61" s="306"/>
      <c r="D61" s="306"/>
      <c r="E61" s="304"/>
      <c r="F61" s="304"/>
      <c r="G61" s="304"/>
      <c r="H61" s="304"/>
      <c r="I61" s="304"/>
      <c r="J61" s="304"/>
      <c r="K61" s="304"/>
      <c r="L61" s="304"/>
      <c r="M61" s="304"/>
      <c r="N61" s="304"/>
      <c r="O61" s="304"/>
      <c r="P61" s="304"/>
      <c r="Q61" s="304"/>
      <c r="R61" s="304"/>
      <c r="S61" s="304"/>
      <c r="T61" s="304"/>
      <c r="U61" s="304"/>
      <c r="V61" s="304"/>
      <c r="W61" s="304"/>
      <c r="X61" s="304"/>
      <c r="Y61" s="304"/>
      <c r="Z61" s="304"/>
      <c r="AA61" s="304"/>
      <c r="AB61" s="304"/>
      <c r="AC61" s="304"/>
      <c r="AD61" s="304"/>
      <c r="AE61" s="304"/>
      <c r="AF61" s="304"/>
      <c r="AG61" s="304"/>
      <c r="AH61" s="304"/>
      <c r="AI61" s="304"/>
      <c r="AJ61" s="304"/>
      <c r="AK61" s="304"/>
      <c r="AL61" s="304"/>
      <c r="AM61" s="304"/>
      <c r="AN61" s="304"/>
    </row>
    <row r="62" spans="1:40" x14ac:dyDescent="0.2">
      <c r="A62" s="13" t="str">
        <f t="shared" ref="A62:A71" si="72">A8</f>
        <v>All occupations</v>
      </c>
      <c r="B62" s="305">
        <f>SUM(B63:B71)</f>
        <v>133.41199999999998</v>
      </c>
      <c r="C62" s="305">
        <f>SUM(C63:C71)</f>
        <v>134.447</v>
      </c>
      <c r="D62" s="305">
        <f>SUM(D63:D71)</f>
        <v>139.09199999999998</v>
      </c>
      <c r="E62" s="304"/>
      <c r="F62" s="305">
        <f>SUM(F63:F71)</f>
        <v>0.27933459042595649</v>
      </c>
      <c r="G62" s="305">
        <f>SUM(G63:G71)</f>
        <v>0.38228464763711267</v>
      </c>
      <c r="H62" s="305">
        <f>SUM(H63:H71)</f>
        <v>0.63481767165943892</v>
      </c>
      <c r="I62" s="304"/>
      <c r="J62" s="305">
        <f>SUM(J63:J71)</f>
        <v>3.535402860709965</v>
      </c>
      <c r="K62" s="305">
        <f>SUM(K63:K71)</f>
        <v>4.5517181929259909</v>
      </c>
      <c r="L62" s="305">
        <f>SUM(L63:L71)</f>
        <v>6.9961208116549809</v>
      </c>
      <c r="M62" s="304"/>
      <c r="N62" s="305">
        <f>SUM(N63:N71)</f>
        <v>14.369379800121525</v>
      </c>
      <c r="O62" s="305">
        <f>SUM(O63:O71)</f>
        <v>17.016975303970128</v>
      </c>
      <c r="P62" s="305">
        <f>SUM(P63:P71)</f>
        <v>23.67788412462177</v>
      </c>
      <c r="Q62" s="304"/>
      <c r="R62" s="305">
        <f>SUM(R63:R71)</f>
        <v>4.8521840495911812</v>
      </c>
      <c r="S62" s="305">
        <f>SUM(S63:S71)</f>
        <v>5.537880337256432</v>
      </c>
      <c r="T62" s="305">
        <f>SUM(T63:T71)</f>
        <v>7.794750449130003</v>
      </c>
      <c r="U62" s="304"/>
      <c r="V62" s="305">
        <f>SUM(V63:V71)</f>
        <v>5.1164778719002744</v>
      </c>
      <c r="W62" s="305">
        <f>SUM(W63:W71)</f>
        <v>5.7663726191893492</v>
      </c>
      <c r="X62" s="305">
        <f>SUM(X63:X71)</f>
        <v>7.5266521292349164</v>
      </c>
      <c r="Y62" s="304"/>
      <c r="Z62" s="305">
        <f>SUM(Z63:Z71)</f>
        <v>37.38082679127686</v>
      </c>
      <c r="AA62" s="305">
        <f>SUM(AA63:AA71)</f>
        <v>36.735135371345756</v>
      </c>
      <c r="AB62" s="305">
        <f>SUM(AB63:AB71)</f>
        <v>41.551815930057629</v>
      </c>
      <c r="AC62" s="304"/>
      <c r="AD62" s="305">
        <f>SUM(AD63:AD71)</f>
        <v>38.753383501009154</v>
      </c>
      <c r="AE62" s="305">
        <f>SUM(AE63:AE71)</f>
        <v>37.85778950165043</v>
      </c>
      <c r="AF62" s="305">
        <f>SUM(AF63:AF71)</f>
        <v>35.312849890198478</v>
      </c>
      <c r="AG62" s="304"/>
      <c r="AH62" s="305">
        <f>SUM(AH63:AH71)</f>
        <v>20.357021151279461</v>
      </c>
      <c r="AI62" s="305">
        <f>SUM(AI63:AI71)</f>
        <v>19.295395901551849</v>
      </c>
      <c r="AJ62" s="305">
        <f>SUM(AJ63:AJ71)</f>
        <v>10.962020285222879</v>
      </c>
      <c r="AK62" s="304"/>
      <c r="AL62" s="305">
        <f>SUM(AL63:AL71)</f>
        <v>8.7679893836855882</v>
      </c>
      <c r="AM62" s="305">
        <f>SUM(AM63:AM71)</f>
        <v>7.3034481244729657</v>
      </c>
      <c r="AN62" s="305">
        <f>SUM(AN63:AN71)</f>
        <v>4.6350887082198806</v>
      </c>
    </row>
    <row r="63" spans="1:40" x14ac:dyDescent="0.2">
      <c r="A63" s="13" t="str">
        <f t="shared" si="72"/>
        <v>Managers, directors and senior officials</v>
      </c>
      <c r="B63" s="304">
        <f>SUM(F63,J63,N63,R63,V63,Z63,AD63,AH63,AL63)</f>
        <v>16.252035360190138</v>
      </c>
      <c r="C63" s="304">
        <f t="shared" ref="C63:C71" si="73">SUM(G63,K63,O63,S63,W63,AA63,AE63,AI63,AM63)</f>
        <v>17.186884249546157</v>
      </c>
      <c r="D63" s="304">
        <f t="shared" ref="D63:D71" si="74">SUM(H63,L63,P63,T63,X63,AB63,AF63,AJ63,AN63)</f>
        <v>20.137222291949943</v>
      </c>
      <c r="E63" s="304"/>
      <c r="F63" s="304">
        <v>6.3118931407093529E-2</v>
      </c>
      <c r="G63" s="304">
        <v>9.1572114433868382E-2</v>
      </c>
      <c r="H63" s="304">
        <v>0.16805211221706332</v>
      </c>
      <c r="I63" s="304"/>
      <c r="J63" s="304">
        <v>0.765145534280397</v>
      </c>
      <c r="K63" s="304">
        <v>1.0240282732537815</v>
      </c>
      <c r="L63" s="304">
        <v>1.6942228739549867</v>
      </c>
      <c r="M63" s="304"/>
      <c r="N63" s="304">
        <v>3.0389727862989666</v>
      </c>
      <c r="O63" s="304">
        <v>3.7018805723870774</v>
      </c>
      <c r="P63" s="304">
        <v>4.9309041125643462</v>
      </c>
      <c r="Q63" s="304"/>
      <c r="R63" s="304">
        <v>0.76332252586781757</v>
      </c>
      <c r="S63" s="304">
        <v>0.83927631189772478</v>
      </c>
      <c r="T63" s="304">
        <v>1.177567099870259</v>
      </c>
      <c r="U63" s="304"/>
      <c r="V63" s="304">
        <v>0.85918690985022927</v>
      </c>
      <c r="W63" s="304">
        <v>0.94529601053608758</v>
      </c>
      <c r="X63" s="304">
        <v>1.140206451691586</v>
      </c>
      <c r="Y63" s="304"/>
      <c r="Z63" s="304">
        <v>4.0344809016191947</v>
      </c>
      <c r="AA63" s="304">
        <v>3.6839844066580931</v>
      </c>
      <c r="AB63" s="304">
        <v>4.5340688694184816</v>
      </c>
      <c r="AC63" s="304"/>
      <c r="AD63" s="304">
        <v>4.0143198425869526</v>
      </c>
      <c r="AE63" s="304">
        <v>4.0828484030237622</v>
      </c>
      <c r="AF63" s="304">
        <v>4.1758879466578449</v>
      </c>
      <c r="AG63" s="304"/>
      <c r="AH63" s="304">
        <v>2.1750120055414746</v>
      </c>
      <c r="AI63" s="304">
        <v>2.2936374618559654</v>
      </c>
      <c r="AJ63" s="304">
        <v>1.7078948754177978</v>
      </c>
      <c r="AK63" s="304"/>
      <c r="AL63" s="304">
        <v>0.53847592273801193</v>
      </c>
      <c r="AM63" s="304">
        <v>0.52436069549979936</v>
      </c>
      <c r="AN63" s="304">
        <v>0.60841795015758204</v>
      </c>
    </row>
    <row r="64" spans="1:40" x14ac:dyDescent="0.2">
      <c r="A64" s="13" t="str">
        <f t="shared" si="72"/>
        <v>Professional occupations</v>
      </c>
      <c r="B64" s="304">
        <f t="shared" ref="B64:B71" si="75">SUM(F64,J64,N64,R64,V64,Z64,AD64,AH64,AL64)</f>
        <v>8.6560541790358059</v>
      </c>
      <c r="C64" s="304">
        <f t="shared" si="73"/>
        <v>9.3829016000475818</v>
      </c>
      <c r="D64" s="304">
        <f t="shared" si="74"/>
        <v>11.013707833470704</v>
      </c>
      <c r="E64" s="304"/>
      <c r="F64" s="304">
        <v>0.10744815255231782</v>
      </c>
      <c r="G64" s="304">
        <v>0.14619187922214863</v>
      </c>
      <c r="H64" s="304">
        <v>0.24325899633480247</v>
      </c>
      <c r="I64" s="304"/>
      <c r="J64" s="304">
        <v>0.82550748062875889</v>
      </c>
      <c r="K64" s="304">
        <v>1.0739160428747256</v>
      </c>
      <c r="L64" s="304">
        <v>1.6265784191516999</v>
      </c>
      <c r="M64" s="304"/>
      <c r="N64" s="304">
        <v>1.9541666635305233</v>
      </c>
      <c r="O64" s="304">
        <v>2.2471224799694558</v>
      </c>
      <c r="P64" s="304">
        <v>2.8401415124683407</v>
      </c>
      <c r="Q64" s="304"/>
      <c r="R64" s="304">
        <v>0.29643077255427014</v>
      </c>
      <c r="S64" s="304">
        <v>0.30160104013735883</v>
      </c>
      <c r="T64" s="304">
        <v>0.36132243647799461</v>
      </c>
      <c r="U64" s="304"/>
      <c r="V64" s="304">
        <v>0.50843402069867361</v>
      </c>
      <c r="W64" s="304">
        <v>0.57195519363559244</v>
      </c>
      <c r="X64" s="304">
        <v>0.71680357206376821</v>
      </c>
      <c r="Y64" s="304"/>
      <c r="Z64" s="304">
        <v>2.2686210901976436</v>
      </c>
      <c r="AA64" s="304">
        <v>2.3151949617334142</v>
      </c>
      <c r="AB64" s="304">
        <v>2.8396178970471113</v>
      </c>
      <c r="AC64" s="304"/>
      <c r="AD64" s="304">
        <v>1.6556669676791687</v>
      </c>
      <c r="AE64" s="304">
        <v>1.6263693315279661</v>
      </c>
      <c r="AF64" s="304">
        <v>1.5536407377680603</v>
      </c>
      <c r="AG64" s="304"/>
      <c r="AH64" s="304">
        <v>0.83084529388460693</v>
      </c>
      <c r="AI64" s="304">
        <v>0.86575767197603459</v>
      </c>
      <c r="AJ64" s="304">
        <v>0.57519957232091845</v>
      </c>
      <c r="AK64" s="304"/>
      <c r="AL64" s="304">
        <v>0.20893373730984197</v>
      </c>
      <c r="AM64" s="304">
        <v>0.23479299897088485</v>
      </c>
      <c r="AN64" s="304">
        <v>0.25714468983800803</v>
      </c>
    </row>
    <row r="65" spans="1:40" x14ac:dyDescent="0.2">
      <c r="A65" s="13" t="str">
        <f t="shared" si="72"/>
        <v>Associate professional occupations</v>
      </c>
      <c r="B65" s="304">
        <f t="shared" si="75"/>
        <v>7.4264284324880911</v>
      </c>
      <c r="C65" s="304">
        <f t="shared" si="73"/>
        <v>7.2493926211140085</v>
      </c>
      <c r="D65" s="304">
        <f t="shared" si="74"/>
        <v>8.2059086155084469</v>
      </c>
      <c r="E65" s="304"/>
      <c r="F65" s="304">
        <v>3.2234301842331101E-2</v>
      </c>
      <c r="G65" s="304">
        <v>3.9035344835983636E-2</v>
      </c>
      <c r="H65" s="304">
        <v>5.8637291454044137E-2</v>
      </c>
      <c r="I65" s="304"/>
      <c r="J65" s="304">
        <v>0.3229669148759356</v>
      </c>
      <c r="K65" s="304">
        <v>0.36180600243301791</v>
      </c>
      <c r="L65" s="304">
        <v>0.47093907100179294</v>
      </c>
      <c r="M65" s="304"/>
      <c r="N65" s="304">
        <v>1.2343971710753481</v>
      </c>
      <c r="O65" s="304">
        <v>1.3328707382223157</v>
      </c>
      <c r="P65" s="304">
        <v>1.7275571992846461</v>
      </c>
      <c r="Q65" s="304"/>
      <c r="R65" s="304">
        <v>0.29354888917837968</v>
      </c>
      <c r="S65" s="304">
        <v>0.30830285592326712</v>
      </c>
      <c r="T65" s="304">
        <v>0.41178464178288721</v>
      </c>
      <c r="U65" s="304"/>
      <c r="V65" s="304">
        <v>0.3838731753490669</v>
      </c>
      <c r="W65" s="304">
        <v>0.40231770224662522</v>
      </c>
      <c r="X65" s="304">
        <v>0.52447820742665829</v>
      </c>
      <c r="Y65" s="304"/>
      <c r="Z65" s="304">
        <v>2.213178875602078</v>
      </c>
      <c r="AA65" s="304">
        <v>2.0084005302669281</v>
      </c>
      <c r="AB65" s="304">
        <v>2.3444500318793784</v>
      </c>
      <c r="AC65" s="304"/>
      <c r="AD65" s="304">
        <v>1.8484038799377225</v>
      </c>
      <c r="AE65" s="304">
        <v>1.7984652968855661</v>
      </c>
      <c r="AF65" s="304">
        <v>1.9668248179809422</v>
      </c>
      <c r="AG65" s="304"/>
      <c r="AH65" s="304">
        <v>0.83940034690155008</v>
      </c>
      <c r="AI65" s="304">
        <v>0.77192526230026781</v>
      </c>
      <c r="AJ65" s="304">
        <v>0.48280252917074723</v>
      </c>
      <c r="AK65" s="304"/>
      <c r="AL65" s="304">
        <v>0.25842487772567835</v>
      </c>
      <c r="AM65" s="304">
        <v>0.22626888800003633</v>
      </c>
      <c r="AN65" s="304">
        <v>0.21843482552735019</v>
      </c>
    </row>
    <row r="66" spans="1:40" x14ac:dyDescent="0.2">
      <c r="A66" s="13" t="str">
        <f t="shared" si="72"/>
        <v>Administrative and secretarial occupations</v>
      </c>
      <c r="B66" s="304">
        <f t="shared" si="75"/>
        <v>7.7788536858724076</v>
      </c>
      <c r="C66" s="304">
        <f t="shared" si="73"/>
        <v>7.5871992901472991</v>
      </c>
      <c r="D66" s="304">
        <f t="shared" si="74"/>
        <v>8.3974827027702332</v>
      </c>
      <c r="E66" s="304"/>
      <c r="F66" s="304">
        <v>1.2929263850936909E-2</v>
      </c>
      <c r="G66" s="304">
        <v>1.8139715020518997E-2</v>
      </c>
      <c r="H66" s="304">
        <v>2.9361415500268037E-2</v>
      </c>
      <c r="I66" s="304"/>
      <c r="J66" s="304">
        <v>0.21299833277789551</v>
      </c>
      <c r="K66" s="304">
        <v>0.26131772380790219</v>
      </c>
      <c r="L66" s="304">
        <v>0.3675847040794728</v>
      </c>
      <c r="M66" s="304"/>
      <c r="N66" s="304">
        <v>1.0003137145540177</v>
      </c>
      <c r="O66" s="304">
        <v>1.1335437111588478</v>
      </c>
      <c r="P66" s="304">
        <v>2.0964914705229902</v>
      </c>
      <c r="Q66" s="304"/>
      <c r="R66" s="304">
        <v>0.34933296799629932</v>
      </c>
      <c r="S66" s="304">
        <v>0.37435217811420379</v>
      </c>
      <c r="T66" s="304">
        <v>0.48468377115134825</v>
      </c>
      <c r="U66" s="304"/>
      <c r="V66" s="304">
        <v>0.33514397091008713</v>
      </c>
      <c r="W66" s="304">
        <v>0.34694529685064845</v>
      </c>
      <c r="X66" s="304">
        <v>0.57153772828981331</v>
      </c>
      <c r="Y66" s="304"/>
      <c r="Z66" s="304">
        <v>2.1889618306838039</v>
      </c>
      <c r="AA66" s="304">
        <v>2.11598980085774</v>
      </c>
      <c r="AB66" s="304">
        <v>2.1678280170905055</v>
      </c>
      <c r="AC66" s="304"/>
      <c r="AD66" s="304">
        <v>2.4433164420128803</v>
      </c>
      <c r="AE66" s="304">
        <v>2.3259234236447859</v>
      </c>
      <c r="AF66" s="304">
        <v>2.1536412946989381</v>
      </c>
      <c r="AG66" s="304"/>
      <c r="AH66" s="304">
        <v>0.82303069325953282</v>
      </c>
      <c r="AI66" s="304">
        <v>0.55958800618058269</v>
      </c>
      <c r="AJ66" s="304">
        <v>0.18189641959804334</v>
      </c>
      <c r="AK66" s="304"/>
      <c r="AL66" s="304">
        <v>0.41282646982695309</v>
      </c>
      <c r="AM66" s="304">
        <v>0.45139943451206849</v>
      </c>
      <c r="AN66" s="304">
        <v>0.34445788183885534</v>
      </c>
    </row>
    <row r="67" spans="1:40" x14ac:dyDescent="0.2">
      <c r="A67" s="13" t="str">
        <f t="shared" si="72"/>
        <v>Skilled trades occupations</v>
      </c>
      <c r="B67" s="304">
        <f t="shared" si="75"/>
        <v>10.035550895121348</v>
      </c>
      <c r="C67" s="304">
        <f t="shared" si="73"/>
        <v>9.8644171126325055</v>
      </c>
      <c r="D67" s="304">
        <f t="shared" si="74"/>
        <v>9.6108150673715631</v>
      </c>
      <c r="E67" s="304"/>
      <c r="F67" s="304">
        <v>4.4543347637938466E-3</v>
      </c>
      <c r="G67" s="304">
        <v>5.4658010835851945E-3</v>
      </c>
      <c r="H67" s="304">
        <v>8.7504456378355057E-3</v>
      </c>
      <c r="I67" s="304"/>
      <c r="J67" s="304">
        <v>0.11381389535544266</v>
      </c>
      <c r="K67" s="304">
        <v>0.15332955186472577</v>
      </c>
      <c r="L67" s="304">
        <v>0.24517780236039033</v>
      </c>
      <c r="M67" s="304"/>
      <c r="N67" s="304">
        <v>0.48259041348652854</v>
      </c>
      <c r="O67" s="304">
        <v>0.61245249890470332</v>
      </c>
      <c r="P67" s="304">
        <v>0.76001891774406383</v>
      </c>
      <c r="Q67" s="304"/>
      <c r="R67" s="304">
        <v>0.26497940520676433</v>
      </c>
      <c r="S67" s="304">
        <v>0.30112518035618008</v>
      </c>
      <c r="T67" s="304">
        <v>0.40439970884173704</v>
      </c>
      <c r="U67" s="304"/>
      <c r="V67" s="304">
        <v>0.35327756991393366</v>
      </c>
      <c r="W67" s="304">
        <v>0.41010815597992678</v>
      </c>
      <c r="X67" s="304">
        <v>0.45367262821194615</v>
      </c>
      <c r="Y67" s="304"/>
      <c r="Z67" s="304">
        <v>3.8321490873774668</v>
      </c>
      <c r="AA67" s="304">
        <v>3.6593107178060169</v>
      </c>
      <c r="AB67" s="304">
        <v>3.8704406253510091</v>
      </c>
      <c r="AC67" s="304"/>
      <c r="AD67" s="304">
        <v>2.7580319762205345</v>
      </c>
      <c r="AE67" s="304">
        <v>2.5417236694646919</v>
      </c>
      <c r="AF67" s="304">
        <v>2.4511815595418063</v>
      </c>
      <c r="AG67" s="304"/>
      <c r="AH67" s="304">
        <v>1.4191781241933088</v>
      </c>
      <c r="AI67" s="304">
        <v>1.4430271008952869</v>
      </c>
      <c r="AJ67" s="304">
        <v>0.88625793159388699</v>
      </c>
      <c r="AK67" s="304"/>
      <c r="AL67" s="304">
        <v>0.80707608860357516</v>
      </c>
      <c r="AM67" s="304">
        <v>0.73787443627738825</v>
      </c>
      <c r="AN67" s="304">
        <v>0.53091544808888647</v>
      </c>
    </row>
    <row r="68" spans="1:40" x14ac:dyDescent="0.2">
      <c r="A68" s="13" t="str">
        <f t="shared" si="72"/>
        <v>Caring, leisure and other service occupations</v>
      </c>
      <c r="B68" s="304">
        <f t="shared" si="75"/>
        <v>4.6425277183042031</v>
      </c>
      <c r="C68" s="304">
        <f t="shared" si="73"/>
        <v>4.9005373891601947</v>
      </c>
      <c r="D68" s="304">
        <f t="shared" si="74"/>
        <v>5.5926929922150741</v>
      </c>
      <c r="E68" s="304"/>
      <c r="F68" s="304">
        <v>4.2510390918705067E-3</v>
      </c>
      <c r="G68" s="304">
        <v>6.0348322117958521E-3</v>
      </c>
      <c r="H68" s="304">
        <v>9.8789021178363901E-3</v>
      </c>
      <c r="I68" s="304"/>
      <c r="J68" s="304">
        <v>9.4565274216603767E-2</v>
      </c>
      <c r="K68" s="304">
        <v>0.11932245398282521</v>
      </c>
      <c r="L68" s="304">
        <v>0.15469309691610703</v>
      </c>
      <c r="M68" s="304"/>
      <c r="N68" s="304">
        <v>0.49899573374642325</v>
      </c>
      <c r="O68" s="304">
        <v>0.58914297266058047</v>
      </c>
      <c r="P68" s="304">
        <v>0.76477583753961953</v>
      </c>
      <c r="Q68" s="304"/>
      <c r="R68" s="304">
        <v>0.42498344500735152</v>
      </c>
      <c r="S68" s="304">
        <v>0.52098036011458992</v>
      </c>
      <c r="T68" s="304">
        <v>0.82987554192124702</v>
      </c>
      <c r="U68" s="304"/>
      <c r="V68" s="304">
        <v>0.39086460135768908</v>
      </c>
      <c r="W68" s="304">
        <v>0.46321038661614194</v>
      </c>
      <c r="X68" s="304">
        <v>0.65706093020111334</v>
      </c>
      <c r="Y68" s="304"/>
      <c r="Z68" s="304">
        <v>1.0244762167060288</v>
      </c>
      <c r="AA68" s="304">
        <v>1.078330075669452</v>
      </c>
      <c r="AB68" s="304">
        <v>1.2977744915678853</v>
      </c>
      <c r="AC68" s="304"/>
      <c r="AD68" s="304">
        <v>1.3024049029306095</v>
      </c>
      <c r="AE68" s="304">
        <v>1.2501413353367057</v>
      </c>
      <c r="AF68" s="304">
        <v>1.2334737149570301</v>
      </c>
      <c r="AG68" s="304"/>
      <c r="AH68" s="304">
        <v>0.59061386712847785</v>
      </c>
      <c r="AI68" s="304">
        <v>0.56172159706544089</v>
      </c>
      <c r="AJ68" s="304">
        <v>0.35819816040954988</v>
      </c>
      <c r="AK68" s="304"/>
      <c r="AL68" s="304">
        <v>0.31137263811914873</v>
      </c>
      <c r="AM68" s="304">
        <v>0.31165337550266237</v>
      </c>
      <c r="AN68" s="304">
        <v>0.28696231658468435</v>
      </c>
    </row>
    <row r="69" spans="1:40" x14ac:dyDescent="0.2">
      <c r="A69" s="13" t="str">
        <f t="shared" si="72"/>
        <v>Sales and customer service occupations</v>
      </c>
      <c r="B69" s="304">
        <f t="shared" si="75"/>
        <v>37.399384450384886</v>
      </c>
      <c r="C69" s="304">
        <f t="shared" si="73"/>
        <v>36.086633343667799</v>
      </c>
      <c r="D69" s="304">
        <f t="shared" si="74"/>
        <v>35.292389761267572</v>
      </c>
      <c r="E69" s="304"/>
      <c r="F69" s="304">
        <v>2.5892128992909338E-2</v>
      </c>
      <c r="G69" s="304">
        <v>3.4130532976821011E-2</v>
      </c>
      <c r="H69" s="304">
        <v>4.9967163658037259E-2</v>
      </c>
      <c r="I69" s="304"/>
      <c r="J69" s="304">
        <v>0.6214731727751921</v>
      </c>
      <c r="K69" s="304">
        <v>0.77237351616818595</v>
      </c>
      <c r="L69" s="304">
        <v>1.1483481642349231</v>
      </c>
      <c r="M69" s="304"/>
      <c r="N69" s="304">
        <v>3.6134492680456054</v>
      </c>
      <c r="O69" s="304">
        <v>4.209126413670325</v>
      </c>
      <c r="P69" s="304">
        <v>6.0082453800538937</v>
      </c>
      <c r="Q69" s="304"/>
      <c r="R69" s="304">
        <v>1.3305702766287884</v>
      </c>
      <c r="S69" s="304">
        <v>1.510507109788336</v>
      </c>
      <c r="T69" s="304">
        <v>2.1972433349718252</v>
      </c>
      <c r="U69" s="304"/>
      <c r="V69" s="304">
        <v>0.92810625986617135</v>
      </c>
      <c r="W69" s="304">
        <v>0.95540126153989968</v>
      </c>
      <c r="X69" s="304">
        <v>1.2226827438732684</v>
      </c>
      <c r="Y69" s="304"/>
      <c r="Z69" s="304">
        <v>11.553589600918652</v>
      </c>
      <c r="AA69" s="304">
        <v>11.845051088382615</v>
      </c>
      <c r="AB69" s="304">
        <v>14.036882207902906</v>
      </c>
      <c r="AC69" s="304"/>
      <c r="AD69" s="304">
        <v>11.015962910350316</v>
      </c>
      <c r="AE69" s="304">
        <v>9.7172574284740492</v>
      </c>
      <c r="AF69" s="304">
        <v>7.4112281284415165</v>
      </c>
      <c r="AG69" s="304"/>
      <c r="AH69" s="304">
        <v>6.0637961724312746</v>
      </c>
      <c r="AI69" s="304">
        <v>5.2731545777690263</v>
      </c>
      <c r="AJ69" s="304">
        <v>2.3980755789257238</v>
      </c>
      <c r="AK69" s="304"/>
      <c r="AL69" s="304">
        <v>2.2465446603759749</v>
      </c>
      <c r="AM69" s="304">
        <v>1.7696314148985441</v>
      </c>
      <c r="AN69" s="304">
        <v>0.81971705920547477</v>
      </c>
    </row>
    <row r="70" spans="1:40" x14ac:dyDescent="0.2">
      <c r="A70" s="13" t="str">
        <f t="shared" si="72"/>
        <v>Process, plant and machine operatives</v>
      </c>
      <c r="B70" s="304">
        <f t="shared" si="75"/>
        <v>15.600898056353168</v>
      </c>
      <c r="C70" s="304">
        <f t="shared" si="73"/>
        <v>16.362811636199016</v>
      </c>
      <c r="D70" s="304">
        <f t="shared" si="74"/>
        <v>15.805919431298625</v>
      </c>
      <c r="E70" s="304"/>
      <c r="F70" s="304">
        <v>2.4373534472007876E-2</v>
      </c>
      <c r="G70" s="304">
        <v>3.6296095471092964E-2</v>
      </c>
      <c r="H70" s="304">
        <v>6.0583779580178965E-2</v>
      </c>
      <c r="I70" s="304"/>
      <c r="J70" s="304">
        <v>0.13665784160331718</v>
      </c>
      <c r="K70" s="304">
        <v>0.19798976912731678</v>
      </c>
      <c r="L70" s="304">
        <v>0.33053338824970302</v>
      </c>
      <c r="M70" s="304"/>
      <c r="N70" s="304">
        <v>0.56651567207891784</v>
      </c>
      <c r="O70" s="304">
        <v>0.71818450351362728</v>
      </c>
      <c r="P70" s="304">
        <v>1.002084623349299</v>
      </c>
      <c r="Q70" s="304"/>
      <c r="R70" s="304">
        <v>0.26768472294956991</v>
      </c>
      <c r="S70" s="304">
        <v>0.33236115057296384</v>
      </c>
      <c r="T70" s="304">
        <v>0.38519180570449663</v>
      </c>
      <c r="U70" s="304"/>
      <c r="V70" s="304">
        <v>0.41448004473715083</v>
      </c>
      <c r="W70" s="304">
        <v>0.51908482928761546</v>
      </c>
      <c r="X70" s="304">
        <v>0.60888303372862662</v>
      </c>
      <c r="Y70" s="304"/>
      <c r="Z70" s="304">
        <v>3.9930013796993751</v>
      </c>
      <c r="AA70" s="304">
        <v>3.8584665147400656</v>
      </c>
      <c r="AB70" s="304">
        <v>3.9863403867974547</v>
      </c>
      <c r="AC70" s="304"/>
      <c r="AD70" s="304">
        <v>5.5270029459415824</v>
      </c>
      <c r="AE70" s="304">
        <v>6.325160551825789</v>
      </c>
      <c r="AF70" s="304">
        <v>6.9468829099477851</v>
      </c>
      <c r="AG70" s="304"/>
      <c r="AH70" s="304">
        <v>3.1261899443151528</v>
      </c>
      <c r="AI70" s="304">
        <v>3.2986090965291428</v>
      </c>
      <c r="AJ70" s="304">
        <v>2.1135554860386403</v>
      </c>
      <c r="AK70" s="304"/>
      <c r="AL70" s="304">
        <v>1.5449919705560942</v>
      </c>
      <c r="AM70" s="304">
        <v>1.0766591251313999</v>
      </c>
      <c r="AN70" s="304">
        <v>0.371864017902441</v>
      </c>
    </row>
    <row r="71" spans="1:40" x14ac:dyDescent="0.2">
      <c r="A71" s="13" t="str">
        <f t="shared" si="72"/>
        <v>Elementary occupations</v>
      </c>
      <c r="B71" s="304">
        <f t="shared" si="75"/>
        <v>25.620267222249922</v>
      </c>
      <c r="C71" s="304">
        <f t="shared" si="73"/>
        <v>25.826222757485446</v>
      </c>
      <c r="D71" s="304">
        <f t="shared" si="74"/>
        <v>25.035861304147819</v>
      </c>
      <c r="E71" s="304"/>
      <c r="F71" s="304">
        <v>4.6329034526956222E-3</v>
      </c>
      <c r="G71" s="304">
        <v>5.4183323812980041E-3</v>
      </c>
      <c r="H71" s="304">
        <v>6.3275651593727817E-3</v>
      </c>
      <c r="I71" s="304"/>
      <c r="J71" s="304">
        <v>0.44227441419642249</v>
      </c>
      <c r="K71" s="304">
        <v>0.58763485941351046</v>
      </c>
      <c r="L71" s="304">
        <v>0.95804329170590607</v>
      </c>
      <c r="M71" s="304"/>
      <c r="N71" s="304">
        <v>1.9799783773051949</v>
      </c>
      <c r="O71" s="304">
        <v>2.4726514134831921</v>
      </c>
      <c r="P71" s="304">
        <v>3.5476650710945692</v>
      </c>
      <c r="Q71" s="304"/>
      <c r="R71" s="304">
        <v>0.86133104420193995</v>
      </c>
      <c r="S71" s="304">
        <v>1.0493741503518073</v>
      </c>
      <c r="T71" s="304">
        <v>1.5426821084082092</v>
      </c>
      <c r="U71" s="304"/>
      <c r="V71" s="304">
        <v>0.94311131921727176</v>
      </c>
      <c r="W71" s="304">
        <v>1.1520537824968105</v>
      </c>
      <c r="X71" s="304">
        <v>1.6313268337481357</v>
      </c>
      <c r="Y71" s="304"/>
      <c r="Z71" s="304">
        <v>6.2723678084726133</v>
      </c>
      <c r="AA71" s="304">
        <v>6.1704072752314358</v>
      </c>
      <c r="AB71" s="304">
        <v>6.4744134030029015</v>
      </c>
      <c r="AC71" s="304"/>
      <c r="AD71" s="304">
        <v>8.1882736333493895</v>
      </c>
      <c r="AE71" s="304">
        <v>8.189900061467112</v>
      </c>
      <c r="AF71" s="304">
        <v>7.4200887802045523</v>
      </c>
      <c r="AG71" s="304"/>
      <c r="AH71" s="304">
        <v>4.488954703624084</v>
      </c>
      <c r="AI71" s="304">
        <v>4.2279751269801018</v>
      </c>
      <c r="AJ71" s="304">
        <v>2.2581397317475713</v>
      </c>
      <c r="AK71" s="304"/>
      <c r="AL71" s="304">
        <v>2.4393430184303107</v>
      </c>
      <c r="AM71" s="304">
        <v>1.9708077556801822</v>
      </c>
      <c r="AN71" s="304">
        <v>1.1971745190765988</v>
      </c>
    </row>
    <row r="72" spans="1:40" x14ac:dyDescent="0.2">
      <c r="B72" s="304"/>
      <c r="C72" s="304"/>
      <c r="D72" s="304"/>
      <c r="E72" s="304"/>
      <c r="F72" s="304"/>
      <c r="G72" s="304"/>
      <c r="H72" s="304"/>
      <c r="I72" s="304"/>
      <c r="J72" s="304"/>
      <c r="K72" s="304"/>
      <c r="L72" s="304"/>
      <c r="M72" s="304"/>
      <c r="N72" s="304"/>
      <c r="O72" s="304"/>
      <c r="P72" s="304"/>
      <c r="Q72" s="304"/>
      <c r="R72" s="304"/>
      <c r="S72" s="304"/>
      <c r="T72" s="304"/>
      <c r="U72" s="304"/>
      <c r="V72" s="304"/>
      <c r="W72" s="304"/>
      <c r="X72" s="304"/>
      <c r="Y72" s="304"/>
      <c r="Z72" s="304"/>
      <c r="AA72" s="304"/>
      <c r="AB72" s="304"/>
      <c r="AC72" s="304"/>
      <c r="AD72" s="304"/>
      <c r="AE72" s="304"/>
      <c r="AF72" s="304"/>
      <c r="AG72" s="304"/>
      <c r="AH72" s="304"/>
      <c r="AI72" s="304"/>
      <c r="AJ72" s="304"/>
      <c r="AK72" s="304"/>
      <c r="AL72" s="304"/>
      <c r="AM72" s="304"/>
      <c r="AN72" s="304"/>
    </row>
    <row r="73" spans="1:40" x14ac:dyDescent="0.2">
      <c r="A73" s="1" t="str">
        <f>name!C8</f>
        <v>Business and other services</v>
      </c>
      <c r="B73" s="306"/>
      <c r="C73" s="306"/>
      <c r="D73" s="306"/>
      <c r="E73" s="304"/>
      <c r="F73" s="304"/>
      <c r="G73" s="304"/>
      <c r="H73" s="304"/>
      <c r="I73" s="304"/>
      <c r="J73" s="304"/>
      <c r="K73" s="304"/>
      <c r="L73" s="304"/>
      <c r="M73" s="304"/>
      <c r="N73" s="304"/>
      <c r="O73" s="304"/>
      <c r="P73" s="304"/>
      <c r="Q73" s="304"/>
      <c r="R73" s="304"/>
      <c r="S73" s="304"/>
      <c r="T73" s="304"/>
      <c r="U73" s="304"/>
      <c r="V73" s="304"/>
      <c r="W73" s="304"/>
      <c r="X73" s="304"/>
      <c r="Y73" s="304"/>
      <c r="Z73" s="304"/>
      <c r="AA73" s="304"/>
      <c r="AB73" s="304"/>
      <c r="AC73" s="304"/>
      <c r="AD73" s="304"/>
      <c r="AE73" s="304"/>
      <c r="AF73" s="304"/>
      <c r="AG73" s="304"/>
      <c r="AH73" s="304"/>
      <c r="AI73" s="304"/>
      <c r="AJ73" s="304"/>
      <c r="AK73" s="304"/>
      <c r="AL73" s="304"/>
      <c r="AM73" s="304"/>
      <c r="AN73" s="304"/>
    </row>
    <row r="74" spans="1:40" x14ac:dyDescent="0.2">
      <c r="A74" s="13" t="str">
        <f t="shared" ref="A74:A83" si="76">A8</f>
        <v>All occupations</v>
      </c>
      <c r="B74" s="305">
        <f>SUM(B75:B83)</f>
        <v>107.56200000000007</v>
      </c>
      <c r="C74" s="305">
        <f>SUM(C75:C83)</f>
        <v>107.752</v>
      </c>
      <c r="D74" s="305">
        <f>SUM(D75:D83)</f>
        <v>113.09699999999999</v>
      </c>
      <c r="E74" s="304"/>
      <c r="F74" s="305">
        <f>SUM(F75:F83)</f>
        <v>1.1748848779072973</v>
      </c>
      <c r="G74" s="305">
        <f>SUM(G75:G83)</f>
        <v>1.3925237431602411</v>
      </c>
      <c r="H74" s="305">
        <f>SUM(H75:H83)</f>
        <v>1.7964558993742838</v>
      </c>
      <c r="I74" s="304"/>
      <c r="J74" s="305">
        <f>SUM(J75:J83)</f>
        <v>10.102640860141328</v>
      </c>
      <c r="K74" s="305">
        <f>SUM(K75:K83)</f>
        <v>11.870304416772159</v>
      </c>
      <c r="L74" s="305">
        <f>SUM(L75:L83)</f>
        <v>15.109107285275794</v>
      </c>
      <c r="M74" s="304"/>
      <c r="N74" s="305">
        <f>SUM(N75:N83)</f>
        <v>23.2833657414801</v>
      </c>
      <c r="O74" s="305">
        <f>SUM(O75:O83)</f>
        <v>24.932085022813077</v>
      </c>
      <c r="P74" s="305">
        <f>SUM(P75:P83)</f>
        <v>29.591222814614849</v>
      </c>
      <c r="Q74" s="304"/>
      <c r="R74" s="305">
        <f>SUM(R75:R83)</f>
        <v>5.2093031580956257</v>
      </c>
      <c r="S74" s="305">
        <f>SUM(S75:S83)</f>
        <v>5.4770314848353454</v>
      </c>
      <c r="T74" s="305">
        <f>SUM(T75:T83)</f>
        <v>6.7826921794901729</v>
      </c>
      <c r="U74" s="304"/>
      <c r="V74" s="305">
        <f>SUM(V75:V83)</f>
        <v>5.7769465002284175</v>
      </c>
      <c r="W74" s="305">
        <f>SUM(W75:W83)</f>
        <v>6.0601517570953778</v>
      </c>
      <c r="X74" s="305">
        <f>SUM(X75:X83)</f>
        <v>7.2620122842661807</v>
      </c>
      <c r="Y74" s="304"/>
      <c r="Z74" s="305">
        <f>SUM(Z75:Z83)</f>
        <v>21.34630186565748</v>
      </c>
      <c r="AA74" s="305">
        <f>SUM(AA75:AA83)</f>
        <v>18.784625142063636</v>
      </c>
      <c r="AB74" s="305">
        <f>SUM(AB75:AB83)</f>
        <v>18.400655709133559</v>
      </c>
      <c r="AC74" s="304"/>
      <c r="AD74" s="305">
        <f>SUM(AD75:AD83)</f>
        <v>23.065075096986902</v>
      </c>
      <c r="AE74" s="305">
        <f>SUM(AE75:AE83)</f>
        <v>22.205924042739213</v>
      </c>
      <c r="AF74" s="305">
        <f>SUM(AF75:AF83)</f>
        <v>20.954808382335361</v>
      </c>
      <c r="AG74" s="304"/>
      <c r="AH74" s="305">
        <f>SUM(AH75:AH83)</f>
        <v>13.119277997158514</v>
      </c>
      <c r="AI74" s="305">
        <f>SUM(AI75:AI83)</f>
        <v>12.880290120264352</v>
      </c>
      <c r="AJ74" s="305">
        <f>SUM(AJ75:AJ83)</f>
        <v>9.7293375293591655</v>
      </c>
      <c r="AK74" s="304"/>
      <c r="AL74" s="305">
        <f>SUM(AL75:AL83)</f>
        <v>4.4842039023444231</v>
      </c>
      <c r="AM74" s="305">
        <f>SUM(AM75:AM83)</f>
        <v>4.1490642702565967</v>
      </c>
      <c r="AN74" s="305">
        <f>SUM(AN75:AN83)</f>
        <v>3.4707079161506149</v>
      </c>
    </row>
    <row r="75" spans="1:40" x14ac:dyDescent="0.2">
      <c r="A75" s="13" t="str">
        <f t="shared" si="76"/>
        <v>Managers, directors and senior officials</v>
      </c>
      <c r="B75" s="305">
        <f>SUM(F75,J75,N75,R75,V75,Z75,AD75,AH75,AL75)</f>
        <v>8.588318434966224</v>
      </c>
      <c r="C75" s="305">
        <f t="shared" ref="C75:C83" si="77">SUM(G75,K75,O75,S75,W75,AA75,AE75,AI75,AM75)</f>
        <v>8.5571712870433405</v>
      </c>
      <c r="D75" s="305">
        <f t="shared" ref="D75:D83" si="78">SUM(H75,L75,P75,T75,X75,AB75,AF75,AJ75,AN75)</f>
        <v>9.5093215382526939</v>
      </c>
      <c r="E75" s="304"/>
      <c r="F75" s="304">
        <v>0.13690399744366744</v>
      </c>
      <c r="G75" s="304">
        <v>0.17031571525306333</v>
      </c>
      <c r="H75" s="304">
        <v>0.23490988391276901</v>
      </c>
      <c r="I75" s="304"/>
      <c r="J75" s="304">
        <v>1.0515596282984856</v>
      </c>
      <c r="K75" s="304">
        <v>1.2355082906740118</v>
      </c>
      <c r="L75" s="304">
        <v>1.6129881674036923</v>
      </c>
      <c r="M75" s="304"/>
      <c r="N75" s="304">
        <v>2.5315333621666229</v>
      </c>
      <c r="O75" s="304">
        <v>2.6615502460879576</v>
      </c>
      <c r="P75" s="304">
        <v>3.211048993814738</v>
      </c>
      <c r="Q75" s="304"/>
      <c r="R75" s="304">
        <v>0.36353318377346289</v>
      </c>
      <c r="S75" s="304">
        <v>0.36319515325527479</v>
      </c>
      <c r="T75" s="304">
        <v>0.44345396553780575</v>
      </c>
      <c r="U75" s="304"/>
      <c r="V75" s="304">
        <v>0.61219117900988373</v>
      </c>
      <c r="W75" s="304">
        <v>0.65181136132028217</v>
      </c>
      <c r="X75" s="304">
        <v>0.78856985992473005</v>
      </c>
      <c r="Y75" s="304"/>
      <c r="Z75" s="304">
        <v>1.7174982604809224</v>
      </c>
      <c r="AA75" s="304">
        <v>1.4135730115692207</v>
      </c>
      <c r="AB75" s="304">
        <v>1.4297481805461245</v>
      </c>
      <c r="AC75" s="304"/>
      <c r="AD75" s="304">
        <v>1.2125719965574449</v>
      </c>
      <c r="AE75" s="304">
        <v>1.0921021089119116</v>
      </c>
      <c r="AF75" s="304">
        <v>1.0088845306290601</v>
      </c>
      <c r="AG75" s="304"/>
      <c r="AH75" s="304">
        <v>0.71924770586048137</v>
      </c>
      <c r="AI75" s="304">
        <v>0.72229835001025833</v>
      </c>
      <c r="AJ75" s="304">
        <v>0.58853834981439523</v>
      </c>
      <c r="AK75" s="304"/>
      <c r="AL75" s="304">
        <v>0.24327912137525415</v>
      </c>
      <c r="AM75" s="304">
        <v>0.2468170499613605</v>
      </c>
      <c r="AN75" s="304">
        <v>0.19117960666937844</v>
      </c>
    </row>
    <row r="76" spans="1:40" x14ac:dyDescent="0.2">
      <c r="A76" s="13" t="str">
        <f t="shared" si="76"/>
        <v>Professional occupations</v>
      </c>
      <c r="B76" s="305">
        <f t="shared" ref="B76:B83" si="79">SUM(F76,J76,N76,R76,V76,Z76,AD76,AH76,AL76)</f>
        <v>19.885594691980081</v>
      </c>
      <c r="C76" s="305">
        <f t="shared" si="77"/>
        <v>20.643976779045197</v>
      </c>
      <c r="D76" s="305">
        <f>SUM(H76,L76,P76,T76,X76,AB76,AF76,AJ76,AN76)</f>
        <v>22.898586790346616</v>
      </c>
      <c r="E76" s="304"/>
      <c r="F76" s="304">
        <v>0.62567256276664418</v>
      </c>
      <c r="G76" s="304">
        <v>0.74329193202239952</v>
      </c>
      <c r="H76" s="304">
        <v>0.92554318703076455</v>
      </c>
      <c r="I76" s="304"/>
      <c r="J76" s="304">
        <v>4.2568073289225339</v>
      </c>
      <c r="K76" s="304">
        <v>5.0473815488573095</v>
      </c>
      <c r="L76" s="304">
        <v>6.2888015071997145</v>
      </c>
      <c r="M76" s="304"/>
      <c r="N76" s="304">
        <v>7.3036538688294703</v>
      </c>
      <c r="O76" s="304">
        <v>7.6277796753488118</v>
      </c>
      <c r="P76" s="304">
        <v>8.37958510320275</v>
      </c>
      <c r="Q76" s="304"/>
      <c r="R76" s="304">
        <v>0.71968516576417307</v>
      </c>
      <c r="S76" s="304">
        <v>0.71176446126854975</v>
      </c>
      <c r="T76" s="304">
        <v>0.82267337423859244</v>
      </c>
      <c r="U76" s="304"/>
      <c r="V76" s="304">
        <v>1.1100773523777421</v>
      </c>
      <c r="W76" s="304">
        <v>1.1365492237822596</v>
      </c>
      <c r="X76" s="304">
        <v>1.3075852689589458</v>
      </c>
      <c r="Y76" s="304"/>
      <c r="Z76" s="304">
        <v>2.7204755186007272</v>
      </c>
      <c r="AA76" s="304">
        <v>2.286431910953012</v>
      </c>
      <c r="AB76" s="304">
        <v>2.2817661033537822</v>
      </c>
      <c r="AC76" s="304"/>
      <c r="AD76" s="304">
        <v>1.9610644856987696</v>
      </c>
      <c r="AE76" s="304">
        <v>1.8833462643063772</v>
      </c>
      <c r="AF76" s="304">
        <v>1.9080427142152863</v>
      </c>
      <c r="AG76" s="304"/>
      <c r="AH76" s="304">
        <v>0.89168994416506731</v>
      </c>
      <c r="AI76" s="304">
        <v>0.87648322692426406</v>
      </c>
      <c r="AJ76" s="304">
        <v>0.60589671919335986</v>
      </c>
      <c r="AK76" s="304"/>
      <c r="AL76" s="304">
        <v>0.2964684648549567</v>
      </c>
      <c r="AM76" s="304">
        <v>0.33094853558221482</v>
      </c>
      <c r="AN76" s="304">
        <v>0.37869281295341689</v>
      </c>
    </row>
    <row r="77" spans="1:40" x14ac:dyDescent="0.2">
      <c r="A77" s="13" t="str">
        <f t="shared" si="76"/>
        <v>Associate professional occupations</v>
      </c>
      <c r="B77" s="305">
        <f t="shared" si="79"/>
        <v>16.040827458181543</v>
      </c>
      <c r="C77" s="305">
        <f t="shared" si="77"/>
        <v>15.032965156186862</v>
      </c>
      <c r="D77" s="305">
        <f t="shared" si="78"/>
        <v>16.426936289600565</v>
      </c>
      <c r="E77" s="304"/>
      <c r="F77" s="304">
        <v>0.23183936656323578</v>
      </c>
      <c r="G77" s="304">
        <v>0.25589661214253939</v>
      </c>
      <c r="H77" s="304">
        <v>0.3428734907149607</v>
      </c>
      <c r="I77" s="304"/>
      <c r="J77" s="304">
        <v>2.3609716171168875</v>
      </c>
      <c r="K77" s="304">
        <v>2.5390081017762394</v>
      </c>
      <c r="L77" s="304">
        <v>3.1347022282974537</v>
      </c>
      <c r="M77" s="304"/>
      <c r="N77" s="304">
        <v>4.9628251055567594</v>
      </c>
      <c r="O77" s="304">
        <v>4.8552880578360122</v>
      </c>
      <c r="P77" s="304">
        <v>5.5934065232639867</v>
      </c>
      <c r="Q77" s="304"/>
      <c r="R77" s="304">
        <v>0.97691198712524996</v>
      </c>
      <c r="S77" s="304">
        <v>0.97838720582787964</v>
      </c>
      <c r="T77" s="304">
        <v>1.2317226071154277</v>
      </c>
      <c r="U77" s="304"/>
      <c r="V77" s="304">
        <v>0.95741461432251262</v>
      </c>
      <c r="W77" s="304">
        <v>0.90214353959335525</v>
      </c>
      <c r="X77" s="304">
        <v>0.99494834803928323</v>
      </c>
      <c r="Y77" s="304"/>
      <c r="Z77" s="304">
        <v>2.936569012255505</v>
      </c>
      <c r="AA77" s="304">
        <v>2.3792736703491411</v>
      </c>
      <c r="AB77" s="304">
        <v>2.4328286826215892</v>
      </c>
      <c r="AC77" s="304"/>
      <c r="AD77" s="304">
        <v>2.0869252459874157</v>
      </c>
      <c r="AE77" s="304">
        <v>1.73268199576183</v>
      </c>
      <c r="AF77" s="304">
        <v>1.4724037331985464</v>
      </c>
      <c r="AG77" s="304"/>
      <c r="AH77" s="304">
        <v>1.1778326142596716</v>
      </c>
      <c r="AI77" s="304">
        <v>1.0204849714313411</v>
      </c>
      <c r="AJ77" s="304">
        <v>0.72323182675853281</v>
      </c>
      <c r="AK77" s="304"/>
      <c r="AL77" s="304">
        <v>0.34953789499430576</v>
      </c>
      <c r="AM77" s="304">
        <v>0.36980100146852629</v>
      </c>
      <c r="AN77" s="304">
        <v>0.50081884959078637</v>
      </c>
    </row>
    <row r="78" spans="1:40" x14ac:dyDescent="0.2">
      <c r="A78" s="13" t="str">
        <f t="shared" si="76"/>
        <v>Administrative and secretarial occupations</v>
      </c>
      <c r="B78" s="305">
        <f t="shared" si="79"/>
        <v>21.621284399691678</v>
      </c>
      <c r="C78" s="305">
        <f t="shared" si="77"/>
        <v>21.226894285253305</v>
      </c>
      <c r="D78" s="305">
        <f t="shared" si="78"/>
        <v>21.197750178239914</v>
      </c>
      <c r="E78" s="304"/>
      <c r="F78" s="304">
        <v>9.4228303164991437E-2</v>
      </c>
      <c r="G78" s="304">
        <v>0.10711224596919684</v>
      </c>
      <c r="H78" s="304">
        <v>0.13287778479708665</v>
      </c>
      <c r="I78" s="304"/>
      <c r="J78" s="304">
        <v>1.253922436385815</v>
      </c>
      <c r="K78" s="304">
        <v>1.4948625495938579</v>
      </c>
      <c r="L78" s="304">
        <v>1.9349821408133092</v>
      </c>
      <c r="M78" s="304"/>
      <c r="N78" s="304">
        <v>4.5413703186331471</v>
      </c>
      <c r="O78" s="304">
        <v>5.096780148312499</v>
      </c>
      <c r="P78" s="304">
        <v>6.4129783818154307</v>
      </c>
      <c r="Q78" s="304"/>
      <c r="R78" s="304">
        <v>1.265676076415422</v>
      </c>
      <c r="S78" s="304">
        <v>1.2848008932648498</v>
      </c>
      <c r="T78" s="304">
        <v>1.5077463404015838</v>
      </c>
      <c r="U78" s="304"/>
      <c r="V78" s="304">
        <v>1.4492418644158578</v>
      </c>
      <c r="W78" s="304">
        <v>1.5437685447285687</v>
      </c>
      <c r="X78" s="304">
        <v>1.8928602205002181</v>
      </c>
      <c r="Y78" s="304"/>
      <c r="Z78" s="304">
        <v>4.6619212222666775</v>
      </c>
      <c r="AA78" s="304">
        <v>4.1796109876313761</v>
      </c>
      <c r="AB78" s="304">
        <v>3.7153802114669512</v>
      </c>
      <c r="AC78" s="304"/>
      <c r="AD78" s="304">
        <v>5.3720413955685595</v>
      </c>
      <c r="AE78" s="304">
        <v>4.6949479268215466</v>
      </c>
      <c r="AF78" s="304">
        <v>3.7543985142342224</v>
      </c>
      <c r="AG78" s="304"/>
      <c r="AH78" s="304">
        <v>2.1054483589323532</v>
      </c>
      <c r="AI78" s="304">
        <v>1.7703843383082929</v>
      </c>
      <c r="AJ78" s="304">
        <v>0.70957962223344773</v>
      </c>
      <c r="AK78" s="304"/>
      <c r="AL78" s="304">
        <v>0.87743442390885684</v>
      </c>
      <c r="AM78" s="304">
        <v>1.0546266506231161</v>
      </c>
      <c r="AN78" s="304">
        <v>1.1369469619776646</v>
      </c>
    </row>
    <row r="79" spans="1:40" x14ac:dyDescent="0.2">
      <c r="A79" s="13" t="str">
        <f t="shared" si="76"/>
        <v>Skilled trades occupations</v>
      </c>
      <c r="B79" s="305">
        <f t="shared" si="79"/>
        <v>4.6722583791426597</v>
      </c>
      <c r="C79" s="305">
        <f t="shared" si="77"/>
        <v>4.6854365333264694</v>
      </c>
      <c r="D79" s="305">
        <f t="shared" si="78"/>
        <v>4.6609631873918858</v>
      </c>
      <c r="E79" s="304"/>
      <c r="F79" s="304">
        <v>1.6325937693900661E-2</v>
      </c>
      <c r="G79" s="304">
        <v>2.2374672219691076E-2</v>
      </c>
      <c r="H79" s="304">
        <v>3.1124970154853476E-2</v>
      </c>
      <c r="I79" s="304"/>
      <c r="J79" s="304">
        <v>0.20126732168770467</v>
      </c>
      <c r="K79" s="304">
        <v>0.26139279503858387</v>
      </c>
      <c r="L79" s="304">
        <v>0.33911461291006106</v>
      </c>
      <c r="M79" s="304"/>
      <c r="N79" s="304">
        <v>0.46817121278060053</v>
      </c>
      <c r="O79" s="304">
        <v>0.54788946071305833</v>
      </c>
      <c r="P79" s="304">
        <v>0.67226893467847826</v>
      </c>
      <c r="Q79" s="304"/>
      <c r="R79" s="304">
        <v>0.23265182448855681</v>
      </c>
      <c r="S79" s="304">
        <v>0.25622174343123122</v>
      </c>
      <c r="T79" s="304">
        <v>0.33100516616952613</v>
      </c>
      <c r="U79" s="304"/>
      <c r="V79" s="304">
        <v>0.28135807345155239</v>
      </c>
      <c r="W79" s="304">
        <v>0.30154912967354225</v>
      </c>
      <c r="X79" s="304">
        <v>0.34459822820169284</v>
      </c>
      <c r="Y79" s="304"/>
      <c r="Z79" s="304">
        <v>1.3132655978697012</v>
      </c>
      <c r="AA79" s="304">
        <v>1.0978685831252508</v>
      </c>
      <c r="AB79" s="304">
        <v>0.94424878495638986</v>
      </c>
      <c r="AC79" s="304"/>
      <c r="AD79" s="304">
        <v>1.2912156445862841</v>
      </c>
      <c r="AE79" s="304">
        <v>1.3532192392780609</v>
      </c>
      <c r="AF79" s="304">
        <v>1.3841733999614252</v>
      </c>
      <c r="AG79" s="304"/>
      <c r="AH79" s="304">
        <v>0.52041476680027432</v>
      </c>
      <c r="AI79" s="304">
        <v>0.5204066517376692</v>
      </c>
      <c r="AJ79" s="304">
        <v>0.37037740064147689</v>
      </c>
      <c r="AK79" s="304"/>
      <c r="AL79" s="304">
        <v>0.34758799978408444</v>
      </c>
      <c r="AM79" s="304">
        <v>0.32451425810938178</v>
      </c>
      <c r="AN79" s="304">
        <v>0.24405168971798197</v>
      </c>
    </row>
    <row r="80" spans="1:40" x14ac:dyDescent="0.2">
      <c r="A80" s="13" t="str">
        <f t="shared" si="76"/>
        <v>Caring, leisure and other service occupations</v>
      </c>
      <c r="B80" s="305">
        <f t="shared" si="79"/>
        <v>7.607269656200506</v>
      </c>
      <c r="C80" s="305">
        <f t="shared" si="77"/>
        <v>7.1227418656913501</v>
      </c>
      <c r="D80" s="305">
        <f t="shared" si="78"/>
        <v>7.165898528688448</v>
      </c>
      <c r="E80" s="304"/>
      <c r="F80" s="304">
        <v>5.0164161327967468E-3</v>
      </c>
      <c r="G80" s="304">
        <v>7.1504405987663847E-3</v>
      </c>
      <c r="H80" s="304">
        <v>1.1785334866142212E-2</v>
      </c>
      <c r="I80" s="304"/>
      <c r="J80" s="304">
        <v>0.22900704703991984</v>
      </c>
      <c r="K80" s="304">
        <v>0.27172928075998126</v>
      </c>
      <c r="L80" s="304">
        <v>0.35304503462805514</v>
      </c>
      <c r="M80" s="304"/>
      <c r="N80" s="304">
        <v>0.89568495926346714</v>
      </c>
      <c r="O80" s="304">
        <v>1.0519572527607928</v>
      </c>
      <c r="P80" s="304">
        <v>1.4420175788341838</v>
      </c>
      <c r="Q80" s="304"/>
      <c r="R80" s="304">
        <v>0.59724708530536708</v>
      </c>
      <c r="S80" s="304">
        <v>0.64295427192418031</v>
      </c>
      <c r="T80" s="304">
        <v>0.83055728787474192</v>
      </c>
      <c r="U80" s="304"/>
      <c r="V80" s="304">
        <v>0.47932687921784173</v>
      </c>
      <c r="W80" s="304">
        <v>0.50986023676575198</v>
      </c>
      <c r="X80" s="304">
        <v>0.70075853710667191</v>
      </c>
      <c r="Y80" s="304"/>
      <c r="Z80" s="304">
        <v>2.106267476331082</v>
      </c>
      <c r="AA80" s="304">
        <v>1.9451622059298845</v>
      </c>
      <c r="AB80" s="304">
        <v>1.9355873500121463</v>
      </c>
      <c r="AC80" s="304"/>
      <c r="AD80" s="304">
        <v>1.8655464124431664</v>
      </c>
      <c r="AE80" s="304">
        <v>1.4727598394666253</v>
      </c>
      <c r="AF80" s="304">
        <v>1.0778969387316473</v>
      </c>
      <c r="AG80" s="304"/>
      <c r="AH80" s="304">
        <v>1.0899988007206749</v>
      </c>
      <c r="AI80" s="304">
        <v>0.96517192915519334</v>
      </c>
      <c r="AJ80" s="304">
        <v>0.65472861590183018</v>
      </c>
      <c r="AK80" s="304"/>
      <c r="AL80" s="304">
        <v>0.33917457974619053</v>
      </c>
      <c r="AM80" s="304">
        <v>0.25599640833017473</v>
      </c>
      <c r="AN80" s="304">
        <v>0.15952185073302877</v>
      </c>
    </row>
    <row r="81" spans="1:40" x14ac:dyDescent="0.2">
      <c r="A81" s="13" t="str">
        <f t="shared" si="76"/>
        <v>Sales and customer service occupations</v>
      </c>
      <c r="B81" s="305">
        <f t="shared" si="79"/>
        <v>9.5498575498250098</v>
      </c>
      <c r="C81" s="305">
        <f t="shared" si="77"/>
        <v>10.517693386695861</v>
      </c>
      <c r="D81" s="305">
        <f t="shared" si="78"/>
        <v>11.806330383781045</v>
      </c>
      <c r="E81" s="304"/>
      <c r="F81" s="304">
        <v>3.7534483825701938E-2</v>
      </c>
      <c r="G81" s="304">
        <v>4.8743512825438026E-2</v>
      </c>
      <c r="H81" s="304">
        <v>6.3093021787802267E-2</v>
      </c>
      <c r="I81" s="304"/>
      <c r="J81" s="304">
        <v>0.34929690041667089</v>
      </c>
      <c r="K81" s="304">
        <v>0.45335655169509614</v>
      </c>
      <c r="L81" s="304">
        <v>0.62101959407261476</v>
      </c>
      <c r="M81" s="304"/>
      <c r="N81" s="304">
        <v>1.6025782838533573</v>
      </c>
      <c r="O81" s="304">
        <v>1.9394248065339601</v>
      </c>
      <c r="P81" s="304">
        <v>2.5855018318810794</v>
      </c>
      <c r="Q81" s="304"/>
      <c r="R81" s="304">
        <v>0.49232533086306651</v>
      </c>
      <c r="S81" s="304">
        <v>0.58399180911548398</v>
      </c>
      <c r="T81" s="304">
        <v>0.82036108530210217</v>
      </c>
      <c r="U81" s="304"/>
      <c r="V81" s="304">
        <v>0.55932751102271383</v>
      </c>
      <c r="W81" s="304">
        <v>0.68184433581420834</v>
      </c>
      <c r="X81" s="304">
        <v>0.86335337605010953</v>
      </c>
      <c r="Y81" s="304"/>
      <c r="Z81" s="304">
        <v>2.4530302194673395</v>
      </c>
      <c r="AA81" s="304">
        <v>2.4997064433993152</v>
      </c>
      <c r="AB81" s="304">
        <v>2.6845695078534391</v>
      </c>
      <c r="AC81" s="304"/>
      <c r="AD81" s="304">
        <v>2.6549979724811186</v>
      </c>
      <c r="AE81" s="304">
        <v>2.8686495425352496</v>
      </c>
      <c r="AF81" s="304">
        <v>2.7931439627652761</v>
      </c>
      <c r="AG81" s="304"/>
      <c r="AH81" s="304">
        <v>1.0625165184305592</v>
      </c>
      <c r="AI81" s="304">
        <v>1.0598680738727222</v>
      </c>
      <c r="AJ81" s="304">
        <v>0.95974571619557292</v>
      </c>
      <c r="AK81" s="304"/>
      <c r="AL81" s="304">
        <v>0.33825032946448291</v>
      </c>
      <c r="AM81" s="304">
        <v>0.38210831090438474</v>
      </c>
      <c r="AN81" s="304">
        <v>0.41554228787304825</v>
      </c>
    </row>
    <row r="82" spans="1:40" x14ac:dyDescent="0.2">
      <c r="A82" s="13" t="str">
        <f t="shared" si="76"/>
        <v>Process, plant and machine operatives</v>
      </c>
      <c r="B82" s="305">
        <f t="shared" si="79"/>
        <v>3.1280623797349145</v>
      </c>
      <c r="C82" s="305">
        <f t="shared" si="77"/>
        <v>3.3622793817208194</v>
      </c>
      <c r="D82" s="305">
        <f t="shared" si="78"/>
        <v>3.2591309847558807</v>
      </c>
      <c r="E82" s="304"/>
      <c r="F82" s="304">
        <v>5.4857438886408861E-3</v>
      </c>
      <c r="G82" s="304">
        <v>8.325483185633557E-3</v>
      </c>
      <c r="H82" s="304">
        <v>1.1090723820355837E-2</v>
      </c>
      <c r="I82" s="304"/>
      <c r="J82" s="304">
        <v>5.758773242738123E-2</v>
      </c>
      <c r="K82" s="304">
        <v>8.127830075997336E-2</v>
      </c>
      <c r="L82" s="304">
        <v>0.11990769659860892</v>
      </c>
      <c r="M82" s="304"/>
      <c r="N82" s="304">
        <v>0.15009309576749255</v>
      </c>
      <c r="O82" s="304">
        <v>0.1961340566665544</v>
      </c>
      <c r="P82" s="304">
        <v>0.24133531686435275</v>
      </c>
      <c r="Q82" s="304"/>
      <c r="R82" s="304">
        <v>6.1483134353166408E-2</v>
      </c>
      <c r="S82" s="304">
        <v>6.5649939504327348E-2</v>
      </c>
      <c r="T82" s="304">
        <v>7.9772467121101406E-2</v>
      </c>
      <c r="U82" s="304"/>
      <c r="V82" s="304">
        <v>7.562558464550688E-2</v>
      </c>
      <c r="W82" s="304">
        <v>9.6444617338777586E-2</v>
      </c>
      <c r="X82" s="304">
        <v>0.12094818109781481</v>
      </c>
      <c r="Y82" s="304"/>
      <c r="Z82" s="304">
        <v>0.96026858959182104</v>
      </c>
      <c r="AA82" s="304">
        <v>0.99063116075647817</v>
      </c>
      <c r="AB82" s="304">
        <v>1.1285719716356548</v>
      </c>
      <c r="AC82" s="304"/>
      <c r="AD82" s="304">
        <v>0.8354408235573767</v>
      </c>
      <c r="AE82" s="304">
        <v>0.97049585361720581</v>
      </c>
      <c r="AF82" s="304">
        <v>1.038996925456853</v>
      </c>
      <c r="AG82" s="304"/>
      <c r="AH82" s="304">
        <v>0.53912786631742549</v>
      </c>
      <c r="AI82" s="304">
        <v>0.570535356859869</v>
      </c>
      <c r="AJ82" s="304">
        <v>0.37162624735458694</v>
      </c>
      <c r="AK82" s="304"/>
      <c r="AL82" s="304">
        <v>0.44294980918610366</v>
      </c>
      <c r="AM82" s="304">
        <v>0.38278461303200012</v>
      </c>
      <c r="AN82" s="304">
        <v>0.14688145480655193</v>
      </c>
    </row>
    <row r="83" spans="1:40" x14ac:dyDescent="0.2">
      <c r="A83" s="39" t="str">
        <f t="shared" si="76"/>
        <v>Elementary occupations</v>
      </c>
      <c r="B83" s="307">
        <f t="shared" si="79"/>
        <v>16.468527050277466</v>
      </c>
      <c r="C83" s="307">
        <f t="shared" si="77"/>
        <v>16.602841325036792</v>
      </c>
      <c r="D83" s="307">
        <f t="shared" si="78"/>
        <v>16.172082118942942</v>
      </c>
      <c r="E83" s="307"/>
      <c r="F83" s="307">
        <v>2.1878066427718206E-2</v>
      </c>
      <c r="G83" s="307">
        <v>2.9313128943512696E-2</v>
      </c>
      <c r="H83" s="307">
        <v>4.3157502289548948E-2</v>
      </c>
      <c r="I83" s="307"/>
      <c r="J83" s="307">
        <v>0.34222084784592793</v>
      </c>
      <c r="K83" s="307">
        <v>0.48578699761710559</v>
      </c>
      <c r="L83" s="307">
        <v>0.70454630335228408</v>
      </c>
      <c r="M83" s="307"/>
      <c r="N83" s="307">
        <v>0.82745553462918409</v>
      </c>
      <c r="O83" s="307">
        <v>0.95528131855343101</v>
      </c>
      <c r="P83" s="307">
        <v>1.0530801502598521</v>
      </c>
      <c r="Q83" s="307"/>
      <c r="R83" s="307">
        <v>0.49978937000716028</v>
      </c>
      <c r="S83" s="307">
        <v>0.59006600724356895</v>
      </c>
      <c r="T83" s="307">
        <v>0.71539988572929192</v>
      </c>
      <c r="U83" s="307"/>
      <c r="V83" s="307">
        <v>0.25238344176480593</v>
      </c>
      <c r="W83" s="307">
        <v>0.23618076807863203</v>
      </c>
      <c r="X83" s="307">
        <v>0.24839026438671449</v>
      </c>
      <c r="Y83" s="307"/>
      <c r="Z83" s="307">
        <v>2.4770059687937058</v>
      </c>
      <c r="AA83" s="307">
        <v>1.9923671683499564</v>
      </c>
      <c r="AB83" s="307">
        <v>1.8479549166874851</v>
      </c>
      <c r="AC83" s="307"/>
      <c r="AD83" s="307">
        <v>5.7852711201067661</v>
      </c>
      <c r="AE83" s="307">
        <v>6.1377212720404026</v>
      </c>
      <c r="AF83" s="307">
        <v>6.5168676631430449</v>
      </c>
      <c r="AG83" s="307"/>
      <c r="AH83" s="307">
        <v>5.0130014216720067</v>
      </c>
      <c r="AI83" s="307">
        <v>5.3746572219647426</v>
      </c>
      <c r="AJ83" s="307">
        <v>4.7456130312659637</v>
      </c>
      <c r="AK83" s="307"/>
      <c r="AL83" s="307">
        <v>1.2495212790301888</v>
      </c>
      <c r="AM83" s="307">
        <v>0.80146744224543864</v>
      </c>
      <c r="AN83" s="307">
        <v>0.29707240182875727</v>
      </c>
    </row>
    <row r="84" spans="1:40" x14ac:dyDescent="0.2">
      <c r="B84" s="32"/>
      <c r="C84" s="32"/>
      <c r="D84" s="32"/>
    </row>
    <row r="85" spans="1:40" ht="15.75" x14ac:dyDescent="0.25">
      <c r="A85" s="19" t="str">
        <f>CONCATENATE(A1," (Continued)")</f>
        <v>Basic Table 1  Employment by Industry Sector, Occupation Group and Qualification, 2020-2035, North East (Continued)</v>
      </c>
    </row>
    <row r="86" spans="1:40" ht="12.75" customHeight="1" x14ac:dyDescent="0.25">
      <c r="A86" s="19"/>
    </row>
    <row r="87" spans="1:40" ht="12.75" customHeight="1" x14ac:dyDescent="0.25">
      <c r="A87" s="19"/>
    </row>
    <row r="88" spans="1:40" ht="26.25" customHeight="1" x14ac:dyDescent="0.2">
      <c r="A88" s="78"/>
      <c r="B88" s="78"/>
      <c r="C88" s="79" t="str">
        <f>B4</f>
        <v>All qualifications</v>
      </c>
      <c r="D88" s="78"/>
      <c r="E88" s="78"/>
      <c r="F88" s="78"/>
      <c r="G88" s="79" t="str">
        <f>F4</f>
        <v>RQF8 Doctorate</v>
      </c>
      <c r="H88" s="78"/>
      <c r="I88" s="78"/>
      <c r="J88" s="78"/>
      <c r="K88" s="79" t="str">
        <f>J4</f>
        <v>RQF7 Other higher degree</v>
      </c>
      <c r="L88" s="78"/>
      <c r="M88" s="78"/>
      <c r="N88" s="382" t="str">
        <f>N4</f>
        <v>RQF6 First degree</v>
      </c>
      <c r="O88" s="382"/>
      <c r="P88" s="382"/>
      <c r="Q88" s="78"/>
      <c r="R88" s="382" t="str">
        <f>R4</f>
        <v>RQF5 Foundation degree;Nursing;Teaching</v>
      </c>
      <c r="S88" s="382"/>
      <c r="T88" s="382"/>
      <c r="U88" s="78"/>
      <c r="V88" s="382" t="str">
        <f>V4</f>
        <v>RQF4 HE below degree level</v>
      </c>
      <c r="W88" s="382"/>
      <c r="X88" s="382"/>
      <c r="Y88" s="78"/>
      <c r="Z88" s="382" t="str">
        <f>Z4</f>
        <v>RQF3 A level &amp; equivalent</v>
      </c>
      <c r="AA88" s="382"/>
      <c r="AB88" s="382"/>
      <c r="AC88" s="78"/>
      <c r="AD88" s="382" t="str">
        <f>AD4</f>
        <v>RQF2 GCSE(A-C) &amp; equivalent</v>
      </c>
      <c r="AE88" s="382"/>
      <c r="AF88" s="382"/>
      <c r="AG88" s="78"/>
      <c r="AH88" s="382" t="str">
        <f>AH4</f>
        <v>RQF1 GCSE(below grade C) &amp; equivalent</v>
      </c>
      <c r="AI88" s="382"/>
      <c r="AJ88" s="382"/>
      <c r="AK88" s="78"/>
      <c r="AL88" s="78"/>
      <c r="AM88" s="79" t="str">
        <f>AL4</f>
        <v>No Qualification</v>
      </c>
      <c r="AN88" s="78"/>
    </row>
    <row r="89" spans="1:40" x14ac:dyDescent="0.2">
      <c r="A89" s="39"/>
      <c r="B89" s="42">
        <f>B5</f>
        <v>2020</v>
      </c>
      <c r="C89" s="42">
        <f>C5</f>
        <v>2025</v>
      </c>
      <c r="D89" s="42">
        <f>D5</f>
        <v>2035</v>
      </c>
      <c r="E89" s="39"/>
      <c r="F89" s="35">
        <f>B89</f>
        <v>2020</v>
      </c>
      <c r="G89" s="35">
        <f>C89</f>
        <v>2025</v>
      </c>
      <c r="H89" s="35">
        <f>D89</f>
        <v>2035</v>
      </c>
      <c r="I89" s="39"/>
      <c r="J89" s="35">
        <f>B89</f>
        <v>2020</v>
      </c>
      <c r="K89" s="35">
        <f>C89</f>
        <v>2025</v>
      </c>
      <c r="L89" s="35">
        <f>D89</f>
        <v>2035</v>
      </c>
      <c r="M89" s="39"/>
      <c r="N89" s="35">
        <f>B89</f>
        <v>2020</v>
      </c>
      <c r="O89" s="35">
        <f>C89</f>
        <v>2025</v>
      </c>
      <c r="P89" s="35">
        <f>D89</f>
        <v>2035</v>
      </c>
      <c r="Q89" s="39"/>
      <c r="R89" s="35">
        <f>F89</f>
        <v>2020</v>
      </c>
      <c r="S89" s="35">
        <f>G89</f>
        <v>2025</v>
      </c>
      <c r="T89" s="35">
        <f>H89</f>
        <v>2035</v>
      </c>
      <c r="U89" s="39"/>
      <c r="V89" s="35">
        <f>J89</f>
        <v>2020</v>
      </c>
      <c r="W89" s="35">
        <f>K89</f>
        <v>2025</v>
      </c>
      <c r="X89" s="35">
        <f>L89</f>
        <v>2035</v>
      </c>
      <c r="Y89" s="39"/>
      <c r="Z89" s="35">
        <f>N89</f>
        <v>2020</v>
      </c>
      <c r="AA89" s="35">
        <f>O89</f>
        <v>2025</v>
      </c>
      <c r="AB89" s="35">
        <f>P89</f>
        <v>2035</v>
      </c>
      <c r="AC89" s="39"/>
      <c r="AD89" s="35">
        <f>R89</f>
        <v>2020</v>
      </c>
      <c r="AE89" s="35">
        <f>S89</f>
        <v>2025</v>
      </c>
      <c r="AF89" s="35">
        <f>T89</f>
        <v>2035</v>
      </c>
      <c r="AG89" s="39"/>
      <c r="AH89" s="35">
        <f>V89</f>
        <v>2020</v>
      </c>
      <c r="AI89" s="35">
        <f>W89</f>
        <v>2025</v>
      </c>
      <c r="AJ89" s="35">
        <f>X89</f>
        <v>2035</v>
      </c>
      <c r="AK89" s="39"/>
      <c r="AL89" s="35">
        <f>Z89</f>
        <v>2020</v>
      </c>
      <c r="AM89" s="35">
        <f>AA89</f>
        <v>2025</v>
      </c>
      <c r="AN89" s="35">
        <f>AB89</f>
        <v>2035</v>
      </c>
    </row>
    <row r="90" spans="1:40" x14ac:dyDescent="0.2">
      <c r="B90" s="32"/>
      <c r="C90" s="32"/>
      <c r="D90" s="32"/>
    </row>
    <row r="91" spans="1:40" x14ac:dyDescent="0.2">
      <c r="A91" s="1" t="str">
        <f>name!C9</f>
        <v>Non-marketed services</v>
      </c>
      <c r="E91" s="77"/>
      <c r="F91" s="77"/>
      <c r="G91" s="77"/>
      <c r="H91" s="77"/>
      <c r="I91" s="77"/>
      <c r="J91" s="77"/>
      <c r="K91" s="77"/>
      <c r="L91" s="77"/>
      <c r="M91" s="77"/>
      <c r="N91" s="77"/>
      <c r="O91" s="77"/>
      <c r="P91" s="77"/>
      <c r="Q91" s="77"/>
      <c r="R91" s="77"/>
      <c r="S91" s="77"/>
      <c r="T91" s="77"/>
      <c r="U91" s="77"/>
      <c r="V91" s="77"/>
      <c r="W91" s="77"/>
      <c r="X91" s="77"/>
      <c r="Y91" s="77"/>
      <c r="Z91" s="77"/>
      <c r="AA91" s="77"/>
      <c r="AB91" s="77"/>
      <c r="AC91" s="77"/>
      <c r="AD91" s="77"/>
      <c r="AE91" s="77"/>
      <c r="AF91" s="77"/>
      <c r="AG91" s="77"/>
      <c r="AH91" s="77"/>
      <c r="AI91" s="77"/>
      <c r="AJ91" s="77"/>
      <c r="AK91" s="77"/>
      <c r="AL91" s="77"/>
      <c r="AM91" s="77"/>
      <c r="AN91" s="77"/>
    </row>
    <row r="92" spans="1:40" x14ac:dyDescent="0.2">
      <c r="A92" s="13" t="str">
        <f t="shared" ref="A92:A101" si="80">A8</f>
        <v>All occupations</v>
      </c>
      <c r="B92" s="305">
        <f>SUM(B93:B101)</f>
        <v>140.44400000000013</v>
      </c>
      <c r="C92" s="305">
        <f>SUM(C93:C101)</f>
        <v>145.27199999999991</v>
      </c>
      <c r="D92" s="305">
        <f>SUM(D93:D101)</f>
        <v>150.26600000000005</v>
      </c>
      <c r="E92" s="304"/>
      <c r="F92" s="305">
        <f>SUM(F93:F101)</f>
        <v>4.0689380814772029</v>
      </c>
      <c r="G92" s="305">
        <f>SUM(G93:G101)</f>
        <v>4.9897390580442647</v>
      </c>
      <c r="H92" s="305">
        <f>SUM(H93:H101)</f>
        <v>5.9610217552033236</v>
      </c>
      <c r="I92" s="304"/>
      <c r="J92" s="305">
        <f>SUM(J93:J101)</f>
        <v>22.191854966848844</v>
      </c>
      <c r="K92" s="305">
        <f>SUM(K93:K101)</f>
        <v>26.041221258593971</v>
      </c>
      <c r="L92" s="305">
        <f>SUM(L93:L101)</f>
        <v>29.114311652234221</v>
      </c>
      <c r="M92" s="304"/>
      <c r="N92" s="305">
        <f>SUM(N93:N101)</f>
        <v>34.695726446903087</v>
      </c>
      <c r="O92" s="305">
        <f>SUM(O93:O101)</f>
        <v>38.983691897187875</v>
      </c>
      <c r="P92" s="305">
        <f>SUM(P93:P101)</f>
        <v>47.67903837378735</v>
      </c>
      <c r="Q92" s="304"/>
      <c r="R92" s="305">
        <f>SUM(R93:R101)</f>
        <v>12.628984919881777</v>
      </c>
      <c r="S92" s="305">
        <f>SUM(S93:S101)</f>
        <v>10.828538900753017</v>
      </c>
      <c r="T92" s="305">
        <f>SUM(T93:T101)</f>
        <v>9.4314123811821489</v>
      </c>
      <c r="U92" s="304"/>
      <c r="V92" s="305">
        <f>SUM(V93:V101)</f>
        <v>5.5904867712393038</v>
      </c>
      <c r="W92" s="305">
        <f>SUM(W93:W101)</f>
        <v>5.7055019685409496</v>
      </c>
      <c r="X92" s="305">
        <f>SUM(X93:X101)</f>
        <v>6.1811494040931416</v>
      </c>
      <c r="Y92" s="304"/>
      <c r="Z92" s="305">
        <f>SUM(Z93:Z101)</f>
        <v>29.816263698520199</v>
      </c>
      <c r="AA92" s="305">
        <f>SUM(AA93:AA101)</f>
        <v>31.828670087511885</v>
      </c>
      <c r="AB92" s="305">
        <f>SUM(AB93:AB101)</f>
        <v>33.344901544481466</v>
      </c>
      <c r="AC92" s="304"/>
      <c r="AD92" s="305">
        <f>SUM(AD93:AD101)</f>
        <v>22.526933713428843</v>
      </c>
      <c r="AE92" s="305">
        <f>SUM(AE93:AE101)</f>
        <v>19.725106343321947</v>
      </c>
      <c r="AF92" s="305">
        <f>SUM(AF93:AF101)</f>
        <v>14.437298032214292</v>
      </c>
      <c r="AG92" s="304"/>
      <c r="AH92" s="305">
        <f>SUM(AH93:AH101)</f>
        <v>7.574186709867849</v>
      </c>
      <c r="AI92" s="305">
        <f>SUM(AI93:AI101)</f>
        <v>5.964225052708664</v>
      </c>
      <c r="AJ92" s="305">
        <f>SUM(AJ93:AJ101)</f>
        <v>3.0235062824594312</v>
      </c>
      <c r="AK92" s="304"/>
      <c r="AL92" s="305">
        <f>SUM(AL93:AL101)</f>
        <v>1.3506246918330014</v>
      </c>
      <c r="AM92" s="305">
        <f>SUM(AM93:AM101)</f>
        <v>1.2053054333373145</v>
      </c>
      <c r="AN92" s="305">
        <f>SUM(AN93:AN101)</f>
        <v>1.093360574344703</v>
      </c>
    </row>
    <row r="93" spans="1:40" x14ac:dyDescent="0.2">
      <c r="A93" s="13" t="str">
        <f t="shared" si="80"/>
        <v>Managers, directors and senior officials</v>
      </c>
      <c r="B93" s="305">
        <f>SUM(F93,J93,N93,R93,V93,Z93,AD93,AH93,AL93)</f>
        <v>6.5811845339137722</v>
      </c>
      <c r="C93" s="305">
        <f t="shared" ref="C93:D93" si="81">SUM(G93,K93,O93,S93,W93,AA93,AE93,AI93,AM93)</f>
        <v>6.7223984411030369</v>
      </c>
      <c r="D93" s="305">
        <f t="shared" si="81"/>
        <v>7.3533205523622192</v>
      </c>
      <c r="E93" s="304"/>
      <c r="F93" s="304">
        <v>0.10571606504399443</v>
      </c>
      <c r="G93" s="304">
        <v>0.12526281864536101</v>
      </c>
      <c r="H93" s="304">
        <v>0.16075048828897484</v>
      </c>
      <c r="I93" s="304"/>
      <c r="J93" s="304">
        <v>1.0762321754602591</v>
      </c>
      <c r="K93" s="304">
        <v>1.1803676965208116</v>
      </c>
      <c r="L93" s="304">
        <v>1.3319106618244794</v>
      </c>
      <c r="M93" s="304"/>
      <c r="N93" s="304">
        <v>1.8818633707447239</v>
      </c>
      <c r="O93" s="304">
        <v>2.028889113728547</v>
      </c>
      <c r="P93" s="304">
        <v>2.5252681135771797</v>
      </c>
      <c r="Q93" s="304"/>
      <c r="R93" s="304">
        <v>1.0733020541426068</v>
      </c>
      <c r="S93" s="304">
        <v>1.1126882510187637</v>
      </c>
      <c r="T93" s="304">
        <v>1.2339382670220547</v>
      </c>
      <c r="U93" s="304"/>
      <c r="V93" s="304">
        <v>0.24676443415691915</v>
      </c>
      <c r="W93" s="304">
        <v>0.22866477153980447</v>
      </c>
      <c r="X93" s="304">
        <v>0.2060851535991976</v>
      </c>
      <c r="Y93" s="304"/>
      <c r="Z93" s="304">
        <v>1.3015783169580881</v>
      </c>
      <c r="AA93" s="304">
        <v>1.1887451836367426</v>
      </c>
      <c r="AB93" s="304">
        <v>1.1488535493960539</v>
      </c>
      <c r="AC93" s="304"/>
      <c r="AD93" s="304">
        <v>0.63057595919068077</v>
      </c>
      <c r="AE93" s="304">
        <v>0.59196623677478799</v>
      </c>
      <c r="AF93" s="304">
        <v>0.53716599252904096</v>
      </c>
      <c r="AG93" s="304"/>
      <c r="AH93" s="304">
        <v>0.16742288303275768</v>
      </c>
      <c r="AI93" s="304">
        <v>0.1526987906540162</v>
      </c>
      <c r="AJ93" s="304">
        <v>9.0395121916514734E-2</v>
      </c>
      <c r="AK93" s="304"/>
      <c r="AL93" s="304">
        <v>9.7729275183742442E-2</v>
      </c>
      <c r="AM93" s="304">
        <v>0.11311557858420349</v>
      </c>
      <c r="AN93" s="304">
        <v>0.11895320420872302</v>
      </c>
    </row>
    <row r="94" spans="1:40" x14ac:dyDescent="0.2">
      <c r="A94" s="13" t="str">
        <f t="shared" si="80"/>
        <v>Professional occupations</v>
      </c>
      <c r="B94" s="305">
        <f t="shared" ref="B94:B101" si="82">SUM(F94,J94,N94,R94,V94,Z94,AD94,AH94,AL94)</f>
        <v>55.376207910728084</v>
      </c>
      <c r="C94" s="305">
        <f t="shared" ref="C94:C101" si="83">SUM(G94,K94,O94,S94,W94,AA94,AE94,AI94,AM94)</f>
        <v>60.777202185738737</v>
      </c>
      <c r="D94" s="305">
        <f t="shared" ref="D94:D101" si="84">SUM(H94,L94,P94,T94,X94,AB94,AF94,AJ94,AN94)</f>
        <v>66.549023687356666</v>
      </c>
      <c r="E94" s="305"/>
      <c r="F94" s="304">
        <v>3.6706864144824309</v>
      </c>
      <c r="G94" s="304">
        <v>4.5212989866261655</v>
      </c>
      <c r="H94" s="304">
        <v>5.3710924761123389</v>
      </c>
      <c r="I94" s="304"/>
      <c r="J94" s="304">
        <v>16.830092881061987</v>
      </c>
      <c r="K94" s="304">
        <v>19.991844589066638</v>
      </c>
      <c r="L94" s="304">
        <v>22.208733141983963</v>
      </c>
      <c r="M94" s="304"/>
      <c r="N94" s="304">
        <v>19.741228280137236</v>
      </c>
      <c r="O94" s="304">
        <v>22.240312235956793</v>
      </c>
      <c r="P94" s="304">
        <v>26.84967742257534</v>
      </c>
      <c r="Q94" s="304"/>
      <c r="R94" s="304">
        <v>4.1050234418747795</v>
      </c>
      <c r="S94" s="304">
        <v>2.4489084864059354</v>
      </c>
      <c r="T94" s="304">
        <v>0.90448474183990513</v>
      </c>
      <c r="U94" s="304"/>
      <c r="V94" s="304">
        <v>1.1761015512421709</v>
      </c>
      <c r="W94" s="304">
        <v>1.2666706307711815</v>
      </c>
      <c r="X94" s="304">
        <v>1.3845751608921368</v>
      </c>
      <c r="Y94" s="304"/>
      <c r="Z94" s="304">
        <v>4.9863612928711651</v>
      </c>
      <c r="AA94" s="304">
        <v>5.5107800278062946</v>
      </c>
      <c r="AB94" s="304">
        <v>6.0937078742289756</v>
      </c>
      <c r="AC94" s="304"/>
      <c r="AD94" s="304">
        <v>3.2680667612167356</v>
      </c>
      <c r="AE94" s="304">
        <v>3.2371748832395144</v>
      </c>
      <c r="AF94" s="304">
        <v>2.7401475991455575</v>
      </c>
      <c r="AG94" s="304"/>
      <c r="AH94" s="304">
        <v>1.4066943904218994</v>
      </c>
      <c r="AI94" s="304">
        <v>1.3268100322047971</v>
      </c>
      <c r="AJ94" s="304">
        <v>0.73914392340599422</v>
      </c>
      <c r="AK94" s="304"/>
      <c r="AL94" s="304">
        <v>0.19195289741968097</v>
      </c>
      <c r="AM94" s="304">
        <v>0.23340231366141975</v>
      </c>
      <c r="AN94" s="304">
        <v>0.25746134717246416</v>
      </c>
    </row>
    <row r="95" spans="1:40" x14ac:dyDescent="0.2">
      <c r="A95" s="13" t="str">
        <f t="shared" si="80"/>
        <v>Associate professional occupations</v>
      </c>
      <c r="B95" s="305">
        <f t="shared" si="82"/>
        <v>22.046427765500322</v>
      </c>
      <c r="C95" s="305">
        <f t="shared" si="83"/>
        <v>22.079348146934823</v>
      </c>
      <c r="D95" s="305">
        <f t="shared" si="84"/>
        <v>23.49497312269547</v>
      </c>
      <c r="E95" s="305"/>
      <c r="F95" s="304">
        <v>0.14002802677850978</v>
      </c>
      <c r="G95" s="304">
        <v>0.16150618977513501</v>
      </c>
      <c r="H95" s="304">
        <v>0.20704926113858493</v>
      </c>
      <c r="I95" s="304"/>
      <c r="J95" s="304">
        <v>2.2458815277127608</v>
      </c>
      <c r="K95" s="304">
        <v>2.4888266679861002</v>
      </c>
      <c r="L95" s="304">
        <v>3.0001934793517724</v>
      </c>
      <c r="M95" s="304"/>
      <c r="N95" s="304">
        <v>6.1237222159951941</v>
      </c>
      <c r="O95" s="304">
        <v>6.8920171461972819</v>
      </c>
      <c r="P95" s="304">
        <v>8.9567509299236754</v>
      </c>
      <c r="Q95" s="304"/>
      <c r="R95" s="304">
        <v>2.5518819243376312</v>
      </c>
      <c r="S95" s="304">
        <v>2.1903210989975079</v>
      </c>
      <c r="T95" s="304">
        <v>1.8469277550524326</v>
      </c>
      <c r="U95" s="304"/>
      <c r="V95" s="304">
        <v>1.02559644074023</v>
      </c>
      <c r="W95" s="304">
        <v>0.97433291196515237</v>
      </c>
      <c r="X95" s="304">
        <v>1.1109647704741841</v>
      </c>
      <c r="Y95" s="304"/>
      <c r="Z95" s="304">
        <v>5.0840215948296255</v>
      </c>
      <c r="AA95" s="304">
        <v>4.8703138790776119</v>
      </c>
      <c r="AB95" s="304">
        <v>5.0854320720706205</v>
      </c>
      <c r="AC95" s="304"/>
      <c r="AD95" s="304">
        <v>3.4872257343074411</v>
      </c>
      <c r="AE95" s="304">
        <v>3.2028899927521177</v>
      </c>
      <c r="AF95" s="304">
        <v>2.5677839681780474</v>
      </c>
      <c r="AG95" s="304"/>
      <c r="AH95" s="304">
        <v>1.2464201554163696</v>
      </c>
      <c r="AI95" s="304">
        <v>1.1805097955583945</v>
      </c>
      <c r="AJ95" s="304">
        <v>0.58735278434722404</v>
      </c>
      <c r="AK95" s="304"/>
      <c r="AL95" s="304">
        <v>0.14165014538255799</v>
      </c>
      <c r="AM95" s="304">
        <v>0.11863046462552089</v>
      </c>
      <c r="AN95" s="304">
        <v>0.13251810215892684</v>
      </c>
    </row>
    <row r="96" spans="1:40" x14ac:dyDescent="0.2">
      <c r="A96" s="13" t="str">
        <f t="shared" si="80"/>
        <v>Administrative and secretarial occupations</v>
      </c>
      <c r="B96" s="305">
        <f t="shared" si="82"/>
        <v>16.33925787862864</v>
      </c>
      <c r="C96" s="305">
        <f t="shared" si="83"/>
        <v>14.316307571272592</v>
      </c>
      <c r="D96" s="305">
        <f t="shared" si="84"/>
        <v>10.960095195206483</v>
      </c>
      <c r="E96" s="305"/>
      <c r="F96" s="304">
        <v>9.0936188474987939E-2</v>
      </c>
      <c r="G96" s="304">
        <v>9.9443710692697723E-2</v>
      </c>
      <c r="H96" s="304">
        <v>0.11642281111406734</v>
      </c>
      <c r="I96" s="304"/>
      <c r="J96" s="304">
        <v>0.94529733924895187</v>
      </c>
      <c r="K96" s="304">
        <v>1.0279852108709062</v>
      </c>
      <c r="L96" s="304">
        <v>1.0082099175559585</v>
      </c>
      <c r="M96" s="304"/>
      <c r="N96" s="304">
        <v>2.8556211221135501</v>
      </c>
      <c r="O96" s="304">
        <v>2.9286092218236108</v>
      </c>
      <c r="P96" s="304">
        <v>3.1450405703133812</v>
      </c>
      <c r="Q96" s="304"/>
      <c r="R96" s="304">
        <v>1.6425854149357999</v>
      </c>
      <c r="S96" s="304">
        <v>1.7167581155518692</v>
      </c>
      <c r="T96" s="304">
        <v>1.8041142860795312</v>
      </c>
      <c r="U96" s="304"/>
      <c r="V96" s="304">
        <v>1.1434323580827253</v>
      </c>
      <c r="W96" s="304">
        <v>1.1230576841685704</v>
      </c>
      <c r="X96" s="304">
        <v>1.1414743594151773</v>
      </c>
      <c r="Y96" s="304"/>
      <c r="Z96" s="304">
        <v>4.1537252003762166</v>
      </c>
      <c r="AA96" s="304">
        <v>4.1480788701525784</v>
      </c>
      <c r="AB96" s="304">
        <v>3.1438910202718158</v>
      </c>
      <c r="AC96" s="304"/>
      <c r="AD96" s="304">
        <v>3.5361388830526259</v>
      </c>
      <c r="AE96" s="304">
        <v>2.2295147085324274</v>
      </c>
      <c r="AF96" s="304">
        <v>0.5158284250818459</v>
      </c>
      <c r="AG96" s="304"/>
      <c r="AH96" s="304">
        <v>1.7772790444261444</v>
      </c>
      <c r="AI96" s="304">
        <v>0.91418324249660976</v>
      </c>
      <c r="AJ96" s="304">
        <v>5.3742504255182053E-2</v>
      </c>
      <c r="AK96" s="304"/>
      <c r="AL96" s="304">
        <v>0.19424232791763793</v>
      </c>
      <c r="AM96" s="304">
        <v>0.12867680698332079</v>
      </c>
      <c r="AN96" s="304">
        <v>3.1371301119524596E-2</v>
      </c>
    </row>
    <row r="97" spans="1:40" x14ac:dyDescent="0.2">
      <c r="A97" s="13" t="str">
        <f t="shared" si="80"/>
        <v>Skilled trades occupations</v>
      </c>
      <c r="B97" s="305">
        <f t="shared" si="82"/>
        <v>1.8394391506727683</v>
      </c>
      <c r="C97" s="305">
        <f t="shared" si="83"/>
        <v>1.8404622420366616</v>
      </c>
      <c r="D97" s="305">
        <f t="shared" si="84"/>
        <v>1.7052898618409782</v>
      </c>
      <c r="E97" s="304"/>
      <c r="F97" s="304">
        <v>1.0508893067913095E-2</v>
      </c>
      <c r="G97" s="304">
        <v>1.1293260813024578E-2</v>
      </c>
      <c r="H97" s="304">
        <v>1.1219640840559321E-2</v>
      </c>
      <c r="I97" s="304"/>
      <c r="J97" s="304">
        <v>3.1914947388089927E-2</v>
      </c>
      <c r="K97" s="304">
        <v>4.3777169844477631E-2</v>
      </c>
      <c r="L97" s="304">
        <v>5.7699428602850565E-2</v>
      </c>
      <c r="M97" s="304"/>
      <c r="N97" s="304">
        <v>0.19274830434797746</v>
      </c>
      <c r="O97" s="304">
        <v>0.25184805250835435</v>
      </c>
      <c r="P97" s="304">
        <v>0.2941681287068405</v>
      </c>
      <c r="Q97" s="304"/>
      <c r="R97" s="304">
        <v>0.11485111128766386</v>
      </c>
      <c r="S97" s="304">
        <v>0.13707753852650212</v>
      </c>
      <c r="T97" s="304">
        <v>0.15974914994406472</v>
      </c>
      <c r="U97" s="304"/>
      <c r="V97" s="304">
        <v>6.1286847088375271E-2</v>
      </c>
      <c r="W97" s="304">
        <v>6.2802800606776052E-2</v>
      </c>
      <c r="X97" s="304">
        <v>6.8069878091810226E-2</v>
      </c>
      <c r="Y97" s="304"/>
      <c r="Z97" s="304">
        <v>0.43078558888569168</v>
      </c>
      <c r="AA97" s="304">
        <v>0.38794121018839273</v>
      </c>
      <c r="AB97" s="304">
        <v>0.35126169010294434</v>
      </c>
      <c r="AC97" s="304"/>
      <c r="AD97" s="304">
        <v>0.64362383476943041</v>
      </c>
      <c r="AE97" s="304">
        <v>0.58676597341642545</v>
      </c>
      <c r="AF97" s="304">
        <v>0.47247864192043404</v>
      </c>
      <c r="AG97" s="304"/>
      <c r="AH97" s="304">
        <v>0.25678541422269813</v>
      </c>
      <c r="AI97" s="304">
        <v>0.26734304865406694</v>
      </c>
      <c r="AJ97" s="304">
        <v>0.21935072829874686</v>
      </c>
      <c r="AK97" s="304"/>
      <c r="AL97" s="304">
        <v>9.6934209614928449E-2</v>
      </c>
      <c r="AM97" s="304">
        <v>9.1613187478641889E-2</v>
      </c>
      <c r="AN97" s="304">
        <v>7.1292575332727481E-2</v>
      </c>
    </row>
    <row r="98" spans="1:40" x14ac:dyDescent="0.2">
      <c r="A98" s="13" t="str">
        <f t="shared" si="80"/>
        <v>Caring, leisure and other service occupations</v>
      </c>
      <c r="B98" s="305">
        <f t="shared" si="82"/>
        <v>29.264812910909527</v>
      </c>
      <c r="C98" s="305">
        <f t="shared" si="83"/>
        <v>31.181218810577477</v>
      </c>
      <c r="D98" s="305">
        <f t="shared" si="84"/>
        <v>31.907172872607955</v>
      </c>
      <c r="E98" s="304"/>
      <c r="F98" s="304">
        <v>1.2327376587382435E-2</v>
      </c>
      <c r="G98" s="304">
        <v>1.5862489873718685E-2</v>
      </c>
      <c r="H98" s="304">
        <v>1.9470041729723921E-2</v>
      </c>
      <c r="I98" s="304"/>
      <c r="J98" s="304">
        <v>0.81287809088988816</v>
      </c>
      <c r="K98" s="304">
        <v>0.98966785371038979</v>
      </c>
      <c r="L98" s="304">
        <v>1.1569353474619006</v>
      </c>
      <c r="M98" s="304"/>
      <c r="N98" s="304">
        <v>3.1165909898466566</v>
      </c>
      <c r="O98" s="304">
        <v>3.7444687397726222</v>
      </c>
      <c r="P98" s="304">
        <v>4.7300232863327798</v>
      </c>
      <c r="Q98" s="304"/>
      <c r="R98" s="304">
        <v>2.5770842290324838</v>
      </c>
      <c r="S98" s="304">
        <v>2.616265195358856</v>
      </c>
      <c r="T98" s="304">
        <v>2.7048167987196536</v>
      </c>
      <c r="U98" s="304"/>
      <c r="V98" s="304">
        <v>1.5376166933622655</v>
      </c>
      <c r="W98" s="304">
        <v>1.6190294079817622</v>
      </c>
      <c r="X98" s="304">
        <v>1.772031793965968</v>
      </c>
      <c r="Y98" s="304"/>
      <c r="Z98" s="304">
        <v>11.977079180973252</v>
      </c>
      <c r="AA98" s="304">
        <v>14.055096390994743</v>
      </c>
      <c r="AB98" s="304">
        <v>15.882527609520912</v>
      </c>
      <c r="AC98" s="304"/>
      <c r="AD98" s="304">
        <v>8.1249703963837483</v>
      </c>
      <c r="AE98" s="304">
        <v>7.3508644798729286</v>
      </c>
      <c r="AF98" s="304">
        <v>5.1305048236538253</v>
      </c>
      <c r="AG98" s="304"/>
      <c r="AH98" s="304">
        <v>0.94610448509784995</v>
      </c>
      <c r="AI98" s="304">
        <v>0.65217616858414407</v>
      </c>
      <c r="AJ98" s="304">
        <v>0.41994996919244931</v>
      </c>
      <c r="AK98" s="304"/>
      <c r="AL98" s="304">
        <v>0.16016146873600021</v>
      </c>
      <c r="AM98" s="304">
        <v>0.137788084428313</v>
      </c>
      <c r="AN98" s="304">
        <v>9.0913202030742851E-2</v>
      </c>
    </row>
    <row r="99" spans="1:40" x14ac:dyDescent="0.2">
      <c r="A99" s="13" t="str">
        <f t="shared" si="80"/>
        <v>Sales and customer service occupations</v>
      </c>
      <c r="B99" s="305">
        <f t="shared" si="82"/>
        <v>2.1120332192917273</v>
      </c>
      <c r="C99" s="305">
        <f t="shared" si="83"/>
        <v>2.3348507094207509</v>
      </c>
      <c r="D99" s="305">
        <f>SUM(H99,L99,P99,T99,X99,AB99,AF99,AJ99,AN99)</f>
        <v>2.3159484306685156</v>
      </c>
      <c r="E99" s="304"/>
      <c r="F99" s="304">
        <v>1.2374877860913125E-2</v>
      </c>
      <c r="G99" s="304">
        <v>1.4592134391725147E-2</v>
      </c>
      <c r="H99" s="304">
        <v>1.5401708864091784E-2</v>
      </c>
      <c r="I99" s="304"/>
      <c r="J99" s="304">
        <v>0.18487992060823347</v>
      </c>
      <c r="K99" s="304">
        <v>0.23918733602435346</v>
      </c>
      <c r="L99" s="304">
        <v>0.25726677131951292</v>
      </c>
      <c r="M99" s="304"/>
      <c r="N99" s="304">
        <v>0.42991389372135169</v>
      </c>
      <c r="O99" s="304">
        <v>0.50020679938888624</v>
      </c>
      <c r="P99" s="304">
        <v>0.58083171218074781</v>
      </c>
      <c r="Q99" s="304"/>
      <c r="R99" s="304">
        <v>0.25223005802044057</v>
      </c>
      <c r="S99" s="304">
        <v>0.24896691525532208</v>
      </c>
      <c r="T99" s="304">
        <v>0.25317378664926166</v>
      </c>
      <c r="U99" s="304"/>
      <c r="V99" s="304">
        <v>0.16217805507426647</v>
      </c>
      <c r="W99" s="304">
        <v>0.18517727809021325</v>
      </c>
      <c r="X99" s="304">
        <v>0.20970657767104145</v>
      </c>
      <c r="Y99" s="304"/>
      <c r="Z99" s="304">
        <v>0.52363860771724446</v>
      </c>
      <c r="AA99" s="304">
        <v>0.60992012776977866</v>
      </c>
      <c r="AB99" s="304">
        <v>0.65536532361135402</v>
      </c>
      <c r="AC99" s="304"/>
      <c r="AD99" s="304">
        <v>0.38097640822783568</v>
      </c>
      <c r="AE99" s="304">
        <v>0.36171675170171713</v>
      </c>
      <c r="AF99" s="304">
        <v>0.2144030650575928</v>
      </c>
      <c r="AG99" s="304"/>
      <c r="AH99" s="304">
        <v>0.12308399895545724</v>
      </c>
      <c r="AI99" s="304">
        <v>0.11792867039822684</v>
      </c>
      <c r="AJ99" s="304">
        <v>5.782539237836179E-2</v>
      </c>
      <c r="AK99" s="304"/>
      <c r="AL99" s="304">
        <v>4.2757399105984535E-2</v>
      </c>
      <c r="AM99" s="304">
        <v>5.7154696400528136E-2</v>
      </c>
      <c r="AN99" s="304">
        <v>7.1974092936551354E-2</v>
      </c>
    </row>
    <row r="100" spans="1:40" x14ac:dyDescent="0.2">
      <c r="A100" s="13" t="str">
        <f t="shared" si="80"/>
        <v>Process, plant and machine operatives</v>
      </c>
      <c r="B100" s="305">
        <f t="shared" si="82"/>
        <v>1.6501489375000995</v>
      </c>
      <c r="C100" s="305">
        <f t="shared" si="83"/>
        <v>1.8010451883497904</v>
      </c>
      <c r="D100" s="305">
        <f t="shared" si="84"/>
        <v>1.5574178516691382</v>
      </c>
      <c r="E100" s="304"/>
      <c r="F100" s="304">
        <v>2.294703222545226E-2</v>
      </c>
      <c r="G100" s="304">
        <v>3.5409919270851783E-2</v>
      </c>
      <c r="H100" s="304">
        <v>5.352820879463862E-2</v>
      </c>
      <c r="I100" s="304"/>
      <c r="J100" s="304">
        <v>2.7981487948389856E-2</v>
      </c>
      <c r="K100" s="304">
        <v>4.7290333352345088E-2</v>
      </c>
      <c r="L100" s="304">
        <v>6.8294714344286994E-2</v>
      </c>
      <c r="M100" s="304"/>
      <c r="N100" s="304">
        <v>0.12990811141299299</v>
      </c>
      <c r="O100" s="304">
        <v>0.15913335869364012</v>
      </c>
      <c r="P100" s="304">
        <v>0.19202833430736466</v>
      </c>
      <c r="Q100" s="304"/>
      <c r="R100" s="304">
        <v>0.10311135911335158</v>
      </c>
      <c r="S100" s="304">
        <v>0.14708058210134672</v>
      </c>
      <c r="T100" s="304">
        <v>0.19704484597227809</v>
      </c>
      <c r="U100" s="304"/>
      <c r="V100" s="304">
        <v>0.10579888649760105</v>
      </c>
      <c r="W100" s="304">
        <v>0.12859403068886438</v>
      </c>
      <c r="X100" s="304">
        <v>0.14389056435850306</v>
      </c>
      <c r="Y100" s="304"/>
      <c r="Z100" s="304">
        <v>0.49078588466459278</v>
      </c>
      <c r="AA100" s="304">
        <v>0.46728045152370767</v>
      </c>
      <c r="AB100" s="304">
        <v>0.46619122480604736</v>
      </c>
      <c r="AC100" s="304"/>
      <c r="AD100" s="304">
        <v>0.36365920682572994</v>
      </c>
      <c r="AE100" s="304">
        <v>0.41521515825285654</v>
      </c>
      <c r="AF100" s="304">
        <v>0.21718333867337675</v>
      </c>
      <c r="AG100" s="304"/>
      <c r="AH100" s="304">
        <v>0.34217308115305184</v>
      </c>
      <c r="AI100" s="304">
        <v>0.34163019654603388</v>
      </c>
      <c r="AJ100" s="304">
        <v>0.17559981223132273</v>
      </c>
      <c r="AK100" s="304"/>
      <c r="AL100" s="304">
        <v>6.3783887658937125E-2</v>
      </c>
      <c r="AM100" s="304">
        <v>5.941115792014421E-2</v>
      </c>
      <c r="AN100" s="304">
        <v>4.3656808181319694E-2</v>
      </c>
    </row>
    <row r="101" spans="1:40" x14ac:dyDescent="0.2">
      <c r="A101" s="39" t="str">
        <f t="shared" si="80"/>
        <v>Elementary occupations</v>
      </c>
      <c r="B101" s="307">
        <f t="shared" si="82"/>
        <v>5.2344876928551676</v>
      </c>
      <c r="C101" s="307">
        <f t="shared" si="83"/>
        <v>4.2191667045660175</v>
      </c>
      <c r="D101" s="307">
        <f t="shared" si="84"/>
        <v>4.422758425592626</v>
      </c>
      <c r="E101" s="307"/>
      <c r="F101" s="307">
        <v>3.4132069556201609E-3</v>
      </c>
      <c r="G101" s="307">
        <v>5.0695479555856815E-3</v>
      </c>
      <c r="H101" s="307">
        <v>6.0871183203445043E-3</v>
      </c>
      <c r="I101" s="307"/>
      <c r="J101" s="307">
        <v>3.6696596530284106E-2</v>
      </c>
      <c r="K101" s="307">
        <v>3.2274401217949701E-2</v>
      </c>
      <c r="L101" s="307">
        <v>2.5068189789494582E-2</v>
      </c>
      <c r="M101" s="307"/>
      <c r="N101" s="307">
        <v>0.2241301585834034</v>
      </c>
      <c r="O101" s="307">
        <v>0.23820722911813574</v>
      </c>
      <c r="P101" s="307">
        <v>0.40524987587003175</v>
      </c>
      <c r="Q101" s="307"/>
      <c r="R101" s="307">
        <v>0.20891532713702235</v>
      </c>
      <c r="S101" s="307">
        <v>0.21047271753691468</v>
      </c>
      <c r="T101" s="307">
        <v>0.32716274990296668</v>
      </c>
      <c r="U101" s="307"/>
      <c r="V101" s="307">
        <v>0.13171150499475057</v>
      </c>
      <c r="W101" s="307">
        <v>0.11717245272862407</v>
      </c>
      <c r="X101" s="307">
        <v>0.14435114562512261</v>
      </c>
      <c r="Y101" s="307"/>
      <c r="Z101" s="307">
        <v>0.86828803124431764</v>
      </c>
      <c r="AA101" s="307">
        <v>0.5905139463620378</v>
      </c>
      <c r="AB101" s="307">
        <v>0.51767118047273564</v>
      </c>
      <c r="AC101" s="307"/>
      <c r="AD101" s="307">
        <v>2.0916965294546164</v>
      </c>
      <c r="AE101" s="307">
        <v>1.7489981587791725</v>
      </c>
      <c r="AF101" s="307">
        <v>2.0418021779745721</v>
      </c>
      <c r="AG101" s="307"/>
      <c r="AH101" s="307">
        <v>1.3082232571416212</v>
      </c>
      <c r="AI101" s="307">
        <v>1.0109451076123745</v>
      </c>
      <c r="AJ101" s="307">
        <v>0.68014604643363574</v>
      </c>
      <c r="AK101" s="307"/>
      <c r="AL101" s="307">
        <v>0.36141308081353157</v>
      </c>
      <c r="AM101" s="307">
        <v>0.26551314325522246</v>
      </c>
      <c r="AN101" s="307">
        <v>0.27521994120372306</v>
      </c>
    </row>
  </sheetData>
  <mergeCells count="23">
    <mergeCell ref="AD88:AF88"/>
    <mergeCell ref="Z88:AB88"/>
    <mergeCell ref="AH88:AJ88"/>
    <mergeCell ref="AD4:AF4"/>
    <mergeCell ref="AH4:AJ4"/>
    <mergeCell ref="AL4:AN4"/>
    <mergeCell ref="AD46:AF46"/>
    <mergeCell ref="AH46:AJ46"/>
    <mergeCell ref="AL46:AN46"/>
    <mergeCell ref="Z4:AB4"/>
    <mergeCell ref="N46:P46"/>
    <mergeCell ref="R46:T46"/>
    <mergeCell ref="V46:X46"/>
    <mergeCell ref="Z46:AB46"/>
    <mergeCell ref="N88:P88"/>
    <mergeCell ref="R88:T88"/>
    <mergeCell ref="V88:X88"/>
    <mergeCell ref="B4:D4"/>
    <mergeCell ref="V4:X4"/>
    <mergeCell ref="R4:T4"/>
    <mergeCell ref="N4:P4"/>
    <mergeCell ref="J4:L4"/>
    <mergeCell ref="F4:H4"/>
  </mergeCells>
  <phoneticPr fontId="4" type="noConversion"/>
  <pageMargins left="0.74803149606299213" right="0.74803149606299213" top="0.59055118110236227" bottom="0.59055118110236227" header="0.51181102362204722" footer="0.51181102362204722"/>
  <pageSetup paperSize="9" scale="39" orientation="landscape" r:id="rId1"/>
  <headerFooter alignWithMargins="0"/>
  <rowBreaks count="1" manualBreakCount="1">
    <brk id="42" max="39" man="1"/>
  </rowBreaks>
  <drawing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sheetPr codeName="Sheet48"/>
  <dimension ref="A1:CT146"/>
  <sheetViews>
    <sheetView showGridLines="0" zoomScale="85" zoomScaleNormal="85" workbookViewId="0">
      <selection sqref="A1:J1"/>
    </sheetView>
  </sheetViews>
  <sheetFormatPr defaultColWidth="9.140625" defaultRowHeight="12.75" x14ac:dyDescent="0.2"/>
  <cols>
    <col min="1" max="1" width="54.7109375" customWidth="1"/>
    <col min="2" max="6" width="8" customWidth="1"/>
    <col min="7" max="7" width="6.7109375" customWidth="1"/>
    <col min="8" max="10" width="10.7109375" customWidth="1"/>
    <col min="11" max="11" width="9.140625" customWidth="1"/>
    <col min="12" max="12" width="17.5703125" customWidth="1"/>
    <col min="13" max="17" width="8" customWidth="1"/>
    <col min="18" max="18" width="6.7109375" customWidth="1"/>
    <col min="19" max="21" width="10.7109375" customWidth="1"/>
    <col min="23" max="23" width="17.7109375" customWidth="1"/>
    <col min="24" max="28" width="8" customWidth="1"/>
    <col min="29" max="29" width="6.7109375" customWidth="1"/>
    <col min="30" max="32" width="10.7109375" customWidth="1"/>
    <col min="34" max="34" width="17.7109375" customWidth="1"/>
    <col min="35" max="39" width="7" customWidth="1"/>
    <col min="40" max="40" width="6.7109375" customWidth="1"/>
    <col min="41" max="43" width="10.7109375" customWidth="1"/>
    <col min="44" max="44" width="9.140625" customWidth="1"/>
    <col min="45" max="45" width="17.7109375" customWidth="1"/>
    <col min="46" max="50" width="8" customWidth="1"/>
    <col min="51" max="51" width="6.7109375" customWidth="1"/>
    <col min="52" max="54" width="10.7109375" customWidth="1"/>
    <col min="56" max="56" width="17.7109375" customWidth="1"/>
    <col min="57" max="61" width="8" customWidth="1"/>
    <col min="62" max="62" width="6.7109375" customWidth="1"/>
    <col min="63" max="65" width="10.7109375" customWidth="1"/>
    <col min="67" max="67" width="17.7109375" customWidth="1"/>
    <col min="68" max="72" width="8" customWidth="1"/>
    <col min="73" max="73" width="6.7109375" customWidth="1"/>
    <col min="74" max="76" width="10.7109375" customWidth="1"/>
    <col min="78" max="78" width="17.5703125" customWidth="1"/>
    <col min="79" max="83" width="8" customWidth="1"/>
    <col min="84" max="84" width="5.85546875" customWidth="1"/>
    <col min="85" max="87" width="10.7109375" customWidth="1"/>
    <col min="88" max="88" width="5.85546875" customWidth="1"/>
    <col min="89" max="89" width="17.7109375" customWidth="1"/>
    <col min="90" max="94" width="8" customWidth="1"/>
    <col min="95" max="95" width="6.85546875" customWidth="1"/>
    <col min="96" max="98" width="10.7109375" customWidth="1"/>
  </cols>
  <sheetData>
    <row r="1" spans="1:98" ht="49.5" customHeight="1" x14ac:dyDescent="0.2">
      <c r="A1" s="381" t="str">
        <f>CONCATENATE("Basic Table 2  Employment Change by Occupation and Replacement Demand, ",name!F4,", ",B$6,"-",F$6,", ",Info!B5)</f>
        <v>Basic Table 2  Employment Change by Occupation and Replacement Demand, RQF8 Doctorate, 2015-2035, North East</v>
      </c>
      <c r="B1" s="381"/>
      <c r="C1" s="381"/>
      <c r="D1" s="381"/>
      <c r="E1" s="381"/>
      <c r="F1" s="381"/>
      <c r="G1" s="381"/>
      <c r="H1" s="381"/>
      <c r="I1" s="381"/>
      <c r="J1" s="381"/>
      <c r="L1" s="381" t="str">
        <f>CONCATENATE("Basic Table 2.1  Employment Change by Occupation and Replacement Demand, ",name!F5,", ",M$6,"-",Q$6,", ",Info!B5)</f>
        <v>Basic Table 2.1  Employment Change by Occupation and Replacement Demand, RQF7 Other higher degree, 2015-2035, North East</v>
      </c>
      <c r="M1" s="381"/>
      <c r="N1" s="381"/>
      <c r="O1" s="381"/>
      <c r="P1" s="381"/>
      <c r="Q1" s="381"/>
      <c r="R1" s="381"/>
      <c r="S1" s="381"/>
      <c r="T1" s="381"/>
      <c r="U1" s="381"/>
      <c r="W1" s="381" t="str">
        <f>CONCATENATE("Basic Table 2.2  Employment Change by Occupation and Replacement Demand, ",name!F6,", ",X$6,"-",AB$6,", ",Info!B5)</f>
        <v>Basic Table 2.2  Employment Change by Occupation and Replacement Demand, RQF6 First degree, 2015-2035, North East</v>
      </c>
      <c r="X1" s="381"/>
      <c r="Y1" s="381"/>
      <c r="Z1" s="381"/>
      <c r="AA1" s="381"/>
      <c r="AB1" s="381"/>
      <c r="AC1" s="381"/>
      <c r="AD1" s="381"/>
      <c r="AE1" s="381"/>
      <c r="AF1" s="381"/>
      <c r="AH1" s="381" t="str">
        <f>CONCATENATE("Basic Table 2.3  Employment Change by Occupation and Replacement Demand, ",name!F7,", ",AI$6,"-",AM$6,", ",Info!B5)</f>
        <v>Basic Table 2.3  Employment Change by Occupation and Replacement Demand, RQF5 Foundation degree;Nursing;Teaching, 2015-2035, North East</v>
      </c>
      <c r="AI1" s="381"/>
      <c r="AJ1" s="381"/>
      <c r="AK1" s="381"/>
      <c r="AL1" s="381"/>
      <c r="AM1" s="381"/>
      <c r="AN1" s="381"/>
      <c r="AO1" s="381"/>
      <c r="AP1" s="381"/>
      <c r="AQ1" s="381"/>
      <c r="AS1" s="381" t="str">
        <f>CONCATENATE("Basic Table 2.4  Employment Change by Occupation and Replacement Demand, ",name!F8,", ",AT$6,"-",AX$6,", ",Info!B5)</f>
        <v>Basic Table 2.4  Employment Change by Occupation and Replacement Demand, RQF4 HE below degree level, 2015-2035, North East</v>
      </c>
      <c r="AT1" s="381"/>
      <c r="AU1" s="381"/>
      <c r="AV1" s="381"/>
      <c r="AW1" s="381"/>
      <c r="AX1" s="381"/>
      <c r="AY1" s="381"/>
      <c r="AZ1" s="381"/>
      <c r="BA1" s="381"/>
      <c r="BB1" s="381"/>
      <c r="BD1" s="381" t="str">
        <f>CONCATENATE("Basic Table 2.5  Employment Change by Occupation and Replacement Demand, ",name!F9,", ",BE$6,"-",BI$6,", ",Info!B5)</f>
        <v>Basic Table 2.5  Employment Change by Occupation and Replacement Demand, RQF3 A level &amp; equivalent, 2015-2035, North East</v>
      </c>
      <c r="BE1" s="381"/>
      <c r="BF1" s="381"/>
      <c r="BG1" s="381"/>
      <c r="BH1" s="381"/>
      <c r="BI1" s="381"/>
      <c r="BJ1" s="381"/>
      <c r="BK1" s="381"/>
      <c r="BL1" s="381"/>
      <c r="BM1" s="381"/>
      <c r="BO1" s="381" t="str">
        <f>CONCATENATE("Basic Table 2.6  Employment Change by Occupation and Replacement Demand, ",name!F10,", ",BP$6,"-",BT$6,", ",Info!B5)</f>
        <v>Basic Table 2.6  Employment Change by Occupation and Replacement Demand, RQF2 GCSE(A-C) &amp; equivalent, 2015-2035, North East</v>
      </c>
      <c r="BP1" s="381"/>
      <c r="BQ1" s="381"/>
      <c r="BR1" s="381"/>
      <c r="BS1" s="381"/>
      <c r="BT1" s="381"/>
      <c r="BU1" s="381"/>
      <c r="BV1" s="381"/>
      <c r="BW1" s="381"/>
      <c r="BX1" s="381"/>
      <c r="BZ1" s="381" t="str">
        <f>CONCATENATE("Basic Table 2.7  Employment Change by Occupation and Replacement Demand, ",name!F11,", ",CA$6,"-",CE$6,", ",Info!B5)</f>
        <v>Basic Table 2.7  Employment Change by Occupation and Replacement Demand, RQF1 GCSE(below grade C) &amp; equivalent, 2015-2035, North East</v>
      </c>
      <c r="CA1" s="381"/>
      <c r="CB1" s="381"/>
      <c r="CC1" s="381"/>
      <c r="CD1" s="381"/>
      <c r="CE1" s="381"/>
      <c r="CF1" s="381"/>
      <c r="CG1" s="381"/>
      <c r="CH1" s="381"/>
      <c r="CI1" s="381"/>
      <c r="CK1" s="381" t="str">
        <f>CONCATENATE("Basic Table 2.8  Employment Change by Occupation and Replacement Demand, ",name!F12,", ",CL$6,"-",CP$6,", ",Info!B5)</f>
        <v>Basic Table 2.8  Employment Change by Occupation and Replacement Demand, No Qualification, 2015-2035, North East</v>
      </c>
      <c r="CL1" s="381"/>
      <c r="CM1" s="381"/>
      <c r="CN1" s="381"/>
      <c r="CO1" s="381"/>
      <c r="CP1" s="381"/>
      <c r="CQ1" s="381"/>
      <c r="CR1" s="381"/>
      <c r="CS1" s="381"/>
      <c r="CT1" s="381"/>
    </row>
    <row r="2" spans="1:98" ht="12.75" customHeight="1" x14ac:dyDescent="0.25">
      <c r="A2" s="365" t="s">
        <v>521</v>
      </c>
      <c r="L2" s="86"/>
      <c r="W2" s="86"/>
      <c r="AH2" s="86"/>
      <c r="AS2" s="86"/>
      <c r="BD2" s="86"/>
      <c r="BO2" s="86"/>
      <c r="BZ2" s="86"/>
      <c r="CK2" s="86"/>
    </row>
    <row r="3" spans="1:98" x14ac:dyDescent="0.2">
      <c r="F3" s="16" t="s">
        <v>36</v>
      </c>
      <c r="J3" s="16" t="s">
        <v>36</v>
      </c>
      <c r="Q3" s="16" t="s">
        <v>36</v>
      </c>
      <c r="U3" s="16" t="s">
        <v>36</v>
      </c>
      <c r="AB3" s="16" t="s">
        <v>36</v>
      </c>
      <c r="AF3" s="16" t="s">
        <v>36</v>
      </c>
      <c r="AM3" s="16" t="s">
        <v>36</v>
      </c>
      <c r="AQ3" s="16" t="s">
        <v>36</v>
      </c>
      <c r="AX3" s="16" t="s">
        <v>36</v>
      </c>
      <c r="BB3" s="16" t="s">
        <v>36</v>
      </c>
      <c r="BI3" s="16" t="s">
        <v>36</v>
      </c>
      <c r="BM3" s="16" t="s">
        <v>36</v>
      </c>
      <c r="BT3" s="16" t="s">
        <v>36</v>
      </c>
      <c r="BX3" s="16" t="s">
        <v>36</v>
      </c>
      <c r="CE3" s="16" t="s">
        <v>36</v>
      </c>
      <c r="CI3" s="16" t="s">
        <v>36</v>
      </c>
      <c r="CP3" s="16" t="s">
        <v>36</v>
      </c>
      <c r="CT3" s="16" t="s">
        <v>36</v>
      </c>
    </row>
    <row r="4" spans="1:98" x14ac:dyDescent="0.2">
      <c r="A4" s="36"/>
      <c r="B4" s="36"/>
      <c r="C4" s="36"/>
      <c r="D4" s="36"/>
      <c r="E4" s="36"/>
      <c r="F4" s="36"/>
      <c r="H4" s="28" t="str">
        <f>CONCATENATE(D6,"-",F6)</f>
        <v>2020-2035</v>
      </c>
      <c r="I4" s="36"/>
      <c r="J4" s="36"/>
      <c r="L4" s="36"/>
      <c r="M4" s="36"/>
      <c r="N4" s="36"/>
      <c r="O4" s="36"/>
      <c r="P4" s="36"/>
      <c r="Q4" s="36"/>
      <c r="S4" s="28" t="str">
        <f>H4</f>
        <v>2020-2035</v>
      </c>
      <c r="T4" s="36"/>
      <c r="U4" s="36"/>
      <c r="W4" s="36"/>
      <c r="X4" s="36"/>
      <c r="Y4" s="36"/>
      <c r="Z4" s="36"/>
      <c r="AA4" s="36"/>
      <c r="AB4" s="36"/>
      <c r="AD4" s="28" t="str">
        <f>S4</f>
        <v>2020-2035</v>
      </c>
      <c r="AE4" s="36"/>
      <c r="AF4" s="36"/>
      <c r="AH4" s="36"/>
      <c r="AI4" s="36"/>
      <c r="AJ4" s="36"/>
      <c r="AK4" s="36"/>
      <c r="AL4" s="36"/>
      <c r="AM4" s="36"/>
      <c r="AO4" s="28" t="str">
        <f>AD4</f>
        <v>2020-2035</v>
      </c>
      <c r="AP4" s="36"/>
      <c r="AQ4" s="36"/>
      <c r="AS4" s="36"/>
      <c r="AT4" s="36"/>
      <c r="AU4" s="36"/>
      <c r="AV4" s="36"/>
      <c r="AW4" s="36"/>
      <c r="AX4" s="36"/>
      <c r="AZ4" s="28" t="str">
        <f>AO4</f>
        <v>2020-2035</v>
      </c>
      <c r="BA4" s="36"/>
      <c r="BB4" s="36"/>
      <c r="BD4" s="36"/>
      <c r="BE4" s="36"/>
      <c r="BF4" s="36"/>
      <c r="BG4" s="36"/>
      <c r="BH4" s="36"/>
      <c r="BI4" s="36"/>
      <c r="BK4" s="28" t="str">
        <f>AZ4</f>
        <v>2020-2035</v>
      </c>
      <c r="BL4" s="36"/>
      <c r="BM4" s="36"/>
      <c r="BO4" s="36"/>
      <c r="BP4" s="36"/>
      <c r="BQ4" s="36"/>
      <c r="BR4" s="36"/>
      <c r="BS4" s="36"/>
      <c r="BT4" s="36"/>
      <c r="BV4" s="28" t="str">
        <f>BK4</f>
        <v>2020-2035</v>
      </c>
      <c r="BW4" s="36"/>
      <c r="BX4" s="36"/>
      <c r="BZ4" s="36"/>
      <c r="CA4" s="36"/>
      <c r="CB4" s="36"/>
      <c r="CC4" s="36"/>
      <c r="CD4" s="36"/>
      <c r="CE4" s="36"/>
      <c r="CG4" s="28" t="str">
        <f>BV4</f>
        <v>2020-2035</v>
      </c>
      <c r="CH4" s="36"/>
      <c r="CI4" s="36"/>
      <c r="CK4" s="36"/>
      <c r="CL4" s="36"/>
      <c r="CM4" s="36"/>
      <c r="CN4" s="36"/>
      <c r="CO4" s="36"/>
      <c r="CP4" s="36"/>
      <c r="CR4" s="28" t="str">
        <f>CG4</f>
        <v>2020-2035</v>
      </c>
      <c r="CS4" s="36"/>
      <c r="CT4" s="36"/>
    </row>
    <row r="5" spans="1:98" x14ac:dyDescent="0.2">
      <c r="H5" s="16" t="s">
        <v>30</v>
      </c>
      <c r="I5" s="16" t="s">
        <v>31</v>
      </c>
      <c r="J5" s="16" t="s">
        <v>33</v>
      </c>
      <c r="S5" s="16" t="s">
        <v>30</v>
      </c>
      <c r="T5" s="16" t="s">
        <v>31</v>
      </c>
      <c r="U5" s="16" t="s">
        <v>33</v>
      </c>
      <c r="AD5" s="16" t="s">
        <v>30</v>
      </c>
      <c r="AE5" s="16" t="s">
        <v>31</v>
      </c>
      <c r="AF5" s="16" t="s">
        <v>33</v>
      </c>
      <c r="AO5" s="16" t="s">
        <v>30</v>
      </c>
      <c r="AP5" s="16" t="s">
        <v>31</v>
      </c>
      <c r="AQ5" s="16" t="s">
        <v>33</v>
      </c>
      <c r="AZ5" s="16" t="s">
        <v>30</v>
      </c>
      <c r="BA5" s="16" t="s">
        <v>31</v>
      </c>
      <c r="BB5" s="16" t="s">
        <v>33</v>
      </c>
      <c r="BK5" s="16" t="s">
        <v>30</v>
      </c>
      <c r="BL5" s="16" t="s">
        <v>31</v>
      </c>
      <c r="BM5" s="16" t="s">
        <v>33</v>
      </c>
      <c r="BV5" s="16" t="s">
        <v>30</v>
      </c>
      <c r="BW5" s="16" t="s">
        <v>31</v>
      </c>
      <c r="BX5" s="16" t="s">
        <v>33</v>
      </c>
      <c r="CG5" s="16" t="s">
        <v>30</v>
      </c>
      <c r="CH5" s="16" t="s">
        <v>31</v>
      </c>
      <c r="CI5" s="16" t="s">
        <v>33</v>
      </c>
      <c r="CR5" s="16" t="s">
        <v>30</v>
      </c>
      <c r="CS5" s="16" t="s">
        <v>31</v>
      </c>
      <c r="CT5" s="16" t="s">
        <v>33</v>
      </c>
    </row>
    <row r="6" spans="1:98" x14ac:dyDescent="0.2">
      <c r="A6" s="41" t="s">
        <v>18</v>
      </c>
      <c r="B6" s="35">
        <v>2015</v>
      </c>
      <c r="C6" s="35">
        <v>2019</v>
      </c>
      <c r="D6" s="35">
        <v>2020</v>
      </c>
      <c r="E6" s="35">
        <v>2025</v>
      </c>
      <c r="F6" s="35">
        <v>2035</v>
      </c>
      <c r="H6" s="63" t="s">
        <v>19</v>
      </c>
      <c r="I6" s="63" t="s">
        <v>32</v>
      </c>
      <c r="J6" s="63" t="s">
        <v>34</v>
      </c>
      <c r="L6" s="41" t="s">
        <v>18</v>
      </c>
      <c r="M6" s="35">
        <f>B6</f>
        <v>2015</v>
      </c>
      <c r="N6" s="35">
        <f t="shared" ref="N6:Q6" si="0">C6</f>
        <v>2019</v>
      </c>
      <c r="O6" s="35">
        <f t="shared" si="0"/>
        <v>2020</v>
      </c>
      <c r="P6" s="35">
        <f t="shared" si="0"/>
        <v>2025</v>
      </c>
      <c r="Q6" s="35">
        <f t="shared" si="0"/>
        <v>2035</v>
      </c>
      <c r="S6" s="63" t="s">
        <v>19</v>
      </c>
      <c r="T6" s="63" t="s">
        <v>32</v>
      </c>
      <c r="U6" s="63" t="s">
        <v>34</v>
      </c>
      <c r="W6" s="41" t="s">
        <v>18</v>
      </c>
      <c r="X6" s="35">
        <f>M6</f>
        <v>2015</v>
      </c>
      <c r="Y6" s="35">
        <f t="shared" ref="Y6:AB6" si="1">N6</f>
        <v>2019</v>
      </c>
      <c r="Z6" s="35">
        <f t="shared" si="1"/>
        <v>2020</v>
      </c>
      <c r="AA6" s="35">
        <f t="shared" si="1"/>
        <v>2025</v>
      </c>
      <c r="AB6" s="35">
        <f t="shared" si="1"/>
        <v>2035</v>
      </c>
      <c r="AD6" s="63" t="s">
        <v>19</v>
      </c>
      <c r="AE6" s="63" t="s">
        <v>32</v>
      </c>
      <c r="AF6" s="63" t="s">
        <v>34</v>
      </c>
      <c r="AH6" s="41" t="s">
        <v>18</v>
      </c>
      <c r="AI6" s="35">
        <f>X6</f>
        <v>2015</v>
      </c>
      <c r="AJ6" s="35">
        <f t="shared" ref="AJ6" si="2">Y6</f>
        <v>2019</v>
      </c>
      <c r="AK6" s="35">
        <f t="shared" ref="AK6" si="3">Z6</f>
        <v>2020</v>
      </c>
      <c r="AL6" s="35">
        <f t="shared" ref="AL6" si="4">AA6</f>
        <v>2025</v>
      </c>
      <c r="AM6" s="35">
        <f t="shared" ref="AM6" si="5">AB6</f>
        <v>2035</v>
      </c>
      <c r="AO6" s="63" t="s">
        <v>19</v>
      </c>
      <c r="AP6" s="63" t="s">
        <v>32</v>
      </c>
      <c r="AQ6" s="63" t="s">
        <v>34</v>
      </c>
      <c r="AS6" s="41" t="s">
        <v>18</v>
      </c>
      <c r="AT6" s="35">
        <f>AI6</f>
        <v>2015</v>
      </c>
      <c r="AU6" s="35">
        <f t="shared" ref="AU6" si="6">AJ6</f>
        <v>2019</v>
      </c>
      <c r="AV6" s="35">
        <f t="shared" ref="AV6" si="7">AK6</f>
        <v>2020</v>
      </c>
      <c r="AW6" s="35">
        <f t="shared" ref="AW6" si="8">AL6</f>
        <v>2025</v>
      </c>
      <c r="AX6" s="35">
        <f t="shared" ref="AX6" si="9">AM6</f>
        <v>2035</v>
      </c>
      <c r="AZ6" s="63" t="s">
        <v>19</v>
      </c>
      <c r="BA6" s="63" t="s">
        <v>32</v>
      </c>
      <c r="BB6" s="63" t="s">
        <v>34</v>
      </c>
      <c r="BD6" s="41" t="s">
        <v>18</v>
      </c>
      <c r="BE6" s="35">
        <f>AT6</f>
        <v>2015</v>
      </c>
      <c r="BF6" s="35">
        <f t="shared" ref="BF6" si="10">AU6</f>
        <v>2019</v>
      </c>
      <c r="BG6" s="35">
        <f t="shared" ref="BG6" si="11">AV6</f>
        <v>2020</v>
      </c>
      <c r="BH6" s="35">
        <f t="shared" ref="BH6" si="12">AW6</f>
        <v>2025</v>
      </c>
      <c r="BI6" s="35">
        <f t="shared" ref="BI6" si="13">AX6</f>
        <v>2035</v>
      </c>
      <c r="BK6" s="63" t="s">
        <v>19</v>
      </c>
      <c r="BL6" s="63" t="s">
        <v>32</v>
      </c>
      <c r="BM6" s="63" t="s">
        <v>34</v>
      </c>
      <c r="BO6" s="41" t="s">
        <v>18</v>
      </c>
      <c r="BP6" s="35">
        <f>BE6</f>
        <v>2015</v>
      </c>
      <c r="BQ6" s="35">
        <f t="shared" ref="BQ6" si="14">BF6</f>
        <v>2019</v>
      </c>
      <c r="BR6" s="35">
        <f t="shared" ref="BR6" si="15">BG6</f>
        <v>2020</v>
      </c>
      <c r="BS6" s="35">
        <f t="shared" ref="BS6" si="16">BH6</f>
        <v>2025</v>
      </c>
      <c r="BT6" s="35">
        <f t="shared" ref="BT6" si="17">BI6</f>
        <v>2035</v>
      </c>
      <c r="BV6" s="63" t="s">
        <v>19</v>
      </c>
      <c r="BW6" s="63" t="s">
        <v>32</v>
      </c>
      <c r="BX6" s="63" t="s">
        <v>34</v>
      </c>
      <c r="BZ6" s="41" t="s">
        <v>18</v>
      </c>
      <c r="CA6" s="35">
        <f>BP6</f>
        <v>2015</v>
      </c>
      <c r="CB6" s="35">
        <f t="shared" ref="CB6" si="18">BQ6</f>
        <v>2019</v>
      </c>
      <c r="CC6" s="35">
        <f t="shared" ref="CC6" si="19">BR6</f>
        <v>2020</v>
      </c>
      <c r="CD6" s="35">
        <f t="shared" ref="CD6" si="20">BS6</f>
        <v>2025</v>
      </c>
      <c r="CE6" s="35">
        <f t="shared" ref="CE6" si="21">BT6</f>
        <v>2035</v>
      </c>
      <c r="CG6" s="63" t="s">
        <v>19</v>
      </c>
      <c r="CH6" s="63" t="s">
        <v>32</v>
      </c>
      <c r="CI6" s="63" t="s">
        <v>34</v>
      </c>
      <c r="CK6" s="41" t="s">
        <v>18</v>
      </c>
      <c r="CL6" s="35">
        <f>CA6</f>
        <v>2015</v>
      </c>
      <c r="CM6" s="35">
        <f t="shared" ref="CM6" si="22">CB6</f>
        <v>2019</v>
      </c>
      <c r="CN6" s="35">
        <f t="shared" ref="CN6" si="23">CC6</f>
        <v>2020</v>
      </c>
      <c r="CO6" s="35">
        <f t="shared" ref="CO6" si="24">CD6</f>
        <v>2025</v>
      </c>
      <c r="CP6" s="35">
        <f t="shared" ref="CP6" si="25">CE6</f>
        <v>2035</v>
      </c>
      <c r="CR6" s="63" t="s">
        <v>19</v>
      </c>
      <c r="CS6" s="63" t="s">
        <v>32</v>
      </c>
      <c r="CT6" s="63" t="s">
        <v>34</v>
      </c>
    </row>
    <row r="8" spans="1:98" x14ac:dyDescent="0.2">
      <c r="A8" s="10" t="str">
        <f>name!D4</f>
        <v>11 Corporate managers and directors</v>
      </c>
      <c r="B8" s="69">
        <v>0.20761146140223843</v>
      </c>
      <c r="C8" s="69">
        <v>0.30642313230885704</v>
      </c>
      <c r="D8" s="69">
        <v>0.25633936175461808</v>
      </c>
      <c r="E8" s="69">
        <v>0.28371986323755344</v>
      </c>
      <c r="F8" s="69">
        <v>0.36834201917674209</v>
      </c>
      <c r="G8" s="10"/>
      <c r="H8" s="69">
        <f>F8-D8</f>
        <v>0.11200265742212401</v>
      </c>
      <c r="I8" s="69">
        <f>'RD T1'!E36</f>
        <v>0.17480933757361117</v>
      </c>
      <c r="J8" s="69">
        <f>SUM(H8:I8)</f>
        <v>0.28681199499573518</v>
      </c>
      <c r="L8" t="str">
        <f>A8</f>
        <v>11 Corporate managers and directors</v>
      </c>
      <c r="M8" s="69">
        <v>1.999368918459574</v>
      </c>
      <c r="N8" s="69">
        <v>3.0755047336215409</v>
      </c>
      <c r="O8" s="69">
        <v>2.569040569662135</v>
      </c>
      <c r="P8" s="69">
        <v>2.7486446466642391</v>
      </c>
      <c r="Q8" s="69">
        <v>3.3957445390073122</v>
      </c>
      <c r="R8" s="10"/>
      <c r="S8" s="69">
        <f>Q8-O8</f>
        <v>0.8267039693451772</v>
      </c>
      <c r="T8" s="69">
        <f>'RD T1'!E65</f>
        <v>1.7169681624754534</v>
      </c>
      <c r="U8" s="69">
        <f>SUM(S8:T8)</f>
        <v>2.5436721318206308</v>
      </c>
      <c r="W8" t="str">
        <f>A8</f>
        <v>11 Corporate managers and directors</v>
      </c>
      <c r="X8" s="69">
        <v>5.6829512769188888</v>
      </c>
      <c r="Y8" s="69">
        <v>5.9671720077179042</v>
      </c>
      <c r="Z8" s="69">
        <v>6.3712933706108608</v>
      </c>
      <c r="AA8" s="69">
        <v>6.3929361969659571</v>
      </c>
      <c r="AB8" s="69">
        <v>7.7068067079335627</v>
      </c>
      <c r="AC8" s="69"/>
      <c r="AD8" s="69">
        <f>AB8-Z8</f>
        <v>1.3355133373227019</v>
      </c>
      <c r="AE8" s="69">
        <f>'RD T1'!E94</f>
        <v>4.0207808986668168</v>
      </c>
      <c r="AF8" s="69">
        <f>SUM(AD8:AE8)</f>
        <v>5.3562942359895187</v>
      </c>
      <c r="AH8" t="str">
        <f>L8</f>
        <v>11 Corporate managers and directors</v>
      </c>
      <c r="AI8" s="69">
        <v>1.3689060265527209</v>
      </c>
      <c r="AJ8" s="69">
        <v>1.3246173290970409</v>
      </c>
      <c r="AK8" s="69">
        <v>1.5369042361668519</v>
      </c>
      <c r="AL8" s="69">
        <v>1.4373302166244977</v>
      </c>
      <c r="AM8" s="69">
        <v>1.6277460406260269</v>
      </c>
      <c r="AN8" s="69"/>
      <c r="AO8" s="69">
        <f>AM8-AK8</f>
        <v>9.0841804459175002E-2</v>
      </c>
      <c r="AP8" s="69">
        <f>'RD T1'!E123</f>
        <v>0.81656399740205909</v>
      </c>
      <c r="AQ8" s="69">
        <f>SUM(AO8:AP8)</f>
        <v>0.9074058018612341</v>
      </c>
      <c r="AS8" t="str">
        <f>W8</f>
        <v>11 Corporate managers and directors</v>
      </c>
      <c r="AT8" s="69">
        <v>1.6918458601010566</v>
      </c>
      <c r="AU8" s="69">
        <v>1.6156959179321047</v>
      </c>
      <c r="AV8" s="69">
        <v>1.7406009651163175</v>
      </c>
      <c r="AW8" s="69">
        <v>1.5986701213824115</v>
      </c>
      <c r="AX8" s="69">
        <v>1.7287426729093587</v>
      </c>
      <c r="AY8" s="69"/>
      <c r="AZ8" s="69">
        <f>AX8-AV8</f>
        <v>-1.1858292206958776E-2</v>
      </c>
      <c r="BA8" s="69">
        <f>'RD T1'!E152</f>
        <v>0.88534187654708474</v>
      </c>
      <c r="BB8" s="69">
        <f>SUM(AZ8:BA8)</f>
        <v>0.87348358434012596</v>
      </c>
      <c r="BD8" t="str">
        <f>AH8</f>
        <v>11 Corporate managers and directors</v>
      </c>
      <c r="BE8" s="69">
        <v>4.6459798106340857</v>
      </c>
      <c r="BF8" s="69">
        <v>5.0720293436408044</v>
      </c>
      <c r="BG8" s="69">
        <v>6.2098407990820288</v>
      </c>
      <c r="BH8" s="69">
        <v>4.897408343864984</v>
      </c>
      <c r="BI8" s="69">
        <v>5.3384770329177931</v>
      </c>
      <c r="BJ8" s="69"/>
      <c r="BK8" s="69">
        <f>BI8-BG8</f>
        <v>-0.87136376616423572</v>
      </c>
      <c r="BL8" s="69">
        <f>'RD T1'!E181</f>
        <v>2.2847175726554112</v>
      </c>
      <c r="BM8" s="69">
        <f>SUM(BK8:BL8)</f>
        <v>1.4133538064911755</v>
      </c>
      <c r="BO8" t="str">
        <f>AS8</f>
        <v>11 Corporate managers and directors</v>
      </c>
      <c r="BP8" s="69">
        <v>3.7616865009838163</v>
      </c>
      <c r="BQ8" s="69">
        <v>4.0765455725024466</v>
      </c>
      <c r="BR8" s="69">
        <v>4.1527579111068924</v>
      </c>
      <c r="BS8" s="69">
        <v>3.5022775646793658</v>
      </c>
      <c r="BT8" s="69">
        <v>3.2395572957065761</v>
      </c>
      <c r="BU8" s="69"/>
      <c r="BV8" s="69">
        <f>BT8-BR8</f>
        <v>-0.91320061540031627</v>
      </c>
      <c r="BW8" s="69">
        <f>'RD T1'!E210</f>
        <v>1.5230899997788063</v>
      </c>
      <c r="BX8" s="69">
        <f>SUM(BV8:BW8)</f>
        <v>0.60988938437849005</v>
      </c>
      <c r="BZ8" t="str">
        <f>BD8</f>
        <v>11 Corporate managers and directors</v>
      </c>
      <c r="CA8" s="69">
        <v>1.7877767094824435</v>
      </c>
      <c r="CB8" s="69">
        <v>2.5518733742169477</v>
      </c>
      <c r="CC8" s="69">
        <v>2.0291642224238133</v>
      </c>
      <c r="CD8" s="69">
        <v>1.8640371437864909</v>
      </c>
      <c r="CE8" s="69">
        <v>1.3127876611024298</v>
      </c>
      <c r="CF8" s="69"/>
      <c r="CG8" s="69">
        <f>CE8-CC8</f>
        <v>-0.7163765613213835</v>
      </c>
      <c r="CH8" s="69">
        <f>'RD T1'!E239</f>
        <v>0.72616515362260781</v>
      </c>
      <c r="CI8" s="69">
        <f>SUM(CG8:CH8)</f>
        <v>9.7885923012243081E-3</v>
      </c>
      <c r="CK8" t="str">
        <f>BO8</f>
        <v>11 Corporate managers and directors</v>
      </c>
      <c r="CL8" s="69">
        <v>0.58661956378060653</v>
      </c>
      <c r="CM8" s="69">
        <v>0.69373750529754252</v>
      </c>
      <c r="CN8" s="69">
        <v>0.54661260737156048</v>
      </c>
      <c r="CO8" s="69">
        <v>0.46066093012663961</v>
      </c>
      <c r="CP8" s="69">
        <v>0.51536551563924482</v>
      </c>
      <c r="CQ8" s="69"/>
      <c r="CR8" s="69">
        <f>CP8-CN8</f>
        <v>-3.1247091732315657E-2</v>
      </c>
      <c r="CS8" s="69">
        <f>'RD T1'!E268</f>
        <v>0.18808229990053243</v>
      </c>
      <c r="CT8" s="69">
        <f>SUM(CR8:CS8)</f>
        <v>0.15683520816821678</v>
      </c>
    </row>
    <row r="9" spans="1:98" x14ac:dyDescent="0.2">
      <c r="A9" s="10" t="str">
        <f>name!D5</f>
        <v>12 Other managers and proprietors</v>
      </c>
      <c r="B9" s="69">
        <v>0.10608120912632282</v>
      </c>
      <c r="C9" s="69">
        <v>0.17158491262065728</v>
      </c>
      <c r="D9" s="69">
        <v>0.12837415541613581</v>
      </c>
      <c r="E9" s="69">
        <v>0.19031952978639688</v>
      </c>
      <c r="F9" s="69">
        <v>0.28958989345034758</v>
      </c>
      <c r="H9" s="69">
        <f t="shared" ref="H9:H32" si="26">F9-D9</f>
        <v>0.16121573803421177</v>
      </c>
      <c r="I9" s="69">
        <f>'RD T1'!E37</f>
        <v>0.14090997128977381</v>
      </c>
      <c r="J9" s="69">
        <f t="shared" ref="J9:J32" si="27">SUM(H9:I9)</f>
        <v>0.30212570932398558</v>
      </c>
      <c r="L9" t="str">
        <f t="shared" ref="L9:L32" si="28">A9</f>
        <v>12 Other managers and proprietors</v>
      </c>
      <c r="M9" s="69">
        <v>0.91453672743183068</v>
      </c>
      <c r="N9" s="69">
        <v>1.3626766021683503</v>
      </c>
      <c r="O9" s="69">
        <v>1.1626563556477134</v>
      </c>
      <c r="P9" s="69">
        <v>1.6788839849780142</v>
      </c>
      <c r="Q9" s="69">
        <v>2.517719837869715</v>
      </c>
      <c r="S9" s="69">
        <f t="shared" ref="S9:S35" si="29">Q9-O9</f>
        <v>1.3550634822220016</v>
      </c>
      <c r="T9" s="69">
        <f>'RD T1'!E66</f>
        <v>1.2470975795274974</v>
      </c>
      <c r="U9" s="69">
        <f t="shared" ref="U9:U32" si="30">SUM(S9:T9)</f>
        <v>2.602161061749499</v>
      </c>
      <c r="W9" t="str">
        <f t="shared" ref="W9:W32" si="31">A9</f>
        <v>12 Other managers and proprietors</v>
      </c>
      <c r="X9" s="69">
        <v>2.7145961800560738</v>
      </c>
      <c r="Y9" s="69">
        <v>2.865480024213158</v>
      </c>
      <c r="Z9" s="69">
        <v>2.9449296746509379</v>
      </c>
      <c r="AA9" s="69">
        <v>3.9235671964308274</v>
      </c>
      <c r="AB9" s="69">
        <v>5.0090788563205626</v>
      </c>
      <c r="AC9" s="69"/>
      <c r="AD9" s="69">
        <f t="shared" ref="AD9:AD32" si="32">AB9-Z9</f>
        <v>2.0641491816696247</v>
      </c>
      <c r="AE9" s="69">
        <f>'RD T1'!E95</f>
        <v>2.8326377755915249</v>
      </c>
      <c r="AF9" s="69">
        <f t="shared" ref="AF9:AF32" si="33">SUM(AD9:AE9)</f>
        <v>4.8967869572611491</v>
      </c>
      <c r="AH9" t="str">
        <f t="shared" ref="AH9:AH32" si="34">L9</f>
        <v>12 Other managers and proprietors</v>
      </c>
      <c r="AI9" s="69">
        <v>0.89149928756499408</v>
      </c>
      <c r="AJ9" s="69">
        <v>0.91744282262941035</v>
      </c>
      <c r="AK9" s="69">
        <v>1.05964617324944</v>
      </c>
      <c r="AL9" s="69">
        <v>1.2785257891737938</v>
      </c>
      <c r="AM9" s="69">
        <v>1.666263977301518</v>
      </c>
      <c r="AN9" s="69"/>
      <c r="AO9" s="69">
        <f t="shared" ref="AO9:AO32" si="35">AM9-AK9</f>
        <v>0.60661780405207799</v>
      </c>
      <c r="AP9" s="69">
        <f>'RD T1'!E124</f>
        <v>0.91070738150528596</v>
      </c>
      <c r="AQ9" s="69">
        <f t="shared" ref="AQ9:AQ32" si="36">SUM(AO9:AP9)</f>
        <v>1.517325185557364</v>
      </c>
      <c r="AS9" t="str">
        <f t="shared" ref="AS9:AS32" si="37">W9</f>
        <v>12 Other managers and proprietors</v>
      </c>
      <c r="AT9" s="69">
        <v>0.91048063287228354</v>
      </c>
      <c r="AU9" s="69">
        <v>0.91396887037030838</v>
      </c>
      <c r="AV9" s="69">
        <v>0.90030027668145984</v>
      </c>
      <c r="AW9" s="69">
        <v>1.1266237841668787</v>
      </c>
      <c r="AX9" s="69">
        <v>1.301054763782951</v>
      </c>
      <c r="AY9" s="69"/>
      <c r="AZ9" s="69">
        <f t="shared" ref="AZ9:AZ32" si="38">AX9-AV9</f>
        <v>0.4007544871014912</v>
      </c>
      <c r="BA9" s="69">
        <f>'RD T1'!E153</f>
        <v>0.71032795774387136</v>
      </c>
      <c r="BB9" s="69">
        <f t="shared" ref="BB9:BB32" si="39">SUM(AZ9:BA9)</f>
        <v>1.1110824448453624</v>
      </c>
      <c r="BD9" t="str">
        <f t="shared" ref="BD9:BD32" si="40">AH9</f>
        <v>12 Other managers and proprietors</v>
      </c>
      <c r="BE9" s="69">
        <v>3.1146641293017354</v>
      </c>
      <c r="BF9" s="69">
        <v>2.8448454456759911</v>
      </c>
      <c r="BG9" s="69">
        <v>3.2033363056455406</v>
      </c>
      <c r="BH9" s="69">
        <v>3.2827311431702064</v>
      </c>
      <c r="BI9" s="69">
        <v>3.7330631163983776</v>
      </c>
      <c r="BJ9" s="69"/>
      <c r="BK9" s="69">
        <f t="shared" ref="BK9:BK32" si="41">BI9-BG9</f>
        <v>0.52972681075283701</v>
      </c>
      <c r="BL9" s="69">
        <f>'RD T1'!E182</f>
        <v>1.6442221941760411</v>
      </c>
      <c r="BM9" s="69">
        <f t="shared" ref="BM9:BM32" si="42">SUM(BK9:BL9)</f>
        <v>2.1739490049288781</v>
      </c>
      <c r="BO9" t="str">
        <f t="shared" ref="BO9:BO32" si="43">AS9</f>
        <v>12 Other managers and proprietors</v>
      </c>
      <c r="BP9" s="69">
        <v>3.111943633421844</v>
      </c>
      <c r="BQ9" s="69">
        <v>3.2762209251155974</v>
      </c>
      <c r="BR9" s="69">
        <v>3.198474681053356</v>
      </c>
      <c r="BS9" s="69">
        <v>3.6524359176853274</v>
      </c>
      <c r="BT9" s="69">
        <v>3.8745600950612489</v>
      </c>
      <c r="BU9" s="69"/>
      <c r="BV9" s="69">
        <f t="shared" ref="BV9:BV32" si="44">BT9-BR9</f>
        <v>0.6760854140078929</v>
      </c>
      <c r="BW9" s="69">
        <f>'RD T1'!E211</f>
        <v>1.8987756871766115</v>
      </c>
      <c r="BX9" s="69">
        <f t="shared" ref="BX9:BX32" si="45">SUM(BV9:BW9)</f>
        <v>2.5748611011845046</v>
      </c>
      <c r="BZ9" t="str">
        <f t="shared" ref="BZ9:BZ32" si="46">BD9</f>
        <v>12 Other managers and proprietors</v>
      </c>
      <c r="CA9" s="69">
        <v>1.7297725820148673</v>
      </c>
      <c r="CB9" s="69">
        <v>2.2253370172149078</v>
      </c>
      <c r="CC9" s="69">
        <v>1.6756043408706491</v>
      </c>
      <c r="CD9" s="69">
        <v>1.8893952128703857</v>
      </c>
      <c r="CE9" s="69">
        <v>1.4372022170921739</v>
      </c>
      <c r="CF9" s="69"/>
      <c r="CG9" s="69">
        <f t="shared" ref="CG9:CG32" si="47">CE9-CC9</f>
        <v>-0.23840212377847525</v>
      </c>
      <c r="CH9" s="69">
        <f>'RD T1'!E240</f>
        <v>0.80786979914348755</v>
      </c>
      <c r="CI9" s="69">
        <f t="shared" ref="CI9:CI32" si="48">SUM(CG9:CH9)</f>
        <v>0.5694676753650123</v>
      </c>
      <c r="CK9" t="str">
        <f t="shared" ref="CK9:CK32" si="49">BO9</f>
        <v>12 Other managers and proprietors</v>
      </c>
      <c r="CL9" s="69">
        <v>0.77988545216180372</v>
      </c>
      <c r="CM9" s="69">
        <v>0.70651313595201082</v>
      </c>
      <c r="CN9" s="69">
        <v>0.55920271825084833</v>
      </c>
      <c r="CO9" s="69">
        <v>0.65435309792512686</v>
      </c>
      <c r="CP9" s="69">
        <v>0.62703557362000883</v>
      </c>
      <c r="CQ9" s="69"/>
      <c r="CR9" s="69">
        <f t="shared" ref="CR9:CR32" si="50">CP9-CN9</f>
        <v>6.7832855369160505E-2</v>
      </c>
      <c r="CS9" s="69">
        <f>'RD T1'!E269</f>
        <v>0.22954978214813093</v>
      </c>
      <c r="CT9" s="69">
        <f t="shared" ref="CT9:CT32" si="51">SUM(CR9:CS9)</f>
        <v>0.29738263751729144</v>
      </c>
    </row>
    <row r="10" spans="1:98" x14ac:dyDescent="0.2">
      <c r="A10" s="10" t="str">
        <f>name!D6</f>
        <v>21 Science, research, engineering and technology professionals</v>
      </c>
      <c r="B10" s="69">
        <v>0.80679356050706452</v>
      </c>
      <c r="C10" s="69">
        <v>1.140890349685469</v>
      </c>
      <c r="D10" s="69">
        <v>0.98888910909566008</v>
      </c>
      <c r="E10" s="69">
        <v>1.2306190470939677</v>
      </c>
      <c r="F10" s="69">
        <v>1.6325783739637476</v>
      </c>
      <c r="G10" s="11"/>
      <c r="H10" s="69">
        <f t="shared" si="26"/>
        <v>0.64368926486808753</v>
      </c>
      <c r="I10" s="69">
        <f>'RD T1'!E38</f>
        <v>0.5264238454892437</v>
      </c>
      <c r="J10" s="69">
        <f t="shared" si="27"/>
        <v>1.1701131103573312</v>
      </c>
      <c r="L10" t="str">
        <f t="shared" si="28"/>
        <v>21 Science, research, engineering and technology professionals</v>
      </c>
      <c r="M10" s="69">
        <v>2.8735013907766729</v>
      </c>
      <c r="N10" s="69">
        <v>4.2173470226110039</v>
      </c>
      <c r="O10" s="69">
        <v>3.729205386268108</v>
      </c>
      <c r="P10" s="69">
        <v>4.7668091171865328</v>
      </c>
      <c r="Q10" s="69">
        <v>6.5027235305038413</v>
      </c>
      <c r="R10" s="11"/>
      <c r="S10" s="69">
        <f t="shared" si="29"/>
        <v>2.7735181442357333</v>
      </c>
      <c r="T10" s="69">
        <f>'RD T1'!E67</f>
        <v>2.2265076942270556</v>
      </c>
      <c r="U10" s="69">
        <f t="shared" si="30"/>
        <v>5.0000258384627889</v>
      </c>
      <c r="W10" t="str">
        <f t="shared" si="31"/>
        <v>21 Science, research, engineering and technology professionals</v>
      </c>
      <c r="X10" s="69">
        <v>7.0357472386733422</v>
      </c>
      <c r="Y10" s="69">
        <v>6.1701415685561329</v>
      </c>
      <c r="Z10" s="69">
        <v>6.6766108042637304</v>
      </c>
      <c r="AA10" s="69">
        <v>7.1546977627775119</v>
      </c>
      <c r="AB10" s="69">
        <v>7.6491362634317932</v>
      </c>
      <c r="AC10" s="69"/>
      <c r="AD10" s="69">
        <f t="shared" si="32"/>
        <v>0.97252545916806277</v>
      </c>
      <c r="AE10" s="69">
        <f>'RD T1'!E96</f>
        <v>2.8614791205614649</v>
      </c>
      <c r="AF10" s="69">
        <f t="shared" si="33"/>
        <v>3.8340045797295277</v>
      </c>
      <c r="AH10" t="str">
        <f t="shared" si="34"/>
        <v>21 Science, research, engineering and technology professionals</v>
      </c>
      <c r="AI10" s="69">
        <v>0.71476537306428056</v>
      </c>
      <c r="AJ10" s="69">
        <v>0.62711867803711963</v>
      </c>
      <c r="AK10" s="69">
        <v>0.7181086021728843</v>
      </c>
      <c r="AL10" s="69">
        <v>0.75902590242285473</v>
      </c>
      <c r="AM10" s="69">
        <v>0.8472407279358074</v>
      </c>
      <c r="AN10" s="69"/>
      <c r="AO10" s="69">
        <f t="shared" si="35"/>
        <v>0.1291321257629231</v>
      </c>
      <c r="AP10" s="69">
        <f>'RD T1'!E125</f>
        <v>0.30067104534235767</v>
      </c>
      <c r="AQ10" s="69">
        <f t="shared" si="36"/>
        <v>0.42980317110528077</v>
      </c>
      <c r="AS10" t="str">
        <f t="shared" si="37"/>
        <v>21 Science, research, engineering and technology professionals</v>
      </c>
      <c r="AT10" s="69">
        <v>2.3416529195198823</v>
      </c>
      <c r="AU10" s="69">
        <v>2.0475807216813093</v>
      </c>
      <c r="AV10" s="69">
        <v>2.187399490309522</v>
      </c>
      <c r="AW10" s="69">
        <v>2.1650983439671241</v>
      </c>
      <c r="AX10" s="69">
        <v>2.1048119134685188</v>
      </c>
      <c r="AY10" s="69"/>
      <c r="AZ10" s="69">
        <f t="shared" si="38"/>
        <v>-8.2587576841003152E-2</v>
      </c>
      <c r="BA10" s="69">
        <f>'RD T1'!E154</f>
        <v>0.73753590082653753</v>
      </c>
      <c r="BB10" s="69">
        <f t="shared" si="39"/>
        <v>0.65494832398553438</v>
      </c>
      <c r="BD10" t="str">
        <f t="shared" si="40"/>
        <v>21 Science, research, engineering and technology professionals</v>
      </c>
      <c r="BE10" s="69">
        <v>3.7873952594701503</v>
      </c>
      <c r="BF10" s="69">
        <v>3.7276718929655193</v>
      </c>
      <c r="BG10" s="69">
        <v>4.8727131843911176</v>
      </c>
      <c r="BH10" s="69">
        <v>3.9696195148725177</v>
      </c>
      <c r="BI10" s="69">
        <v>3.7842448295288356</v>
      </c>
      <c r="BJ10" s="69"/>
      <c r="BK10" s="69">
        <f t="shared" si="41"/>
        <v>-1.088468354862282</v>
      </c>
      <c r="BL10" s="69">
        <f>'RD T1'!E183</f>
        <v>1.1469218541043937</v>
      </c>
      <c r="BM10" s="69">
        <f t="shared" si="42"/>
        <v>5.8453499242111739E-2</v>
      </c>
      <c r="BO10" t="str">
        <f t="shared" si="43"/>
        <v>21 Science, research, engineering and technology professionals</v>
      </c>
      <c r="BP10" s="69">
        <v>2.5072813534473029</v>
      </c>
      <c r="BQ10" s="69">
        <v>2.5174435523994814</v>
      </c>
      <c r="BR10" s="69">
        <v>2.7747518143948176</v>
      </c>
      <c r="BS10" s="69">
        <v>2.6298937231432569</v>
      </c>
      <c r="BT10" s="69">
        <v>2.5714289638957437</v>
      </c>
      <c r="BU10" s="69"/>
      <c r="BV10" s="69">
        <f t="shared" si="44"/>
        <v>-0.20332285049907384</v>
      </c>
      <c r="BW10" s="69">
        <f>'RD T1'!E212</f>
        <v>0.81620563967726623</v>
      </c>
      <c r="BX10" s="69">
        <f t="shared" si="45"/>
        <v>0.61288278917819239</v>
      </c>
      <c r="BZ10" t="str">
        <f t="shared" si="46"/>
        <v>21 Science, research, engineering and technology professionals</v>
      </c>
      <c r="CA10" s="69">
        <v>1.0899657766376574</v>
      </c>
      <c r="CB10" s="69">
        <v>1.6285681388972018</v>
      </c>
      <c r="CC10" s="69">
        <v>1.2446303958247051</v>
      </c>
      <c r="CD10" s="69">
        <v>1.3283931465081675</v>
      </c>
      <c r="CE10" s="69">
        <v>1.0923053278951242</v>
      </c>
      <c r="CF10" s="69"/>
      <c r="CG10" s="69">
        <f t="shared" si="47"/>
        <v>-0.15232506792958089</v>
      </c>
      <c r="CH10" s="69">
        <f>'RD T1'!E241</f>
        <v>0.36593964820172559</v>
      </c>
      <c r="CI10" s="69">
        <f t="shared" si="48"/>
        <v>0.21361458027214469</v>
      </c>
      <c r="CK10" t="str">
        <f t="shared" si="49"/>
        <v>21 Science, research, engineering and technology professionals</v>
      </c>
      <c r="CL10" s="69">
        <v>0.26891857725383844</v>
      </c>
      <c r="CM10" s="69">
        <v>0.29892347484735143</v>
      </c>
      <c r="CN10" s="69">
        <v>0.27733029223187555</v>
      </c>
      <c r="CO10" s="69">
        <v>0.31023721885102234</v>
      </c>
      <c r="CP10" s="69">
        <v>0.29034720576545742</v>
      </c>
      <c r="CQ10" s="69"/>
      <c r="CR10" s="69">
        <f t="shared" si="50"/>
        <v>1.3016913533581864E-2</v>
      </c>
      <c r="CS10" s="69">
        <f>'RD T1'!E270</f>
        <v>9.8502987951029755E-2</v>
      </c>
      <c r="CT10" s="69">
        <f t="shared" si="51"/>
        <v>0.11151990148461162</v>
      </c>
    </row>
    <row r="11" spans="1:98" x14ac:dyDescent="0.2">
      <c r="A11" s="10" t="str">
        <f>name!D7</f>
        <v>22 Health professionals</v>
      </c>
      <c r="B11" s="69">
        <v>1.3653182299983713</v>
      </c>
      <c r="C11" s="69">
        <v>1.8146667656019166</v>
      </c>
      <c r="D11" s="69">
        <v>1.616687241985107</v>
      </c>
      <c r="E11" s="69">
        <v>2.0417618382710452</v>
      </c>
      <c r="F11" s="69">
        <v>2.5186166021083514</v>
      </c>
      <c r="G11" s="11"/>
      <c r="H11" s="69">
        <f t="shared" si="26"/>
        <v>0.90192936012324432</v>
      </c>
      <c r="I11" s="69">
        <f>'RD T1'!E39</f>
        <v>1.1576009492403505</v>
      </c>
      <c r="J11" s="69">
        <f t="shared" si="27"/>
        <v>2.0595303093635948</v>
      </c>
      <c r="L11" t="str">
        <f t="shared" si="28"/>
        <v>22 Health professionals</v>
      </c>
      <c r="M11" s="69">
        <v>4.1014931253145948</v>
      </c>
      <c r="N11" s="69">
        <v>5.2469099336653837</v>
      </c>
      <c r="O11" s="69">
        <v>4.6307719294245233</v>
      </c>
      <c r="P11" s="69">
        <v>5.4698430293403444</v>
      </c>
      <c r="Q11" s="69">
        <v>6.0665896168683853</v>
      </c>
      <c r="R11" s="11"/>
      <c r="S11" s="69">
        <f t="shared" si="29"/>
        <v>1.435817687443862</v>
      </c>
      <c r="T11" s="69">
        <f>'RD T1'!E68</f>
        <v>3.1413291418174696</v>
      </c>
      <c r="U11" s="69">
        <f t="shared" si="30"/>
        <v>4.5771468292613315</v>
      </c>
      <c r="W11" t="str">
        <f t="shared" si="31"/>
        <v>22 Health professionals</v>
      </c>
      <c r="X11" s="69">
        <v>9.8705609116556658</v>
      </c>
      <c r="Y11" s="69">
        <v>9.9064769262263397</v>
      </c>
      <c r="Z11" s="69">
        <v>11.112079028146676</v>
      </c>
      <c r="AA11" s="69">
        <v>13.162840477331812</v>
      </c>
      <c r="AB11" s="69">
        <v>16.401795969882755</v>
      </c>
      <c r="AC11" s="69"/>
      <c r="AD11" s="69">
        <f t="shared" si="32"/>
        <v>5.2897169417360796</v>
      </c>
      <c r="AE11" s="69">
        <f>'RD T1'!E97</f>
        <v>8.2820393139929447</v>
      </c>
      <c r="AF11" s="69">
        <f t="shared" si="33"/>
        <v>13.571756255729024</v>
      </c>
      <c r="AH11" t="str">
        <f t="shared" si="34"/>
        <v>22 Health professionals</v>
      </c>
      <c r="AI11" s="69">
        <v>5.3663211438621694</v>
      </c>
      <c r="AJ11" s="69">
        <v>3.5399624953618272</v>
      </c>
      <c r="AK11" s="69">
        <v>3.6320713019309983</v>
      </c>
      <c r="AL11" s="69">
        <v>2.1535172254320583</v>
      </c>
      <c r="AM11" s="69">
        <v>0.62821499143130211</v>
      </c>
      <c r="AN11" s="69"/>
      <c r="AO11" s="69">
        <f t="shared" si="35"/>
        <v>-3.003856310499696</v>
      </c>
      <c r="AP11" s="69">
        <f>'RD T1'!E126</f>
        <v>0.70647533451224409</v>
      </c>
      <c r="AQ11" s="69">
        <f t="shared" si="36"/>
        <v>-2.2973809759874522</v>
      </c>
      <c r="AS11" t="str">
        <f t="shared" si="37"/>
        <v>22 Health professionals</v>
      </c>
      <c r="AT11" s="69">
        <v>0.59555108073937402</v>
      </c>
      <c r="AU11" s="69">
        <v>0.5989181024165674</v>
      </c>
      <c r="AV11" s="69">
        <v>0.75323454067515094</v>
      </c>
      <c r="AW11" s="69">
        <v>0.8410536132246943</v>
      </c>
      <c r="AX11" s="69">
        <v>0.98614017530046427</v>
      </c>
      <c r="AY11" s="69"/>
      <c r="AZ11" s="69">
        <f t="shared" si="38"/>
        <v>0.23290563462531333</v>
      </c>
      <c r="BA11" s="69">
        <f>'RD T1'!E155</f>
        <v>0.44795733534111248</v>
      </c>
      <c r="BB11" s="69">
        <f t="shared" si="39"/>
        <v>0.68086296996642581</v>
      </c>
      <c r="BD11" t="str">
        <f t="shared" si="40"/>
        <v>22 Health professionals</v>
      </c>
      <c r="BE11" s="69">
        <v>2.7592619766441127</v>
      </c>
      <c r="BF11" s="69">
        <v>3.1690391835249851</v>
      </c>
      <c r="BG11" s="69">
        <v>3.6029747214039158</v>
      </c>
      <c r="BH11" s="69">
        <v>4.1948621070939049</v>
      </c>
      <c r="BI11" s="69">
        <v>4.8816439043339139</v>
      </c>
      <c r="BJ11" s="69"/>
      <c r="BK11" s="69">
        <f t="shared" si="41"/>
        <v>1.2786691829299981</v>
      </c>
      <c r="BL11" s="69">
        <f>'RD T1'!E184</f>
        <v>2.4374998205486067</v>
      </c>
      <c r="BM11" s="69">
        <f t="shared" si="42"/>
        <v>3.7161690034786048</v>
      </c>
      <c r="BO11" t="str">
        <f t="shared" si="43"/>
        <v>22 Health professionals</v>
      </c>
      <c r="BP11" s="69">
        <v>2.1822981681547162</v>
      </c>
      <c r="BQ11" s="69">
        <v>2.320977681647848</v>
      </c>
      <c r="BR11" s="69">
        <v>2.5063487909959856</v>
      </c>
      <c r="BS11" s="69">
        <v>2.5103863000442845</v>
      </c>
      <c r="BT11" s="69">
        <v>2.1847614049129316</v>
      </c>
      <c r="BU11" s="69"/>
      <c r="BV11" s="69">
        <f t="shared" si="44"/>
        <v>-0.32158738608305404</v>
      </c>
      <c r="BW11" s="69">
        <f>'RD T1'!E213</f>
        <v>1.0542440756353597</v>
      </c>
      <c r="BX11" s="69">
        <f t="shared" si="45"/>
        <v>0.73265668955230567</v>
      </c>
      <c r="BZ11" t="str">
        <f t="shared" si="46"/>
        <v>22 Health professionals</v>
      </c>
      <c r="CA11" s="69">
        <v>1.164681852063725</v>
      </c>
      <c r="CB11" s="69">
        <v>1.0580596865898777</v>
      </c>
      <c r="CC11" s="69">
        <v>1.0068364295744432</v>
      </c>
      <c r="CD11" s="69">
        <v>0.91593751017301761</v>
      </c>
      <c r="CE11" s="69">
        <v>0.44727478416687</v>
      </c>
      <c r="CF11" s="69"/>
      <c r="CG11" s="69">
        <f t="shared" si="47"/>
        <v>-0.55956164540757314</v>
      </c>
      <c r="CH11" s="69">
        <f>'RD T1'!E242</f>
        <v>0.29810490792121863</v>
      </c>
      <c r="CI11" s="69">
        <f t="shared" si="48"/>
        <v>-0.26145673748635451</v>
      </c>
      <c r="CK11" t="str">
        <f t="shared" si="49"/>
        <v>22 Health professionals</v>
      </c>
      <c r="CL11" s="69">
        <v>0.16720086465582287</v>
      </c>
      <c r="CM11" s="69">
        <v>0.19033428567185329</v>
      </c>
      <c r="CN11" s="69">
        <v>0.16676797871926174</v>
      </c>
      <c r="CO11" s="69">
        <v>0.19382590438742331</v>
      </c>
      <c r="CP11" s="69">
        <v>0.21090505649431895</v>
      </c>
      <c r="CQ11" s="69"/>
      <c r="CR11" s="69">
        <f t="shared" si="50"/>
        <v>4.413707777505721E-2</v>
      </c>
      <c r="CS11" s="69">
        <f>'RD T1'!E271</f>
        <v>7.5196946745585455E-2</v>
      </c>
      <c r="CT11" s="69">
        <f t="shared" si="51"/>
        <v>0.11933402452064266</v>
      </c>
    </row>
    <row r="12" spans="1:98" x14ac:dyDescent="0.2">
      <c r="A12" s="10" t="str">
        <f>name!D8</f>
        <v>23 Teaching and other educational professionals</v>
      </c>
      <c r="B12" s="69">
        <v>1.7800808775707857</v>
      </c>
      <c r="C12" s="69">
        <v>2.0256415304051045</v>
      </c>
      <c r="D12" s="69">
        <v>1.9022170503426141</v>
      </c>
      <c r="E12" s="69">
        <v>2.2816969018711259</v>
      </c>
      <c r="F12" s="69">
        <v>2.566093747790255</v>
      </c>
      <c r="G12" s="11"/>
      <c r="H12" s="69">
        <f t="shared" si="26"/>
        <v>0.66387669744764088</v>
      </c>
      <c r="I12" s="69">
        <f>'RD T1'!E40</f>
        <v>1.1871841036665423</v>
      </c>
      <c r="J12" s="69">
        <f t="shared" si="27"/>
        <v>1.8510608011141831</v>
      </c>
      <c r="L12" t="str">
        <f t="shared" si="28"/>
        <v>23 Teaching and other educational professionals</v>
      </c>
      <c r="M12" s="69">
        <v>9.4901301912594</v>
      </c>
      <c r="N12" s="69">
        <v>11.426195104946391</v>
      </c>
      <c r="O12" s="69">
        <v>10.804223848789942</v>
      </c>
      <c r="P12" s="69">
        <v>12.757555280438098</v>
      </c>
      <c r="Q12" s="69">
        <v>14.099339303205774</v>
      </c>
      <c r="R12" s="11"/>
      <c r="S12" s="69">
        <f t="shared" si="29"/>
        <v>3.2951154544158321</v>
      </c>
      <c r="T12" s="69">
        <f>'RD T1'!E69</f>
        <v>6.8513767237878662</v>
      </c>
      <c r="U12" s="69">
        <f t="shared" si="30"/>
        <v>10.146492178203697</v>
      </c>
      <c r="W12" t="str">
        <f t="shared" si="31"/>
        <v>23 Teaching and other educational professionals</v>
      </c>
      <c r="X12" s="69">
        <v>6.3488953929175551</v>
      </c>
      <c r="Y12" s="69">
        <v>5.0011485525927037</v>
      </c>
      <c r="Z12" s="69">
        <v>6.245637640337617</v>
      </c>
      <c r="AA12" s="69">
        <v>6.0906353088944778</v>
      </c>
      <c r="AB12" s="69">
        <v>6.3421299106088114</v>
      </c>
      <c r="AC12" s="69"/>
      <c r="AD12" s="69">
        <f t="shared" si="32"/>
        <v>9.6492270271194336E-2</v>
      </c>
      <c r="AE12" s="69">
        <f>'RD T1'!E98</f>
        <v>3.0107289091972205</v>
      </c>
      <c r="AF12" s="69">
        <f t="shared" si="33"/>
        <v>3.1072211794684148</v>
      </c>
      <c r="AH12" t="str">
        <f t="shared" si="34"/>
        <v>23 Teaching and other educational professionals</v>
      </c>
      <c r="AI12" s="69">
        <v>0.85665047435777841</v>
      </c>
      <c r="AJ12" s="69">
        <v>0.3413666433891106</v>
      </c>
      <c r="AK12" s="69">
        <v>0.33275615305349032</v>
      </c>
      <c r="AL12" s="69">
        <v>0.17881148454426696</v>
      </c>
      <c r="AM12" s="69">
        <v>0.17868643445342031</v>
      </c>
      <c r="AN12" s="69"/>
      <c r="AO12" s="69">
        <f t="shared" si="35"/>
        <v>-0.15406971860007002</v>
      </c>
      <c r="AP12" s="69">
        <f>'RD T1'!E127</f>
        <v>5.0939135816229206E-2</v>
      </c>
      <c r="AQ12" s="69">
        <f t="shared" si="36"/>
        <v>-0.10313058278384081</v>
      </c>
      <c r="AS12" t="str">
        <f t="shared" si="37"/>
        <v>23 Teaching and other educational professionals</v>
      </c>
      <c r="AT12" s="69">
        <v>0.21696297878922124</v>
      </c>
      <c r="AU12" s="69">
        <v>0.13684715074866161</v>
      </c>
      <c r="AV12" s="69">
        <v>0.1537319955427176</v>
      </c>
      <c r="AW12" s="69">
        <v>0.12958673871636162</v>
      </c>
      <c r="AX12" s="69">
        <v>0.10455866108472442</v>
      </c>
      <c r="AY12" s="69"/>
      <c r="AZ12" s="69">
        <f t="shared" si="38"/>
        <v>-4.9173334457993184E-2</v>
      </c>
      <c r="BA12" s="69">
        <f>'RD T1'!E156</f>
        <v>4.9044402263313303E-2</v>
      </c>
      <c r="BB12" s="69">
        <f t="shared" si="39"/>
        <v>-1.289321946798816E-4</v>
      </c>
      <c r="BD12" t="str">
        <f t="shared" si="40"/>
        <v>23 Teaching and other educational professionals</v>
      </c>
      <c r="BE12" s="69">
        <v>0.96119054009901062</v>
      </c>
      <c r="BF12" s="69">
        <v>0.82152567081516747</v>
      </c>
      <c r="BG12" s="69">
        <v>1.1634296043237597</v>
      </c>
      <c r="BH12" s="69">
        <v>1.1971477818030298</v>
      </c>
      <c r="BI12" s="69">
        <v>1.338269308065215</v>
      </c>
      <c r="BJ12" s="69"/>
      <c r="BK12" s="69">
        <f t="shared" si="41"/>
        <v>0.1748397037414553</v>
      </c>
      <c r="BL12" s="69">
        <f>'RD T1'!E185</f>
        <v>0.49101384764154477</v>
      </c>
      <c r="BM12" s="69">
        <f t="shared" si="42"/>
        <v>0.66585355138300006</v>
      </c>
      <c r="BO12" t="str">
        <f t="shared" si="43"/>
        <v>23 Teaching and other educational professionals</v>
      </c>
      <c r="BP12" s="69">
        <v>0.75665380943964555</v>
      </c>
      <c r="BQ12" s="69">
        <v>0.67336100991613446</v>
      </c>
      <c r="BR12" s="69">
        <v>0.83717414822925029</v>
      </c>
      <c r="BS12" s="69">
        <v>0.78915595680751993</v>
      </c>
      <c r="BT12" s="69">
        <v>0.67310634718283779</v>
      </c>
      <c r="BU12" s="69"/>
      <c r="BV12" s="69">
        <f t="shared" si="44"/>
        <v>-0.1640678010464125</v>
      </c>
      <c r="BW12" s="69">
        <f>'RD T1'!E214</f>
        <v>0.3335874961394435</v>
      </c>
      <c r="BX12" s="69">
        <f t="shared" si="45"/>
        <v>0.169519695093031</v>
      </c>
      <c r="BZ12" t="str">
        <f t="shared" si="46"/>
        <v>23 Teaching and other educational professionals</v>
      </c>
      <c r="CA12" s="69">
        <v>0.54025367222660647</v>
      </c>
      <c r="CB12" s="69">
        <v>0.50496084985007761</v>
      </c>
      <c r="CC12" s="69">
        <v>0.51494349283777352</v>
      </c>
      <c r="CD12" s="69">
        <v>0.49724599261875618</v>
      </c>
      <c r="CE12" s="69">
        <v>0.34116609981990825</v>
      </c>
      <c r="CF12" s="69"/>
      <c r="CG12" s="69">
        <f t="shared" si="47"/>
        <v>-0.17377739301786527</v>
      </c>
      <c r="CH12" s="69">
        <f>'RD T1'!E243</f>
        <v>0.1796515971620864</v>
      </c>
      <c r="CI12" s="69">
        <f t="shared" si="48"/>
        <v>5.874204144221129E-3</v>
      </c>
      <c r="CK12" t="str">
        <f t="shared" si="49"/>
        <v>23 Teaching and other educational professionals</v>
      </c>
      <c r="CL12" s="69">
        <v>0.12238845681367476</v>
      </c>
      <c r="CM12" s="69">
        <v>0.13361669971220602</v>
      </c>
      <c r="CN12" s="69">
        <v>0.12863133376919597</v>
      </c>
      <c r="CO12" s="69">
        <v>0.15293556546789783</v>
      </c>
      <c r="CP12" s="69">
        <v>0.16102889204868279</v>
      </c>
      <c r="CQ12" s="69"/>
      <c r="CR12" s="69">
        <f t="shared" si="50"/>
        <v>3.2397558279486816E-2</v>
      </c>
      <c r="CS12" s="69">
        <f>'RD T1'!E272</f>
        <v>5.9215978838985564E-2</v>
      </c>
      <c r="CT12" s="69">
        <f t="shared" si="51"/>
        <v>9.161353711847238E-2</v>
      </c>
    </row>
    <row r="13" spans="1:98" x14ac:dyDescent="0.2">
      <c r="A13" s="10" t="str">
        <f>name!D9</f>
        <v>24 Business, media and public service professionals</v>
      </c>
      <c r="B13" s="69">
        <v>0.27224240882313894</v>
      </c>
      <c r="C13" s="69">
        <v>0.39326872632269688</v>
      </c>
      <c r="D13" s="69">
        <v>0.36356844855145315</v>
      </c>
      <c r="E13" s="69">
        <v>0.46923139317086404</v>
      </c>
      <c r="F13" s="69">
        <v>0.63660037506899514</v>
      </c>
      <c r="G13" s="11"/>
      <c r="H13" s="69">
        <f t="shared" si="26"/>
        <v>0.27303192651754199</v>
      </c>
      <c r="I13" s="69">
        <f>'RD T1'!E41</f>
        <v>0.278594027563007</v>
      </c>
      <c r="J13" s="69">
        <f t="shared" si="27"/>
        <v>0.55162595408054904</v>
      </c>
      <c r="L13" t="str">
        <f t="shared" si="28"/>
        <v>24 Business, media and public service professionals</v>
      </c>
      <c r="M13" s="69">
        <v>3.6437663075464282</v>
      </c>
      <c r="N13" s="69">
        <v>4.9979272891915363</v>
      </c>
      <c r="O13" s="69">
        <v>4.6227471089691639</v>
      </c>
      <c r="P13" s="69">
        <v>5.5323068580165007</v>
      </c>
      <c r="Q13" s="69">
        <v>6.6476507973719361</v>
      </c>
      <c r="R13" s="11"/>
      <c r="S13" s="69">
        <f t="shared" si="29"/>
        <v>2.0249036884027722</v>
      </c>
      <c r="T13" s="69">
        <f>'RD T1'!E70</f>
        <v>3.1763000341085479</v>
      </c>
      <c r="U13" s="69">
        <f t="shared" si="30"/>
        <v>5.2012037225113197</v>
      </c>
      <c r="W13" t="str">
        <f t="shared" si="31"/>
        <v>24 Business, media and public service professionals</v>
      </c>
      <c r="X13" s="69">
        <v>7.1317345323265195</v>
      </c>
      <c r="Y13" s="69">
        <v>7.0092315014124589</v>
      </c>
      <c r="Z13" s="69">
        <v>8.6243320178964673</v>
      </c>
      <c r="AA13" s="69">
        <v>9.6894216972938807</v>
      </c>
      <c r="AB13" s="69">
        <v>11.715674045176943</v>
      </c>
      <c r="AC13" s="69"/>
      <c r="AD13" s="69">
        <f t="shared" si="32"/>
        <v>3.0913420272804757</v>
      </c>
      <c r="AE13" s="69">
        <f>'RD T1'!E99</f>
        <v>5.4600516667286998</v>
      </c>
      <c r="AF13" s="69">
        <f t="shared" si="33"/>
        <v>8.5513936940091746</v>
      </c>
      <c r="AH13" t="str">
        <f t="shared" si="34"/>
        <v>24 Business, media and public service professionals</v>
      </c>
      <c r="AI13" s="69">
        <v>0.83850624063865309</v>
      </c>
      <c r="AJ13" s="69">
        <v>0.69630851053320286</v>
      </c>
      <c r="AK13" s="69">
        <v>0.82820521505361333</v>
      </c>
      <c r="AL13" s="69">
        <v>0.77934101417403123</v>
      </c>
      <c r="AM13" s="69">
        <v>0.86394161073102027</v>
      </c>
      <c r="AN13" s="69"/>
      <c r="AO13" s="69">
        <f t="shared" si="35"/>
        <v>3.573639567740694E-2</v>
      </c>
      <c r="AP13" s="69">
        <f>'RD T1'!E128</f>
        <v>0.31038116967179619</v>
      </c>
      <c r="AQ13" s="69">
        <f t="shared" si="36"/>
        <v>0.34611756534920313</v>
      </c>
      <c r="AS13" t="str">
        <f t="shared" si="37"/>
        <v>24 Business, media and public service professionals</v>
      </c>
      <c r="AT13" s="69">
        <v>1.1825198729749484</v>
      </c>
      <c r="AU13" s="69">
        <v>1.0678076798651861</v>
      </c>
      <c r="AV13" s="69">
        <v>1.2652302798954553</v>
      </c>
      <c r="AW13" s="69">
        <v>1.4183824848295883</v>
      </c>
      <c r="AX13" s="69">
        <v>1.6498660833002665</v>
      </c>
      <c r="AY13" s="69"/>
      <c r="AZ13" s="69">
        <f t="shared" si="38"/>
        <v>0.38463580340481118</v>
      </c>
      <c r="BA13" s="69">
        <f>'RD T1'!E157</f>
        <v>0.70999242291738929</v>
      </c>
      <c r="BB13" s="69">
        <f t="shared" si="39"/>
        <v>1.0946282263222005</v>
      </c>
      <c r="BD13" t="str">
        <f t="shared" si="40"/>
        <v>24 Business, media and public service professionals</v>
      </c>
      <c r="BE13" s="69">
        <v>3.2365392035557838</v>
      </c>
      <c r="BF13" s="69">
        <v>3.3764506142067909</v>
      </c>
      <c r="BG13" s="69">
        <v>4.5131550638916096</v>
      </c>
      <c r="BH13" s="69">
        <v>4.4404176824518133</v>
      </c>
      <c r="BI13" s="69">
        <v>4.918816677061546</v>
      </c>
      <c r="BJ13" s="69"/>
      <c r="BK13" s="69">
        <f t="shared" si="41"/>
        <v>0.40566161316993643</v>
      </c>
      <c r="BL13" s="69">
        <f>'RD T1'!E186</f>
        <v>1.9563746219117299</v>
      </c>
      <c r="BM13" s="69">
        <f t="shared" si="42"/>
        <v>2.3620362350816664</v>
      </c>
      <c r="BO13" t="str">
        <f t="shared" si="43"/>
        <v>24 Business, media and public service professionals</v>
      </c>
      <c r="BP13" s="69">
        <v>2.3484156583232578</v>
      </c>
      <c r="BQ13" s="69">
        <v>2.3258594423147128</v>
      </c>
      <c r="BR13" s="69">
        <v>2.6887170987274036</v>
      </c>
      <c r="BS13" s="69">
        <v>2.6624211377336748</v>
      </c>
      <c r="BT13" s="69">
        <v>2.5372422566600745</v>
      </c>
      <c r="BU13" s="69"/>
      <c r="BV13" s="69">
        <f t="shared" si="44"/>
        <v>-0.15147484206732909</v>
      </c>
      <c r="BW13" s="69">
        <f>'RD T1'!E215</f>
        <v>1.0483703923757417</v>
      </c>
      <c r="BX13" s="69">
        <f t="shared" si="45"/>
        <v>0.89689555030841261</v>
      </c>
      <c r="BZ13" t="str">
        <f t="shared" si="46"/>
        <v>24 Business, media and public service professionals</v>
      </c>
      <c r="CA13" s="69">
        <v>1.0577031921398388</v>
      </c>
      <c r="CB13" s="69">
        <v>1.32696548123451</v>
      </c>
      <c r="CC13" s="69">
        <v>1.2104142142840084</v>
      </c>
      <c r="CD13" s="69">
        <v>1.2234557248763056</v>
      </c>
      <c r="CE13" s="69">
        <v>0.77207275350683691</v>
      </c>
      <c r="CF13" s="69"/>
      <c r="CG13" s="69">
        <f t="shared" si="47"/>
        <v>-0.43834146077717151</v>
      </c>
      <c r="CH13" s="69">
        <f>'RD T1'!E244</f>
        <v>0.40467450923023057</v>
      </c>
      <c r="CI13" s="69">
        <f t="shared" si="48"/>
        <v>-3.3666951546940938E-2</v>
      </c>
      <c r="CK13" t="str">
        <f t="shared" si="49"/>
        <v>24 Business, media and public service professionals</v>
      </c>
      <c r="CL13" s="69">
        <v>0.34193402307964538</v>
      </c>
      <c r="CM13" s="69">
        <v>0.39919262861608451</v>
      </c>
      <c r="CN13" s="69">
        <v>0.37100520215712196</v>
      </c>
      <c r="CO13" s="69">
        <v>0.40833095314866813</v>
      </c>
      <c r="CP13" s="69">
        <v>0.45689818767531298</v>
      </c>
      <c r="CQ13" s="69"/>
      <c r="CR13" s="69">
        <f t="shared" si="50"/>
        <v>8.5892985518191023E-2</v>
      </c>
      <c r="CS13" s="69">
        <f>'RD T1'!E273</f>
        <v>0.16358609184031822</v>
      </c>
      <c r="CT13" s="69">
        <f t="shared" si="51"/>
        <v>0.24947907735850924</v>
      </c>
    </row>
    <row r="14" spans="1:98" x14ac:dyDescent="0.2">
      <c r="A14" s="10" t="str">
        <f>name!D10</f>
        <v>31 Science, engineering and technology associate professionals</v>
      </c>
      <c r="B14" s="69">
        <v>0.10763978604299126</v>
      </c>
      <c r="C14" s="69">
        <v>0.16139363867507497</v>
      </c>
      <c r="D14" s="69">
        <v>0.14184704883985894</v>
      </c>
      <c r="E14" s="69">
        <v>0.16394027204290115</v>
      </c>
      <c r="F14" s="69">
        <v>0.23633657580930767</v>
      </c>
      <c r="G14" s="11"/>
      <c r="H14" s="69">
        <f t="shared" si="26"/>
        <v>9.4489526969448734E-2</v>
      </c>
      <c r="I14" s="69">
        <f>'RD T1'!E42</f>
        <v>9.2436359789175165E-2</v>
      </c>
      <c r="J14" s="69">
        <f t="shared" si="27"/>
        <v>0.1869258867586239</v>
      </c>
      <c r="L14" t="str">
        <f t="shared" si="28"/>
        <v>31 Science, engineering and technology associate professionals</v>
      </c>
      <c r="M14" s="69">
        <v>0.63322088547721322</v>
      </c>
      <c r="N14" s="69">
        <v>0.93254798239023473</v>
      </c>
      <c r="O14" s="69">
        <v>0.85264982246806098</v>
      </c>
      <c r="P14" s="69">
        <v>0.9067266429971218</v>
      </c>
      <c r="Q14" s="69">
        <v>1.2250491590643637</v>
      </c>
      <c r="R14" s="11"/>
      <c r="S14" s="69">
        <f t="shared" si="29"/>
        <v>0.37239933659630275</v>
      </c>
      <c r="T14" s="69">
        <f>'RD T1'!E71</f>
        <v>0.47307782303449908</v>
      </c>
      <c r="U14" s="69">
        <f t="shared" si="30"/>
        <v>0.84547715963080183</v>
      </c>
      <c r="W14" t="str">
        <f t="shared" si="31"/>
        <v>31 Science, engineering and technology associate professionals</v>
      </c>
      <c r="X14" s="69">
        <v>2.0096843166859539</v>
      </c>
      <c r="Y14" s="69">
        <v>1.9029245812360402</v>
      </c>
      <c r="Z14" s="69">
        <v>2.120484128241769</v>
      </c>
      <c r="AA14" s="69">
        <v>2.0012315936898983</v>
      </c>
      <c r="AB14" s="69">
        <v>2.1998673184629953</v>
      </c>
      <c r="AC14" s="69"/>
      <c r="AD14" s="69">
        <f t="shared" si="32"/>
        <v>7.9383190221226307E-2</v>
      </c>
      <c r="AE14" s="69">
        <f>'RD T1'!E100</f>
        <v>0.92924702786846514</v>
      </c>
      <c r="AF14" s="69">
        <f t="shared" si="33"/>
        <v>1.0086302180896913</v>
      </c>
      <c r="AH14" t="str">
        <f t="shared" si="34"/>
        <v>31 Science, engineering and technology associate professionals</v>
      </c>
      <c r="AI14" s="69">
        <v>0.37328777169573235</v>
      </c>
      <c r="AJ14" s="69">
        <v>0.37572620074096208</v>
      </c>
      <c r="AK14" s="69">
        <v>0.43451630475624969</v>
      </c>
      <c r="AL14" s="69">
        <v>0.44216856120442599</v>
      </c>
      <c r="AM14" s="69">
        <v>0.56596282255445218</v>
      </c>
      <c r="AN14" s="69"/>
      <c r="AO14" s="69">
        <f t="shared" si="35"/>
        <v>0.13144651779820249</v>
      </c>
      <c r="AP14" s="69">
        <f>'RD T1'!E129</f>
        <v>0.22458402842186381</v>
      </c>
      <c r="AQ14" s="69">
        <f t="shared" si="36"/>
        <v>0.3560305462200663</v>
      </c>
      <c r="AS14" t="str">
        <f t="shared" si="37"/>
        <v>31 Science, engineering and technology associate professionals</v>
      </c>
      <c r="AT14" s="69">
        <v>1.0866070619710744</v>
      </c>
      <c r="AU14" s="69">
        <v>0.92435715606307101</v>
      </c>
      <c r="AV14" s="69">
        <v>0.9996171180070722</v>
      </c>
      <c r="AW14" s="69">
        <v>0.83347777272108903</v>
      </c>
      <c r="AX14" s="69">
        <v>0.79477089630433873</v>
      </c>
      <c r="AY14" s="69"/>
      <c r="AZ14" s="69">
        <f t="shared" si="38"/>
        <v>-0.20484622170273348</v>
      </c>
      <c r="BA14" s="69">
        <f>'RD T1'!E158</f>
        <v>0.31524559458199908</v>
      </c>
      <c r="BB14" s="69">
        <f t="shared" si="39"/>
        <v>0.1103993728792656</v>
      </c>
      <c r="BD14" t="str">
        <f t="shared" si="40"/>
        <v>31 Science, engineering and technology associate professionals</v>
      </c>
      <c r="BE14" s="69">
        <v>2.2214244056437202</v>
      </c>
      <c r="BF14" s="69">
        <v>2.3383322065383707</v>
      </c>
      <c r="BG14" s="69">
        <v>2.994096612824821</v>
      </c>
      <c r="BH14" s="69">
        <v>2.08574695404945</v>
      </c>
      <c r="BI14" s="69">
        <v>1.8232969103883219</v>
      </c>
      <c r="BJ14" s="69"/>
      <c r="BK14" s="69">
        <f t="shared" si="41"/>
        <v>-1.1707997024364991</v>
      </c>
      <c r="BL14" s="69">
        <f>'RD T1'!E187</f>
        <v>0.69566904779226968</v>
      </c>
      <c r="BM14" s="69">
        <f t="shared" si="42"/>
        <v>-0.47513065464422943</v>
      </c>
      <c r="BO14" t="str">
        <f t="shared" si="43"/>
        <v>31 Science, engineering and technology associate professionals</v>
      </c>
      <c r="BP14" s="69">
        <v>1.6318506865874283</v>
      </c>
      <c r="BQ14" s="69">
        <v>1.7423008646081626</v>
      </c>
      <c r="BR14" s="69">
        <v>1.9423501448343408</v>
      </c>
      <c r="BS14" s="69">
        <v>1.5858236342583922</v>
      </c>
      <c r="BT14" s="69">
        <v>1.5401417009002809</v>
      </c>
      <c r="BU14" s="69"/>
      <c r="BV14" s="69">
        <f t="shared" si="44"/>
        <v>-0.40220844393405986</v>
      </c>
      <c r="BW14" s="69">
        <f>'RD T1'!E216</f>
        <v>0.54961224402387221</v>
      </c>
      <c r="BX14" s="69">
        <f t="shared" si="45"/>
        <v>0.14740380008981235</v>
      </c>
      <c r="BZ14" t="str">
        <f t="shared" si="46"/>
        <v>31 Science, engineering and technology associate professionals</v>
      </c>
      <c r="CA14" s="69">
        <v>0.82130318121918067</v>
      </c>
      <c r="CB14" s="69">
        <v>1.2863512950522538</v>
      </c>
      <c r="CC14" s="69">
        <v>1.0285630477896444</v>
      </c>
      <c r="CD14" s="69">
        <v>0.92263603494536706</v>
      </c>
      <c r="CE14" s="69">
        <v>0.76521514479412256</v>
      </c>
      <c r="CF14" s="69"/>
      <c r="CG14" s="69">
        <f t="shared" si="47"/>
        <v>-0.2633479029955218</v>
      </c>
      <c r="CH14" s="69">
        <f>'RD T1'!E245</f>
        <v>0.30418177722528089</v>
      </c>
      <c r="CI14" s="69">
        <f t="shared" si="48"/>
        <v>4.0833874229759093E-2</v>
      </c>
      <c r="CK14" t="str">
        <f t="shared" si="49"/>
        <v>31 Science, engineering and technology associate professionals</v>
      </c>
      <c r="CL14" s="69">
        <v>0.17043859534727493</v>
      </c>
      <c r="CM14" s="69">
        <v>0.20809259350168968</v>
      </c>
      <c r="CN14" s="69">
        <v>0.19571628307944552</v>
      </c>
      <c r="CO14" s="69">
        <v>0.19145543049875732</v>
      </c>
      <c r="CP14" s="69">
        <v>0.21624037014545908</v>
      </c>
      <c r="CQ14" s="69"/>
      <c r="CR14" s="69">
        <f t="shared" si="50"/>
        <v>2.0524087066013552E-2</v>
      </c>
      <c r="CS14" s="69">
        <f>'RD T1'!E274</f>
        <v>7.7111267441301867E-2</v>
      </c>
      <c r="CT14" s="69">
        <f t="shared" si="51"/>
        <v>9.7635354507315419E-2</v>
      </c>
    </row>
    <row r="15" spans="1:98" x14ac:dyDescent="0.2">
      <c r="A15" s="10" t="str">
        <f>name!D11</f>
        <v>32 Health and social care associate professionals</v>
      </c>
      <c r="B15" s="69">
        <v>2.9203444865472543E-2</v>
      </c>
      <c r="C15" s="69">
        <v>4.6131488267988498E-2</v>
      </c>
      <c r="D15" s="69">
        <v>3.274030309596928E-2</v>
      </c>
      <c r="E15" s="69">
        <v>3.8542274229724921E-2</v>
      </c>
      <c r="F15" s="69">
        <v>4.774009806208826E-2</v>
      </c>
      <c r="G15" s="11"/>
      <c r="H15" s="69">
        <f t="shared" si="26"/>
        <v>1.499979496611898E-2</v>
      </c>
      <c r="I15" s="69">
        <f>'RD T1'!E43</f>
        <v>2.7374805867108082E-2</v>
      </c>
      <c r="J15" s="69">
        <f t="shared" si="27"/>
        <v>4.2374600833227062E-2</v>
      </c>
      <c r="L15" t="str">
        <f t="shared" si="28"/>
        <v>32 Health and social care associate professionals</v>
      </c>
      <c r="M15" s="69">
        <v>0.85629902005551195</v>
      </c>
      <c r="N15" s="69">
        <v>1.1427191323501984</v>
      </c>
      <c r="O15" s="69">
        <v>0.97080852256156736</v>
      </c>
      <c r="P15" s="69">
        <v>1.0961963171123699</v>
      </c>
      <c r="Q15" s="69">
        <v>1.2727443843437105</v>
      </c>
      <c r="R15" s="11"/>
      <c r="S15" s="69">
        <f t="shared" si="29"/>
        <v>0.30193586178214316</v>
      </c>
      <c r="T15" s="69">
        <f>'RD T1'!E72</f>
        <v>0.73664034307505322</v>
      </c>
      <c r="U15" s="69">
        <f t="shared" si="30"/>
        <v>1.0385762048571965</v>
      </c>
      <c r="W15" t="str">
        <f t="shared" si="31"/>
        <v>32 Health and social care associate professionals</v>
      </c>
      <c r="X15" s="69">
        <v>2.7595775174113339</v>
      </c>
      <c r="Y15" s="69">
        <v>2.8688323949310788</v>
      </c>
      <c r="Z15" s="69">
        <v>3.225121531157614</v>
      </c>
      <c r="AA15" s="69">
        <v>3.6731228588457623</v>
      </c>
      <c r="AB15" s="69">
        <v>4.7754375133278328</v>
      </c>
      <c r="AC15" s="69"/>
      <c r="AD15" s="69">
        <f t="shared" si="32"/>
        <v>1.5503159821702188</v>
      </c>
      <c r="AE15" s="69">
        <f>'RD T1'!E101</f>
        <v>2.5799340646220026</v>
      </c>
      <c r="AF15" s="69">
        <f t="shared" si="33"/>
        <v>4.1302500467922219</v>
      </c>
      <c r="AH15" t="str">
        <f t="shared" si="34"/>
        <v>32 Health and social care associate professionals</v>
      </c>
      <c r="AI15" s="69">
        <v>2.0566175879587085</v>
      </c>
      <c r="AJ15" s="69">
        <v>1.5159696812415604</v>
      </c>
      <c r="AK15" s="69">
        <v>1.6275398861975479</v>
      </c>
      <c r="AL15" s="69">
        <v>1.1953189777541096</v>
      </c>
      <c r="AM15" s="69">
        <v>0.64421976039209727</v>
      </c>
      <c r="AN15" s="69"/>
      <c r="AO15" s="69">
        <f t="shared" si="35"/>
        <v>-0.98332012580545058</v>
      </c>
      <c r="AP15" s="69">
        <f>'RD T1'!E130</f>
        <v>0.47065072923254803</v>
      </c>
      <c r="AQ15" s="69">
        <f t="shared" si="36"/>
        <v>-0.51266939657290256</v>
      </c>
      <c r="AS15" t="str">
        <f t="shared" si="37"/>
        <v>32 Health and social care associate professionals</v>
      </c>
      <c r="AT15" s="69">
        <v>0.35909071831424871</v>
      </c>
      <c r="AU15" s="69">
        <v>0.36993969620478412</v>
      </c>
      <c r="AV15" s="69">
        <v>0.44090483827789567</v>
      </c>
      <c r="AW15" s="69">
        <v>0.4307718359026258</v>
      </c>
      <c r="AX15" s="69">
        <v>0.48471938867241732</v>
      </c>
      <c r="AY15" s="69"/>
      <c r="AZ15" s="69">
        <f t="shared" si="38"/>
        <v>4.3814550394521645E-2</v>
      </c>
      <c r="BA15" s="69">
        <f>'RD T1'!E159</f>
        <v>0.2576477353230654</v>
      </c>
      <c r="BB15" s="69">
        <f t="shared" si="39"/>
        <v>0.30146228571758704</v>
      </c>
      <c r="BD15" t="str">
        <f t="shared" si="40"/>
        <v>32 Health and social care associate professionals</v>
      </c>
      <c r="BE15" s="69">
        <v>1.6270285396234827</v>
      </c>
      <c r="BF15" s="69">
        <v>1.8702368801621492</v>
      </c>
      <c r="BG15" s="69">
        <v>2.1218456166019086</v>
      </c>
      <c r="BH15" s="69">
        <v>2.2489020089091243</v>
      </c>
      <c r="BI15" s="69">
        <v>2.6205764046343289</v>
      </c>
      <c r="BJ15" s="69"/>
      <c r="BK15" s="69">
        <f t="shared" si="41"/>
        <v>0.49873078803242032</v>
      </c>
      <c r="BL15" s="69">
        <f>'RD T1'!E188</f>
        <v>1.3981006396188123</v>
      </c>
      <c r="BM15" s="69">
        <f t="shared" si="42"/>
        <v>1.8968314276512326</v>
      </c>
      <c r="BO15" t="str">
        <f t="shared" si="43"/>
        <v>32 Health and social care associate professionals</v>
      </c>
      <c r="BP15" s="69">
        <v>1.358413873680657</v>
      </c>
      <c r="BQ15" s="69">
        <v>1.4080676541739545</v>
      </c>
      <c r="BR15" s="69">
        <v>1.5036898040463855</v>
      </c>
      <c r="BS15" s="69">
        <v>1.3318541030592237</v>
      </c>
      <c r="BT15" s="69">
        <v>1.07968830439645</v>
      </c>
      <c r="BU15" s="69"/>
      <c r="BV15" s="69">
        <f t="shared" si="44"/>
        <v>-0.4240014996499355</v>
      </c>
      <c r="BW15" s="69">
        <f>'RD T1'!E217</f>
        <v>0.62252011349594816</v>
      </c>
      <c r="BX15" s="69">
        <f t="shared" si="45"/>
        <v>0.19851861384601266</v>
      </c>
      <c r="BZ15" t="str">
        <f t="shared" si="46"/>
        <v>32 Health and social care associate professionals</v>
      </c>
      <c r="CA15" s="69">
        <v>0.52942540875920163</v>
      </c>
      <c r="CB15" s="69">
        <v>0.43198924671673317</v>
      </c>
      <c r="CC15" s="69">
        <v>0.40396691963046338</v>
      </c>
      <c r="CD15" s="69">
        <v>0.3208226843367154</v>
      </c>
      <c r="CE15" s="69">
        <v>0.15728659326959724</v>
      </c>
      <c r="CF15" s="69"/>
      <c r="CG15" s="69">
        <f t="shared" si="47"/>
        <v>-0.24668032636086615</v>
      </c>
      <c r="CH15" s="69">
        <f>'RD T1'!E246</f>
        <v>0.1112695268755983</v>
      </c>
      <c r="CI15" s="69">
        <f t="shared" si="48"/>
        <v>-0.13541079948526785</v>
      </c>
      <c r="CK15" t="str">
        <f t="shared" si="49"/>
        <v>32 Health and social care associate professionals</v>
      </c>
      <c r="CL15" s="69">
        <v>8.6571368872778484E-2</v>
      </c>
      <c r="CM15" s="69">
        <v>8.7901835806206405E-2</v>
      </c>
      <c r="CN15" s="69">
        <v>7.653489064252314E-2</v>
      </c>
      <c r="CO15" s="69">
        <v>7.9393452353126309E-2</v>
      </c>
      <c r="CP15" s="69">
        <v>8.4694096915339787E-2</v>
      </c>
      <c r="CQ15" s="69"/>
      <c r="CR15" s="69">
        <f t="shared" si="50"/>
        <v>8.1592062728166465E-3</v>
      </c>
      <c r="CS15" s="69">
        <f>'RD T1'!E275</f>
        <v>3.2350491746854462E-2</v>
      </c>
      <c r="CT15" s="69">
        <f t="shared" si="51"/>
        <v>4.0509698019671109E-2</v>
      </c>
    </row>
    <row r="16" spans="1:98" x14ac:dyDescent="0.2">
      <c r="A16" s="10" t="str">
        <f>name!D12</f>
        <v>33 Protective service occupations</v>
      </c>
      <c r="B16" s="69">
        <v>1.1588689955715619E-2</v>
      </c>
      <c r="C16" s="69">
        <v>1.9395936352537144E-2</v>
      </c>
      <c r="D16" s="69">
        <v>1.5508814454848157E-2</v>
      </c>
      <c r="E16" s="69">
        <v>2.3664313080042288E-2</v>
      </c>
      <c r="F16" s="69">
        <v>3.5956785463334286E-2</v>
      </c>
      <c r="G16" s="11"/>
      <c r="H16" s="69">
        <f t="shared" si="26"/>
        <v>2.0447971008486131E-2</v>
      </c>
      <c r="I16" s="69">
        <f>'RD T1'!E44</f>
        <v>1.0991753560711659E-2</v>
      </c>
      <c r="J16" s="69">
        <f t="shared" si="27"/>
        <v>3.1439724569197788E-2</v>
      </c>
      <c r="L16" t="str">
        <f t="shared" si="28"/>
        <v>33 Protective service occupations</v>
      </c>
      <c r="M16" s="69">
        <v>0.20055298885822542</v>
      </c>
      <c r="N16" s="69">
        <v>0.32850350121068428</v>
      </c>
      <c r="O16" s="69">
        <v>0.27251433974476058</v>
      </c>
      <c r="P16" s="69">
        <v>0.40788162089498858</v>
      </c>
      <c r="Q16" s="69">
        <v>0.6616437339621396</v>
      </c>
      <c r="R16" s="11"/>
      <c r="S16" s="69">
        <f t="shared" si="29"/>
        <v>0.38912939421737902</v>
      </c>
      <c r="T16" s="69">
        <f>'RD T1'!E73</f>
        <v>0.17368105727220051</v>
      </c>
      <c r="U16" s="69">
        <f t="shared" si="30"/>
        <v>0.56281045148957953</v>
      </c>
      <c r="W16" t="str">
        <f t="shared" si="31"/>
        <v>33 Protective service occupations</v>
      </c>
      <c r="X16" s="69">
        <v>1.3111377835383671</v>
      </c>
      <c r="Y16" s="69">
        <v>1.4246794775491127</v>
      </c>
      <c r="Z16" s="69">
        <v>1.5779468230751523</v>
      </c>
      <c r="AA16" s="69">
        <v>2.0752185500010505</v>
      </c>
      <c r="AB16" s="69">
        <v>3.0726625106010861</v>
      </c>
      <c r="AC16" s="69"/>
      <c r="AD16" s="69">
        <f t="shared" si="32"/>
        <v>1.4947156875259338</v>
      </c>
      <c r="AE16" s="69">
        <f>'RD T1'!E102</f>
        <v>1.0875872518403902</v>
      </c>
      <c r="AF16" s="69">
        <f t="shared" si="33"/>
        <v>2.5823029393663237</v>
      </c>
      <c r="AH16" t="str">
        <f t="shared" si="34"/>
        <v>33 Protective service occupations</v>
      </c>
      <c r="AI16" s="69">
        <v>0.36318357718922956</v>
      </c>
      <c r="AJ16" s="69">
        <v>0.38065455992644165</v>
      </c>
      <c r="AK16" s="69">
        <v>0.42035571903908375</v>
      </c>
      <c r="AL16" s="69">
        <v>0.5417791928995902</v>
      </c>
      <c r="AM16" s="69">
        <v>0.74425028376313662</v>
      </c>
      <c r="AN16" s="69"/>
      <c r="AO16" s="69">
        <f t="shared" si="35"/>
        <v>0.32389456472405287</v>
      </c>
      <c r="AP16" s="69">
        <f>'RD T1'!E131</f>
        <v>0.23986832997209145</v>
      </c>
      <c r="AQ16" s="69">
        <f t="shared" si="36"/>
        <v>0.56376289469614438</v>
      </c>
      <c r="AS16" t="str">
        <f t="shared" si="37"/>
        <v>33 Protective service occupations</v>
      </c>
      <c r="AT16" s="69">
        <v>0.33529616851886068</v>
      </c>
      <c r="AU16" s="69">
        <v>0.31636221315058094</v>
      </c>
      <c r="AV16" s="69">
        <v>0.33883245045524879</v>
      </c>
      <c r="AW16" s="69">
        <v>0.38010427145576003</v>
      </c>
      <c r="AX16" s="69">
        <v>0.46226219693798343</v>
      </c>
      <c r="AY16" s="69"/>
      <c r="AZ16" s="69">
        <f t="shared" si="38"/>
        <v>0.12342974648273464</v>
      </c>
      <c r="BA16" s="69">
        <f>'RD T1'!E160</f>
        <v>0.17840617302586495</v>
      </c>
      <c r="BB16" s="69">
        <f t="shared" si="39"/>
        <v>0.30183591950859956</v>
      </c>
      <c r="BD16" t="str">
        <f t="shared" si="40"/>
        <v>33 Protective service occupations</v>
      </c>
      <c r="BE16" s="69">
        <v>1.537685881580326</v>
      </c>
      <c r="BF16" s="69">
        <v>1.4337605911153064</v>
      </c>
      <c r="BG16" s="69">
        <v>1.7713248318182044</v>
      </c>
      <c r="BH16" s="69">
        <v>1.6581504171554999</v>
      </c>
      <c r="BI16" s="69">
        <v>1.632520976562746</v>
      </c>
      <c r="BJ16" s="69"/>
      <c r="BK16" s="69">
        <f t="shared" si="41"/>
        <v>-0.13880385525545846</v>
      </c>
      <c r="BL16" s="69">
        <f>'RD T1'!E189</f>
        <v>0.42134197867649942</v>
      </c>
      <c r="BM16" s="69">
        <f t="shared" si="42"/>
        <v>0.28253812342104095</v>
      </c>
      <c r="BO16" t="str">
        <f t="shared" si="43"/>
        <v>33 Protective service occupations</v>
      </c>
      <c r="BP16" s="69">
        <v>1.7212127139172335</v>
      </c>
      <c r="BQ16" s="69">
        <v>1.7555346137040533</v>
      </c>
      <c r="BR16" s="69">
        <v>1.7754291652312735</v>
      </c>
      <c r="BS16" s="69">
        <v>1.9325146340087236</v>
      </c>
      <c r="BT16" s="69">
        <v>1.8264921086818093</v>
      </c>
      <c r="BU16" s="69"/>
      <c r="BV16" s="69">
        <f t="shared" si="44"/>
        <v>5.1062943450535858E-2</v>
      </c>
      <c r="BW16" s="69">
        <f>'RD T1'!E218</f>
        <v>0.54083098559457321</v>
      </c>
      <c r="BX16" s="69">
        <f t="shared" si="45"/>
        <v>0.59189392904510907</v>
      </c>
      <c r="BZ16" t="str">
        <f t="shared" si="46"/>
        <v>33 Protective service occupations</v>
      </c>
      <c r="CA16" s="69">
        <v>0.72904303965314132</v>
      </c>
      <c r="CB16" s="69">
        <v>0.9167197920446728</v>
      </c>
      <c r="CC16" s="69">
        <v>0.76422203440992065</v>
      </c>
      <c r="CD16" s="69">
        <v>0.88146977371933932</v>
      </c>
      <c r="CE16" s="69">
        <v>0.51139601996230488</v>
      </c>
      <c r="CF16" s="69"/>
      <c r="CG16" s="69">
        <f t="shared" si="47"/>
        <v>-0.25282601444761577</v>
      </c>
      <c r="CH16" s="69">
        <f>'RD T1'!E247</f>
        <v>0.26934409765778317</v>
      </c>
      <c r="CI16" s="69">
        <f t="shared" si="48"/>
        <v>1.65180832101674E-2</v>
      </c>
      <c r="CK16" t="str">
        <f t="shared" si="49"/>
        <v>33 Protective service occupations</v>
      </c>
      <c r="CL16" s="69">
        <v>0.14757510046954569</v>
      </c>
      <c r="CM16" s="69">
        <v>0.13332386168368873</v>
      </c>
      <c r="CN16" s="69">
        <v>0.11335893604988947</v>
      </c>
      <c r="CO16" s="69">
        <v>9.4407623757734357E-2</v>
      </c>
      <c r="CP16" s="69">
        <v>8.6510457337601765E-2</v>
      </c>
      <c r="CQ16" s="69"/>
      <c r="CR16" s="69">
        <f t="shared" si="50"/>
        <v>-2.684847871228771E-2</v>
      </c>
      <c r="CS16" s="69">
        <f>'RD T1'!E276</f>
        <v>2.3154761401531606E-2</v>
      </c>
      <c r="CT16" s="69">
        <f t="shared" si="51"/>
        <v>-3.693717310756104E-3</v>
      </c>
    </row>
    <row r="17" spans="1:98" x14ac:dyDescent="0.2">
      <c r="A17" s="10" t="str">
        <f>name!D13</f>
        <v>34 Culture, media and sports occupations</v>
      </c>
      <c r="B17" s="69">
        <v>6.3716693809075617E-2</v>
      </c>
      <c r="C17" s="69">
        <v>9.1159849338279253E-2</v>
      </c>
      <c r="D17" s="69">
        <v>9.3877996986253723E-2</v>
      </c>
      <c r="E17" s="69">
        <v>9.2951015823237948E-2</v>
      </c>
      <c r="F17" s="69">
        <v>0.10897951935060946</v>
      </c>
      <c r="G17" s="11"/>
      <c r="H17" s="69">
        <f t="shared" si="26"/>
        <v>1.5101522364355732E-2</v>
      </c>
      <c r="I17" s="69">
        <f>'RD T1'!E45</f>
        <v>5.9031874854446387E-2</v>
      </c>
      <c r="J17" s="69">
        <f t="shared" si="27"/>
        <v>7.4133397218802119E-2</v>
      </c>
      <c r="L17" t="str">
        <f t="shared" si="28"/>
        <v>34 Culture, media and sports occupations</v>
      </c>
      <c r="M17" s="69">
        <v>0.99370996414229218</v>
      </c>
      <c r="N17" s="69">
        <v>1.2417510185311358</v>
      </c>
      <c r="O17" s="69">
        <v>1.0325343607436983</v>
      </c>
      <c r="P17" s="69">
        <v>1.0394703374097143</v>
      </c>
      <c r="Q17" s="69">
        <v>1.1906415584307097</v>
      </c>
      <c r="R17" s="11"/>
      <c r="S17" s="69">
        <f t="shared" si="29"/>
        <v>0.15810719768701142</v>
      </c>
      <c r="T17" s="69">
        <f>'RD T1'!E74</f>
        <v>0.64873884183713548</v>
      </c>
      <c r="U17" s="69">
        <f t="shared" si="30"/>
        <v>0.80684603952414691</v>
      </c>
      <c r="W17" t="str">
        <f t="shared" si="31"/>
        <v>34 Culture, media and sports occupations</v>
      </c>
      <c r="X17" s="69">
        <v>2.1854531014776954</v>
      </c>
      <c r="Y17" s="69">
        <v>2.1602322429981609</v>
      </c>
      <c r="Z17" s="69">
        <v>2.0976654405811703</v>
      </c>
      <c r="AA17" s="69">
        <v>2.0061464303964214</v>
      </c>
      <c r="AB17" s="69">
        <v>2.2940111361861466</v>
      </c>
      <c r="AC17" s="69"/>
      <c r="AD17" s="69">
        <f t="shared" si="32"/>
        <v>0.19634569560497628</v>
      </c>
      <c r="AE17" s="69">
        <f>'RD T1'!E103</f>
        <v>1.0750368880560226</v>
      </c>
      <c r="AF17" s="69">
        <f t="shared" si="33"/>
        <v>1.2713825836609989</v>
      </c>
      <c r="AH17" t="str">
        <f t="shared" si="34"/>
        <v>34 Culture, media and sports occupations</v>
      </c>
      <c r="AI17" s="69">
        <v>0.228397530408221</v>
      </c>
      <c r="AJ17" s="69">
        <v>0.19674458572929437</v>
      </c>
      <c r="AK17" s="69">
        <v>0.28172557959455002</v>
      </c>
      <c r="AL17" s="69">
        <v>0.27797164235048499</v>
      </c>
      <c r="AM17" s="69">
        <v>0.37038593610080128</v>
      </c>
      <c r="AN17" s="69"/>
      <c r="AO17" s="69">
        <f t="shared" si="35"/>
        <v>8.8660356506251259E-2</v>
      </c>
      <c r="AP17" s="69">
        <f>'RD T1'!E132</f>
        <v>0.15478836716372002</v>
      </c>
      <c r="AQ17" s="69">
        <f t="shared" si="36"/>
        <v>0.24344872366997128</v>
      </c>
      <c r="AS17" t="str">
        <f t="shared" si="37"/>
        <v>34 Culture, media and sports occupations</v>
      </c>
      <c r="AT17" s="69">
        <v>0.33237162719073238</v>
      </c>
      <c r="AU17" s="69">
        <v>0.31147319478117608</v>
      </c>
      <c r="AV17" s="69">
        <v>0.32107833930914448</v>
      </c>
      <c r="AW17" s="69">
        <v>0.30702540280925406</v>
      </c>
      <c r="AX17" s="69">
        <v>0.36369478087865459</v>
      </c>
      <c r="AY17" s="69"/>
      <c r="AZ17" s="69">
        <f t="shared" si="38"/>
        <v>4.2616441569510111E-2</v>
      </c>
      <c r="BA17" s="69">
        <f>'RD T1'!E161</f>
        <v>0.16054621902453994</v>
      </c>
      <c r="BB17" s="69">
        <f t="shared" si="39"/>
        <v>0.20316266059405005</v>
      </c>
      <c r="BD17" t="str">
        <f t="shared" si="40"/>
        <v>34 Culture, media and sports occupations</v>
      </c>
      <c r="BE17" s="69">
        <v>1.0135919296848952</v>
      </c>
      <c r="BF17" s="69">
        <v>1.0412521621640591</v>
      </c>
      <c r="BG17" s="69">
        <v>1.0611962584370773</v>
      </c>
      <c r="BH17" s="69">
        <v>0.93377326879458489</v>
      </c>
      <c r="BI17" s="69">
        <v>1.124794920386061</v>
      </c>
      <c r="BJ17" s="69"/>
      <c r="BK17" s="69">
        <f t="shared" si="41"/>
        <v>6.359866194898367E-2</v>
      </c>
      <c r="BL17" s="69">
        <f>'RD T1'!E190</f>
        <v>0.41536995616404093</v>
      </c>
      <c r="BM17" s="69">
        <f t="shared" si="42"/>
        <v>0.4789686181130246</v>
      </c>
      <c r="BO17" t="str">
        <f t="shared" si="43"/>
        <v>34 Culture, media and sports occupations</v>
      </c>
      <c r="BP17" s="69">
        <v>0.59062464568867723</v>
      </c>
      <c r="BQ17" s="69">
        <v>0.51587326044003468</v>
      </c>
      <c r="BR17" s="69">
        <v>0.40532660683845295</v>
      </c>
      <c r="BS17" s="69">
        <v>0.31365154292713454</v>
      </c>
      <c r="BT17" s="69">
        <v>0.20939563600767389</v>
      </c>
      <c r="BU17" s="69"/>
      <c r="BV17" s="69">
        <f t="shared" si="44"/>
        <v>-0.19593097083077907</v>
      </c>
      <c r="BW17" s="69">
        <f>'RD T1'!E219</f>
        <v>0.10868352340894108</v>
      </c>
      <c r="BX17" s="69">
        <f t="shared" si="45"/>
        <v>-8.7247447421837987E-2</v>
      </c>
      <c r="BZ17" t="str">
        <f t="shared" si="46"/>
        <v>34 Culture, media and sports occupations</v>
      </c>
      <c r="CA17" s="69">
        <v>0.36546723549451604</v>
      </c>
      <c r="CB17" s="69">
        <v>0.39642577888519331</v>
      </c>
      <c r="CC17" s="69">
        <v>0.29802571026515823</v>
      </c>
      <c r="CD17" s="69">
        <v>0.22991629516474626</v>
      </c>
      <c r="CE17" s="69">
        <v>0.11921586892339972</v>
      </c>
      <c r="CF17" s="69"/>
      <c r="CG17" s="69">
        <f t="shared" si="47"/>
        <v>-0.17880984134175851</v>
      </c>
      <c r="CH17" s="69">
        <f>'RD T1'!E248</f>
        <v>6.8766197159272346E-2</v>
      </c>
      <c r="CI17" s="69">
        <f t="shared" si="48"/>
        <v>-0.11004364418248616</v>
      </c>
      <c r="CK17" t="str">
        <f t="shared" si="49"/>
        <v>34 Culture, media and sports occupations</v>
      </c>
      <c r="CL17" s="69">
        <v>0.12328299977230775</v>
      </c>
      <c r="CM17" s="69">
        <v>0.15819675060512925</v>
      </c>
      <c r="CN17" s="69">
        <v>0.12943598380104196</v>
      </c>
      <c r="CO17" s="69">
        <v>0.13359910389711449</v>
      </c>
      <c r="CP17" s="69">
        <v>0.20328727877938838</v>
      </c>
      <c r="CQ17" s="69"/>
      <c r="CR17" s="69">
        <f t="shared" si="50"/>
        <v>7.3851294978346416E-2</v>
      </c>
      <c r="CS17" s="69">
        <f>'RD T1'!E277</f>
        <v>5.5015398069763126E-2</v>
      </c>
      <c r="CT17" s="69">
        <f t="shared" si="51"/>
        <v>0.12886669304810955</v>
      </c>
    </row>
    <row r="18" spans="1:98" x14ac:dyDescent="0.2">
      <c r="A18" s="10" t="str">
        <f>name!D14</f>
        <v>35 Business and public service associate professionals</v>
      </c>
      <c r="B18" s="69">
        <v>0.18349838606406554</v>
      </c>
      <c r="C18" s="69">
        <v>0.2518796043260329</v>
      </c>
      <c r="D18" s="69">
        <v>0.20542198776651316</v>
      </c>
      <c r="E18" s="69">
        <v>0.2359735360960048</v>
      </c>
      <c r="F18" s="69">
        <v>0.30526564573802611</v>
      </c>
      <c r="G18" s="11"/>
      <c r="H18" s="69">
        <f t="shared" si="26"/>
        <v>9.9843657971512956E-2</v>
      </c>
      <c r="I18" s="69">
        <f>'RD T1'!E46</f>
        <v>0.133216768009329</v>
      </c>
      <c r="J18" s="69">
        <f t="shared" si="27"/>
        <v>0.23306042598084195</v>
      </c>
      <c r="L18" t="str">
        <f t="shared" si="28"/>
        <v>35 Business and public service associate professionals</v>
      </c>
      <c r="M18" s="69">
        <v>2.0793073293557587</v>
      </c>
      <c r="N18" s="69">
        <v>2.8505815137002672</v>
      </c>
      <c r="O18" s="69">
        <v>2.4391233400422716</v>
      </c>
      <c r="P18" s="69">
        <v>2.6545544980917821</v>
      </c>
      <c r="Q18" s="69">
        <v>3.1297387842745858</v>
      </c>
      <c r="R18" s="11"/>
      <c r="S18" s="69">
        <f t="shared" si="29"/>
        <v>0.69061544423231425</v>
      </c>
      <c r="T18" s="69">
        <f>'RD T1'!E75</f>
        <v>1.525916854121641</v>
      </c>
      <c r="U18" s="69">
        <f t="shared" si="30"/>
        <v>2.2165322983539553</v>
      </c>
      <c r="W18" t="str">
        <f t="shared" si="31"/>
        <v>35 Business and public service associate professionals</v>
      </c>
      <c r="X18" s="69">
        <v>4.9369291264565911</v>
      </c>
      <c r="Y18" s="69">
        <v>4.7785484722205336</v>
      </c>
      <c r="Z18" s="69">
        <v>5.2019289272298934</v>
      </c>
      <c r="AA18" s="69">
        <v>5.2202090860495822</v>
      </c>
      <c r="AB18" s="69">
        <v>5.9188689090003752</v>
      </c>
      <c r="AC18" s="69"/>
      <c r="AD18" s="69">
        <f t="shared" si="32"/>
        <v>0.71693998177048179</v>
      </c>
      <c r="AE18" s="69">
        <f>'RD T1'!E104</f>
        <v>2.8488281222354686</v>
      </c>
      <c r="AF18" s="69">
        <f t="shared" si="33"/>
        <v>3.5657681040059503</v>
      </c>
      <c r="AH18" t="str">
        <f t="shared" si="34"/>
        <v>35 Business and public service associate professionals</v>
      </c>
      <c r="AI18" s="69">
        <v>1.4878634255565011</v>
      </c>
      <c r="AJ18" s="69">
        <v>1.410996089509944</v>
      </c>
      <c r="AK18" s="69">
        <v>1.5929346413790735</v>
      </c>
      <c r="AL18" s="69">
        <v>1.5768836199138723</v>
      </c>
      <c r="AM18" s="69">
        <v>1.7916832431907481</v>
      </c>
      <c r="AN18" s="69"/>
      <c r="AO18" s="69">
        <f t="shared" si="35"/>
        <v>0.19874860181167464</v>
      </c>
      <c r="AP18" s="69">
        <f>'RD T1'!E133</f>
        <v>0.81252739125331219</v>
      </c>
      <c r="AQ18" s="69">
        <f t="shared" si="36"/>
        <v>1.0112759930649868</v>
      </c>
      <c r="AS18" t="str">
        <f t="shared" si="37"/>
        <v>35 Business and public service associate professionals</v>
      </c>
      <c r="AT18" s="69">
        <v>1.2509602981209322</v>
      </c>
      <c r="AU18" s="69">
        <v>1.1661476987654635</v>
      </c>
      <c r="AV18" s="69">
        <v>1.3126705730824084</v>
      </c>
      <c r="AW18" s="69">
        <v>1.2953680022572271</v>
      </c>
      <c r="AX18" s="69">
        <v>1.493231549505188</v>
      </c>
      <c r="AY18" s="69"/>
      <c r="AZ18" s="69">
        <f t="shared" si="38"/>
        <v>0.18056097642277957</v>
      </c>
      <c r="BA18" s="69">
        <f>'RD T1'!E162</f>
        <v>0.66782647712169774</v>
      </c>
      <c r="BB18" s="69">
        <f t="shared" si="39"/>
        <v>0.84838745354447731</v>
      </c>
      <c r="BD18" t="str">
        <f t="shared" si="40"/>
        <v>35 Business and public service associate professionals</v>
      </c>
      <c r="BE18" s="69">
        <v>4.7241376589687967</v>
      </c>
      <c r="BF18" s="69">
        <v>4.6156342013484979</v>
      </c>
      <c r="BG18" s="69">
        <v>5.6013774597483419</v>
      </c>
      <c r="BH18" s="69">
        <v>4.8602815698371016</v>
      </c>
      <c r="BI18" s="69">
        <v>4.9678112881439489</v>
      </c>
      <c r="BJ18" s="69"/>
      <c r="BK18" s="69">
        <f t="shared" si="41"/>
        <v>-0.63356617160439299</v>
      </c>
      <c r="BL18" s="69">
        <f>'RD T1'!E191</f>
        <v>2.1328135652434814</v>
      </c>
      <c r="BM18" s="69">
        <f t="shared" si="42"/>
        <v>1.4992473936390884</v>
      </c>
      <c r="BO18" t="str">
        <f t="shared" si="43"/>
        <v>35 Business and public service associate professionals</v>
      </c>
      <c r="BP18" s="69">
        <v>3.6566888154257771</v>
      </c>
      <c r="BQ18" s="69">
        <v>3.5233725795062352</v>
      </c>
      <c r="BR18" s="69">
        <v>3.7664599828221679</v>
      </c>
      <c r="BS18" s="69">
        <v>3.2823982055850189</v>
      </c>
      <c r="BT18" s="69">
        <v>2.9932665238968075</v>
      </c>
      <c r="BU18" s="69"/>
      <c r="BV18" s="69">
        <f t="shared" si="44"/>
        <v>-0.7731934589253604</v>
      </c>
      <c r="BW18" s="69">
        <f>'RD T1'!E220</f>
        <v>1.228261085321831</v>
      </c>
      <c r="BX18" s="69">
        <f t="shared" si="45"/>
        <v>0.45506762639647058</v>
      </c>
      <c r="BZ18" t="str">
        <f t="shared" si="46"/>
        <v>35 Business and public service associate professionals</v>
      </c>
      <c r="CA18" s="69">
        <v>1.7397009364457401</v>
      </c>
      <c r="CB18" s="69">
        <v>1.97157086358362</v>
      </c>
      <c r="CC18" s="69">
        <v>1.6621036205748383</v>
      </c>
      <c r="CD18" s="69">
        <v>1.4018291210786271</v>
      </c>
      <c r="CE18" s="69">
        <v>0.82781184259721441</v>
      </c>
      <c r="CF18" s="69"/>
      <c r="CG18" s="69">
        <f t="shared" si="47"/>
        <v>-0.83429177797762388</v>
      </c>
      <c r="CH18" s="69">
        <f>'RD T1'!E249</f>
        <v>0.43423329702638336</v>
      </c>
      <c r="CI18" s="69">
        <f t="shared" si="48"/>
        <v>-0.40005848095124052</v>
      </c>
      <c r="CK18" t="str">
        <f t="shared" si="49"/>
        <v>35 Business and public service associate professionals</v>
      </c>
      <c r="CL18" s="69">
        <v>0.51626310642675355</v>
      </c>
      <c r="CM18" s="69">
        <v>0.52505209604278857</v>
      </c>
      <c r="CN18" s="69">
        <v>0.41168348638679236</v>
      </c>
      <c r="CO18" s="69">
        <v>0.38677641981315558</v>
      </c>
      <c r="CP18" s="69">
        <v>0.43930585362542923</v>
      </c>
      <c r="CQ18" s="69"/>
      <c r="CR18" s="69">
        <f t="shared" si="50"/>
        <v>2.7622367238636869E-2</v>
      </c>
      <c r="CS18" s="69">
        <f>'RD T1'!E278</f>
        <v>0.14851972093089247</v>
      </c>
      <c r="CT18" s="69">
        <f t="shared" si="51"/>
        <v>0.17614208816952934</v>
      </c>
    </row>
    <row r="19" spans="1:98" x14ac:dyDescent="0.2">
      <c r="A19" s="10" t="str">
        <f>name!D15</f>
        <v>41 Administrative occupations</v>
      </c>
      <c r="B19" s="69">
        <v>0.20533941388041116</v>
      </c>
      <c r="C19" s="69">
        <v>0.25170518004670378</v>
      </c>
      <c r="D19" s="69">
        <v>0.21078532861078525</v>
      </c>
      <c r="E19" s="69">
        <v>0.23313455918961493</v>
      </c>
      <c r="F19" s="69">
        <v>0.28362917228126805</v>
      </c>
      <c r="G19" s="11"/>
      <c r="H19" s="69">
        <f t="shared" si="26"/>
        <v>7.28438436704828E-2</v>
      </c>
      <c r="I19" s="69">
        <f>'RD T1'!E47</f>
        <v>0.13734760419310427</v>
      </c>
      <c r="J19" s="69">
        <f t="shared" si="27"/>
        <v>0.21019144786358707</v>
      </c>
      <c r="L19" t="str">
        <f t="shared" si="28"/>
        <v>41 Administrative occupations</v>
      </c>
      <c r="M19" s="69">
        <v>2.1738816351202792</v>
      </c>
      <c r="N19" s="69">
        <v>2.7869498178084049</v>
      </c>
      <c r="O19" s="69">
        <v>2.3441503794486467</v>
      </c>
      <c r="P19" s="69">
        <v>2.6099127130718647</v>
      </c>
      <c r="Q19" s="69">
        <v>3.1039720954300827</v>
      </c>
      <c r="R19" s="11"/>
      <c r="S19" s="69">
        <f t="shared" si="29"/>
        <v>0.759821715981436</v>
      </c>
      <c r="T19" s="69">
        <f>'RD T1'!E76</f>
        <v>1.626177275501929</v>
      </c>
      <c r="U19" s="69">
        <f t="shared" si="30"/>
        <v>2.385998991483365</v>
      </c>
      <c r="W19" t="str">
        <f t="shared" si="31"/>
        <v>41 Administrative occupations</v>
      </c>
      <c r="X19" s="69">
        <v>7.7284670947680718</v>
      </c>
      <c r="Y19" s="69">
        <v>7.3435490272899981</v>
      </c>
      <c r="Z19" s="69">
        <v>8.1921356181683276</v>
      </c>
      <c r="AA19" s="69">
        <v>8.5300387647598406</v>
      </c>
      <c r="AB19" s="69">
        <v>9.9828689290081254</v>
      </c>
      <c r="AC19" s="69"/>
      <c r="AD19" s="69">
        <f t="shared" si="32"/>
        <v>1.7907333108397978</v>
      </c>
      <c r="AE19" s="69">
        <f>'RD T1'!E105</f>
        <v>5.2323294208847173</v>
      </c>
      <c r="AF19" s="69">
        <f t="shared" si="33"/>
        <v>7.0230627317245151</v>
      </c>
      <c r="AH19" t="str">
        <f t="shared" si="34"/>
        <v>41 Administrative occupations</v>
      </c>
      <c r="AI19" s="69">
        <v>2.8275237890720275</v>
      </c>
      <c r="AJ19" s="69">
        <v>2.8400331624331803</v>
      </c>
      <c r="AK19" s="69">
        <v>3.1610445425570743</v>
      </c>
      <c r="AL19" s="69">
        <v>3.169992477040585</v>
      </c>
      <c r="AM19" s="69">
        <v>3.6792302089183688</v>
      </c>
      <c r="AN19" s="69"/>
      <c r="AO19" s="69">
        <f t="shared" si="35"/>
        <v>0.51818566636129448</v>
      </c>
      <c r="AP19" s="69">
        <f>'RD T1'!E134</f>
        <v>2.0216633692234893</v>
      </c>
      <c r="AQ19" s="69">
        <f t="shared" si="36"/>
        <v>2.5398490355847838</v>
      </c>
      <c r="AS19" t="str">
        <f t="shared" si="37"/>
        <v>41 Administrative occupations</v>
      </c>
      <c r="AT19" s="69">
        <v>2.6738908770449763</v>
      </c>
      <c r="AU19" s="69">
        <v>2.5362752350816713</v>
      </c>
      <c r="AV19" s="69">
        <v>2.8794539668624419</v>
      </c>
      <c r="AW19" s="69">
        <v>2.863334999296542</v>
      </c>
      <c r="AX19" s="69">
        <v>3.3294368152681155</v>
      </c>
      <c r="AY19" s="69"/>
      <c r="AZ19" s="69">
        <f t="shared" si="38"/>
        <v>0.4499828484056736</v>
      </c>
      <c r="BA19" s="69">
        <f>'RD T1'!E163</f>
        <v>1.7484896787139981</v>
      </c>
      <c r="BB19" s="69">
        <f t="shared" si="39"/>
        <v>2.1984725271196717</v>
      </c>
      <c r="BD19" t="str">
        <f t="shared" si="40"/>
        <v>41 Administrative occupations</v>
      </c>
      <c r="BE19" s="69">
        <v>10.12163310981625</v>
      </c>
      <c r="BF19" s="69">
        <v>9.4591685406649191</v>
      </c>
      <c r="BG19" s="69">
        <v>10.778413058241584</v>
      </c>
      <c r="BH19" s="69">
        <v>9.4698656929630047</v>
      </c>
      <c r="BI19" s="69">
        <v>8.5987682335941162</v>
      </c>
      <c r="BJ19" s="69"/>
      <c r="BK19" s="69">
        <f t="shared" si="41"/>
        <v>-2.1796448246474682</v>
      </c>
      <c r="BL19" s="69">
        <f>'RD T1'!E192</f>
        <v>4.5084868928723001</v>
      </c>
      <c r="BM19" s="69">
        <f t="shared" si="42"/>
        <v>2.3288420682248319</v>
      </c>
      <c r="BO19" t="str">
        <f t="shared" si="43"/>
        <v>41 Administrative occupations</v>
      </c>
      <c r="BP19" s="69">
        <v>12.115672061517376</v>
      </c>
      <c r="BQ19" s="69">
        <v>10.830906765017653</v>
      </c>
      <c r="BR19" s="69">
        <v>11.272895009653755</v>
      </c>
      <c r="BS19" s="69">
        <v>9.2050907979264753</v>
      </c>
      <c r="BT19" s="69">
        <v>6.8372471447730234</v>
      </c>
      <c r="BU19" s="69"/>
      <c r="BV19" s="69">
        <f t="shared" si="44"/>
        <v>-4.4356478648807318</v>
      </c>
      <c r="BW19" s="69">
        <f>'RD T1'!E221</f>
        <v>3.5289050803986131</v>
      </c>
      <c r="BX19" s="69">
        <f t="shared" si="45"/>
        <v>-0.90674278448211876</v>
      </c>
      <c r="BZ19" t="str">
        <f t="shared" si="46"/>
        <v>41 Administrative occupations</v>
      </c>
      <c r="CA19" s="69">
        <v>5.7938998716386445</v>
      </c>
      <c r="CB19" s="69">
        <v>4.5222498386012582</v>
      </c>
      <c r="CC19" s="69">
        <v>4.0763821658184796</v>
      </c>
      <c r="CD19" s="69">
        <v>2.8469628502840467</v>
      </c>
      <c r="CE19" s="69">
        <v>1.0322596421697885</v>
      </c>
      <c r="CF19" s="69"/>
      <c r="CG19" s="69">
        <f t="shared" si="47"/>
        <v>-3.0441225236486913</v>
      </c>
      <c r="CH19" s="69">
        <f>'RD T1'!E250</f>
        <v>0.83136732159301963</v>
      </c>
      <c r="CI19" s="69">
        <f t="shared" si="48"/>
        <v>-2.2127552020556718</v>
      </c>
      <c r="CK19" t="str">
        <f t="shared" si="49"/>
        <v>41 Administrative occupations</v>
      </c>
      <c r="CL19" s="69">
        <v>1.941025108235795</v>
      </c>
      <c r="CM19" s="69">
        <v>1.5567134520441575</v>
      </c>
      <c r="CN19" s="69">
        <v>1.2384000719676183</v>
      </c>
      <c r="CO19" s="69">
        <v>1.1946388144904883</v>
      </c>
      <c r="CP19" s="69">
        <v>1.1493817598071303</v>
      </c>
      <c r="CQ19" s="69"/>
      <c r="CR19" s="69">
        <f t="shared" si="50"/>
        <v>-8.9018312160487945E-2</v>
      </c>
      <c r="CS19" s="69">
        <f>'RD T1'!E279</f>
        <v>0.41798684646564443</v>
      </c>
      <c r="CT19" s="69">
        <f t="shared" si="51"/>
        <v>0.32896853430515649</v>
      </c>
    </row>
    <row r="20" spans="1:98" x14ac:dyDescent="0.2">
      <c r="A20" s="10" t="str">
        <f>name!D16</f>
        <v>42 Secretarial and related occupations</v>
      </c>
      <c r="B20" s="69">
        <v>1.0410874996424933E-2</v>
      </c>
      <c r="C20" s="69">
        <v>1.3647913757951628E-2</v>
      </c>
      <c r="D20" s="69">
        <v>1.208102891013252E-2</v>
      </c>
      <c r="E20" s="69">
        <v>1.843344456219121E-2</v>
      </c>
      <c r="F20" s="69">
        <v>2.7420482854318553E-2</v>
      </c>
      <c r="G20" s="11"/>
      <c r="H20" s="69">
        <f t="shared" si="26"/>
        <v>1.5339453944186033E-2</v>
      </c>
      <c r="I20" s="69">
        <f>'RD T1'!E48</f>
        <v>1.4065141039167029E-2</v>
      </c>
      <c r="J20" s="69">
        <f t="shared" si="27"/>
        <v>2.9404594983353061E-2</v>
      </c>
      <c r="L20" t="str">
        <f t="shared" si="28"/>
        <v>42 Secretarial and related occupations</v>
      </c>
      <c r="M20" s="69">
        <v>0.32567467225232843</v>
      </c>
      <c r="N20" s="69">
        <v>0.39139311744658595</v>
      </c>
      <c r="O20" s="69">
        <v>0.32554539433944385</v>
      </c>
      <c r="P20" s="69">
        <v>0.4682359459927416</v>
      </c>
      <c r="Q20" s="69">
        <v>0.5457141738281216</v>
      </c>
      <c r="R20" s="11"/>
      <c r="S20" s="69">
        <f t="shared" si="29"/>
        <v>0.22016877948867775</v>
      </c>
      <c r="T20" s="69">
        <f>'RD T1'!E77</f>
        <v>0.31240809214852577</v>
      </c>
      <c r="U20" s="69">
        <f t="shared" si="30"/>
        <v>0.53257687163720346</v>
      </c>
      <c r="W20" t="str">
        <f t="shared" si="31"/>
        <v>42 Secretarial and related occupations</v>
      </c>
      <c r="X20" s="69">
        <v>1.1470605233715592</v>
      </c>
      <c r="Y20" s="69">
        <v>1.1218839824057572</v>
      </c>
      <c r="Z20" s="69">
        <v>1.2330948776737376</v>
      </c>
      <c r="AA20" s="69">
        <v>1.7542912841879745</v>
      </c>
      <c r="AB20" s="69">
        <v>2.9892557356484861</v>
      </c>
      <c r="AC20" s="69"/>
      <c r="AD20" s="69">
        <f t="shared" si="32"/>
        <v>1.7561608579747485</v>
      </c>
      <c r="AE20" s="69">
        <f>'RD T1'!E106</f>
        <v>1.2756617746657981</v>
      </c>
      <c r="AF20" s="69">
        <f t="shared" si="33"/>
        <v>3.0318226326405466</v>
      </c>
      <c r="AH20" t="str">
        <f t="shared" si="34"/>
        <v>42 Secretarial and related occupations</v>
      </c>
      <c r="AI20" s="69">
        <v>0.50706820162420907</v>
      </c>
      <c r="AJ20" s="69">
        <v>0.47982678736405154</v>
      </c>
      <c r="AK20" s="69">
        <v>0.53937999597702635</v>
      </c>
      <c r="AL20" s="69">
        <v>0.67923301925583224</v>
      </c>
      <c r="AM20" s="69">
        <v>0.70759555469413882</v>
      </c>
      <c r="AN20" s="69"/>
      <c r="AO20" s="69">
        <f t="shared" si="35"/>
        <v>0.16821555871711247</v>
      </c>
      <c r="AP20" s="69">
        <f>'RD T1'!E135</f>
        <v>0.42416329448261192</v>
      </c>
      <c r="AQ20" s="69">
        <f t="shared" si="36"/>
        <v>0.59237885319972439</v>
      </c>
      <c r="AS20" t="str">
        <f t="shared" si="37"/>
        <v>42 Secretarial and related occupations</v>
      </c>
      <c r="AT20" s="69">
        <v>0.44865285222847395</v>
      </c>
      <c r="AU20" s="69">
        <v>0.41367114193833865</v>
      </c>
      <c r="AV20" s="69">
        <v>0.45481796845397038</v>
      </c>
      <c r="AW20" s="69">
        <v>0.57181483455468973</v>
      </c>
      <c r="AX20" s="69">
        <v>0.76805187465026092</v>
      </c>
      <c r="AY20" s="69"/>
      <c r="AZ20" s="69">
        <f t="shared" si="38"/>
        <v>0.31323390619629055</v>
      </c>
      <c r="BA20" s="69">
        <f>'RD T1'!E164</f>
        <v>0.35328821066352212</v>
      </c>
      <c r="BB20" s="69">
        <f t="shared" si="39"/>
        <v>0.66652211685981266</v>
      </c>
      <c r="BD20" t="str">
        <f t="shared" si="40"/>
        <v>42 Secretarial and related occupations</v>
      </c>
      <c r="BE20" s="69">
        <v>1.9346742925213287</v>
      </c>
      <c r="BF20" s="69">
        <v>1.8180082458185207</v>
      </c>
      <c r="BG20" s="69">
        <v>1.8685602008362978</v>
      </c>
      <c r="BH20" s="69">
        <v>2.4152888636133611</v>
      </c>
      <c r="BI20" s="69">
        <v>1.6662019130719021</v>
      </c>
      <c r="BJ20" s="69"/>
      <c r="BK20" s="69">
        <f t="shared" si="41"/>
        <v>-0.20235828776439568</v>
      </c>
      <c r="BL20" s="69">
        <f>'RD T1'!E193</f>
        <v>1.1512162903810355</v>
      </c>
      <c r="BM20" s="69">
        <f t="shared" si="42"/>
        <v>0.94885800261663977</v>
      </c>
      <c r="BO20" t="str">
        <f t="shared" si="43"/>
        <v>42 Secretarial and related occupations</v>
      </c>
      <c r="BP20" s="69">
        <v>2.4005655327313336</v>
      </c>
      <c r="BQ20" s="69">
        <v>1.8392601960371797</v>
      </c>
      <c r="BR20" s="69">
        <v>1.8472679742692513</v>
      </c>
      <c r="BS20" s="69">
        <v>1.3945837000535848</v>
      </c>
      <c r="BT20" s="69">
        <v>0.36893378922441861</v>
      </c>
      <c r="BU20" s="69"/>
      <c r="BV20" s="69">
        <f t="shared" si="44"/>
        <v>-1.4783341850448326</v>
      </c>
      <c r="BW20" s="69">
        <f>'RD T1'!E222</f>
        <v>0.47191679508027923</v>
      </c>
      <c r="BX20" s="69">
        <f t="shared" si="45"/>
        <v>-1.0064173899645534</v>
      </c>
      <c r="BZ20" t="str">
        <f t="shared" si="46"/>
        <v>42 Secretarial and related occupations</v>
      </c>
      <c r="CA20" s="69">
        <v>2.2031071617844478</v>
      </c>
      <c r="CB20" s="69">
        <v>1.5762238537055779</v>
      </c>
      <c r="CC20" s="69">
        <v>1.5944872953321207</v>
      </c>
      <c r="CD20" s="69">
        <v>1.1048843744535721</v>
      </c>
      <c r="CE20" s="69">
        <v>0.22978250689487362</v>
      </c>
      <c r="CF20" s="69"/>
      <c r="CG20" s="69">
        <f t="shared" si="47"/>
        <v>-1.3647047884372472</v>
      </c>
      <c r="CH20" s="69">
        <f>'RD T1'!E251</f>
        <v>0.35001273529564397</v>
      </c>
      <c r="CI20" s="69">
        <f t="shared" si="48"/>
        <v>-1.0146920531416033</v>
      </c>
      <c r="CK20" t="str">
        <f t="shared" si="49"/>
        <v>42 Secretarial and related occupations</v>
      </c>
      <c r="CL20" s="69">
        <v>0.72707912257613483</v>
      </c>
      <c r="CM20" s="69">
        <v>0.6499456749831628</v>
      </c>
      <c r="CN20" s="69">
        <v>0.47420093793176832</v>
      </c>
      <c r="CO20" s="69">
        <v>0.66689764135098373</v>
      </c>
      <c r="CP20" s="69">
        <v>0.56884598464309877</v>
      </c>
      <c r="CQ20" s="69"/>
      <c r="CR20" s="69">
        <f t="shared" si="50"/>
        <v>9.4645046711330449E-2</v>
      </c>
      <c r="CS20" s="69">
        <f>'RD T1'!E280</f>
        <v>0.28508961879703215</v>
      </c>
      <c r="CT20" s="69">
        <f t="shared" si="51"/>
        <v>0.3797346655083626</v>
      </c>
    </row>
    <row r="21" spans="1:98" x14ac:dyDescent="0.2">
      <c r="A21" s="10" t="str">
        <f>name!D17</f>
        <v>51 Skilled agricultural and related trades</v>
      </c>
      <c r="B21" s="69">
        <v>2.3358940155822861E-3</v>
      </c>
      <c r="C21" s="69">
        <v>4.9534473455763086E-3</v>
      </c>
      <c r="D21" s="69">
        <v>7.5907199553756311E-3</v>
      </c>
      <c r="E21" s="69">
        <v>8.1643254822507255E-3</v>
      </c>
      <c r="F21" s="69">
        <v>9.9708103660917664E-3</v>
      </c>
      <c r="G21" s="11"/>
      <c r="H21" s="69">
        <f t="shared" si="26"/>
        <v>2.3800904107161352E-3</v>
      </c>
      <c r="I21" s="69">
        <f>'RD T1'!E49</f>
        <v>5.9784917211354507E-3</v>
      </c>
      <c r="J21" s="69">
        <f t="shared" si="27"/>
        <v>8.358582131851585E-3</v>
      </c>
      <c r="L21" t="str">
        <f t="shared" si="28"/>
        <v>51 Skilled agricultural and related trades</v>
      </c>
      <c r="M21" s="69">
        <v>4.3612152030123717E-2</v>
      </c>
      <c r="N21" s="69">
        <v>4.5801717017295768E-2</v>
      </c>
      <c r="O21" s="69">
        <v>4.4243454581404607E-2</v>
      </c>
      <c r="P21" s="69">
        <v>4.7645134569328285E-2</v>
      </c>
      <c r="Q21" s="69">
        <v>6.4049058890569888E-2</v>
      </c>
      <c r="R21" s="11"/>
      <c r="S21" s="69">
        <f t="shared" si="29"/>
        <v>1.9805604309165281E-2</v>
      </c>
      <c r="T21" s="69">
        <f>'RD T1'!E78</f>
        <v>3.1550214037597717E-2</v>
      </c>
      <c r="U21" s="69">
        <f t="shared" si="30"/>
        <v>5.1355818346762998E-2</v>
      </c>
      <c r="W21" t="str">
        <f t="shared" si="31"/>
        <v>51 Skilled agricultural and related trades</v>
      </c>
      <c r="X21" s="69">
        <v>0.43135469958478018</v>
      </c>
      <c r="Y21" s="69">
        <v>0.32402382541447244</v>
      </c>
      <c r="Z21" s="69">
        <v>0.40426748144108549</v>
      </c>
      <c r="AA21" s="69">
        <v>0.47049617741053096</v>
      </c>
      <c r="AB21" s="69">
        <v>0.63360119242274426</v>
      </c>
      <c r="AC21" s="69"/>
      <c r="AD21" s="69">
        <f t="shared" si="32"/>
        <v>0.22933371098165878</v>
      </c>
      <c r="AE21" s="69">
        <f>'RD T1'!E107</f>
        <v>0.36495369639326591</v>
      </c>
      <c r="AF21" s="69">
        <f t="shared" si="33"/>
        <v>0.59428740737492469</v>
      </c>
      <c r="AH21" t="str">
        <f t="shared" si="34"/>
        <v>51 Skilled agricultural and related trades</v>
      </c>
      <c r="AI21" s="69">
        <v>0.24784600417257474</v>
      </c>
      <c r="AJ21" s="69">
        <v>0.21673522363861575</v>
      </c>
      <c r="AK21" s="69">
        <v>0.24127622910531069</v>
      </c>
      <c r="AL21" s="69">
        <v>0.27340324948775885</v>
      </c>
      <c r="AM21" s="69">
        <v>0.33117139872388102</v>
      </c>
      <c r="AN21" s="69"/>
      <c r="AO21" s="69">
        <f t="shared" si="35"/>
        <v>8.9895169618570331E-2</v>
      </c>
      <c r="AP21" s="69">
        <f>'RD T1'!E136</f>
        <v>0.20580065902239436</v>
      </c>
      <c r="AQ21" s="69">
        <f t="shared" si="36"/>
        <v>0.29569582864096466</v>
      </c>
      <c r="AS21" t="str">
        <f t="shared" si="37"/>
        <v>51 Skilled agricultural and related trades</v>
      </c>
      <c r="AT21" s="69">
        <v>0.33528164265067234</v>
      </c>
      <c r="AU21" s="69">
        <v>0.26803146318658516</v>
      </c>
      <c r="AV21" s="69">
        <v>0.32799438583931956</v>
      </c>
      <c r="AW21" s="69">
        <v>0.36112217494673832</v>
      </c>
      <c r="AX21" s="69">
        <v>0.47495397531472072</v>
      </c>
      <c r="AY21" s="69"/>
      <c r="AZ21" s="69">
        <f t="shared" si="38"/>
        <v>0.14695958947540116</v>
      </c>
      <c r="BA21" s="69">
        <f>'RD T1'!E165</f>
        <v>0.25817120386735243</v>
      </c>
      <c r="BB21" s="69">
        <f t="shared" si="39"/>
        <v>0.40513079334275359</v>
      </c>
      <c r="BD21" t="str">
        <f t="shared" si="40"/>
        <v>51 Skilled agricultural and related trades</v>
      </c>
      <c r="BE21" s="69">
        <v>0.8226620215838667</v>
      </c>
      <c r="BF21" s="69">
        <v>0.58992761930727111</v>
      </c>
      <c r="BG21" s="69">
        <v>0.69782140930513803</v>
      </c>
      <c r="BH21" s="69">
        <v>0.61663775211494221</v>
      </c>
      <c r="BI21" s="69">
        <v>0.67577489078230157</v>
      </c>
      <c r="BJ21" s="69"/>
      <c r="BK21" s="69">
        <f t="shared" si="41"/>
        <v>-2.2046518522836456E-2</v>
      </c>
      <c r="BL21" s="69">
        <f>'RD T1'!E194</f>
        <v>0.34618627301745358</v>
      </c>
      <c r="BM21" s="69">
        <f t="shared" si="42"/>
        <v>0.32413975449461713</v>
      </c>
      <c r="BO21" t="str">
        <f t="shared" si="43"/>
        <v>51 Skilled agricultural and related trades</v>
      </c>
      <c r="BP21" s="69">
        <v>1.3504251001146201</v>
      </c>
      <c r="BQ21" s="69">
        <v>1.1364588372420745</v>
      </c>
      <c r="BR21" s="69">
        <v>1.0913691632942735</v>
      </c>
      <c r="BS21" s="69">
        <v>1.1097824201158963</v>
      </c>
      <c r="BT21" s="69">
        <v>1.2348693138231075</v>
      </c>
      <c r="BU21" s="69"/>
      <c r="BV21" s="69">
        <f t="shared" si="44"/>
        <v>0.14350015052883403</v>
      </c>
      <c r="BW21" s="69">
        <f>'RD T1'!E223</f>
        <v>0.60667818247312133</v>
      </c>
      <c r="BX21" s="69">
        <f t="shared" si="45"/>
        <v>0.75017833300195536</v>
      </c>
      <c r="BZ21" t="str">
        <f t="shared" si="46"/>
        <v>51 Skilled agricultural and related trades</v>
      </c>
      <c r="CA21" s="69">
        <v>0.71986540384083642</v>
      </c>
      <c r="CB21" s="69">
        <v>0.84104800297240812</v>
      </c>
      <c r="CC21" s="69">
        <v>0.62529450429837741</v>
      </c>
      <c r="CD21" s="69">
        <v>0.65296456355328747</v>
      </c>
      <c r="CE21" s="69">
        <v>0.749236205313069</v>
      </c>
      <c r="CF21" s="69"/>
      <c r="CG21" s="69">
        <f t="shared" si="47"/>
        <v>0.1239417010146916</v>
      </c>
      <c r="CH21" s="69">
        <f>'RD T1'!E252</f>
        <v>0.32171299914829954</v>
      </c>
      <c r="CI21" s="69">
        <f t="shared" si="48"/>
        <v>0.44565470016299114</v>
      </c>
      <c r="CK21" t="str">
        <f t="shared" si="49"/>
        <v>51 Skilled agricultural and related trades</v>
      </c>
      <c r="CL21" s="69">
        <v>0.69074378370359868</v>
      </c>
      <c r="CM21" s="69">
        <v>0.49068386253851282</v>
      </c>
      <c r="CN21" s="69">
        <v>0.47390901410616548</v>
      </c>
      <c r="CO21" s="69">
        <v>0.41434810300325753</v>
      </c>
      <c r="CP21" s="69">
        <v>0.21459955984913248</v>
      </c>
      <c r="CQ21" s="69"/>
      <c r="CR21" s="69">
        <f t="shared" si="50"/>
        <v>-0.259309454257033</v>
      </c>
      <c r="CS21" s="69">
        <f>'RD T1'!E281</f>
        <v>0.14222307676582166</v>
      </c>
      <c r="CT21" s="69">
        <f t="shared" si="51"/>
        <v>-0.11708637749121134</v>
      </c>
    </row>
    <row r="22" spans="1:98" x14ac:dyDescent="0.2">
      <c r="A22" s="10" t="str">
        <f>name!D18</f>
        <v>52 Skilled metal, electrical and electronic trades</v>
      </c>
      <c r="B22" s="69">
        <v>1.2724933167331462E-2</v>
      </c>
      <c r="C22" s="69">
        <v>1.913146139332577E-2</v>
      </c>
      <c r="D22" s="69">
        <v>1.3623826065581475E-2</v>
      </c>
      <c r="E22" s="69">
        <v>1.6935494900671234E-2</v>
      </c>
      <c r="F22" s="69">
        <v>2.3769075215613583E-2</v>
      </c>
      <c r="G22" s="11"/>
      <c r="H22" s="69">
        <f t="shared" si="26"/>
        <v>1.0145249150032109E-2</v>
      </c>
      <c r="I22" s="69">
        <f>'RD T1'!E50</f>
        <v>9.3935013699284284E-3</v>
      </c>
      <c r="J22" s="69">
        <f t="shared" si="27"/>
        <v>1.9538750519960537E-2</v>
      </c>
      <c r="L22" t="str">
        <f t="shared" si="28"/>
        <v>52 Skilled metal, electrical and electronic trades</v>
      </c>
      <c r="M22" s="69">
        <v>0.22372182428844928</v>
      </c>
      <c r="N22" s="69">
        <v>0.3713621927884439</v>
      </c>
      <c r="O22" s="69">
        <v>0.23561823240535107</v>
      </c>
      <c r="P22" s="69">
        <v>0.35453313837065514</v>
      </c>
      <c r="Q22" s="69">
        <v>0.50724880877528833</v>
      </c>
      <c r="R22" s="11"/>
      <c r="S22" s="69">
        <f t="shared" si="29"/>
        <v>0.27163057636993726</v>
      </c>
      <c r="T22" s="69">
        <f>'RD T1'!E79</f>
        <v>0.20107864933323005</v>
      </c>
      <c r="U22" s="69">
        <f t="shared" si="30"/>
        <v>0.47270922570316731</v>
      </c>
      <c r="W22" t="str">
        <f t="shared" si="31"/>
        <v>52 Skilled metal, electrical and electronic trades</v>
      </c>
      <c r="X22" s="69">
        <v>1.0250711404974204</v>
      </c>
      <c r="Y22" s="69">
        <v>0.9203386700457038</v>
      </c>
      <c r="Z22" s="69">
        <v>0.70543092945908403</v>
      </c>
      <c r="AA22" s="69">
        <v>0.88288600140031215</v>
      </c>
      <c r="AB22" s="69">
        <v>1.0149108162627705</v>
      </c>
      <c r="AC22" s="69"/>
      <c r="AD22" s="69">
        <f t="shared" si="32"/>
        <v>0.30947988680368643</v>
      </c>
      <c r="AE22" s="69">
        <f>'RD T1'!E108</f>
        <v>0.44562976936098503</v>
      </c>
      <c r="AF22" s="69">
        <f t="shared" si="33"/>
        <v>0.75510965616467152</v>
      </c>
      <c r="AH22" t="str">
        <f t="shared" si="34"/>
        <v>52 Skilled metal, electrical and electronic trades</v>
      </c>
      <c r="AI22" s="69">
        <v>0.38627813713304132</v>
      </c>
      <c r="AJ22" s="69">
        <v>0.33008246600380348</v>
      </c>
      <c r="AK22" s="69">
        <v>0.27831850051160739</v>
      </c>
      <c r="AL22" s="69">
        <v>0.32058853860019809</v>
      </c>
      <c r="AM22" s="69">
        <v>0.38416068542150739</v>
      </c>
      <c r="AN22" s="69"/>
      <c r="AO22" s="69">
        <f t="shared" si="35"/>
        <v>0.10584218490989999</v>
      </c>
      <c r="AP22" s="69">
        <f>'RD T1'!E137</f>
        <v>0.15527857684090909</v>
      </c>
      <c r="AQ22" s="69">
        <f t="shared" si="36"/>
        <v>0.26112076175080912</v>
      </c>
      <c r="AS22" t="str">
        <f t="shared" si="37"/>
        <v>52 Skilled metal, electrical and electronic trades</v>
      </c>
      <c r="AT22" s="69">
        <v>1.6548717323368791</v>
      </c>
      <c r="AU22" s="69">
        <v>1.4217205389949457</v>
      </c>
      <c r="AV22" s="69">
        <v>1.1431989310028869</v>
      </c>
      <c r="AW22" s="69">
        <v>1.2542587913052896</v>
      </c>
      <c r="AX22" s="69">
        <v>1.2555270873205469</v>
      </c>
      <c r="AY22" s="69"/>
      <c r="AZ22" s="69">
        <f t="shared" si="38"/>
        <v>0.11232815631765991</v>
      </c>
      <c r="BA22" s="69">
        <f>'RD T1'!E166</f>
        <v>0.54780584841378477</v>
      </c>
      <c r="BB22" s="69">
        <f t="shared" si="39"/>
        <v>0.66013400473144468</v>
      </c>
      <c r="BD22" t="str">
        <f t="shared" si="40"/>
        <v>52 Skilled metal, electrical and electronic trades</v>
      </c>
      <c r="BE22" s="69">
        <v>11.017728242201821</v>
      </c>
      <c r="BF22" s="69">
        <v>10.331093922130478</v>
      </c>
      <c r="BG22" s="69">
        <v>10.380191958519889</v>
      </c>
      <c r="BH22" s="69">
        <v>9.0154919368302124</v>
      </c>
      <c r="BI22" s="69">
        <v>8.2486918974974071</v>
      </c>
      <c r="BJ22" s="69"/>
      <c r="BK22" s="69">
        <f t="shared" si="41"/>
        <v>-2.1315000610224821</v>
      </c>
      <c r="BL22" s="69">
        <f>'RD T1'!E195</f>
        <v>3.1312107376138734</v>
      </c>
      <c r="BM22" s="69">
        <f t="shared" si="42"/>
        <v>0.99971067659139123</v>
      </c>
      <c r="BO22" t="str">
        <f t="shared" si="43"/>
        <v>52 Skilled metal, electrical and electronic trades</v>
      </c>
      <c r="BP22" s="69">
        <v>6.2118278445722845</v>
      </c>
      <c r="BQ22" s="69">
        <v>5.985583902959954</v>
      </c>
      <c r="BR22" s="69">
        <v>4.7895197567496277</v>
      </c>
      <c r="BS22" s="69">
        <v>4.6971206293384382</v>
      </c>
      <c r="BT22" s="69">
        <v>4.1201145622919615</v>
      </c>
      <c r="BU22" s="69"/>
      <c r="BV22" s="69">
        <f t="shared" si="44"/>
        <v>-0.66940519445766622</v>
      </c>
      <c r="BW22" s="69">
        <f>'RD T1'!E224</f>
        <v>1.5990181960075642</v>
      </c>
      <c r="BX22" s="69">
        <f t="shared" si="45"/>
        <v>0.92961300154989801</v>
      </c>
      <c r="BZ22" t="str">
        <f t="shared" si="46"/>
        <v>52 Skilled metal, electrical and electronic trades</v>
      </c>
      <c r="CA22" s="69">
        <v>2.2126749248799022</v>
      </c>
      <c r="CB22" s="69">
        <v>3.0339779599723271</v>
      </c>
      <c r="CC22" s="69">
        <v>1.6444347789505251</v>
      </c>
      <c r="CD22" s="69">
        <v>1.6716804612570622</v>
      </c>
      <c r="CE22" s="69">
        <v>0.83941921043034062</v>
      </c>
      <c r="CF22" s="69"/>
      <c r="CG22" s="69">
        <f t="shared" si="47"/>
        <v>-0.80501556852018452</v>
      </c>
      <c r="CH22" s="69">
        <f>'RD T1'!E253</f>
        <v>0.49919258496059321</v>
      </c>
      <c r="CI22" s="69">
        <f t="shared" si="48"/>
        <v>-0.30582298355959131</v>
      </c>
      <c r="CK22" t="str">
        <f t="shared" si="49"/>
        <v>52 Skilled metal, electrical and electronic trades</v>
      </c>
      <c r="CL22" s="69">
        <v>1.0018405802993662</v>
      </c>
      <c r="CM22" s="69">
        <v>0.87083421705017994</v>
      </c>
      <c r="CN22" s="69">
        <v>0.6250290967893728</v>
      </c>
      <c r="CO22" s="69">
        <v>0.49724224803627215</v>
      </c>
      <c r="CP22" s="69">
        <v>0.35171957669395348</v>
      </c>
      <c r="CQ22" s="69"/>
      <c r="CR22" s="69">
        <f t="shared" si="50"/>
        <v>-0.27330952009541931</v>
      </c>
      <c r="CS22" s="69">
        <f>'RD T1'!E282</f>
        <v>0.17364784915202863</v>
      </c>
      <c r="CT22" s="69">
        <f t="shared" si="51"/>
        <v>-9.9661670943390679E-2</v>
      </c>
    </row>
    <row r="23" spans="1:98" x14ac:dyDescent="0.2">
      <c r="A23" s="10" t="str">
        <f>name!D19</f>
        <v>53 Skilled construction and building trades</v>
      </c>
      <c r="B23" s="69">
        <v>3.9831405223537709E-3</v>
      </c>
      <c r="C23" s="69">
        <v>4.4440708851810661E-3</v>
      </c>
      <c r="D23" s="69">
        <v>2.6085805616357575E-3</v>
      </c>
      <c r="E23" s="69">
        <v>4.3340777453763227E-3</v>
      </c>
      <c r="F23" s="69">
        <v>4.8076679601742655E-3</v>
      </c>
      <c r="G23" s="11"/>
      <c r="H23" s="69">
        <f t="shared" si="26"/>
        <v>2.1990873985385079E-3</v>
      </c>
      <c r="I23" s="69">
        <f>'RD T1'!E51</f>
        <v>2.0963458564131382E-3</v>
      </c>
      <c r="J23" s="69">
        <f t="shared" si="27"/>
        <v>4.2954332549516461E-3</v>
      </c>
      <c r="L23" t="str">
        <f t="shared" si="28"/>
        <v>53 Skilled construction and building trades</v>
      </c>
      <c r="M23" s="69">
        <v>0.11832766404362635</v>
      </c>
      <c r="N23" s="69">
        <v>0.1550970051545249</v>
      </c>
      <c r="O23" s="69">
        <v>9.8620553650703061E-2</v>
      </c>
      <c r="P23" s="69">
        <v>0.13554894275362606</v>
      </c>
      <c r="Q23" s="69">
        <v>0.1800255068464742</v>
      </c>
      <c r="R23" s="11"/>
      <c r="S23" s="69">
        <f t="shared" si="29"/>
        <v>8.1404953195771138E-2</v>
      </c>
      <c r="T23" s="69">
        <f>'RD T1'!E80</f>
        <v>8.0378914915802152E-2</v>
      </c>
      <c r="U23" s="69">
        <f t="shared" si="30"/>
        <v>0.1617838681115733</v>
      </c>
      <c r="W23" t="str">
        <f t="shared" si="31"/>
        <v>53 Skilled construction and building trades</v>
      </c>
      <c r="X23" s="69">
        <v>0.46870934814096066</v>
      </c>
      <c r="Y23" s="69">
        <v>0.42453096160272741</v>
      </c>
      <c r="Z23" s="69">
        <v>0.32705169416069735</v>
      </c>
      <c r="AA23" s="69">
        <v>0.40453323606441083</v>
      </c>
      <c r="AB23" s="69">
        <v>0.41157990859843896</v>
      </c>
      <c r="AC23" s="69"/>
      <c r="AD23" s="69">
        <f t="shared" si="32"/>
        <v>8.4528214437741611E-2</v>
      </c>
      <c r="AE23" s="69">
        <f>'RD T1'!E109</f>
        <v>0.20784688846150884</v>
      </c>
      <c r="AF23" s="69">
        <f t="shared" si="33"/>
        <v>0.29237510289925045</v>
      </c>
      <c r="AH23" t="str">
        <f t="shared" si="34"/>
        <v>53 Skilled construction and building trades</v>
      </c>
      <c r="AI23" s="69">
        <v>0.30875350791380307</v>
      </c>
      <c r="AJ23" s="69">
        <v>0.30220656818167191</v>
      </c>
      <c r="AK23" s="69">
        <v>0.2494820599534138</v>
      </c>
      <c r="AL23" s="69">
        <v>0.29372664863476711</v>
      </c>
      <c r="AM23" s="69">
        <v>0.31453643202216341</v>
      </c>
      <c r="AN23" s="69"/>
      <c r="AO23" s="69">
        <f t="shared" si="35"/>
        <v>6.5054372068749616E-2</v>
      </c>
      <c r="AP23" s="69">
        <f>'RD T1'!E138</f>
        <v>0.16261243329508868</v>
      </c>
      <c r="AQ23" s="69">
        <f t="shared" si="36"/>
        <v>0.22766680536383829</v>
      </c>
      <c r="AS23" t="str">
        <f t="shared" si="37"/>
        <v>53 Skilled construction and building trades</v>
      </c>
      <c r="AT23" s="69">
        <v>0.44675351435772809</v>
      </c>
      <c r="AU23" s="69">
        <v>0.44335275538397451</v>
      </c>
      <c r="AV23" s="69">
        <v>0.36548720675783841</v>
      </c>
      <c r="AW23" s="69">
        <v>0.46063132920723376</v>
      </c>
      <c r="AX23" s="69">
        <v>0.49225975892272178</v>
      </c>
      <c r="AY23" s="69"/>
      <c r="AZ23" s="69">
        <f t="shared" si="38"/>
        <v>0.12677255216488337</v>
      </c>
      <c r="BA23" s="69">
        <f>'RD T1'!E167</f>
        <v>0.2542116102332026</v>
      </c>
      <c r="BB23" s="69">
        <f t="shared" si="39"/>
        <v>0.38098416239808597</v>
      </c>
      <c r="BD23" t="str">
        <f t="shared" si="40"/>
        <v>53 Skilled construction and building trades</v>
      </c>
      <c r="BE23" s="69">
        <v>7.0671673761482738</v>
      </c>
      <c r="BF23" s="69">
        <v>7.0350240531983834</v>
      </c>
      <c r="BG23" s="69">
        <v>6.8205459765480834</v>
      </c>
      <c r="BH23" s="69">
        <v>5.8523844182672127</v>
      </c>
      <c r="BI23" s="69">
        <v>5.0080025632478407</v>
      </c>
      <c r="BJ23" s="69"/>
      <c r="BK23" s="69">
        <f t="shared" si="41"/>
        <v>-1.8125434133002427</v>
      </c>
      <c r="BL23" s="69">
        <f>'RD T1'!E196</f>
        <v>2.1903802622502138</v>
      </c>
      <c r="BM23" s="69">
        <f t="shared" si="42"/>
        <v>0.37783684894997105</v>
      </c>
      <c r="BO23" t="str">
        <f t="shared" si="43"/>
        <v>53 Skilled construction and building trades</v>
      </c>
      <c r="BP23" s="69">
        <v>6.1610791928269473</v>
      </c>
      <c r="BQ23" s="69">
        <v>6.9083994569780351</v>
      </c>
      <c r="BR23" s="69">
        <v>5.5519255494629105</v>
      </c>
      <c r="BS23" s="69">
        <v>6.1927781874082912</v>
      </c>
      <c r="BT23" s="69">
        <v>6.374020846000735</v>
      </c>
      <c r="BU23" s="69"/>
      <c r="BV23" s="69">
        <f t="shared" si="44"/>
        <v>0.82209529653782454</v>
      </c>
      <c r="BW23" s="69">
        <f>'RD T1'!E225</f>
        <v>2.6604266281249886</v>
      </c>
      <c r="BX23" s="69">
        <f t="shared" si="45"/>
        <v>3.4825219246628132</v>
      </c>
      <c r="BZ23" t="str">
        <f t="shared" si="46"/>
        <v>53 Skilled construction and building trades</v>
      </c>
      <c r="CA23" s="69">
        <v>2.1929128016791148</v>
      </c>
      <c r="CB23" s="69">
        <v>3.2939239964070639</v>
      </c>
      <c r="CC23" s="69">
        <v>1.7546091812086089</v>
      </c>
      <c r="CD23" s="69">
        <v>1.8884901843484241</v>
      </c>
      <c r="CE23" s="69">
        <v>1.3225626996364446</v>
      </c>
      <c r="CF23" s="69"/>
      <c r="CG23" s="69">
        <f t="shared" si="47"/>
        <v>-0.4320464815721643</v>
      </c>
      <c r="CH23" s="69">
        <f>'RD T1'!E254</f>
        <v>0.67518286552941376</v>
      </c>
      <c r="CI23" s="69">
        <f t="shared" si="48"/>
        <v>0.24313638395724946</v>
      </c>
      <c r="CK23" t="str">
        <f t="shared" si="49"/>
        <v>53 Skilled construction and building trades</v>
      </c>
      <c r="CL23" s="69">
        <v>1.3074197193186696</v>
      </c>
      <c r="CM23" s="69">
        <v>1.3055943275744628</v>
      </c>
      <c r="CN23" s="69">
        <v>0.91736049705249578</v>
      </c>
      <c r="CO23" s="69">
        <v>0.59101706773027651</v>
      </c>
      <c r="CP23" s="69">
        <v>0.11297749065175056</v>
      </c>
      <c r="CQ23" s="69"/>
      <c r="CR23" s="69">
        <f t="shared" si="50"/>
        <v>-0.80438300640074523</v>
      </c>
      <c r="CS23" s="69">
        <f>'RD T1'!E283</f>
        <v>0.14215641865652459</v>
      </c>
      <c r="CT23" s="69">
        <f t="shared" si="51"/>
        <v>-0.66222658774422061</v>
      </c>
    </row>
    <row r="24" spans="1:98" x14ac:dyDescent="0.2">
      <c r="A24" s="10" t="str">
        <f>name!D20</f>
        <v>54 Textiles, printing and other skilled trades</v>
      </c>
      <c r="B24" s="69">
        <v>2.8749608099234339E-2</v>
      </c>
      <c r="C24" s="69">
        <v>2.6623504317175844E-2</v>
      </c>
      <c r="D24" s="69">
        <v>1.8983834268354753E-2</v>
      </c>
      <c r="E24" s="69">
        <v>2.3490829648797694E-2</v>
      </c>
      <c r="F24" s="69">
        <v>2.9332728298425398E-2</v>
      </c>
      <c r="G24" s="11"/>
      <c r="H24" s="69">
        <f t="shared" si="26"/>
        <v>1.0348894030070645E-2</v>
      </c>
      <c r="I24" s="69">
        <f>'RD T1'!E52</f>
        <v>1.4774057987954418E-2</v>
      </c>
      <c r="J24" s="69">
        <f t="shared" si="27"/>
        <v>2.5122952018025065E-2</v>
      </c>
      <c r="L24" t="str">
        <f t="shared" si="28"/>
        <v>54 Textiles, printing and other skilled trades</v>
      </c>
      <c r="M24" s="69">
        <v>0.19639187799107116</v>
      </c>
      <c r="N24" s="69">
        <v>0.226090147347287</v>
      </c>
      <c r="O24" s="69">
        <v>0.22185059896219969</v>
      </c>
      <c r="P24" s="69">
        <v>0.26962548670769343</v>
      </c>
      <c r="Q24" s="69">
        <v>0.34862591050862368</v>
      </c>
      <c r="R24" s="11"/>
      <c r="S24" s="69">
        <f t="shared" si="29"/>
        <v>0.12677531154642399</v>
      </c>
      <c r="T24" s="69">
        <f>'RD T1'!E81</f>
        <v>0.18018417410435333</v>
      </c>
      <c r="U24" s="69">
        <f t="shared" si="30"/>
        <v>0.30695948565077735</v>
      </c>
      <c r="W24" t="str">
        <f t="shared" si="31"/>
        <v>54 Textiles, printing and other skilled trades</v>
      </c>
      <c r="X24" s="69">
        <v>0.77138489890310191</v>
      </c>
      <c r="Y24" s="69">
        <v>0.69144803510761421</v>
      </c>
      <c r="Z24" s="69">
        <v>0.63922009736794516</v>
      </c>
      <c r="AA24" s="69">
        <v>0.78965962765167041</v>
      </c>
      <c r="AB24" s="69">
        <v>0.95710589090717324</v>
      </c>
      <c r="AC24" s="69"/>
      <c r="AD24" s="69">
        <f t="shared" si="32"/>
        <v>0.31788579353922808</v>
      </c>
      <c r="AE24" s="69">
        <f>'RD T1'!E110</f>
        <v>0.50917548352187003</v>
      </c>
      <c r="AF24" s="69">
        <f t="shared" si="33"/>
        <v>0.82706127706109811</v>
      </c>
      <c r="AH24" t="str">
        <f t="shared" si="34"/>
        <v>54 Textiles, printing and other skilled trades</v>
      </c>
      <c r="AI24" s="69">
        <v>0.30773266572770852</v>
      </c>
      <c r="AJ24" s="69">
        <v>0.26631282988404148</v>
      </c>
      <c r="AK24" s="69">
        <v>0.30933294566510278</v>
      </c>
      <c r="AL24" s="69">
        <v>0.34947084868064798</v>
      </c>
      <c r="AM24" s="69">
        <v>0.4734369725939887</v>
      </c>
      <c r="AN24" s="69"/>
      <c r="AO24" s="69">
        <f t="shared" si="35"/>
        <v>0.16410402692888593</v>
      </c>
      <c r="AP24" s="69">
        <f>'RD T1'!E139</f>
        <v>0.24431311466895295</v>
      </c>
      <c r="AQ24" s="69">
        <f t="shared" si="36"/>
        <v>0.40841714159783887</v>
      </c>
      <c r="AS24" t="str">
        <f t="shared" si="37"/>
        <v>54 Textiles, printing and other skilled trades</v>
      </c>
      <c r="AT24" s="69">
        <v>0.3234444247029552</v>
      </c>
      <c r="AU24" s="69">
        <v>0.25830661165512203</v>
      </c>
      <c r="AV24" s="69">
        <v>0.26271153546926618</v>
      </c>
      <c r="AW24" s="69">
        <v>0.29622380268926674</v>
      </c>
      <c r="AX24" s="69">
        <v>0.30869731530942318</v>
      </c>
      <c r="AY24" s="69"/>
      <c r="AZ24" s="69">
        <f t="shared" si="38"/>
        <v>4.5985779840157004E-2</v>
      </c>
      <c r="BA24" s="69">
        <f>'RD T1'!E168</f>
        <v>0.17241350297331257</v>
      </c>
      <c r="BB24" s="69">
        <f t="shared" si="39"/>
        <v>0.21839928281346957</v>
      </c>
      <c r="BD24" t="str">
        <f t="shared" si="40"/>
        <v>54 Textiles, printing and other skilled trades</v>
      </c>
      <c r="BE24" s="69">
        <v>2.8651265993932116</v>
      </c>
      <c r="BF24" s="69">
        <v>2.2979357235540814</v>
      </c>
      <c r="BG24" s="69">
        <v>2.4049342472892548</v>
      </c>
      <c r="BH24" s="69">
        <v>2.4558142539037688</v>
      </c>
      <c r="BI24" s="69">
        <v>2.6444459690096989</v>
      </c>
      <c r="BJ24" s="69"/>
      <c r="BK24" s="69">
        <f t="shared" si="41"/>
        <v>0.2395117217204441</v>
      </c>
      <c r="BL24" s="69">
        <f>'RD T1'!E197</f>
        <v>1.0965743018780041</v>
      </c>
      <c r="BM24" s="69">
        <f t="shared" si="42"/>
        <v>1.3360860235984482</v>
      </c>
      <c r="BO24" t="str">
        <f t="shared" si="43"/>
        <v>54 Textiles, printing and other skilled trades</v>
      </c>
      <c r="BP24" s="69">
        <v>3.0865587774194529</v>
      </c>
      <c r="BQ24" s="69">
        <v>2.487108466811665</v>
      </c>
      <c r="BR24" s="69">
        <v>2.4364927620676102</v>
      </c>
      <c r="BS24" s="69">
        <v>2.0878513351004639</v>
      </c>
      <c r="BT24" s="69">
        <v>1.7427565229304389</v>
      </c>
      <c r="BU24" s="69"/>
      <c r="BV24" s="69">
        <f t="shared" si="44"/>
        <v>-0.69373623913717131</v>
      </c>
      <c r="BW24" s="69">
        <f>'RD T1'!E226</f>
        <v>0.78295709867242413</v>
      </c>
      <c r="BX24" s="69">
        <f t="shared" si="45"/>
        <v>8.9220859535252828E-2</v>
      </c>
      <c r="BZ24" t="str">
        <f t="shared" si="46"/>
        <v>54 Textiles, printing and other skilled trades</v>
      </c>
      <c r="CA24" s="69">
        <v>1.8309651951109069</v>
      </c>
      <c r="CB24" s="69">
        <v>1.7977066942084441</v>
      </c>
      <c r="CC24" s="69">
        <v>1.41321697811991</v>
      </c>
      <c r="CD24" s="69">
        <v>1.3735601029459361</v>
      </c>
      <c r="CE24" s="69">
        <v>0.86052936841669436</v>
      </c>
      <c r="CF24" s="69"/>
      <c r="CG24" s="69">
        <f t="shared" si="47"/>
        <v>-0.55268760970321562</v>
      </c>
      <c r="CH24" s="69">
        <f>'RD T1'!E255</f>
        <v>0.44224562324716754</v>
      </c>
      <c r="CI24" s="69">
        <f t="shared" si="48"/>
        <v>-0.11044198645604808</v>
      </c>
      <c r="CK24" t="str">
        <f t="shared" si="49"/>
        <v>54 Textiles, printing and other skilled trades</v>
      </c>
      <c r="CL24" s="69">
        <v>1.1459555050003807</v>
      </c>
      <c r="CM24" s="69">
        <v>0.89941484879544042</v>
      </c>
      <c r="CN24" s="69">
        <v>0.72214587838580624</v>
      </c>
      <c r="CO24" s="69">
        <v>0.59830577304777011</v>
      </c>
      <c r="CP24" s="69">
        <v>0.45699584194852783</v>
      </c>
      <c r="CQ24" s="69"/>
      <c r="CR24" s="69">
        <f t="shared" si="50"/>
        <v>-0.26515003643727841</v>
      </c>
      <c r="CS24" s="69">
        <f>'RD T1'!E284</f>
        <v>0.19700993950828088</v>
      </c>
      <c r="CT24" s="69">
        <f t="shared" si="51"/>
        <v>-6.8140096928997529E-2</v>
      </c>
    </row>
    <row r="25" spans="1:98" x14ac:dyDescent="0.2">
      <c r="A25" s="10" t="str">
        <f>name!D21</f>
        <v>61 Caring personal service occupations</v>
      </c>
      <c r="B25" s="69">
        <v>1.7756426384278146E-2</v>
      </c>
      <c r="C25" s="69">
        <v>2.1049472459502814E-2</v>
      </c>
      <c r="D25" s="69">
        <v>1.6867160197326356E-2</v>
      </c>
      <c r="E25" s="69">
        <v>2.1042344776593922E-2</v>
      </c>
      <c r="F25" s="69">
        <v>2.6045380494163019E-2</v>
      </c>
      <c r="G25" s="11"/>
      <c r="H25" s="69">
        <f t="shared" si="26"/>
        <v>9.1782202968366637E-3</v>
      </c>
      <c r="I25" s="69">
        <f>'RD T1'!E53</f>
        <v>1.366081912550135E-2</v>
      </c>
      <c r="J25" s="69">
        <f t="shared" si="27"/>
        <v>2.2839039422338014E-2</v>
      </c>
      <c r="L25" t="str">
        <f t="shared" si="28"/>
        <v>61 Caring personal service occupations</v>
      </c>
      <c r="M25" s="69">
        <v>0.91453535339331515</v>
      </c>
      <c r="N25" s="69">
        <v>1.1954108099547252</v>
      </c>
      <c r="O25" s="69">
        <v>0.96517430013710093</v>
      </c>
      <c r="P25" s="69">
        <v>1.1771292174502768</v>
      </c>
      <c r="Q25" s="69">
        <v>1.4021008932890973</v>
      </c>
      <c r="R25" s="11"/>
      <c r="S25" s="69">
        <f t="shared" si="29"/>
        <v>0.43692659315199633</v>
      </c>
      <c r="T25" s="69">
        <f>'RD T1'!E82</f>
        <v>0.79596346346487989</v>
      </c>
      <c r="U25" s="69">
        <f t="shared" si="30"/>
        <v>1.2328900566168763</v>
      </c>
      <c r="W25" t="str">
        <f t="shared" si="31"/>
        <v>61 Caring personal service occupations</v>
      </c>
      <c r="X25" s="69">
        <v>3.3088893217251902</v>
      </c>
      <c r="Y25" s="69">
        <v>3.5062720512015884</v>
      </c>
      <c r="Z25" s="69">
        <v>3.6181946252889881</v>
      </c>
      <c r="AA25" s="69">
        <v>4.2670073189623965</v>
      </c>
      <c r="AB25" s="69">
        <v>5.3690982192450099</v>
      </c>
      <c r="AC25" s="69"/>
      <c r="AD25" s="69">
        <f t="shared" si="32"/>
        <v>1.7509035939560218</v>
      </c>
      <c r="AE25" s="69">
        <f>'RD T1'!E111</f>
        <v>3.0245518561543987</v>
      </c>
      <c r="AF25" s="69">
        <f t="shared" si="33"/>
        <v>4.7754554501104209</v>
      </c>
      <c r="AH25" t="str">
        <f t="shared" si="34"/>
        <v>61 Caring personal service occupations</v>
      </c>
      <c r="AI25" s="69">
        <v>2.9937453189580334</v>
      </c>
      <c r="AJ25" s="69">
        <v>2.695774971072769</v>
      </c>
      <c r="AK25" s="69">
        <v>2.9435451276554838</v>
      </c>
      <c r="AL25" s="69">
        <v>3.0323181374089563</v>
      </c>
      <c r="AM25" s="69">
        <v>3.2918683563745241</v>
      </c>
      <c r="AN25" s="69"/>
      <c r="AO25" s="69">
        <f t="shared" si="35"/>
        <v>0.34832322871904031</v>
      </c>
      <c r="AP25" s="69">
        <f>'RD T1'!E140</f>
        <v>1.841615694809051</v>
      </c>
      <c r="AQ25" s="69">
        <f t="shared" si="36"/>
        <v>2.1899389235280911</v>
      </c>
      <c r="AS25" t="str">
        <f t="shared" si="37"/>
        <v>61 Caring personal service occupations</v>
      </c>
      <c r="AT25" s="69">
        <v>1.5663251952230368</v>
      </c>
      <c r="AU25" s="69">
        <v>1.5116796366624508</v>
      </c>
      <c r="AV25" s="69">
        <v>1.6228292933725634</v>
      </c>
      <c r="AW25" s="69">
        <v>1.6851485215483626</v>
      </c>
      <c r="AX25" s="69">
        <v>1.8197401696070568</v>
      </c>
      <c r="AY25" s="69"/>
      <c r="AZ25" s="69">
        <f t="shared" si="38"/>
        <v>0.19691087623449333</v>
      </c>
      <c r="BA25" s="69">
        <f>'RD T1'!E169</f>
        <v>1.0584220626124896</v>
      </c>
      <c r="BB25" s="69">
        <f t="shared" si="39"/>
        <v>1.2553329388469829</v>
      </c>
      <c r="BD25" t="str">
        <f t="shared" si="40"/>
        <v>61 Caring personal service occupations</v>
      </c>
      <c r="BE25" s="69">
        <v>11.641090007224129</v>
      </c>
      <c r="BF25" s="69">
        <v>12.076471415603416</v>
      </c>
      <c r="BG25" s="69">
        <v>12.347220709712236</v>
      </c>
      <c r="BH25" s="69">
        <v>14.398809175317863</v>
      </c>
      <c r="BI25" s="69">
        <v>16.253684403565405</v>
      </c>
      <c r="BJ25" s="69"/>
      <c r="BK25" s="69">
        <f t="shared" si="41"/>
        <v>3.9064636938531692</v>
      </c>
      <c r="BL25" s="69">
        <f>'RD T1'!E198</f>
        <v>8.6128197138263385</v>
      </c>
      <c r="BM25" s="69">
        <f t="shared" si="42"/>
        <v>12.519283407679508</v>
      </c>
      <c r="BO25" t="str">
        <f t="shared" si="43"/>
        <v>61 Caring personal service occupations</v>
      </c>
      <c r="BP25" s="69">
        <v>9.8514579513714189</v>
      </c>
      <c r="BQ25" s="69">
        <v>8.3549602580690099</v>
      </c>
      <c r="BR25" s="69">
        <v>8.4657852009768213</v>
      </c>
      <c r="BS25" s="69">
        <v>7.6726884868492222</v>
      </c>
      <c r="BT25" s="69">
        <v>5.5024863440189105</v>
      </c>
      <c r="BU25" s="69"/>
      <c r="BV25" s="69">
        <f t="shared" si="44"/>
        <v>-2.9632988569579108</v>
      </c>
      <c r="BW25" s="69">
        <f>'RD T1'!E227</f>
        <v>3.4078629449138775</v>
      </c>
      <c r="BX25" s="69">
        <f t="shared" si="45"/>
        <v>0.44456408795596669</v>
      </c>
      <c r="BZ25" t="str">
        <f t="shared" si="46"/>
        <v>61 Caring personal service occupations</v>
      </c>
      <c r="CA25" s="69">
        <v>2.8147652693834742</v>
      </c>
      <c r="CB25" s="69">
        <v>1.5219880292961048</v>
      </c>
      <c r="CC25" s="69">
        <v>1.2457354572102439</v>
      </c>
      <c r="CD25" s="69">
        <v>0.95389083676898168</v>
      </c>
      <c r="CE25" s="69">
        <v>0.79094039684653028</v>
      </c>
      <c r="CF25" s="69"/>
      <c r="CG25" s="69">
        <f t="shared" si="47"/>
        <v>-0.45479506036371364</v>
      </c>
      <c r="CH25" s="69">
        <f>'RD T1'!E256</f>
        <v>0.30903867918599343</v>
      </c>
      <c r="CI25" s="69">
        <f t="shared" si="48"/>
        <v>-0.14575638117772022</v>
      </c>
      <c r="CK25" t="str">
        <f t="shared" si="49"/>
        <v>61 Caring personal service occupations</v>
      </c>
      <c r="CL25" s="69">
        <v>0.50335888062846967</v>
      </c>
      <c r="CM25" s="69">
        <v>0.47392544789742447</v>
      </c>
      <c r="CN25" s="69">
        <v>0.38482804697592632</v>
      </c>
      <c r="CO25" s="69">
        <v>0.43059949285396565</v>
      </c>
      <c r="CP25" s="69">
        <v>0.42265183116480171</v>
      </c>
      <c r="CQ25" s="69"/>
      <c r="CR25" s="69">
        <f t="shared" si="50"/>
        <v>3.7823784188875387E-2</v>
      </c>
      <c r="CS25" s="69">
        <f>'RD T1'!E285</f>
        <v>0.12806742198855725</v>
      </c>
      <c r="CT25" s="69">
        <f t="shared" si="51"/>
        <v>0.16589120617743264</v>
      </c>
    </row>
    <row r="26" spans="1:98" x14ac:dyDescent="0.2">
      <c r="A26" s="10" t="str">
        <f>name!D22</f>
        <v>62 Leisure, travel and related personal service occupations</v>
      </c>
      <c r="B26" s="69">
        <v>1.1667426936935666E-2</v>
      </c>
      <c r="C26" s="69">
        <v>9.5931076853784068E-3</v>
      </c>
      <c r="D26" s="69">
        <v>1.2414943327238409E-2</v>
      </c>
      <c r="E26" s="69">
        <v>1.5675943239546099E-2</v>
      </c>
      <c r="F26" s="69">
        <v>2.213045760931806E-2</v>
      </c>
      <c r="G26" s="11"/>
      <c r="H26" s="69">
        <f t="shared" si="26"/>
        <v>9.7155142820796511E-3</v>
      </c>
      <c r="I26" s="69">
        <f>'RD T1'!E54</f>
        <v>1.0395697766419338E-2</v>
      </c>
      <c r="J26" s="69">
        <f t="shared" si="27"/>
        <v>2.0111212048498989E-2</v>
      </c>
      <c r="L26" t="str">
        <f t="shared" si="28"/>
        <v>62 Leisure, travel and related personal service occupations</v>
      </c>
      <c r="M26" s="69">
        <v>0.17386107379615948</v>
      </c>
      <c r="N26" s="69">
        <v>0.2642293007489428</v>
      </c>
      <c r="O26" s="69">
        <v>0.19568076357685518</v>
      </c>
      <c r="P26" s="69">
        <v>0.23089520942611147</v>
      </c>
      <c r="Q26" s="69">
        <v>0.28433058607285577</v>
      </c>
      <c r="R26" s="11"/>
      <c r="S26" s="69">
        <f t="shared" si="29"/>
        <v>8.8649822496000591E-2</v>
      </c>
      <c r="T26" s="69">
        <f>'RD T1'!E83</f>
        <v>0.1533987371488704</v>
      </c>
      <c r="U26" s="69">
        <f t="shared" si="30"/>
        <v>0.24204855964487099</v>
      </c>
      <c r="W26" t="str">
        <f t="shared" si="31"/>
        <v>62 Leisure, travel and related personal service occupations</v>
      </c>
      <c r="X26" s="69">
        <v>0.8206592573211352</v>
      </c>
      <c r="Y26" s="69">
        <v>0.9835065775217694</v>
      </c>
      <c r="Z26" s="69">
        <v>0.99405826061593106</v>
      </c>
      <c r="AA26" s="69">
        <v>1.1908357848339337</v>
      </c>
      <c r="AB26" s="69">
        <v>1.61025598677246</v>
      </c>
      <c r="AC26" s="69"/>
      <c r="AD26" s="69">
        <f t="shared" si="32"/>
        <v>0.6161977261565289</v>
      </c>
      <c r="AE26" s="69">
        <f>'RD T1'!E112</f>
        <v>0.83991523319941741</v>
      </c>
      <c r="AF26" s="69">
        <f t="shared" si="33"/>
        <v>1.4561129593559463</v>
      </c>
      <c r="AH26" t="str">
        <f t="shared" si="34"/>
        <v>62 Leisure, travel and related personal service occupations</v>
      </c>
      <c r="AI26" s="69">
        <v>0.51490848050639737</v>
      </c>
      <c r="AJ26" s="69">
        <v>0.62522891256480084</v>
      </c>
      <c r="AK26" s="69">
        <v>0.65927021827716725</v>
      </c>
      <c r="AL26" s="69">
        <v>0.75079315865239615</v>
      </c>
      <c r="AM26" s="69">
        <v>1.0715533095722769</v>
      </c>
      <c r="AN26" s="69"/>
      <c r="AO26" s="69">
        <f t="shared" si="35"/>
        <v>0.41228309129510965</v>
      </c>
      <c r="AP26" s="69">
        <f>'RD T1'!E141</f>
        <v>0.54883268872338475</v>
      </c>
      <c r="AQ26" s="69">
        <f t="shared" si="36"/>
        <v>0.9611157800184944</v>
      </c>
      <c r="AS26" t="str">
        <f t="shared" si="37"/>
        <v>62 Leisure, travel and related personal service occupations</v>
      </c>
      <c r="AT26" s="69">
        <v>0.6315987431622988</v>
      </c>
      <c r="AU26" s="69">
        <v>0.79352765539964021</v>
      </c>
      <c r="AV26" s="69">
        <v>0.86686385207471839</v>
      </c>
      <c r="AW26" s="69">
        <v>0.9912648848321296</v>
      </c>
      <c r="AX26" s="69">
        <v>1.3895658524813066</v>
      </c>
      <c r="AY26" s="69"/>
      <c r="AZ26" s="69">
        <f t="shared" si="38"/>
        <v>0.52270200040658821</v>
      </c>
      <c r="BA26" s="69">
        <f>'RD T1'!E170</f>
        <v>0.70068179238219963</v>
      </c>
      <c r="BB26" s="69">
        <f t="shared" si="39"/>
        <v>1.2233837927887878</v>
      </c>
      <c r="BD26" t="str">
        <f t="shared" si="40"/>
        <v>62 Leisure, travel and related personal service occupations</v>
      </c>
      <c r="BE26" s="69">
        <v>2.7370448212964162</v>
      </c>
      <c r="BF26" s="69">
        <v>2.9720042289040118</v>
      </c>
      <c r="BG26" s="69">
        <v>2.8843011023289353</v>
      </c>
      <c r="BH26" s="69">
        <v>2.857539215605243</v>
      </c>
      <c r="BI26" s="69">
        <v>3.0213568610562751</v>
      </c>
      <c r="BJ26" s="69"/>
      <c r="BK26" s="69">
        <f t="shared" si="41"/>
        <v>0.13705575872733977</v>
      </c>
      <c r="BL26" s="69">
        <f>'RD T1'!E199</f>
        <v>1.3691407237535009</v>
      </c>
      <c r="BM26" s="69">
        <f t="shared" si="42"/>
        <v>1.5061964824808407</v>
      </c>
      <c r="BO26" t="str">
        <f t="shared" si="43"/>
        <v>62 Leisure, travel and related personal service occupations</v>
      </c>
      <c r="BP26" s="69">
        <v>3.0360828439011929</v>
      </c>
      <c r="BQ26" s="69">
        <v>3.0792077601542975</v>
      </c>
      <c r="BR26" s="69">
        <v>2.8451374314048974</v>
      </c>
      <c r="BS26" s="69">
        <v>2.430124029535309</v>
      </c>
      <c r="BT26" s="69">
        <v>1.9093798730427274</v>
      </c>
      <c r="BU26" s="69"/>
      <c r="BV26" s="69">
        <f t="shared" si="44"/>
        <v>-0.93575755836217001</v>
      </c>
      <c r="BW26" s="69">
        <f>'RD T1'!E228</f>
        <v>1.053757424186776</v>
      </c>
      <c r="BX26" s="69">
        <f t="shared" si="45"/>
        <v>0.11799986582460598</v>
      </c>
      <c r="BZ26" t="str">
        <f t="shared" si="46"/>
        <v>62 Leisure, travel and related personal service occupations</v>
      </c>
      <c r="CA26" s="69">
        <v>1.7802558271144833</v>
      </c>
      <c r="CB26" s="69">
        <v>1.8558876092921599</v>
      </c>
      <c r="CC26" s="69">
        <v>1.5770960339757798</v>
      </c>
      <c r="CD26" s="69">
        <v>1.4767417175896873</v>
      </c>
      <c r="CE26" s="69">
        <v>0.94827977803194807</v>
      </c>
      <c r="CF26" s="69"/>
      <c r="CG26" s="69">
        <f t="shared" si="47"/>
        <v>-0.62881625594383173</v>
      </c>
      <c r="CH26" s="69">
        <f>'RD T1'!E257</f>
        <v>0.53943460312281322</v>
      </c>
      <c r="CI26" s="69">
        <f t="shared" si="48"/>
        <v>-8.9381652821018509E-2</v>
      </c>
      <c r="CK26" t="str">
        <f t="shared" si="49"/>
        <v>62 Leisure, travel and related personal service occupations</v>
      </c>
      <c r="CL26" s="69">
        <v>0.98839120438688188</v>
      </c>
      <c r="CM26" s="69">
        <v>0.76713260116137472</v>
      </c>
      <c r="CN26" s="69">
        <v>0.55529456629512897</v>
      </c>
      <c r="CO26" s="69">
        <v>0.46609535610365865</v>
      </c>
      <c r="CP26" s="69">
        <v>0.35499256202314117</v>
      </c>
      <c r="CQ26" s="69"/>
      <c r="CR26" s="69">
        <f t="shared" si="50"/>
        <v>-0.2003020042719878</v>
      </c>
      <c r="CS26" s="69">
        <f>'RD T1'!E286</f>
        <v>0.14726702747129297</v>
      </c>
      <c r="CT26" s="69">
        <f t="shared" si="51"/>
        <v>-5.3034976800694827E-2</v>
      </c>
    </row>
    <row r="27" spans="1:98" x14ac:dyDescent="0.2">
      <c r="A27" s="10" t="str">
        <f>name!D23</f>
        <v>63 Community and civil enforcement occupations</v>
      </c>
      <c r="B27" s="69">
        <v>7.9219130586344842E-4</v>
      </c>
      <c r="C27" s="69">
        <v>1.2254962386959423E-3</v>
      </c>
      <c r="D27" s="69">
        <v>9.9632809535825611E-4</v>
      </c>
      <c r="E27" s="69">
        <v>1.2676229254457788E-3</v>
      </c>
      <c r="F27" s="69">
        <v>1.7397053863863932E-3</v>
      </c>
      <c r="G27" s="11"/>
      <c r="H27" s="69">
        <f t="shared" si="26"/>
        <v>7.4337729102813706E-4</v>
      </c>
      <c r="I27" s="69">
        <f>'RD T1'!E55</f>
        <v>8.3695162084409375E-4</v>
      </c>
      <c r="J27" s="69">
        <f t="shared" si="27"/>
        <v>1.5803289118722307E-3</v>
      </c>
      <c r="L27" t="str">
        <f t="shared" si="28"/>
        <v>63 Community and civil enforcement occupations</v>
      </c>
      <c r="M27" s="69">
        <v>1.3407113655979941E-2</v>
      </c>
      <c r="N27" s="69">
        <v>1.7443062447402648E-2</v>
      </c>
      <c r="O27" s="69">
        <v>1.7880874970720835E-2</v>
      </c>
      <c r="P27" s="69">
        <v>1.83090931637005E-2</v>
      </c>
      <c r="Q27" s="69">
        <v>2.7744770692157514E-2</v>
      </c>
      <c r="R27" s="11"/>
      <c r="S27" s="69">
        <f t="shared" si="29"/>
        <v>9.8638957214366788E-3</v>
      </c>
      <c r="T27" s="69">
        <f>'RD T1'!E84</f>
        <v>1.2342946632790017E-2</v>
      </c>
      <c r="U27" s="69">
        <f t="shared" si="30"/>
        <v>2.2206842354226694E-2</v>
      </c>
      <c r="W27" t="str">
        <f t="shared" si="31"/>
        <v>63 Community and civil enforcement occupations</v>
      </c>
      <c r="X27" s="69">
        <v>8.8159373323681955E-2</v>
      </c>
      <c r="Y27" s="69">
        <v>9.4190540168735792E-2</v>
      </c>
      <c r="Z27" s="69">
        <v>9.7279137808341715E-2</v>
      </c>
      <c r="AA27" s="69">
        <v>0.11673084938813179</v>
      </c>
      <c r="AB27" s="69">
        <v>0.14813758518998671</v>
      </c>
      <c r="AC27" s="69"/>
      <c r="AD27" s="69">
        <f t="shared" si="32"/>
        <v>5.0858447381644994E-2</v>
      </c>
      <c r="AE27" s="69">
        <f>'RD T1'!E113</f>
        <v>8.5438253012775911E-2</v>
      </c>
      <c r="AF27" s="69">
        <f t="shared" si="33"/>
        <v>0.13629670039442091</v>
      </c>
      <c r="AH27" t="str">
        <f t="shared" si="34"/>
        <v>63 Community and civil enforcement occupations</v>
      </c>
      <c r="AI27" s="69">
        <v>2.4584101264107018E-2</v>
      </c>
      <c r="AJ27" s="69">
        <v>2.3450613324346479E-2</v>
      </c>
      <c r="AK27" s="69">
        <v>2.8075962379289811E-2</v>
      </c>
      <c r="AL27" s="69">
        <v>2.8466260374755237E-2</v>
      </c>
      <c r="AM27" s="69">
        <v>3.4732544881197064E-2</v>
      </c>
      <c r="AN27" s="69"/>
      <c r="AO27" s="69">
        <f t="shared" si="35"/>
        <v>6.656582501907253E-3</v>
      </c>
      <c r="AP27" s="69">
        <f>'RD T1'!E142</f>
        <v>1.8611377468149972E-2</v>
      </c>
      <c r="AQ27" s="69">
        <f t="shared" si="36"/>
        <v>2.5267959970057225E-2</v>
      </c>
      <c r="AS27" t="str">
        <f t="shared" si="37"/>
        <v>63 Community and civil enforcement occupations</v>
      </c>
      <c r="AT27" s="69">
        <v>2.4419916293734197E-2</v>
      </c>
      <c r="AU27" s="69">
        <v>2.2084905182120008E-2</v>
      </c>
      <c r="AV27" s="69">
        <v>2.4531096713598578E-2</v>
      </c>
      <c r="AW27" s="69">
        <v>2.27034318076683E-2</v>
      </c>
      <c r="AX27" s="69">
        <v>2.462228807259428E-2</v>
      </c>
      <c r="AY27" s="69"/>
      <c r="AZ27" s="69">
        <f t="shared" si="38"/>
        <v>9.1191358995702104E-5</v>
      </c>
      <c r="BA27" s="69">
        <f>'RD T1'!E171</f>
        <v>1.5212867361100203E-2</v>
      </c>
      <c r="BB27" s="69">
        <f t="shared" si="39"/>
        <v>1.5304058720095905E-2</v>
      </c>
      <c r="BD27" t="str">
        <f t="shared" si="40"/>
        <v>63 Community and civil enforcement occupations</v>
      </c>
      <c r="BE27" s="69">
        <v>0.11830597952297343</v>
      </c>
      <c r="BF27" s="69">
        <v>7.8608996279291882E-2</v>
      </c>
      <c r="BG27" s="69">
        <v>0.13691433956394289</v>
      </c>
      <c r="BH27" s="69">
        <v>7.7619159538879309E-2</v>
      </c>
      <c r="BI27" s="69">
        <v>7.9849718453883972E-2</v>
      </c>
      <c r="BJ27" s="69"/>
      <c r="BK27" s="69">
        <f t="shared" si="41"/>
        <v>-5.7064621110058916E-2</v>
      </c>
      <c r="BL27" s="69">
        <f>'RD T1'!E200</f>
        <v>3.1295558488261134E-2</v>
      </c>
      <c r="BM27" s="69">
        <f t="shared" si="42"/>
        <v>-2.5769062621797782E-2</v>
      </c>
      <c r="BO27" t="str">
        <f t="shared" si="43"/>
        <v>63 Community and civil enforcement occupations</v>
      </c>
      <c r="BP27" s="69">
        <v>0.16765609062520442</v>
      </c>
      <c r="BQ27" s="69">
        <v>0.14278728719707895</v>
      </c>
      <c r="BR27" s="69">
        <v>0.1860519429334889</v>
      </c>
      <c r="BS27" s="69">
        <v>0.14364020621019635</v>
      </c>
      <c r="BT27" s="69">
        <v>0.15236000541524741</v>
      </c>
      <c r="BU27" s="69"/>
      <c r="BV27" s="69">
        <f t="shared" si="44"/>
        <v>-3.3691937518241483E-2</v>
      </c>
      <c r="BW27" s="69">
        <f>'RD T1'!E229</f>
        <v>6.2259442114605254E-2</v>
      </c>
      <c r="BX27" s="69">
        <f t="shared" si="45"/>
        <v>2.8567504596363771E-2</v>
      </c>
      <c r="BZ27" t="str">
        <f t="shared" si="46"/>
        <v>63 Community and civil enforcement occupations</v>
      </c>
      <c r="CA27" s="69">
        <v>0.10382301474728459</v>
      </c>
      <c r="CB27" s="69">
        <v>0.1189201413815221</v>
      </c>
      <c r="CC27" s="69">
        <v>0.1167202365727041</v>
      </c>
      <c r="CD27" s="69">
        <v>0.10597832292289415</v>
      </c>
      <c r="CE27" s="69">
        <v>7.9690632576770157E-2</v>
      </c>
      <c r="CF27" s="69"/>
      <c r="CG27" s="69">
        <f t="shared" si="47"/>
        <v>-3.7029603995933941E-2</v>
      </c>
      <c r="CH27" s="69">
        <f>'RD T1'!E258</f>
        <v>3.9275665140175844E-2</v>
      </c>
      <c r="CI27" s="69">
        <f t="shared" si="48"/>
        <v>2.2460611442419037E-3</v>
      </c>
      <c r="CK27" t="str">
        <f t="shared" si="49"/>
        <v>63 Community and civil enforcement occupations</v>
      </c>
      <c r="CL27" s="69">
        <v>4.1002916467885418E-2</v>
      </c>
      <c r="CM27" s="69">
        <v>2.6861572953718837E-2</v>
      </c>
      <c r="CN27" s="69">
        <v>3.3374728564537125E-2</v>
      </c>
      <c r="CO27" s="69">
        <v>1.6935962671299973E-2</v>
      </c>
      <c r="CP27" s="69">
        <v>1.1117373907575303E-2</v>
      </c>
      <c r="CQ27" s="69"/>
      <c r="CR27" s="69">
        <f t="shared" si="50"/>
        <v>-2.2257354656961822E-2</v>
      </c>
      <c r="CS27" s="69">
        <f>'RD T1'!E287</f>
        <v>4.6241680507253004E-3</v>
      </c>
      <c r="CT27" s="69">
        <f t="shared" si="51"/>
        <v>-1.7633186606236521E-2</v>
      </c>
    </row>
    <row r="28" spans="1:98" x14ac:dyDescent="0.2">
      <c r="A28" s="10" t="str">
        <f>name!D24</f>
        <v>71 Sales occupations</v>
      </c>
      <c r="B28" s="69">
        <v>7.4116815449447052E-2</v>
      </c>
      <c r="C28" s="69">
        <v>8.6688700333908547E-2</v>
      </c>
      <c r="D28" s="69">
        <v>5.898375976087826E-2</v>
      </c>
      <c r="E28" s="69">
        <v>6.7165400808761933E-2</v>
      </c>
      <c r="F28" s="69">
        <v>8.2616845745765791E-2</v>
      </c>
      <c r="G28" s="11"/>
      <c r="H28" s="69">
        <f t="shared" si="26"/>
        <v>2.3633085984887531E-2</v>
      </c>
      <c r="I28" s="69">
        <f>'RD T1'!E56</f>
        <v>3.8039520723484037E-2</v>
      </c>
      <c r="J28" s="69">
        <f t="shared" si="27"/>
        <v>6.1672606708371568E-2</v>
      </c>
      <c r="L28" t="str">
        <f t="shared" si="28"/>
        <v>71 Sales occupations</v>
      </c>
      <c r="M28" s="69">
        <v>0.94888253417531754</v>
      </c>
      <c r="N28" s="69">
        <v>1.194343569850334</v>
      </c>
      <c r="O28" s="69">
        <v>0.97503897091314462</v>
      </c>
      <c r="P28" s="69">
        <v>1.1504312860585253</v>
      </c>
      <c r="Q28" s="69">
        <v>1.5652881614453358</v>
      </c>
      <c r="R28" s="11"/>
      <c r="S28" s="69">
        <f t="shared" si="29"/>
        <v>0.59024919053219116</v>
      </c>
      <c r="T28" s="69">
        <f>'RD T1'!E85</f>
        <v>0.71660441604214997</v>
      </c>
      <c r="U28" s="69">
        <f t="shared" si="30"/>
        <v>1.3068536065743412</v>
      </c>
      <c r="W28" t="str">
        <f t="shared" si="31"/>
        <v>71 Sales occupations</v>
      </c>
      <c r="X28" s="69">
        <v>4.5129004955331444</v>
      </c>
      <c r="Y28" s="69">
        <v>4.3191881237715224</v>
      </c>
      <c r="Z28" s="69">
        <v>4.7004423392025352</v>
      </c>
      <c r="AA28" s="69">
        <v>5.206536557094136</v>
      </c>
      <c r="AB28" s="69">
        <v>7.082781598434134</v>
      </c>
      <c r="AC28" s="69"/>
      <c r="AD28" s="69">
        <f t="shared" si="32"/>
        <v>2.3823392592315988</v>
      </c>
      <c r="AE28" s="69">
        <f>'RD T1'!E114</f>
        <v>3.5010544239630517</v>
      </c>
      <c r="AF28" s="69">
        <f t="shared" si="33"/>
        <v>5.8833936831946509</v>
      </c>
      <c r="AH28" t="str">
        <f t="shared" si="34"/>
        <v>71 Sales occupations</v>
      </c>
      <c r="AI28" s="69">
        <v>1.6789641801604809</v>
      </c>
      <c r="AJ28" s="69">
        <v>1.587737453040984</v>
      </c>
      <c r="AK28" s="69">
        <v>1.7902596493911516</v>
      </c>
      <c r="AL28" s="69">
        <v>1.9058974982456218</v>
      </c>
      <c r="AM28" s="69">
        <v>2.6326958409093764</v>
      </c>
      <c r="AN28" s="69"/>
      <c r="AO28" s="69">
        <f t="shared" si="35"/>
        <v>0.8424361915182248</v>
      </c>
      <c r="AP28" s="69">
        <f>'RD T1'!E143</f>
        <v>1.30237116506976</v>
      </c>
      <c r="AQ28" s="69">
        <f t="shared" si="36"/>
        <v>2.144807356587985</v>
      </c>
      <c r="AS28" t="str">
        <f t="shared" si="37"/>
        <v>71 Sales occupations</v>
      </c>
      <c r="AT28" s="69">
        <v>1.3456686127038373</v>
      </c>
      <c r="AU28" s="69">
        <v>1.1750358796945277</v>
      </c>
      <c r="AV28" s="69">
        <v>1.2579159373850879</v>
      </c>
      <c r="AW28" s="69">
        <v>1.2689512824160156</v>
      </c>
      <c r="AX28" s="69">
        <v>1.5993657254874378</v>
      </c>
      <c r="AY28" s="69"/>
      <c r="AZ28" s="69">
        <f t="shared" si="38"/>
        <v>0.34144978810234994</v>
      </c>
      <c r="BA28" s="69">
        <f>'RD T1'!E172</f>
        <v>0.72709334984183782</v>
      </c>
      <c r="BB28" s="69">
        <f t="shared" si="39"/>
        <v>1.0685431379441876</v>
      </c>
      <c r="BD28" t="str">
        <f t="shared" si="40"/>
        <v>71 Sales occupations</v>
      </c>
      <c r="BE28" s="69">
        <v>12.219307808776962</v>
      </c>
      <c r="BF28" s="69">
        <v>11.374830758067977</v>
      </c>
      <c r="BG28" s="69">
        <v>12.804985410345585</v>
      </c>
      <c r="BH28" s="69">
        <v>12.677590083830802</v>
      </c>
      <c r="BI28" s="69">
        <v>14.582765110083519</v>
      </c>
      <c r="BJ28" s="69"/>
      <c r="BK28" s="69">
        <f t="shared" si="41"/>
        <v>1.777779699737934</v>
      </c>
      <c r="BL28" s="69">
        <f>'RD T1'!E201</f>
        <v>6.8758135044385646</v>
      </c>
      <c r="BM28" s="69">
        <f t="shared" si="42"/>
        <v>8.6535932041764987</v>
      </c>
      <c r="BO28" t="str">
        <f t="shared" si="43"/>
        <v>71 Sales occupations</v>
      </c>
      <c r="BP28" s="69">
        <v>13.572105395806821</v>
      </c>
      <c r="BQ28" s="69">
        <v>11.581904957936263</v>
      </c>
      <c r="BR28" s="69">
        <v>11.992911840563142</v>
      </c>
      <c r="BS28" s="69">
        <v>10.325848642033362</v>
      </c>
      <c r="BT28" s="69">
        <v>7.7627195453410041</v>
      </c>
      <c r="BU28" s="69"/>
      <c r="BV28" s="69">
        <f t="shared" si="44"/>
        <v>-4.230192295222138</v>
      </c>
      <c r="BW28" s="69">
        <f>'RD T1'!E230</f>
        <v>4.638871644201461</v>
      </c>
      <c r="BX28" s="69">
        <f t="shared" si="45"/>
        <v>0.40867934897932301</v>
      </c>
      <c r="BZ28" t="str">
        <f t="shared" si="46"/>
        <v>71 Sales occupations</v>
      </c>
      <c r="CA28" s="69">
        <v>8.4500085002288898</v>
      </c>
      <c r="CB28" s="69">
        <v>7.3761597115069213</v>
      </c>
      <c r="CC28" s="69">
        <v>6.6139820606109803</v>
      </c>
      <c r="CD28" s="69">
        <v>5.6100746647487343</v>
      </c>
      <c r="CE28" s="69">
        <v>2.4810635600472271</v>
      </c>
      <c r="CF28" s="69"/>
      <c r="CG28" s="69">
        <f t="shared" si="47"/>
        <v>-4.1329185005637532</v>
      </c>
      <c r="CH28" s="69">
        <f>'RD T1'!E259</f>
        <v>1.8204607207995107</v>
      </c>
      <c r="CI28" s="69">
        <f t="shared" si="48"/>
        <v>-2.3124577797642427</v>
      </c>
      <c r="CK28" t="str">
        <f t="shared" si="49"/>
        <v>71 Sales occupations</v>
      </c>
      <c r="CL28" s="69">
        <v>5.1030477775246723</v>
      </c>
      <c r="CM28" s="69">
        <v>3.6755080290313717</v>
      </c>
      <c r="CN28" s="69">
        <v>2.4835491454295355</v>
      </c>
      <c r="CO28" s="69">
        <v>1.930048158315973</v>
      </c>
      <c r="CP28" s="69">
        <v>0.96129510392351525</v>
      </c>
      <c r="CQ28" s="69"/>
      <c r="CR28" s="69">
        <f t="shared" si="50"/>
        <v>-1.5222540415060202</v>
      </c>
      <c r="CS28" s="69">
        <f>'RD T1'!E288</f>
        <v>0.5316772555207453</v>
      </c>
      <c r="CT28" s="69">
        <f t="shared" si="51"/>
        <v>-0.99057678598527488</v>
      </c>
    </row>
    <row r="29" spans="1:98" x14ac:dyDescent="0.2">
      <c r="A29" s="10" t="str">
        <f>name!D25</f>
        <v>72 Customer service occupations</v>
      </c>
      <c r="B29" s="69">
        <v>2.178208883013703E-2</v>
      </c>
      <c r="C29" s="69">
        <v>2.8835737181415504E-2</v>
      </c>
      <c r="D29" s="69">
        <v>2.5869154007025465E-2</v>
      </c>
      <c r="E29" s="69">
        <v>4.0329123214771764E-2</v>
      </c>
      <c r="F29" s="69">
        <v>5.6722135394157269E-2</v>
      </c>
      <c r="G29" s="11"/>
      <c r="H29" s="69">
        <f>F29-D29</f>
        <v>3.0852981387131804E-2</v>
      </c>
      <c r="I29" s="69">
        <f>'RD T1'!E57</f>
        <v>2.1484607421032306E-2</v>
      </c>
      <c r="J29" s="69">
        <f t="shared" si="27"/>
        <v>5.2337588808164109E-2</v>
      </c>
      <c r="L29" t="str">
        <f t="shared" si="28"/>
        <v>72 Customer service occupations</v>
      </c>
      <c r="M29" s="69">
        <v>0.25085407890678157</v>
      </c>
      <c r="N29" s="69">
        <v>0.35202378838392029</v>
      </c>
      <c r="O29" s="69">
        <v>0.27400929020948533</v>
      </c>
      <c r="P29" s="69">
        <v>0.42360694392095283</v>
      </c>
      <c r="Q29" s="69">
        <v>0.59197477339361648</v>
      </c>
      <c r="R29" s="11"/>
      <c r="S29" s="69">
        <f t="shared" si="29"/>
        <v>0.31796548318413115</v>
      </c>
      <c r="T29" s="69">
        <f>'RD T1'!E86</f>
        <v>0.25884537283049258</v>
      </c>
      <c r="U29" s="69">
        <f t="shared" si="30"/>
        <v>0.57681085601462367</v>
      </c>
      <c r="W29" t="str">
        <f t="shared" si="31"/>
        <v>72 Customer service occupations</v>
      </c>
      <c r="X29" s="69">
        <v>1.1613497108961146</v>
      </c>
      <c r="Y29" s="69">
        <v>1.1786218204233569</v>
      </c>
      <c r="Z29" s="69">
        <v>1.3219900765935759</v>
      </c>
      <c r="AA29" s="69">
        <v>1.8504632624539807</v>
      </c>
      <c r="AB29" s="69">
        <v>2.5438290360204392</v>
      </c>
      <c r="AC29" s="69"/>
      <c r="AD29" s="69">
        <f t="shared" si="32"/>
        <v>1.2218389594268633</v>
      </c>
      <c r="AE29" s="69">
        <f>'RD T1'!E115</f>
        <v>1.0915615617072993</v>
      </c>
      <c r="AF29" s="69">
        <f t="shared" si="33"/>
        <v>2.3134005211341626</v>
      </c>
      <c r="AH29" t="str">
        <f t="shared" si="34"/>
        <v>72 Customer service occupations</v>
      </c>
      <c r="AI29" s="69">
        <v>0.34003337169179904</v>
      </c>
      <c r="AJ29" s="69">
        <v>0.36713584844560576</v>
      </c>
      <c r="AK29" s="69">
        <v>0.42107680067773956</v>
      </c>
      <c r="AL29" s="69">
        <v>0.59207079010608155</v>
      </c>
      <c r="AM29" s="69">
        <v>0.82154561505938828</v>
      </c>
      <c r="AN29" s="69"/>
      <c r="AO29" s="69">
        <f t="shared" si="35"/>
        <v>0.40046881438164872</v>
      </c>
      <c r="AP29" s="69">
        <f>'RD T1'!E144</f>
        <v>0.35822370472361442</v>
      </c>
      <c r="AQ29" s="69">
        <f t="shared" si="36"/>
        <v>0.75869251910526314</v>
      </c>
      <c r="AS29" t="str">
        <f t="shared" si="37"/>
        <v>72 Customer service occupations</v>
      </c>
      <c r="AT29" s="69">
        <v>0.49022816099813349</v>
      </c>
      <c r="AU29" s="69">
        <v>0.47697619136923197</v>
      </c>
      <c r="AV29" s="69">
        <v>0.52592571926905585</v>
      </c>
      <c r="AW29" s="69">
        <v>0.70719864405348654</v>
      </c>
      <c r="AX29" s="69">
        <v>0.87397613798244855</v>
      </c>
      <c r="AY29" s="69"/>
      <c r="AZ29" s="69">
        <f t="shared" si="38"/>
        <v>0.34805041871339271</v>
      </c>
      <c r="BA29" s="69">
        <f>'RD T1'!E173</f>
        <v>0.37113519925606786</v>
      </c>
      <c r="BB29" s="69">
        <f t="shared" si="39"/>
        <v>0.71918561796946057</v>
      </c>
      <c r="BD29" t="str">
        <f t="shared" si="40"/>
        <v>72 Customer service occupations</v>
      </c>
      <c r="BE29" s="69">
        <v>2.1547207758624274</v>
      </c>
      <c r="BF29" s="69">
        <v>2.1856428336970093</v>
      </c>
      <c r="BG29" s="69">
        <v>2.5038406203927721</v>
      </c>
      <c r="BH29" s="69">
        <v>3.075811392580369</v>
      </c>
      <c r="BI29" s="69">
        <v>3.6362760267747989</v>
      </c>
      <c r="BJ29" s="69"/>
      <c r="BK29" s="69">
        <f t="shared" si="41"/>
        <v>1.1324354063820268</v>
      </c>
      <c r="BL29" s="69">
        <f>'RD T1'!E202</f>
        <v>1.4354480944121382</v>
      </c>
      <c r="BM29" s="69">
        <f t="shared" si="42"/>
        <v>2.5678835007941649</v>
      </c>
      <c r="BO29" t="str">
        <f t="shared" si="43"/>
        <v>72 Customer service occupations</v>
      </c>
      <c r="BP29" s="69">
        <v>2.4119626438987822</v>
      </c>
      <c r="BQ29" s="69">
        <v>2.415937039188401</v>
      </c>
      <c r="BR29" s="69">
        <v>2.5410728347510725</v>
      </c>
      <c r="BS29" s="69">
        <v>3.0595610231603048</v>
      </c>
      <c r="BT29" s="69">
        <v>3.0509103857415254</v>
      </c>
      <c r="BU29" s="69"/>
      <c r="BV29" s="69">
        <f t="shared" si="44"/>
        <v>0.50983755099045291</v>
      </c>
      <c r="BW29" s="69">
        <f>'RD T1'!E231</f>
        <v>1.3407282287126008</v>
      </c>
      <c r="BX29" s="69">
        <f t="shared" si="45"/>
        <v>1.8505657797030537</v>
      </c>
      <c r="BZ29" t="str">
        <f t="shared" si="46"/>
        <v>72 Customer service occupations</v>
      </c>
      <c r="CA29" s="69">
        <v>1.0378642558604618</v>
      </c>
      <c r="CB29" s="69">
        <v>1.0416278282318046</v>
      </c>
      <c r="CC29" s="69">
        <v>0.93312535828609322</v>
      </c>
      <c r="CD29" s="69">
        <v>1.0846313842902693</v>
      </c>
      <c r="CE29" s="69">
        <v>1.0278220325295047</v>
      </c>
      <c r="CF29" s="69"/>
      <c r="CG29" s="69">
        <f t="shared" si="47"/>
        <v>9.4696674243411438E-2</v>
      </c>
      <c r="CH29" s="69">
        <f>'RD T1'!E260</f>
        <v>0.34987183222703583</v>
      </c>
      <c r="CI29" s="69">
        <f t="shared" si="48"/>
        <v>0.44456850647044727</v>
      </c>
      <c r="CK29" t="str">
        <f t="shared" si="49"/>
        <v>72 Customer service occupations</v>
      </c>
      <c r="CL29" s="69">
        <v>0.40545318636254418</v>
      </c>
      <c r="CM29" s="69">
        <v>0.44609280292041681</v>
      </c>
      <c r="CN29" s="69">
        <v>0.34328225535001733</v>
      </c>
      <c r="CO29" s="69">
        <v>0.49839077643039936</v>
      </c>
      <c r="CP29" s="69">
        <v>0.56158167362192424</v>
      </c>
      <c r="CQ29" s="69"/>
      <c r="CR29" s="69">
        <f t="shared" si="50"/>
        <v>0.21829941827190691</v>
      </c>
      <c r="CS29" s="69">
        <f>'RD T1'!E289</f>
        <v>0.19971506739677078</v>
      </c>
      <c r="CT29" s="69">
        <f t="shared" si="51"/>
        <v>0.41801448566867772</v>
      </c>
    </row>
    <row r="30" spans="1:98" x14ac:dyDescent="0.2">
      <c r="A30" s="10" t="str">
        <f>name!D26</f>
        <v>81 Process, plant and machine operatives</v>
      </c>
      <c r="B30" s="69">
        <v>1.9577546850732087E-2</v>
      </c>
      <c r="C30" s="69">
        <v>3.4470851093400257E-2</v>
      </c>
      <c r="D30" s="69">
        <v>2.4517581372656926E-2</v>
      </c>
      <c r="E30" s="69">
        <v>3.8595263510434408E-2</v>
      </c>
      <c r="F30" s="69">
        <v>5.8978213737850595E-2</v>
      </c>
      <c r="G30" s="11"/>
      <c r="H30" s="69">
        <f t="shared" si="26"/>
        <v>3.4460632365193672E-2</v>
      </c>
      <c r="I30" s="69">
        <f>'RD T1'!E58</f>
        <v>2.0045069906297851E-2</v>
      </c>
      <c r="J30" s="69">
        <f t="shared" si="27"/>
        <v>5.4505702271491527E-2</v>
      </c>
      <c r="L30" t="str">
        <f t="shared" si="28"/>
        <v>81 Process, plant and machine operatives</v>
      </c>
      <c r="M30" s="69">
        <v>0.1438293284862027</v>
      </c>
      <c r="N30" s="69">
        <v>0.20967580515088413</v>
      </c>
      <c r="O30" s="69">
        <v>0.14724128574310238</v>
      </c>
      <c r="P30" s="69">
        <v>0.23603246616633317</v>
      </c>
      <c r="Q30" s="69">
        <v>0.35729641851549665</v>
      </c>
      <c r="R30" s="11"/>
      <c r="S30" s="69">
        <f t="shared" si="29"/>
        <v>0.21005513277239427</v>
      </c>
      <c r="T30" s="69">
        <f>'RD T1'!E87</f>
        <v>0.14232757512667532</v>
      </c>
      <c r="U30" s="69">
        <f t="shared" si="30"/>
        <v>0.35238270789906956</v>
      </c>
      <c r="W30" t="str">
        <f t="shared" si="31"/>
        <v>81 Process, plant and machine operatives</v>
      </c>
      <c r="X30" s="69">
        <v>0.56856053330200795</v>
      </c>
      <c r="Y30" s="69">
        <v>0.49255341331946728</v>
      </c>
      <c r="Z30" s="69">
        <v>0.44292366096436947</v>
      </c>
      <c r="AA30" s="69">
        <v>0.68379615082870837</v>
      </c>
      <c r="AB30" s="69">
        <v>1.0497066893795624</v>
      </c>
      <c r="AC30" s="69"/>
      <c r="AD30" s="69">
        <f t="shared" si="32"/>
        <v>0.60678302841519294</v>
      </c>
      <c r="AE30" s="69">
        <f>'RD T1'!E116</f>
        <v>0.40411376196339654</v>
      </c>
      <c r="AF30" s="69">
        <f t="shared" si="33"/>
        <v>1.0108967903785895</v>
      </c>
      <c r="AH30" t="str">
        <f t="shared" si="34"/>
        <v>81 Process, plant and machine operatives</v>
      </c>
      <c r="AI30" s="69">
        <v>0.30261744592394929</v>
      </c>
      <c r="AJ30" s="69">
        <v>0.2744045917257017</v>
      </c>
      <c r="AK30" s="69">
        <v>0.25770351501181221</v>
      </c>
      <c r="AL30" s="69">
        <v>0.37927162601124442</v>
      </c>
      <c r="AM30" s="69">
        <v>0.49597790344704906</v>
      </c>
      <c r="AN30" s="69"/>
      <c r="AO30" s="69">
        <f t="shared" si="35"/>
        <v>0.23827438843523685</v>
      </c>
      <c r="AP30" s="69">
        <f>'RD T1'!E145</f>
        <v>0.19300193297535129</v>
      </c>
      <c r="AQ30" s="69">
        <f t="shared" si="36"/>
        <v>0.43127632141058814</v>
      </c>
      <c r="AS30" t="str">
        <f t="shared" si="37"/>
        <v>81 Process, plant and machine operatives</v>
      </c>
      <c r="AT30" s="69">
        <v>0.60552064566348074</v>
      </c>
      <c r="AU30" s="69">
        <v>0.46981980834094272</v>
      </c>
      <c r="AV30" s="69">
        <v>0.42789478139802806</v>
      </c>
      <c r="AW30" s="69">
        <v>0.61154694881932292</v>
      </c>
      <c r="AX30" s="69">
        <v>0.68593583434646976</v>
      </c>
      <c r="AY30" s="69"/>
      <c r="AZ30" s="69">
        <f t="shared" si="38"/>
        <v>0.25804105294844171</v>
      </c>
      <c r="BA30" s="69">
        <f>'RD T1'!E174</f>
        <v>0.27346309675740188</v>
      </c>
      <c r="BB30" s="69">
        <f t="shared" si="39"/>
        <v>0.53150414970584359</v>
      </c>
      <c r="BD30" t="str">
        <f t="shared" si="40"/>
        <v>81 Process, plant and machine operatives</v>
      </c>
      <c r="BE30" s="69">
        <v>5.6208386031544553</v>
      </c>
      <c r="BF30" s="69">
        <v>4.8990436574847012</v>
      </c>
      <c r="BG30" s="69">
        <v>5.3489131740203817</v>
      </c>
      <c r="BH30" s="69">
        <v>6.2035823590170267</v>
      </c>
      <c r="BI30" s="69">
        <v>6.7938006421108801</v>
      </c>
      <c r="BJ30" s="69"/>
      <c r="BK30" s="69">
        <f t="shared" si="41"/>
        <v>1.4448874680904984</v>
      </c>
      <c r="BL30" s="69">
        <f>'RD T1'!E203</f>
        <v>2.3448413047265433</v>
      </c>
      <c r="BM30" s="69">
        <f t="shared" si="42"/>
        <v>3.7897287728170417</v>
      </c>
      <c r="BO30" t="str">
        <f t="shared" si="43"/>
        <v>81 Process, plant and machine operatives</v>
      </c>
      <c r="BP30" s="69">
        <v>6.583791278632547</v>
      </c>
      <c r="BQ30" s="69">
        <v>6.060752768310409</v>
      </c>
      <c r="BR30" s="69">
        <v>5.4475157537852361</v>
      </c>
      <c r="BS30" s="69">
        <v>7.0058442664322307</v>
      </c>
      <c r="BT30" s="69">
        <v>7.109185946335125</v>
      </c>
      <c r="BU30" s="69"/>
      <c r="BV30" s="69">
        <f t="shared" si="44"/>
        <v>1.6616701925498889</v>
      </c>
      <c r="BW30" s="69">
        <f>'RD T1'!E232</f>
        <v>2.5847953001690924</v>
      </c>
      <c r="BX30" s="69">
        <f t="shared" si="45"/>
        <v>4.2464654927189809</v>
      </c>
      <c r="BZ30" t="str">
        <f t="shared" si="46"/>
        <v>81 Process, plant and machine operatives</v>
      </c>
      <c r="CA30" s="69">
        <v>3.9368969765417727</v>
      </c>
      <c r="CB30" s="69">
        <v>4.4404749596014579</v>
      </c>
      <c r="CC30" s="69">
        <v>2.9118356364058884</v>
      </c>
      <c r="CD30" s="69">
        <v>3.2454915685998675</v>
      </c>
      <c r="CE30" s="69">
        <v>1.34638997734846</v>
      </c>
      <c r="CF30" s="69"/>
      <c r="CG30" s="69">
        <f t="shared" si="47"/>
        <v>-1.5654456590574284</v>
      </c>
      <c r="CH30" s="69">
        <f>'RD T1'!E261</f>
        <v>0.86840775388517066</v>
      </c>
      <c r="CI30" s="69">
        <f t="shared" si="48"/>
        <v>-0.69703790517225772</v>
      </c>
      <c r="CK30" t="str">
        <f t="shared" si="49"/>
        <v>81 Process, plant and machine operatives</v>
      </c>
      <c r="CL30" s="69">
        <v>2.7154675723688397</v>
      </c>
      <c r="CM30" s="69">
        <v>2.0248383818261626</v>
      </c>
      <c r="CN30" s="69">
        <v>1.4847258444894542</v>
      </c>
      <c r="CO30" s="69">
        <v>0.83400365122932518</v>
      </c>
      <c r="CP30" s="69">
        <v>0.33155857172158859</v>
      </c>
      <c r="CQ30" s="69"/>
      <c r="CR30" s="69">
        <f t="shared" si="50"/>
        <v>-1.1531672727678657</v>
      </c>
      <c r="CS30" s="69">
        <f>'RD T1'!E290</f>
        <v>0.20631322741793309</v>
      </c>
      <c r="CT30" s="69">
        <f t="shared" si="51"/>
        <v>-0.94685404534993256</v>
      </c>
    </row>
    <row r="31" spans="1:98" x14ac:dyDescent="0.2">
      <c r="A31" s="10" t="str">
        <f>name!D27</f>
        <v>82 Transport and mobile machine drivers and operatives</v>
      </c>
      <c r="B31" s="69">
        <v>2.2450317987249727E-2</v>
      </c>
      <c r="C31" s="69">
        <v>4.3037516909223757E-2</v>
      </c>
      <c r="D31" s="69">
        <v>3.2986668932418993E-2</v>
      </c>
      <c r="E31" s="69">
        <v>4.909636726143201E-2</v>
      </c>
      <c r="F31" s="69">
        <v>7.8042890326718309E-2</v>
      </c>
      <c r="G31" s="11"/>
      <c r="H31" s="69">
        <f t="shared" si="26"/>
        <v>4.5056221394299316E-2</v>
      </c>
      <c r="I31" s="69">
        <f>'RD T1'!E59</f>
        <v>3.9146955246047846E-2</v>
      </c>
      <c r="J31" s="69">
        <f t="shared" si="27"/>
        <v>8.4203176640347155E-2</v>
      </c>
      <c r="L31" t="str">
        <f t="shared" si="28"/>
        <v>82 Transport and mobile machine drivers and operatives</v>
      </c>
      <c r="M31" s="69">
        <v>0.12791317100644567</v>
      </c>
      <c r="N31" s="69">
        <v>0.23196494225045569</v>
      </c>
      <c r="O31" s="69">
        <v>0.18229329226058982</v>
      </c>
      <c r="P31" s="69">
        <v>0.25087583800850954</v>
      </c>
      <c r="Q31" s="69">
        <v>0.39600089516591935</v>
      </c>
      <c r="R31" s="11"/>
      <c r="S31" s="69">
        <f t="shared" si="29"/>
        <v>0.21370760290532953</v>
      </c>
      <c r="T31" s="69">
        <f>'RD T1'!E88</f>
        <v>0.19677502292508708</v>
      </c>
      <c r="U31" s="69">
        <f t="shared" si="30"/>
        <v>0.41048262583041661</v>
      </c>
      <c r="W31" t="str">
        <f t="shared" si="31"/>
        <v>82 Transport and mobile machine drivers and operatives</v>
      </c>
      <c r="X31" s="69">
        <v>0.60350715353760187</v>
      </c>
      <c r="Y31" s="69">
        <v>0.70221728621031687</v>
      </c>
      <c r="Z31" s="69">
        <v>0.68886090161697688</v>
      </c>
      <c r="AA31" s="69">
        <v>0.82523912156510626</v>
      </c>
      <c r="AB31" s="69">
        <v>1.052053684902079</v>
      </c>
      <c r="AC31" s="69"/>
      <c r="AD31" s="69">
        <f t="shared" si="32"/>
        <v>0.36319278328510207</v>
      </c>
      <c r="AE31" s="69">
        <f>'RD T1'!E117</f>
        <v>0.59459423474578621</v>
      </c>
      <c r="AF31" s="69">
        <f t="shared" si="33"/>
        <v>0.95778701803088828</v>
      </c>
      <c r="AH31" t="str">
        <f t="shared" si="34"/>
        <v>82 Transport and mobile machine drivers and operatives</v>
      </c>
      <c r="AI31" s="69">
        <v>0.31811380993599192</v>
      </c>
      <c r="AJ31" s="69">
        <v>0.32514138625069294</v>
      </c>
      <c r="AK31" s="69">
        <v>0.33282471072547487</v>
      </c>
      <c r="AL31" s="69">
        <v>0.3835216154119786</v>
      </c>
      <c r="AM31" s="69">
        <v>0.41575173348533823</v>
      </c>
      <c r="AN31" s="69"/>
      <c r="AO31" s="69">
        <f t="shared" si="35"/>
        <v>8.2927022759863356E-2</v>
      </c>
      <c r="AP31" s="69">
        <f>'RD T1'!E146</f>
        <v>0.24048334366456658</v>
      </c>
      <c r="AQ31" s="69">
        <f t="shared" si="36"/>
        <v>0.32341036642442994</v>
      </c>
      <c r="AS31" t="str">
        <f t="shared" si="37"/>
        <v>82 Transport and mobile machine drivers and operatives</v>
      </c>
      <c r="AT31" s="69">
        <v>0.50088340964489331</v>
      </c>
      <c r="AU31" s="69">
        <v>0.52095368164683775</v>
      </c>
      <c r="AV31" s="69">
        <v>0.52105456782129933</v>
      </c>
      <c r="AW31" s="69">
        <v>0.61182322955957247</v>
      </c>
      <c r="AX31" s="69">
        <v>0.66603137134503487</v>
      </c>
      <c r="AY31" s="69"/>
      <c r="AZ31" s="69">
        <f t="shared" si="38"/>
        <v>0.14497680352373554</v>
      </c>
      <c r="BA31" s="69">
        <f>'RD T1'!E175</f>
        <v>0.4181310863895138</v>
      </c>
      <c r="BB31" s="69">
        <f t="shared" si="39"/>
        <v>0.56310788991324934</v>
      </c>
      <c r="BD31" t="str">
        <f t="shared" si="40"/>
        <v>82 Transport and mobile machine drivers and operatives</v>
      </c>
      <c r="BE31" s="69">
        <v>4.0053359857654831</v>
      </c>
      <c r="BF31" s="69">
        <v>4.2521555120592911</v>
      </c>
      <c r="BG31" s="69">
        <v>4.9673138457962898</v>
      </c>
      <c r="BH31" s="69">
        <v>4.5280241851496292</v>
      </c>
      <c r="BI31" s="69">
        <v>4.6389782974832379</v>
      </c>
      <c r="BJ31" s="69"/>
      <c r="BK31" s="69">
        <f t="shared" si="41"/>
        <v>-0.32833554831305189</v>
      </c>
      <c r="BL31" s="69">
        <f>'RD T1'!E204</f>
        <v>2.347320684717253</v>
      </c>
      <c r="BM31" s="69">
        <f t="shared" si="42"/>
        <v>2.0189851364042011</v>
      </c>
      <c r="BO31" t="str">
        <f t="shared" si="43"/>
        <v>82 Transport and mobile machine drivers and operatives</v>
      </c>
      <c r="BP31" s="69">
        <v>6.2844376195523113</v>
      </c>
      <c r="BQ31" s="69">
        <v>7.0645581997989071</v>
      </c>
      <c r="BR31" s="69">
        <v>6.6277424921039731</v>
      </c>
      <c r="BS31" s="69">
        <v>7.2088412977340646</v>
      </c>
      <c r="BT31" s="69">
        <v>7.6474008132038733</v>
      </c>
      <c r="BU31" s="69"/>
      <c r="BV31" s="69">
        <f t="shared" si="44"/>
        <v>1.0196583210999002</v>
      </c>
      <c r="BW31" s="69">
        <f>'RD T1'!E233</f>
        <v>3.7747328640830471</v>
      </c>
      <c r="BX31" s="69">
        <f t="shared" si="45"/>
        <v>4.7943911851829473</v>
      </c>
      <c r="BZ31" t="str">
        <f t="shared" si="46"/>
        <v>82 Transport and mobile machine drivers and operatives</v>
      </c>
      <c r="CA31" s="69">
        <v>3.8236621344264643</v>
      </c>
      <c r="CB31" s="69">
        <v>6.0124827436504376</v>
      </c>
      <c r="CC31" s="69">
        <v>3.7633327886879875</v>
      </c>
      <c r="CD31" s="69">
        <v>3.7881263138914432</v>
      </c>
      <c r="CE31" s="69">
        <v>2.4872115805638066</v>
      </c>
      <c r="CF31" s="69"/>
      <c r="CG31" s="69">
        <f t="shared" si="47"/>
        <v>-1.2761212081241808</v>
      </c>
      <c r="CH31" s="69">
        <f>'RD T1'!E262</f>
        <v>1.5505137665064146</v>
      </c>
      <c r="CI31" s="69">
        <f t="shared" si="48"/>
        <v>0.27439255838223375</v>
      </c>
      <c r="CK31" t="str">
        <f t="shared" si="49"/>
        <v>82 Transport and mobile machine drivers and operatives</v>
      </c>
      <c r="CL31" s="69">
        <v>2.0922570205688169</v>
      </c>
      <c r="CM31" s="69">
        <v>2.1806566489394386</v>
      </c>
      <c r="CN31" s="69">
        <v>1.9695101886441775</v>
      </c>
      <c r="CO31" s="69">
        <v>1.4114960582177156</v>
      </c>
      <c r="CP31" s="69">
        <v>0.52059231667613559</v>
      </c>
      <c r="CQ31" s="69"/>
      <c r="CR31" s="69">
        <f t="shared" si="50"/>
        <v>-1.448917871968042</v>
      </c>
      <c r="CS31" s="69">
        <f>'RD T1'!E291</f>
        <v>0.47276892010821464</v>
      </c>
      <c r="CT31" s="69">
        <f t="shared" si="51"/>
        <v>-0.97614895185982742</v>
      </c>
    </row>
    <row r="32" spans="1:98" x14ac:dyDescent="0.2">
      <c r="A32" s="10" t="str">
        <f>name!D28</f>
        <v>91 Elementary trades and related occupations</v>
      </c>
      <c r="B32" s="69">
        <v>3.0764229919029733E-4</v>
      </c>
      <c r="C32" s="69">
        <v>3.4257114342862771E-4</v>
      </c>
      <c r="D32" s="69">
        <v>2.7938314876907499E-4</v>
      </c>
      <c r="E32" s="69">
        <v>2.6950744849708636E-4</v>
      </c>
      <c r="F32" s="69">
        <v>3.3076482652081944E-4</v>
      </c>
      <c r="G32" s="11"/>
      <c r="H32" s="69">
        <f t="shared" si="26"/>
        <v>5.1381677751744458E-5</v>
      </c>
      <c r="I32" s="69">
        <f>'RD T1'!E60</f>
        <v>1.8508218961095721E-4</v>
      </c>
      <c r="J32" s="69">
        <f t="shared" si="27"/>
        <v>2.3646386736270167E-4</v>
      </c>
      <c r="L32" t="str">
        <f t="shared" si="28"/>
        <v>91 Elementary trades and related occupations</v>
      </c>
      <c r="M32" s="69">
        <v>5.0529787965067074E-2</v>
      </c>
      <c r="N32" s="69">
        <v>8.3434006848225217E-2</v>
      </c>
      <c r="O32" s="69">
        <v>4.2784952835381009E-2</v>
      </c>
      <c r="P32" s="69">
        <v>5.0576520727546606E-2</v>
      </c>
      <c r="Q32" s="69">
        <v>7.6890659308925066E-2</v>
      </c>
      <c r="R32" s="11"/>
      <c r="S32" s="69">
        <f t="shared" si="29"/>
        <v>3.4105706473544058E-2</v>
      </c>
      <c r="T32" s="69">
        <f>'RD T1'!E89</f>
        <v>2.9525339897376716E-2</v>
      </c>
      <c r="U32" s="69">
        <f t="shared" si="30"/>
        <v>6.3631046370920777E-2</v>
      </c>
      <c r="W32" t="str">
        <f t="shared" si="31"/>
        <v>91 Elementary trades and related occupations</v>
      </c>
      <c r="X32" s="69">
        <v>0.2842877071745194</v>
      </c>
      <c r="Y32" s="69">
        <v>0.22741580991916552</v>
      </c>
      <c r="Z32" s="69">
        <v>0.20566933447943417</v>
      </c>
      <c r="AA32" s="69">
        <v>0.19196873768066711</v>
      </c>
      <c r="AB32" s="69">
        <v>0.21740877482962367</v>
      </c>
      <c r="AC32" s="69"/>
      <c r="AD32" s="69">
        <f t="shared" si="32"/>
        <v>1.1739440350189506E-2</v>
      </c>
      <c r="AE32" s="69">
        <f>'RD T1'!E118</f>
        <v>0.12074448214444433</v>
      </c>
      <c r="AF32" s="69">
        <f t="shared" si="33"/>
        <v>0.13248392249463384</v>
      </c>
      <c r="AH32" t="str">
        <f t="shared" si="34"/>
        <v>91 Elementary trades and related occupations</v>
      </c>
      <c r="AI32" s="69">
        <v>0.19743102240640234</v>
      </c>
      <c r="AJ32" s="69">
        <v>0.18005337005274757</v>
      </c>
      <c r="AK32" s="69">
        <v>0.14934108029291759</v>
      </c>
      <c r="AL32" s="69">
        <v>0.15456178340118687</v>
      </c>
      <c r="AM32" s="69">
        <v>0.21080363867243934</v>
      </c>
      <c r="AN32" s="69"/>
      <c r="AO32" s="69">
        <f t="shared" si="35"/>
        <v>6.1462558379521748E-2</v>
      </c>
      <c r="AP32" s="69">
        <f>'RD T1'!E147</f>
        <v>0.10449163433411819</v>
      </c>
      <c r="AQ32" s="69">
        <f t="shared" si="36"/>
        <v>0.16595419271363993</v>
      </c>
      <c r="AS32" t="str">
        <f t="shared" si="37"/>
        <v>91 Elementary trades and related occupations</v>
      </c>
      <c r="AT32" s="69">
        <v>0.21751634169488132</v>
      </c>
      <c r="AU32" s="69">
        <v>0.16747542907193577</v>
      </c>
      <c r="AV32" s="69">
        <v>0.16091493039720267</v>
      </c>
      <c r="AW32" s="69">
        <v>0.14775735716437471</v>
      </c>
      <c r="AX32" s="69">
        <v>0.16429517087095913</v>
      </c>
      <c r="AY32" s="69"/>
      <c r="AZ32" s="69">
        <f t="shared" si="38"/>
        <v>3.3802404737564573E-3</v>
      </c>
      <c r="BA32" s="69">
        <f>'RD T1'!E176</f>
        <v>8.1134549987196991E-2</v>
      </c>
      <c r="BB32" s="69">
        <f t="shared" si="39"/>
        <v>8.4514790460953448E-2</v>
      </c>
      <c r="BD32" t="str">
        <f t="shared" si="40"/>
        <v>91 Elementary trades and related occupations</v>
      </c>
      <c r="BE32" s="69">
        <v>1.4439950117228915</v>
      </c>
      <c r="BF32" s="69">
        <v>1.1231775879652681</v>
      </c>
      <c r="BG32" s="69">
        <v>1.2600979481020038</v>
      </c>
      <c r="BH32" s="69">
        <v>0.92446236957632688</v>
      </c>
      <c r="BI32" s="69">
        <v>0.95451640396736004</v>
      </c>
      <c r="BJ32" s="69"/>
      <c r="BK32" s="69">
        <f t="shared" si="41"/>
        <v>-0.30558154413464378</v>
      </c>
      <c r="BL32" s="69">
        <f>'RD T1'!E205</f>
        <v>0.35932290055256555</v>
      </c>
      <c r="BM32" s="69">
        <f t="shared" si="42"/>
        <v>5.3741356417921771E-2</v>
      </c>
      <c r="BO32" t="str">
        <f t="shared" si="43"/>
        <v>91 Elementary trades and related occupations</v>
      </c>
      <c r="BP32" s="69">
        <v>2.6924241281342263</v>
      </c>
      <c r="BQ32" s="69">
        <v>2.1946081383524731</v>
      </c>
      <c r="BR32" s="69">
        <v>2.1490570019369923</v>
      </c>
      <c r="BS32" s="69">
        <v>1.8153614335521446</v>
      </c>
      <c r="BT32" s="69">
        <v>1.8454696830842179</v>
      </c>
      <c r="BU32" s="69"/>
      <c r="BV32" s="69">
        <f t="shared" si="44"/>
        <v>-0.30358731885277446</v>
      </c>
      <c r="BW32" s="69">
        <f>'RD T1'!E234</f>
        <v>0.66411024345878489</v>
      </c>
      <c r="BX32" s="69">
        <f t="shared" si="45"/>
        <v>0.36052292460601043</v>
      </c>
      <c r="BZ32" t="str">
        <f t="shared" si="46"/>
        <v>91 Elementary trades and related occupations</v>
      </c>
      <c r="CA32" s="69">
        <v>2.3942361943562602</v>
      </c>
      <c r="CB32" s="69">
        <v>2.4898292547051724</v>
      </c>
      <c r="CC32" s="69">
        <v>1.8112783664148571</v>
      </c>
      <c r="CD32" s="69">
        <v>1.4658095282036347</v>
      </c>
      <c r="CE32" s="69">
        <v>1.0514438630051333</v>
      </c>
      <c r="CF32" s="69"/>
      <c r="CG32" s="69">
        <f t="shared" si="47"/>
        <v>-0.7598345034097238</v>
      </c>
      <c r="CH32" s="69">
        <f>'RD T1'!E263</f>
        <v>0.49483699258980579</v>
      </c>
      <c r="CI32" s="69">
        <f t="shared" si="48"/>
        <v>-0.26499751081991801</v>
      </c>
      <c r="CK32" t="str">
        <f t="shared" si="49"/>
        <v>91 Elementary trades and related occupations</v>
      </c>
      <c r="CL32" s="69">
        <v>1.4271735831452883</v>
      </c>
      <c r="CM32" s="69">
        <v>1.1585156129508525</v>
      </c>
      <c r="CN32" s="69">
        <v>0.91523230898972074</v>
      </c>
      <c r="CO32" s="69">
        <v>0.59214465407522165</v>
      </c>
      <c r="CP32" s="69">
        <v>0.35998602034072619</v>
      </c>
      <c r="CQ32" s="69"/>
      <c r="CR32" s="69">
        <f t="shared" si="50"/>
        <v>-0.55524628864899461</v>
      </c>
      <c r="CS32" s="69">
        <f>'RD T1'!E292</f>
        <v>0.16663741534258827</v>
      </c>
      <c r="CT32" s="69">
        <f t="shared" si="51"/>
        <v>-0.38860887330640637</v>
      </c>
    </row>
    <row r="33" spans="1:98" x14ac:dyDescent="0.2">
      <c r="A33" s="10" t="str">
        <f>name!D29</f>
        <v>92 Elementary administration and service occupations</v>
      </c>
      <c r="B33" s="69">
        <v>2.8117868357921846E-2</v>
      </c>
      <c r="C33" s="69">
        <v>4.2580656296186591E-2</v>
      </c>
      <c r="D33" s="69">
        <v>3.5064090640751826E-2</v>
      </c>
      <c r="E33" s="69">
        <v>4.6016934841292489E-2</v>
      </c>
      <c r="F33" s="69">
        <v>6.2786687362229213E-2</v>
      </c>
      <c r="G33" s="11"/>
      <c r="H33" s="69">
        <f t="shared" ref="H33" si="52">F33-D33</f>
        <v>2.7722596721477387E-2</v>
      </c>
      <c r="I33" s="69">
        <f>'RD T1'!E61</f>
        <v>3.032534846855502E-2</v>
      </c>
      <c r="J33" s="69">
        <f t="shared" ref="J33" si="53">SUM(H33:I33)</f>
        <v>5.804794519003241E-2</v>
      </c>
      <c r="L33" t="str">
        <f t="shared" ref="L33" si="54">A33</f>
        <v>92 Elementary administration and service occupations</v>
      </c>
      <c r="M33" s="69">
        <v>0.64614412298418356</v>
      </c>
      <c r="N33" s="69">
        <v>0.96682778411154768</v>
      </c>
      <c r="O33" s="69">
        <v>0.8313320436739754</v>
      </c>
      <c r="P33" s="69">
        <v>1.1225012805108756</v>
      </c>
      <c r="Q33" s="69">
        <v>1.7029588263359354</v>
      </c>
      <c r="R33" s="11"/>
      <c r="S33" s="69">
        <f t="shared" ref="S33" si="55">Q33-O33</f>
        <v>0.87162678266196003</v>
      </c>
      <c r="T33" s="69">
        <f>'RD T1'!E90</f>
        <v>0.77828945134089844</v>
      </c>
      <c r="U33" s="69">
        <f t="shared" ref="U33" si="56">SUM(S33:T33)</f>
        <v>1.6499162340028586</v>
      </c>
      <c r="W33" t="str">
        <f t="shared" ref="W33" si="57">A33</f>
        <v>92 Elementary administration and service occupations</v>
      </c>
      <c r="X33" s="69">
        <v>2.7603317811519781</v>
      </c>
      <c r="Y33" s="69">
        <v>2.7704270413745822</v>
      </c>
      <c r="Z33" s="69">
        <v>2.9819162142829074</v>
      </c>
      <c r="AA33" s="69">
        <v>3.6398160429295499</v>
      </c>
      <c r="AB33" s="69">
        <v>4.970953792095961</v>
      </c>
      <c r="AC33" s="69"/>
      <c r="AD33" s="69">
        <f t="shared" ref="AD33" si="58">AB33-Z33</f>
        <v>1.9890375778130536</v>
      </c>
      <c r="AE33" s="69">
        <f>'RD T1'!E119</f>
        <v>2.6417932985036088</v>
      </c>
      <c r="AF33" s="69">
        <f t="shared" ref="AF33" si="59">SUM(AD33:AE33)</f>
        <v>4.6308308763166623</v>
      </c>
      <c r="AH33" t="str">
        <f t="shared" ref="AH33" si="60">L33</f>
        <v>92 Elementary administration and service occupations</v>
      </c>
      <c r="AI33" s="69">
        <v>1.2986500142431201</v>
      </c>
      <c r="AJ33" s="69">
        <v>1.3614420237973293</v>
      </c>
      <c r="AK33" s="69">
        <v>1.5018720976809394</v>
      </c>
      <c r="AL33" s="69">
        <v>1.7735572452569377</v>
      </c>
      <c r="AM33" s="69">
        <v>2.4671414250603685</v>
      </c>
      <c r="AN33" s="69"/>
      <c r="AO33" s="69">
        <f t="shared" ref="AO33" si="61">AM33-AK33</f>
        <v>0.96526932737942905</v>
      </c>
      <c r="AP33" s="69">
        <f>'RD T1'!E148</f>
        <v>1.2081355868587933</v>
      </c>
      <c r="AQ33" s="69">
        <f t="shared" ref="AQ33" si="62">SUM(AO33:AP33)</f>
        <v>2.1734049142382226</v>
      </c>
      <c r="AS33" t="str">
        <f t="shared" ref="AS33" si="63">W33</f>
        <v>92 Elementary administration and service occupations</v>
      </c>
      <c r="AT33" s="69">
        <v>1.2387539867051005</v>
      </c>
      <c r="AU33" s="69">
        <v>1.2175200385298452</v>
      </c>
      <c r="AV33" s="69">
        <v>1.2818045656061297</v>
      </c>
      <c r="AW33" s="69">
        <v>1.4813921699293977</v>
      </c>
      <c r="AX33" s="69">
        <v>1.9943011122818175</v>
      </c>
      <c r="AY33" s="69"/>
      <c r="AZ33" s="69">
        <f t="shared" ref="AZ33" si="64">AX33-AV33</f>
        <v>0.71249654667568785</v>
      </c>
      <c r="BA33" s="69">
        <f>'RD T1'!E177</f>
        <v>1.0254443353871261</v>
      </c>
      <c r="BB33" s="69">
        <f t="shared" ref="BB33" si="65">SUM(AZ33:BA33)</f>
        <v>1.7379408820628139</v>
      </c>
      <c r="BD33" t="str">
        <f t="shared" ref="BD33" si="66">AH33</f>
        <v>92 Elementary administration and service occupations</v>
      </c>
      <c r="BE33" s="69">
        <v>9.610308523916375</v>
      </c>
      <c r="BF33" s="69">
        <v>8.3621445110824002</v>
      </c>
      <c r="BG33" s="69">
        <v>9.5312698231434325</v>
      </c>
      <c r="BH33" s="69">
        <v>8.7969617896119683</v>
      </c>
      <c r="BI33" s="69">
        <v>8.8964533787368225</v>
      </c>
      <c r="BJ33" s="69"/>
      <c r="BK33" s="69">
        <f t="shared" ref="BK33" si="67">BI33-BG33</f>
        <v>-0.63481644440661</v>
      </c>
      <c r="BL33" s="69">
        <f>'RD T1'!E206</f>
        <v>4.4324578626187545</v>
      </c>
      <c r="BM33" s="69">
        <f t="shared" ref="BM33" si="68">SUM(BK33:BL33)</f>
        <v>3.7976414182121445</v>
      </c>
      <c r="BO33" t="str">
        <f t="shared" ref="BO33" si="69">AS33</f>
        <v>92 Elementary administration and service occupations</v>
      </c>
      <c r="BP33" s="69">
        <v>16.202168254275968</v>
      </c>
      <c r="BQ33" s="69">
        <v>15.578587455869199</v>
      </c>
      <c r="BR33" s="69">
        <v>15.659190463330214</v>
      </c>
      <c r="BS33" s="69">
        <v>15.769616997562007</v>
      </c>
      <c r="BT33" s="69">
        <v>15.503413798475416</v>
      </c>
      <c r="BU33" s="69"/>
      <c r="BV33" s="69">
        <f t="shared" ref="BV33" si="70">BT33-BR33</f>
        <v>-0.15577666485479824</v>
      </c>
      <c r="BW33" s="69">
        <f>'RD T1'!E235</f>
        <v>7.1865619331644295</v>
      </c>
      <c r="BX33" s="69">
        <f t="shared" ref="BX33" si="71">SUM(BV33:BW33)</f>
        <v>7.0307852683096312</v>
      </c>
      <c r="BZ33" t="str">
        <f t="shared" ref="BZ33" si="72">BD33</f>
        <v>92 Elementary administration and service occupations</v>
      </c>
      <c r="CA33" s="69">
        <v>12.073572431089039</v>
      </c>
      <c r="CB33" s="69">
        <v>13.098489856827594</v>
      </c>
      <c r="CC33" s="69">
        <v>10.506256056874514</v>
      </c>
      <c r="CD33" s="69">
        <v>10.466903306740015</v>
      </c>
      <c r="CE33" s="69">
        <v>7.5179761683239592</v>
      </c>
      <c r="CF33" s="69"/>
      <c r="CG33" s="69">
        <f t="shared" ref="CG33" si="73">CE33-CC33</f>
        <v>-2.9882798885505553</v>
      </c>
      <c r="CH33" s="69">
        <f>'RD T1'!E264</f>
        <v>3.7839532027298461</v>
      </c>
      <c r="CI33" s="69">
        <f t="shared" ref="CI33" si="74">SUM(CG33:CH33)</f>
        <v>0.79567331417929088</v>
      </c>
      <c r="CK33" t="str">
        <f t="shared" ref="CK33" si="75">BO33</f>
        <v>92 Elementary administration and service occupations</v>
      </c>
      <c r="CL33" s="69">
        <v>7.8152809559192002</v>
      </c>
      <c r="CM33" s="69">
        <v>5.3824765865129498</v>
      </c>
      <c r="CN33" s="69">
        <v>3.7745914037183552</v>
      </c>
      <c r="CO33" s="69">
        <v>2.8807519618724875</v>
      </c>
      <c r="CP33" s="69">
        <v>1.7270955832417769</v>
      </c>
      <c r="CQ33" s="69"/>
      <c r="CR33" s="69">
        <f t="shared" ref="CR33" si="76">CP33-CN33</f>
        <v>-2.0474958204765783</v>
      </c>
      <c r="CS33" s="69">
        <f>'RD T1'!E293</f>
        <v>0.76003869426365356</v>
      </c>
      <c r="CT33" s="69">
        <f t="shared" ref="CT33" si="77">SUM(CR33:CS33)</f>
        <v>-1.2874571262129249</v>
      </c>
    </row>
    <row r="34" spans="1:98" x14ac:dyDescent="0.2">
      <c r="B34" s="11"/>
      <c r="C34" s="11"/>
      <c r="D34" s="11"/>
      <c r="E34" s="11"/>
      <c r="F34" s="11"/>
      <c r="G34" s="11"/>
      <c r="H34" s="69"/>
      <c r="I34" s="69"/>
      <c r="J34" s="69"/>
      <c r="M34" s="69"/>
      <c r="N34" s="69"/>
      <c r="O34" s="69"/>
      <c r="P34" s="69"/>
      <c r="Q34" s="69"/>
      <c r="R34" s="11"/>
      <c r="S34" s="69"/>
      <c r="T34" s="69"/>
      <c r="U34" s="69"/>
      <c r="X34" s="69"/>
      <c r="Y34" s="69"/>
      <c r="Z34" s="69"/>
      <c r="AA34" s="69"/>
      <c r="AB34" s="69"/>
      <c r="AC34" s="69"/>
      <c r="AD34" s="69"/>
      <c r="AE34" s="69"/>
      <c r="AF34" s="69"/>
      <c r="AI34" s="69"/>
      <c r="AJ34" s="69"/>
      <c r="AK34" s="69"/>
      <c r="AL34" s="69"/>
      <c r="AM34" s="69"/>
      <c r="AN34" s="69"/>
      <c r="AO34" s="69"/>
      <c r="AP34" s="69"/>
      <c r="AQ34" s="69"/>
      <c r="AT34" s="69"/>
      <c r="AU34" s="69"/>
      <c r="AV34" s="69"/>
      <c r="AW34" s="69"/>
      <c r="AX34" s="69"/>
      <c r="AY34" s="69"/>
      <c r="AZ34" s="69"/>
      <c r="BA34" s="69"/>
      <c r="BB34" s="69"/>
      <c r="BE34" s="69"/>
      <c r="BF34" s="69"/>
      <c r="BG34" s="69"/>
      <c r="BH34" s="69"/>
      <c r="BI34" s="69"/>
      <c r="BJ34" s="69"/>
      <c r="BK34" s="69"/>
      <c r="BL34" s="69"/>
      <c r="BM34" s="69"/>
      <c r="BP34" s="69"/>
      <c r="BQ34" s="69"/>
      <c r="BR34" s="69"/>
      <c r="BS34" s="69"/>
      <c r="BT34" s="69"/>
      <c r="BU34" s="69"/>
      <c r="BV34" s="69"/>
      <c r="BW34" s="69"/>
      <c r="BX34" s="69"/>
      <c r="CA34" s="69"/>
      <c r="CB34" s="69"/>
      <c r="CC34" s="69"/>
      <c r="CD34" s="69"/>
      <c r="CE34" s="69"/>
      <c r="CF34" s="69"/>
      <c r="CG34" s="69"/>
      <c r="CH34" s="69"/>
      <c r="CI34" s="69"/>
      <c r="CL34" s="69"/>
      <c r="CM34" s="69"/>
      <c r="CN34" s="69"/>
      <c r="CO34" s="69"/>
      <c r="CP34" s="69"/>
      <c r="CQ34" s="69"/>
      <c r="CR34" s="69"/>
      <c r="CS34" s="69"/>
      <c r="CT34" s="69"/>
    </row>
    <row r="35" spans="1:98" x14ac:dyDescent="0.2">
      <c r="A35" s="231" t="str">
        <f>name!D3</f>
        <v>All occupations</v>
      </c>
      <c r="B35" s="67">
        <f>SUM(B8:B33)</f>
        <v>5.3938869372483333</v>
      </c>
      <c r="C35" s="67">
        <f t="shared" ref="C35:F35" si="78">SUM(C8:C33)</f>
        <v>7.010765620991668</v>
      </c>
      <c r="D35" s="67">
        <f t="shared" si="78"/>
        <v>6.2191239061433192</v>
      </c>
      <c r="E35" s="67">
        <f t="shared" si="78"/>
        <v>7.6363712242585411</v>
      </c>
      <c r="F35" s="67">
        <f t="shared" si="78"/>
        <v>9.5144226538408052</v>
      </c>
      <c r="G35" s="11"/>
      <c r="H35" s="67">
        <f>F35-D35</f>
        <v>3.295298747697486</v>
      </c>
      <c r="I35" s="67">
        <f>SUM(I8:I33)</f>
        <v>4.1463489915387948</v>
      </c>
      <c r="J35" s="67">
        <f>SUM(H35:I35)</f>
        <v>7.4416477392362808</v>
      </c>
      <c r="L35" s="24" t="str">
        <f>A35</f>
        <v>All occupations</v>
      </c>
      <c r="M35" s="67">
        <f>SUM(M8:M33)</f>
        <v>34.137453238772842</v>
      </c>
      <c r="N35" s="67">
        <f t="shared" ref="N35:Q35" si="79">SUM(N8:N33)</f>
        <v>45.314710901695712</v>
      </c>
      <c r="O35" s="67">
        <f t="shared" si="79"/>
        <v>39.987739972030049</v>
      </c>
      <c r="P35" s="67">
        <f t="shared" si="79"/>
        <v>47.604731550028461</v>
      </c>
      <c r="Q35" s="67">
        <f t="shared" si="79"/>
        <v>57.863806783400968</v>
      </c>
      <c r="R35" s="11"/>
      <c r="S35" s="67">
        <f t="shared" si="29"/>
        <v>17.876066811370919</v>
      </c>
      <c r="T35" s="67">
        <f>SUM(T8:T33)</f>
        <v>27.433483900735069</v>
      </c>
      <c r="U35" s="67">
        <f>SUM(S35:T35)</f>
        <v>45.309550712105988</v>
      </c>
      <c r="W35" s="24" t="str">
        <f>A35</f>
        <v>All occupations</v>
      </c>
      <c r="X35" s="67">
        <f>SUM(X8:X33)</f>
        <v>77.667960417349263</v>
      </c>
      <c r="Y35" s="67">
        <f t="shared" ref="Y35:AB35" si="80">SUM(Y8:Y33)</f>
        <v>75.155034915430406</v>
      </c>
      <c r="Z35" s="67">
        <f t="shared" si="80"/>
        <v>82.750564635315826</v>
      </c>
      <c r="AA35" s="67">
        <f t="shared" si="80"/>
        <v>92.19432607588854</v>
      </c>
      <c r="AB35" s="67">
        <f t="shared" si="80"/>
        <v>113.11901698064985</v>
      </c>
      <c r="AC35" s="69"/>
      <c r="AD35" s="67">
        <f t="shared" ref="AD35" si="81">AB35-Z35</f>
        <v>30.36845234533402</v>
      </c>
      <c r="AE35" s="67">
        <f>SUM(AE8:AE33)</f>
        <v>55.327715178043348</v>
      </c>
      <c r="AF35" s="67">
        <f>SUM(AD35:AE35)</f>
        <v>85.696167523377369</v>
      </c>
      <c r="AH35" s="24" t="str">
        <f>L35</f>
        <v>All occupations</v>
      </c>
      <c r="AI35" s="67">
        <f>SUM(AI8:AI33)</f>
        <v>26.800248489582629</v>
      </c>
      <c r="AJ35" s="67">
        <f t="shared" ref="AJ35:AM35" si="82">SUM(AJ8:AJ33)</f>
        <v>23.202473803976257</v>
      </c>
      <c r="AK35" s="67">
        <f t="shared" si="82"/>
        <v>25.327567248455289</v>
      </c>
      <c r="AL35" s="67">
        <f t="shared" si="82"/>
        <v>24.707546523062938</v>
      </c>
      <c r="AM35" s="67">
        <f t="shared" si="82"/>
        <v>27.260797448316339</v>
      </c>
      <c r="AN35" s="69"/>
      <c r="AO35" s="67">
        <f t="shared" ref="AO35" si="83">AM35-AK35</f>
        <v>1.9332301998610504</v>
      </c>
      <c r="AP35" s="67">
        <f>SUM(AP8:AP33)</f>
        <v>14.027755486453742</v>
      </c>
      <c r="AQ35" s="67">
        <f>SUM(AO35:AP35)</f>
        <v>15.960985686314793</v>
      </c>
      <c r="AS35" s="24" t="str">
        <f>W35</f>
        <v>All occupations</v>
      </c>
      <c r="AT35" s="67">
        <f>SUM(AT8:AT33)</f>
        <v>22.807149274523688</v>
      </c>
      <c r="AU35" s="67">
        <f t="shared" ref="AU35:AX35" si="84">SUM(AU8:AU33)</f>
        <v>21.165529374117376</v>
      </c>
      <c r="AV35" s="67">
        <f t="shared" si="84"/>
        <v>22.536999605775801</v>
      </c>
      <c r="AW35" s="67">
        <f t="shared" si="84"/>
        <v>23.861334773563105</v>
      </c>
      <c r="AX35" s="67">
        <f t="shared" si="84"/>
        <v>27.320613571405779</v>
      </c>
      <c r="AY35" s="69"/>
      <c r="AZ35" s="67">
        <f t="shared" ref="AZ35" si="85">AX35-AV35</f>
        <v>4.7836139656299785</v>
      </c>
      <c r="BA35" s="67">
        <f>SUM(BA8:BA33)</f>
        <v>13.124970489556581</v>
      </c>
      <c r="BB35" s="67">
        <f>SUM(AZ35:BA35)</f>
        <v>17.90858445518656</v>
      </c>
      <c r="BD35" s="24" t="str">
        <f>AH35</f>
        <v>All occupations</v>
      </c>
      <c r="BE35" s="67">
        <f>SUM(BE8:BE33)</f>
        <v>113.00883849411298</v>
      </c>
      <c r="BF35" s="67">
        <f t="shared" ref="BF35:BI35" si="86">SUM(BF8:BF33)</f>
        <v>109.16601579797465</v>
      </c>
      <c r="BG35" s="67">
        <f t="shared" si="86"/>
        <v>121.85061428231413</v>
      </c>
      <c r="BH35" s="67">
        <f t="shared" si="86"/>
        <v>117.13492343992283</v>
      </c>
      <c r="BI35" s="67">
        <f t="shared" si="86"/>
        <v>121.86308167785653</v>
      </c>
      <c r="BJ35" s="69"/>
      <c r="BK35" s="67">
        <f t="shared" ref="BK35" si="87">BI35-BG35</f>
        <v>1.2467395542401505E-2</v>
      </c>
      <c r="BL35" s="67">
        <f>SUM(BL8:BL33)</f>
        <v>55.256560204079626</v>
      </c>
      <c r="BM35" s="67">
        <f>SUM(BK35:BL35)</f>
        <v>55.269027599622028</v>
      </c>
      <c r="BO35" s="24" t="str">
        <f>AS35</f>
        <v>All occupations</v>
      </c>
      <c r="BP35" s="67">
        <f>SUM(BP8:BP33)</f>
        <v>115.75528457445083</v>
      </c>
      <c r="BQ35" s="67">
        <f t="shared" ref="BQ35:BT35" si="88">SUM(BQ8:BQ33)</f>
        <v>109.79657864625128</v>
      </c>
      <c r="BR35" s="67">
        <f t="shared" si="88"/>
        <v>108.45541532556362</v>
      </c>
      <c r="BS35" s="67">
        <f t="shared" si="88"/>
        <v>104.31154617294392</v>
      </c>
      <c r="BT35" s="67">
        <f t="shared" si="88"/>
        <v>93.890909211004171</v>
      </c>
      <c r="BU35" s="69"/>
      <c r="BV35" s="67">
        <f t="shared" ref="BV35" si="89">BT35-BR35</f>
        <v>-14.56450611455945</v>
      </c>
      <c r="BW35" s="67">
        <f>SUM(BW8:BW33)</f>
        <v>44.087763248390061</v>
      </c>
      <c r="BX35" s="67">
        <f>SUM(BV35:BW35)</f>
        <v>29.523257133830612</v>
      </c>
      <c r="BZ35" s="24" t="str">
        <f>BD35</f>
        <v>All occupations</v>
      </c>
      <c r="CA35" s="67">
        <f>SUM(CA8:CA33)</f>
        <v>62.923603548818903</v>
      </c>
      <c r="CB35" s="67">
        <f t="shared" ref="CB35:CE35" si="90">SUM(CB8:CB33)</f>
        <v>67.319812004646252</v>
      </c>
      <c r="CC35" s="67">
        <f t="shared" si="90"/>
        <v>52.426261327252483</v>
      </c>
      <c r="CD35" s="67">
        <f t="shared" si="90"/>
        <v>49.211328820675782</v>
      </c>
      <c r="CE35" s="67">
        <f t="shared" si="90"/>
        <v>30.548341935264528</v>
      </c>
      <c r="CF35" s="69"/>
      <c r="CG35" s="67">
        <f t="shared" ref="CG35" si="91">CE35-CC35</f>
        <v>-21.877919391987955</v>
      </c>
      <c r="CH35" s="67">
        <f>SUM(CH8:CH33)</f>
        <v>16.845707857186579</v>
      </c>
      <c r="CI35" s="67">
        <f>SUM(CG35:CH35)</f>
        <v>-5.0322115348013767</v>
      </c>
      <c r="CK35" s="24" t="str">
        <f>BO35</f>
        <v>All occupations</v>
      </c>
      <c r="CL35" s="67">
        <f>SUM(CL8:CL33)</f>
        <v>31.216575025140592</v>
      </c>
      <c r="CM35" s="67">
        <f t="shared" ref="CM35:CP35" si="92">SUM(CM8:CM33)</f>
        <v>25.444078934916181</v>
      </c>
      <c r="CN35" s="67">
        <f t="shared" si="92"/>
        <v>19.371713697149634</v>
      </c>
      <c r="CO35" s="67">
        <f t="shared" si="92"/>
        <v>16.088891419655759</v>
      </c>
      <c r="CP35" s="67">
        <f t="shared" si="92"/>
        <v>11.397009738261021</v>
      </c>
      <c r="CQ35" s="69"/>
      <c r="CR35" s="67">
        <f t="shared" ref="CR35" si="93">CP35-CN35</f>
        <v>-7.9747039588886128</v>
      </c>
      <c r="CS35" s="67">
        <f>SUM(CS8:CS33)</f>
        <v>5.1255086739207396</v>
      </c>
      <c r="CT35" s="67">
        <f>SUM(CR35:CS35)</f>
        <v>-2.8491952849678732</v>
      </c>
    </row>
    <row r="38" spans="1:98" ht="52.5" customHeight="1" x14ac:dyDescent="0.2">
      <c r="A38" s="381" t="str">
        <f>CONCATENATE(A$1," (Continued)")</f>
        <v>Basic Table 2  Employment Change by Occupation and Replacement Demand, RQF8 Doctorate, 2015-2035, North East (Continued)</v>
      </c>
      <c r="B38" s="381"/>
      <c r="C38" s="381"/>
      <c r="D38" s="381"/>
      <c r="E38" s="381"/>
      <c r="F38" s="381"/>
      <c r="G38" s="381"/>
      <c r="H38" s="381"/>
      <c r="I38" s="381"/>
      <c r="J38" s="381"/>
      <c r="L38" s="381" t="str">
        <f>CONCATENATE(L$1," (Continued)")</f>
        <v>Basic Table 2.1  Employment Change by Occupation and Replacement Demand, RQF7 Other higher degree, 2015-2035, North East (Continued)</v>
      </c>
      <c r="M38" s="381"/>
      <c r="N38" s="381"/>
      <c r="O38" s="381"/>
      <c r="P38" s="381"/>
      <c r="Q38" s="381"/>
      <c r="R38" s="381"/>
      <c r="S38" s="381"/>
      <c r="T38" s="381"/>
      <c r="U38" s="381"/>
      <c r="W38" s="381" t="str">
        <f>CONCATENATE(W$1," (Continued)")</f>
        <v>Basic Table 2.2  Employment Change by Occupation and Replacement Demand, RQF6 First degree, 2015-2035, North East (Continued)</v>
      </c>
      <c r="X38" s="381"/>
      <c r="Y38" s="381"/>
      <c r="Z38" s="381"/>
      <c r="AA38" s="381"/>
      <c r="AB38" s="381"/>
      <c r="AC38" s="381"/>
      <c r="AD38" s="381"/>
      <c r="AE38" s="381"/>
      <c r="AF38" s="381"/>
      <c r="AH38" s="381" t="str">
        <f>CONCATENATE(AH$1," (Continued)")</f>
        <v>Basic Table 2.3  Employment Change by Occupation and Replacement Demand, RQF5 Foundation degree;Nursing;Teaching, 2015-2035, North East (Continued)</v>
      </c>
      <c r="AI38" s="381"/>
      <c r="AJ38" s="381"/>
      <c r="AK38" s="381"/>
      <c r="AL38" s="381"/>
      <c r="AM38" s="381"/>
      <c r="AN38" s="381"/>
      <c r="AO38" s="381"/>
      <c r="AP38" s="381"/>
      <c r="AQ38" s="381"/>
      <c r="AS38" s="381" t="str">
        <f>CONCATENATE(AS$1," (Continued)")</f>
        <v>Basic Table 2.4  Employment Change by Occupation and Replacement Demand, RQF4 HE below degree level, 2015-2035, North East (Continued)</v>
      </c>
      <c r="AT38" s="381"/>
      <c r="AU38" s="381"/>
      <c r="AV38" s="381"/>
      <c r="AW38" s="381"/>
      <c r="AX38" s="381"/>
      <c r="AY38" s="381"/>
      <c r="AZ38" s="381"/>
      <c r="BA38" s="381"/>
      <c r="BB38" s="381"/>
      <c r="BD38" s="381" t="str">
        <f>CONCATENATE(BD$1," (Continued)")</f>
        <v>Basic Table 2.5  Employment Change by Occupation and Replacement Demand, RQF3 A level &amp; equivalent, 2015-2035, North East (Continued)</v>
      </c>
      <c r="BE38" s="381"/>
      <c r="BF38" s="381"/>
      <c r="BG38" s="381"/>
      <c r="BH38" s="381"/>
      <c r="BI38" s="381"/>
      <c r="BJ38" s="381"/>
      <c r="BK38" s="381"/>
      <c r="BL38" s="381"/>
      <c r="BM38" s="381"/>
      <c r="BO38" s="381" t="str">
        <f>CONCATENATE(BO$1," (Continued)")</f>
        <v>Basic Table 2.6  Employment Change by Occupation and Replacement Demand, RQF2 GCSE(A-C) &amp; equivalent, 2015-2035, North East (Continued)</v>
      </c>
      <c r="BP38" s="381"/>
      <c r="BQ38" s="381"/>
      <c r="BR38" s="381"/>
      <c r="BS38" s="381"/>
      <c r="BT38" s="381"/>
      <c r="BU38" s="381"/>
      <c r="BV38" s="381"/>
      <c r="BW38" s="381"/>
      <c r="BX38" s="381"/>
      <c r="BZ38" s="381" t="str">
        <f>CONCATENATE(BZ$1," (Continued)")</f>
        <v>Basic Table 2.7  Employment Change by Occupation and Replacement Demand, RQF1 GCSE(below grade C) &amp; equivalent, 2015-2035, North East (Continued)</v>
      </c>
      <c r="CA38" s="381"/>
      <c r="CB38" s="381"/>
      <c r="CC38" s="381"/>
      <c r="CD38" s="381"/>
      <c r="CE38" s="381"/>
      <c r="CF38" s="381"/>
      <c r="CG38" s="381"/>
      <c r="CH38" s="381"/>
      <c r="CI38" s="381"/>
      <c r="CK38" s="381" t="str">
        <f>CONCATENATE(CK$1," (Continued)")</f>
        <v>Basic Table 2.8  Employment Change by Occupation and Replacement Demand, No Qualification, 2015-2035, North East (Continued)</v>
      </c>
      <c r="CL38" s="381"/>
      <c r="CM38" s="381"/>
      <c r="CN38" s="381"/>
      <c r="CO38" s="381"/>
      <c r="CP38" s="381"/>
      <c r="CQ38" s="381"/>
      <c r="CR38" s="381"/>
      <c r="CS38" s="381"/>
      <c r="CT38" s="381"/>
    </row>
    <row r="39" spans="1:98" ht="12.75" customHeight="1" x14ac:dyDescent="0.2"/>
    <row r="40" spans="1:98" ht="12.75" customHeight="1" x14ac:dyDescent="0.2">
      <c r="F40" s="16" t="s">
        <v>35</v>
      </c>
      <c r="J40" s="16" t="s">
        <v>35</v>
      </c>
      <c r="Q40" s="16" t="s">
        <v>35</v>
      </c>
      <c r="U40" s="16" t="s">
        <v>35</v>
      </c>
      <c r="AB40" s="16" t="s">
        <v>35</v>
      </c>
      <c r="AF40" s="16" t="s">
        <v>35</v>
      </c>
      <c r="AM40" s="16" t="s">
        <v>35</v>
      </c>
      <c r="AQ40" s="16" t="s">
        <v>35</v>
      </c>
      <c r="AX40" s="16" t="s">
        <v>35</v>
      </c>
      <c r="BB40" s="16" t="s">
        <v>35</v>
      </c>
      <c r="BI40" s="16" t="s">
        <v>35</v>
      </c>
      <c r="BM40" s="16" t="s">
        <v>35</v>
      </c>
      <c r="BT40" s="16" t="s">
        <v>35</v>
      </c>
      <c r="BX40" s="16" t="s">
        <v>35</v>
      </c>
      <c r="CE40" s="16" t="s">
        <v>35</v>
      </c>
      <c r="CI40" s="16" t="s">
        <v>35</v>
      </c>
      <c r="CP40" s="16" t="s">
        <v>35</v>
      </c>
      <c r="CT40" s="16" t="s">
        <v>35</v>
      </c>
    </row>
    <row r="41" spans="1:98" ht="12.75" customHeight="1" x14ac:dyDescent="0.2">
      <c r="A41" s="36"/>
      <c r="B41" s="36"/>
      <c r="C41" s="36"/>
      <c r="D41" s="36"/>
      <c r="E41" s="36"/>
      <c r="F41" s="36"/>
      <c r="H41" s="28" t="str">
        <f>$H$4</f>
        <v>2020-2035</v>
      </c>
      <c r="I41" s="36"/>
      <c r="J41" s="36"/>
      <c r="L41" s="36"/>
      <c r="M41" s="36"/>
      <c r="N41" s="36"/>
      <c r="O41" s="36"/>
      <c r="P41" s="36"/>
      <c r="Q41" s="36"/>
      <c r="S41" s="28" t="str">
        <f>$H$4</f>
        <v>2020-2035</v>
      </c>
      <c r="T41" s="36"/>
      <c r="U41" s="36"/>
      <c r="W41" s="36"/>
      <c r="X41" s="36"/>
      <c r="Y41" s="36"/>
      <c r="Z41" s="36"/>
      <c r="AA41" s="36"/>
      <c r="AB41" s="36"/>
      <c r="AD41" s="28" t="str">
        <f>$H$4</f>
        <v>2020-2035</v>
      </c>
      <c r="AE41" s="36"/>
      <c r="AF41" s="36"/>
      <c r="AH41" s="36"/>
      <c r="AI41" s="36"/>
      <c r="AJ41" s="36"/>
      <c r="AK41" s="36"/>
      <c r="AL41" s="36"/>
      <c r="AM41" s="36"/>
      <c r="AO41" s="28" t="str">
        <f>$H$4</f>
        <v>2020-2035</v>
      </c>
      <c r="AP41" s="36"/>
      <c r="AQ41" s="36"/>
      <c r="AS41" s="36"/>
      <c r="AT41" s="36"/>
      <c r="AU41" s="36"/>
      <c r="AV41" s="36"/>
      <c r="AW41" s="36"/>
      <c r="AX41" s="36"/>
      <c r="AZ41" s="28" t="str">
        <f>$H$4</f>
        <v>2020-2035</v>
      </c>
      <c r="BA41" s="36"/>
      <c r="BB41" s="36"/>
      <c r="BD41" s="36"/>
      <c r="BE41" s="36"/>
      <c r="BF41" s="36"/>
      <c r="BG41" s="36"/>
      <c r="BH41" s="36"/>
      <c r="BI41" s="36"/>
      <c r="BK41" s="28" t="str">
        <f>$H$4</f>
        <v>2020-2035</v>
      </c>
      <c r="BL41" s="36"/>
      <c r="BM41" s="36"/>
      <c r="BO41" s="36"/>
      <c r="BP41" s="36"/>
      <c r="BQ41" s="36"/>
      <c r="BR41" s="36"/>
      <c r="BS41" s="36"/>
      <c r="BT41" s="36"/>
      <c r="BV41" s="28" t="str">
        <f>$H$4</f>
        <v>2020-2035</v>
      </c>
      <c r="BW41" s="36"/>
      <c r="BX41" s="36"/>
      <c r="BZ41" s="36"/>
      <c r="CA41" s="36"/>
      <c r="CB41" s="36"/>
      <c r="CC41" s="36"/>
      <c r="CD41" s="36"/>
      <c r="CE41" s="36"/>
      <c r="CG41" s="28" t="str">
        <f>$H$4</f>
        <v>2020-2035</v>
      </c>
      <c r="CH41" s="36"/>
      <c r="CI41" s="36"/>
      <c r="CK41" s="36"/>
      <c r="CL41" s="36"/>
      <c r="CM41" s="36"/>
      <c r="CN41" s="36"/>
      <c r="CO41" s="36"/>
      <c r="CP41" s="36"/>
      <c r="CR41" s="28" t="str">
        <f>$H$4</f>
        <v>2020-2035</v>
      </c>
      <c r="CS41" s="36"/>
      <c r="CT41" s="36"/>
    </row>
    <row r="42" spans="1:98" ht="12.75" customHeight="1" x14ac:dyDescent="0.2">
      <c r="H42" s="16" t="str">
        <f t="shared" ref="H42:J43" si="94">H5</f>
        <v>Net</v>
      </c>
      <c r="I42" s="16" t="str">
        <f t="shared" si="94"/>
        <v>Replacement</v>
      </c>
      <c r="J42" s="16" t="str">
        <f t="shared" si="94"/>
        <v>Total</v>
      </c>
      <c r="S42" s="16" t="str">
        <f t="shared" ref="S42:U43" si="95">S5</f>
        <v>Net</v>
      </c>
      <c r="T42" s="16" t="str">
        <f t="shared" si="95"/>
        <v>Replacement</v>
      </c>
      <c r="U42" s="16" t="str">
        <f t="shared" si="95"/>
        <v>Total</v>
      </c>
      <c r="AD42" s="16" t="str">
        <f t="shared" ref="AD42:AF43" si="96">AD5</f>
        <v>Net</v>
      </c>
      <c r="AE42" s="16" t="str">
        <f t="shared" si="96"/>
        <v>Replacement</v>
      </c>
      <c r="AF42" s="16" t="str">
        <f t="shared" si="96"/>
        <v>Total</v>
      </c>
      <c r="AO42" s="16" t="str">
        <f t="shared" ref="AO42:AQ43" si="97">AO5</f>
        <v>Net</v>
      </c>
      <c r="AP42" s="16" t="str">
        <f t="shared" si="97"/>
        <v>Replacement</v>
      </c>
      <c r="AQ42" s="16" t="str">
        <f t="shared" si="97"/>
        <v>Total</v>
      </c>
      <c r="AZ42" s="16" t="str">
        <f t="shared" ref="AZ42:BB43" si="98">AZ5</f>
        <v>Net</v>
      </c>
      <c r="BA42" s="16" t="str">
        <f t="shared" si="98"/>
        <v>Replacement</v>
      </c>
      <c r="BB42" s="16" t="str">
        <f t="shared" si="98"/>
        <v>Total</v>
      </c>
      <c r="BK42" s="16" t="str">
        <f t="shared" ref="BK42:BM43" si="99">BK5</f>
        <v>Net</v>
      </c>
      <c r="BL42" s="16" t="str">
        <f t="shared" si="99"/>
        <v>Replacement</v>
      </c>
      <c r="BM42" s="16" t="str">
        <f t="shared" si="99"/>
        <v>Total</v>
      </c>
      <c r="BV42" s="16" t="str">
        <f t="shared" ref="BV42:BX43" si="100">BV5</f>
        <v>Net</v>
      </c>
      <c r="BW42" s="16" t="str">
        <f t="shared" si="100"/>
        <v>Replacement</v>
      </c>
      <c r="BX42" s="16" t="str">
        <f t="shared" si="100"/>
        <v>Total</v>
      </c>
      <c r="CG42" s="16" t="str">
        <f t="shared" ref="CG42:CI43" si="101">CG5</f>
        <v>Net</v>
      </c>
      <c r="CH42" s="16" t="str">
        <f t="shared" si="101"/>
        <v>Replacement</v>
      </c>
      <c r="CI42" s="16" t="str">
        <f t="shared" si="101"/>
        <v>Total</v>
      </c>
      <c r="CR42" s="16" t="str">
        <f t="shared" ref="CR42:CT43" si="102">CR5</f>
        <v>Net</v>
      </c>
      <c r="CS42" s="16" t="str">
        <f t="shared" si="102"/>
        <v>Replacement</v>
      </c>
      <c r="CT42" s="16" t="str">
        <f t="shared" si="102"/>
        <v>Total</v>
      </c>
    </row>
    <row r="43" spans="1:98" ht="12.75" customHeight="1" x14ac:dyDescent="0.2">
      <c r="A43" s="41" t="s">
        <v>37</v>
      </c>
      <c r="B43" s="35">
        <f>B$6</f>
        <v>2015</v>
      </c>
      <c r="C43" s="35">
        <f>C$6</f>
        <v>2019</v>
      </c>
      <c r="D43" s="35">
        <f>D$6</f>
        <v>2020</v>
      </c>
      <c r="E43" s="35">
        <f>E$6</f>
        <v>2025</v>
      </c>
      <c r="F43" s="35">
        <f>F$6</f>
        <v>2035</v>
      </c>
      <c r="H43" s="63" t="str">
        <f t="shared" si="94"/>
        <v>Change</v>
      </c>
      <c r="I43" s="63" t="str">
        <f t="shared" si="94"/>
        <v>Demand</v>
      </c>
      <c r="J43" s="63" t="str">
        <f t="shared" si="94"/>
        <v>Requirement</v>
      </c>
      <c r="L43" s="41" t="s">
        <v>37</v>
      </c>
      <c r="M43" s="35">
        <f>M$6</f>
        <v>2015</v>
      </c>
      <c r="N43" s="35">
        <f>N$6</f>
        <v>2019</v>
      </c>
      <c r="O43" s="35">
        <f>O$6</f>
        <v>2020</v>
      </c>
      <c r="P43" s="35">
        <f>P$6</f>
        <v>2025</v>
      </c>
      <c r="Q43" s="35">
        <f>Q$6</f>
        <v>2035</v>
      </c>
      <c r="S43" s="63" t="str">
        <f t="shared" si="95"/>
        <v>Change</v>
      </c>
      <c r="T43" s="63" t="str">
        <f t="shared" si="95"/>
        <v>Demand</v>
      </c>
      <c r="U43" s="63" t="str">
        <f t="shared" si="95"/>
        <v>Requirement</v>
      </c>
      <c r="W43" s="41" t="s">
        <v>37</v>
      </c>
      <c r="X43" s="35">
        <f>X$6</f>
        <v>2015</v>
      </c>
      <c r="Y43" s="35">
        <f>Y$6</f>
        <v>2019</v>
      </c>
      <c r="Z43" s="35">
        <f>Z$6</f>
        <v>2020</v>
      </c>
      <c r="AA43" s="35">
        <f>AA$6</f>
        <v>2025</v>
      </c>
      <c r="AB43" s="35">
        <f>AB$6</f>
        <v>2035</v>
      </c>
      <c r="AD43" s="63" t="str">
        <f t="shared" si="96"/>
        <v>Change</v>
      </c>
      <c r="AE43" s="63" t="str">
        <f t="shared" si="96"/>
        <v>Demand</v>
      </c>
      <c r="AF43" s="63" t="str">
        <f t="shared" si="96"/>
        <v>Requirement</v>
      </c>
      <c r="AH43" s="41" t="s">
        <v>37</v>
      </c>
      <c r="AI43" s="35">
        <f>AI$6</f>
        <v>2015</v>
      </c>
      <c r="AJ43" s="35">
        <f>AJ$6</f>
        <v>2019</v>
      </c>
      <c r="AK43" s="35">
        <f>AK$6</f>
        <v>2020</v>
      </c>
      <c r="AL43" s="35">
        <f>AL$6</f>
        <v>2025</v>
      </c>
      <c r="AM43" s="35">
        <f>AM$6</f>
        <v>2035</v>
      </c>
      <c r="AO43" s="63" t="str">
        <f t="shared" si="97"/>
        <v>Change</v>
      </c>
      <c r="AP43" s="63" t="str">
        <f t="shared" si="97"/>
        <v>Demand</v>
      </c>
      <c r="AQ43" s="63" t="str">
        <f t="shared" si="97"/>
        <v>Requirement</v>
      </c>
      <c r="AS43" s="41" t="s">
        <v>37</v>
      </c>
      <c r="AT43" s="35">
        <f>AT$6</f>
        <v>2015</v>
      </c>
      <c r="AU43" s="35">
        <f>AU$6</f>
        <v>2019</v>
      </c>
      <c r="AV43" s="35">
        <f>AV$6</f>
        <v>2020</v>
      </c>
      <c r="AW43" s="35">
        <f>AW$6</f>
        <v>2025</v>
      </c>
      <c r="AX43" s="35">
        <f>AX$6</f>
        <v>2035</v>
      </c>
      <c r="AZ43" s="63" t="str">
        <f t="shared" si="98"/>
        <v>Change</v>
      </c>
      <c r="BA43" s="63" t="str">
        <f t="shared" si="98"/>
        <v>Demand</v>
      </c>
      <c r="BB43" s="63" t="str">
        <f t="shared" si="98"/>
        <v>Requirement</v>
      </c>
      <c r="BD43" s="41" t="s">
        <v>37</v>
      </c>
      <c r="BE43" s="35">
        <f>BE$6</f>
        <v>2015</v>
      </c>
      <c r="BF43" s="35">
        <f>BF$6</f>
        <v>2019</v>
      </c>
      <c r="BG43" s="35">
        <f>BG$6</f>
        <v>2020</v>
      </c>
      <c r="BH43" s="35">
        <f>BH$6</f>
        <v>2025</v>
      </c>
      <c r="BI43" s="35">
        <f>BI$6</f>
        <v>2035</v>
      </c>
      <c r="BK43" s="63" t="str">
        <f t="shared" si="99"/>
        <v>Change</v>
      </c>
      <c r="BL43" s="63" t="str">
        <f t="shared" si="99"/>
        <v>Demand</v>
      </c>
      <c r="BM43" s="63" t="str">
        <f t="shared" si="99"/>
        <v>Requirement</v>
      </c>
      <c r="BO43" s="41" t="s">
        <v>37</v>
      </c>
      <c r="BP43" s="35">
        <f>BP$6</f>
        <v>2015</v>
      </c>
      <c r="BQ43" s="35">
        <f>BQ$6</f>
        <v>2019</v>
      </c>
      <c r="BR43" s="35">
        <f>BR$6</f>
        <v>2020</v>
      </c>
      <c r="BS43" s="35">
        <f>BS$6</f>
        <v>2025</v>
      </c>
      <c r="BT43" s="35">
        <f>BT$6</f>
        <v>2035</v>
      </c>
      <c r="BV43" s="63" t="str">
        <f t="shared" si="100"/>
        <v>Change</v>
      </c>
      <c r="BW43" s="63" t="str">
        <f t="shared" si="100"/>
        <v>Demand</v>
      </c>
      <c r="BX43" s="63" t="str">
        <f t="shared" si="100"/>
        <v>Requirement</v>
      </c>
      <c r="BZ43" s="41" t="s">
        <v>37</v>
      </c>
      <c r="CA43" s="35">
        <f>CA$6</f>
        <v>2015</v>
      </c>
      <c r="CB43" s="35">
        <f>CB$6</f>
        <v>2019</v>
      </c>
      <c r="CC43" s="35">
        <f>CC$6</f>
        <v>2020</v>
      </c>
      <c r="CD43" s="35">
        <f>CD$6</f>
        <v>2025</v>
      </c>
      <c r="CE43" s="35">
        <f>CE$6</f>
        <v>2035</v>
      </c>
      <c r="CG43" s="63" t="str">
        <f t="shared" si="101"/>
        <v>Change</v>
      </c>
      <c r="CH43" s="63" t="str">
        <f t="shared" si="101"/>
        <v>Demand</v>
      </c>
      <c r="CI43" s="63" t="str">
        <f t="shared" si="101"/>
        <v>Requirement</v>
      </c>
      <c r="CK43" s="41" t="s">
        <v>37</v>
      </c>
      <c r="CL43" s="35">
        <f>CL$6</f>
        <v>2015</v>
      </c>
      <c r="CM43" s="35">
        <f>CM$6</f>
        <v>2019</v>
      </c>
      <c r="CN43" s="35">
        <f>CN$6</f>
        <v>2020</v>
      </c>
      <c r="CO43" s="35">
        <f>CO$6</f>
        <v>2025</v>
      </c>
      <c r="CP43" s="35">
        <f>CP$6</f>
        <v>2035</v>
      </c>
      <c r="CR43" s="63" t="str">
        <f t="shared" si="102"/>
        <v>Change</v>
      </c>
      <c r="CS43" s="63" t="str">
        <f t="shared" si="102"/>
        <v>Demand</v>
      </c>
      <c r="CT43" s="63" t="str">
        <f t="shared" si="102"/>
        <v>Requirement</v>
      </c>
    </row>
    <row r="44" spans="1:98" x14ac:dyDescent="0.2">
      <c r="G44" s="11"/>
      <c r="R44" s="11"/>
      <c r="AC44" s="11"/>
      <c r="AN44" s="11"/>
      <c r="AY44" s="11"/>
      <c r="BJ44" s="11"/>
      <c r="BU44" s="11"/>
      <c r="CF44" s="11"/>
      <c r="CQ44" s="11"/>
    </row>
    <row r="45" spans="1:98" x14ac:dyDescent="0.2">
      <c r="A45" t="str">
        <f t="shared" ref="A45:A70" si="103">A8</f>
        <v>11 Corporate managers and directors</v>
      </c>
      <c r="B45" s="18">
        <f t="shared" ref="B45:F54" si="104">B8/B$35*100</f>
        <v>3.8490139637252105</v>
      </c>
      <c r="C45" s="18">
        <f t="shared" si="104"/>
        <v>4.3707513397875326</v>
      </c>
      <c r="D45" s="18">
        <f t="shared" si="104"/>
        <v>4.1217921627418175</v>
      </c>
      <c r="E45" s="18">
        <f t="shared" si="104"/>
        <v>3.7153754696505268</v>
      </c>
      <c r="F45" s="18">
        <f t="shared" si="104"/>
        <v>3.8714069426803199</v>
      </c>
      <c r="H45" s="68">
        <f t="shared" ref="H45:H70" si="105">IF(D8&gt;0,(H8/D8)*100,0)</f>
        <v>43.693117067732665</v>
      </c>
      <c r="I45" s="69">
        <f t="shared" ref="I45:I70" si="106">IF(D8&gt;0,I8/D8*100,0)</f>
        <v>68.194496692610215</v>
      </c>
      <c r="J45" s="69">
        <f t="shared" ref="J45:J70" si="107">IF(D8&gt;0,(J8/D8)*100,0)</f>
        <v>111.88761376034289</v>
      </c>
      <c r="L45" t="str">
        <f>A45</f>
        <v>11 Corporate managers and directors</v>
      </c>
      <c r="M45" s="18">
        <f t="shared" ref="M45:Q54" si="108">M8/M$35*100</f>
        <v>5.8568192081438539</v>
      </c>
      <c r="N45" s="18">
        <f t="shared" si="108"/>
        <v>6.7869896385159389</v>
      </c>
      <c r="O45" s="18">
        <f t="shared" si="108"/>
        <v>6.4245705595242049</v>
      </c>
      <c r="P45" s="18">
        <f t="shared" si="108"/>
        <v>5.7738896054390123</v>
      </c>
      <c r="Q45" s="18">
        <f t="shared" si="108"/>
        <v>5.8685121629111832</v>
      </c>
      <c r="S45" s="68">
        <f t="shared" ref="S45:S70" si="109">IF(O8&gt;0,(S8/O8)*100,0)</f>
        <v>32.179482843040518</v>
      </c>
      <c r="T45" s="69">
        <f t="shared" ref="T45:T70" si="110">IF(O8&gt;0,T8/O8*100,0)</f>
        <v>66.833049767729392</v>
      </c>
      <c r="U45" s="69">
        <f t="shared" ref="U45:U70" si="111">IF(O8&gt;0,(U8/O8)*100,0)</f>
        <v>99.012532610769924</v>
      </c>
      <c r="W45" t="str">
        <f>A45</f>
        <v>11 Corporate managers and directors</v>
      </c>
      <c r="X45" s="18">
        <f t="shared" ref="X45:AB54" si="112">X8/X$35*100</f>
        <v>7.3169827640400431</v>
      </c>
      <c r="Y45" s="18">
        <f t="shared" si="112"/>
        <v>7.939816692830461</v>
      </c>
      <c r="Z45" s="18">
        <f t="shared" si="112"/>
        <v>7.699395646047055</v>
      </c>
      <c r="AA45" s="18">
        <f t="shared" si="112"/>
        <v>6.9341970043836492</v>
      </c>
      <c r="AB45" s="18">
        <f t="shared" si="112"/>
        <v>6.8130071438402702</v>
      </c>
      <c r="AD45" s="68">
        <f t="shared" ref="AD45:AD70" si="113">IF(Z8&gt;0,(AD8/Z8)*100,0)</f>
        <v>20.961416460323139</v>
      </c>
      <c r="AE45" s="69">
        <f t="shared" ref="AE45:AE70" si="114">IF(Z8&gt;0,AE8/Z8*100,0)</f>
        <v>63.107765798599793</v>
      </c>
      <c r="AF45" s="69">
        <f t="shared" ref="AF45:AF70" si="115">IF(Z8&gt;0,(AF8/Z8)*100,0)</f>
        <v>84.069182258922936</v>
      </c>
      <c r="AH45" t="str">
        <f>L45</f>
        <v>11 Corporate managers and directors</v>
      </c>
      <c r="AI45" s="18">
        <f t="shared" ref="AI45:AM54" si="116">AI8/AI$35*100</f>
        <v>5.1078109484127374</v>
      </c>
      <c r="AJ45" s="18">
        <f t="shared" si="116"/>
        <v>5.708948710762205</v>
      </c>
      <c r="AK45" s="18">
        <f t="shared" si="116"/>
        <v>6.0681084017675904</v>
      </c>
      <c r="AL45" s="18">
        <f t="shared" si="116"/>
        <v>5.8173733085267711</v>
      </c>
      <c r="AM45" s="18">
        <f t="shared" si="116"/>
        <v>5.9710140310901227</v>
      </c>
      <c r="AO45" s="68">
        <f t="shared" ref="AO45:AO70" si="117">IF(AK8&gt;0,(AO8/AK8)*100,0)</f>
        <v>5.9107003755641205</v>
      </c>
      <c r="AP45" s="69">
        <f t="shared" ref="AP45:AP70" si="118">IF(AK8&gt;0,AP8/AK8*100,0)</f>
        <v>53.13044093356315</v>
      </c>
      <c r="AQ45" s="69">
        <f t="shared" ref="AQ45:AQ70" si="119">IF(AK8&gt;0,(AQ8/AK8)*100,0)</f>
        <v>59.041141309127262</v>
      </c>
      <c r="AS45" t="str">
        <f>W45</f>
        <v>11 Corporate managers and directors</v>
      </c>
      <c r="AT45" s="18">
        <f t="shared" ref="AT45:AX54" si="120">AT8/AT$35*100</f>
        <v>7.4180505408052131</v>
      </c>
      <c r="AU45" s="18">
        <f t="shared" si="120"/>
        <v>7.633619218179752</v>
      </c>
      <c r="AV45" s="18">
        <f t="shared" si="120"/>
        <v>7.7233038805672907</v>
      </c>
      <c r="AW45" s="18">
        <f t="shared" si="120"/>
        <v>6.6998352630031413</v>
      </c>
      <c r="AX45" s="18">
        <f t="shared" si="120"/>
        <v>6.3276129153947345</v>
      </c>
      <c r="AZ45" s="68">
        <f t="shared" ref="AZ45:AZ70" si="121">IF(AV8&gt;0,(AZ8/AV8)*100,0)</f>
        <v>-0.68127574582646133</v>
      </c>
      <c r="BA45" s="69">
        <f t="shared" ref="BA45:BA70" si="122">IF(AV8&gt;0,BA8/AV8*100,0)</f>
        <v>50.864149468509623</v>
      </c>
      <c r="BB45" s="69">
        <f t="shared" ref="BB45:BB70" si="123">IF(AV8&gt;0,(BB8/AV8)*100,0)</f>
        <v>50.182873722683162</v>
      </c>
      <c r="BD45" t="str">
        <f>AH45</f>
        <v>11 Corporate managers and directors</v>
      </c>
      <c r="BE45" s="18">
        <f t="shared" ref="BE45:BI54" si="124">BE8/BE$35*100</f>
        <v>4.1111649960689673</v>
      </c>
      <c r="BF45" s="18">
        <f t="shared" si="124"/>
        <v>4.6461614510391476</v>
      </c>
      <c r="BG45" s="18">
        <f t="shared" si="124"/>
        <v>5.0962736918950018</v>
      </c>
      <c r="BH45" s="18">
        <f t="shared" si="124"/>
        <v>4.180997605190572</v>
      </c>
      <c r="BI45" s="18">
        <f t="shared" si="124"/>
        <v>4.3807172438244981</v>
      </c>
      <c r="BK45" s="68">
        <f t="shared" ref="BK45:BK70" si="125">IF(BG8&gt;0,(BK8/BG8)*100,0)</f>
        <v>-14.031982370514962</v>
      </c>
      <c r="BL45" s="69">
        <f t="shared" ref="BL45:BL70" si="126">IF(BG8&gt;0,BL8/BG8*100,0)</f>
        <v>36.791886403805236</v>
      </c>
      <c r="BM45" s="69">
        <f t="shared" ref="BM45:BM70" si="127">IF(BG8&gt;0,(BM8/BG8)*100,0)</f>
        <v>22.759904033290272</v>
      </c>
      <c r="BO45" t="str">
        <f>AS45</f>
        <v>11 Corporate managers and directors</v>
      </c>
      <c r="BP45" s="18">
        <f t="shared" ref="BP45:BT54" si="128">BP8/BP$35*100</f>
        <v>3.2496887851063043</v>
      </c>
      <c r="BQ45" s="18">
        <f t="shared" si="128"/>
        <v>3.7128165765861318</v>
      </c>
      <c r="BR45" s="18">
        <f t="shared" si="128"/>
        <v>3.829000053746566</v>
      </c>
      <c r="BS45" s="18">
        <f t="shared" si="128"/>
        <v>3.3575166826429212</v>
      </c>
      <c r="BT45" s="18">
        <f t="shared" si="128"/>
        <v>3.4503418093717797</v>
      </c>
      <c r="BV45" s="68">
        <f t="shared" ref="BV45:BV70" si="129">IF(BR8&gt;0,(BV8/BR8)*100,0)</f>
        <v>-21.990220353512207</v>
      </c>
      <c r="BW45" s="69">
        <f t="shared" ref="BW45:BW70" si="130">IF(BR8&gt;0,BW8/BR8*100,0)</f>
        <v>36.676590169274661</v>
      </c>
      <c r="BX45" s="69">
        <f t="shared" ref="BX45:BX70" si="131">IF(BR8&gt;0,(BX8/BR8)*100,0)</f>
        <v>14.686369815762454</v>
      </c>
      <c r="BZ45" t="str">
        <f>BD45</f>
        <v>11 Corporate managers and directors</v>
      </c>
      <c r="CA45" s="18">
        <f t="shared" ref="CA45:CE54" si="132">CA8/CA$35*100</f>
        <v>2.8411861505919753</v>
      </c>
      <c r="CB45" s="18">
        <f t="shared" si="132"/>
        <v>3.7906721635539085</v>
      </c>
      <c r="CC45" s="18">
        <f t="shared" si="132"/>
        <v>3.8705110207219811</v>
      </c>
      <c r="CD45" s="18">
        <f t="shared" si="132"/>
        <v>3.787821195763625</v>
      </c>
      <c r="CE45" s="18">
        <f t="shared" si="132"/>
        <v>4.2974105235707354</v>
      </c>
      <c r="CG45" s="68">
        <f t="shared" ref="CG45:CG70" si="133">IF(CC8&gt;0,(CG8/CC8)*100,0)</f>
        <v>-35.30402090697617</v>
      </c>
      <c r="CH45" s="69">
        <f t="shared" ref="CH45:CH70" si="134">IF(CC8&gt;0,CH8/CC8*100,0)</f>
        <v>35.786416180510614</v>
      </c>
      <c r="CI45" s="69">
        <f t="shared" ref="CI45:CI70" si="135">IF(CC8&gt;0,(CI8/CC8)*100,0)</f>
        <v>0.48239527353443812</v>
      </c>
      <c r="CK45" t="str">
        <f>BO45</f>
        <v>11 Corporate managers and directors</v>
      </c>
      <c r="CL45" s="18">
        <f t="shared" ref="CL45:CP54" si="136">CL8/CL$35*100</f>
        <v>1.8791925869771631</v>
      </c>
      <c r="CM45" s="18">
        <f t="shared" si="136"/>
        <v>2.7265184449084003</v>
      </c>
      <c r="CN45" s="18">
        <f t="shared" si="136"/>
        <v>2.8217049658956572</v>
      </c>
      <c r="CO45" s="18">
        <f t="shared" si="136"/>
        <v>2.8632235628357297</v>
      </c>
      <c r="CP45" s="18">
        <f t="shared" si="136"/>
        <v>4.5219362576229614</v>
      </c>
      <c r="CR45" s="68">
        <f t="shared" ref="CR45:CR70" si="137">IF(CN8&gt;0,(CR8/CN8)*100,0)</f>
        <v>-5.7164967128311064</v>
      </c>
      <c r="CS45" s="69">
        <f t="shared" ref="CS45:CS70" si="138">IF(CN8&gt;0,CS8/CN8*100,0)</f>
        <v>34.408701402798656</v>
      </c>
      <c r="CT45" s="69">
        <f t="shared" ref="CT45:CT70" si="139">IF(CN8&gt;0,(CT8/CN8)*100,0)</f>
        <v>28.69220468996755</v>
      </c>
    </row>
    <row r="46" spans="1:98" x14ac:dyDescent="0.2">
      <c r="A46" t="str">
        <f t="shared" si="103"/>
        <v>12 Other managers and proprietors</v>
      </c>
      <c r="B46" s="18">
        <f t="shared" si="104"/>
        <v>1.9666932281016565</v>
      </c>
      <c r="C46" s="18">
        <f t="shared" si="104"/>
        <v>2.4474489934009047</v>
      </c>
      <c r="D46" s="18">
        <f t="shared" si="104"/>
        <v>2.0641839164729685</v>
      </c>
      <c r="E46" s="18">
        <f t="shared" si="104"/>
        <v>2.4922770802682672</v>
      </c>
      <c r="F46" s="18">
        <f t="shared" si="104"/>
        <v>3.0436938108214608</v>
      </c>
      <c r="H46" s="68">
        <f t="shared" si="105"/>
        <v>125.58270588937248</v>
      </c>
      <c r="I46" s="69">
        <f t="shared" si="106"/>
        <v>109.76506200410985</v>
      </c>
      <c r="J46" s="69">
        <f t="shared" si="107"/>
        <v>235.34776789348234</v>
      </c>
      <c r="L46" t="str">
        <f t="shared" ref="L46:L69" si="140">A46</f>
        <v>12 Other managers and proprietors</v>
      </c>
      <c r="M46" s="18">
        <f t="shared" si="108"/>
        <v>2.6789834643936259</v>
      </c>
      <c r="N46" s="18">
        <f t="shared" si="108"/>
        <v>3.0071395691445488</v>
      </c>
      <c r="O46" s="18">
        <f t="shared" si="108"/>
        <v>2.9075320497256127</v>
      </c>
      <c r="P46" s="18">
        <f t="shared" si="108"/>
        <v>3.5267166315467029</v>
      </c>
      <c r="Q46" s="18">
        <f t="shared" si="108"/>
        <v>4.3511133778221414</v>
      </c>
      <c r="S46" s="68">
        <f t="shared" si="109"/>
        <v>116.5489248512385</v>
      </c>
      <c r="T46" s="69">
        <f t="shared" si="110"/>
        <v>107.26278435322723</v>
      </c>
      <c r="U46" s="69">
        <f t="shared" si="111"/>
        <v>223.81170920446573</v>
      </c>
      <c r="W46" t="str">
        <f t="shared" ref="W46:W69" si="141">A46</f>
        <v>12 Other managers and proprietors</v>
      </c>
      <c r="X46" s="18">
        <f t="shared" si="112"/>
        <v>3.4951299937183551</v>
      </c>
      <c r="Y46" s="18">
        <f t="shared" si="112"/>
        <v>3.8127585562798187</v>
      </c>
      <c r="Z46" s="18">
        <f t="shared" si="112"/>
        <v>3.5588031182981408</v>
      </c>
      <c r="AA46" s="18">
        <f t="shared" si="112"/>
        <v>4.2557577710380947</v>
      </c>
      <c r="AB46" s="18">
        <f t="shared" si="112"/>
        <v>4.428149209586409</v>
      </c>
      <c r="AD46" s="68">
        <f t="shared" si="113"/>
        <v>70.091628993289561</v>
      </c>
      <c r="AE46" s="69">
        <f t="shared" si="114"/>
        <v>96.186941235779315</v>
      </c>
      <c r="AF46" s="69">
        <f t="shared" si="115"/>
        <v>166.27857022906886</v>
      </c>
      <c r="AH46" t="str">
        <f t="shared" ref="AH46:AH69" si="142">L46</f>
        <v>12 Other managers and proprietors</v>
      </c>
      <c r="AI46" s="18">
        <f t="shared" si="116"/>
        <v>3.3264590360478326</v>
      </c>
      <c r="AJ46" s="18">
        <f t="shared" si="116"/>
        <v>3.9540733043395839</v>
      </c>
      <c r="AK46" s="18">
        <f t="shared" si="116"/>
        <v>4.1837661029764597</v>
      </c>
      <c r="AL46" s="18">
        <f t="shared" si="116"/>
        <v>5.1746367773925686</v>
      </c>
      <c r="AM46" s="18">
        <f t="shared" si="116"/>
        <v>6.112308271467783</v>
      </c>
      <c r="AO46" s="68">
        <f t="shared" si="117"/>
        <v>57.24720377103467</v>
      </c>
      <c r="AP46" s="69">
        <f t="shared" si="118"/>
        <v>85.944478873789691</v>
      </c>
      <c r="AQ46" s="69">
        <f t="shared" si="119"/>
        <v>143.19168264482437</v>
      </c>
      <c r="AS46" t="str">
        <f t="shared" ref="AS46:AS69" si="143">W46</f>
        <v>12 Other managers and proprietors</v>
      </c>
      <c r="AT46" s="18">
        <f t="shared" si="120"/>
        <v>3.9920843324742883</v>
      </c>
      <c r="AU46" s="18">
        <f t="shared" si="120"/>
        <v>4.3181951852712483</v>
      </c>
      <c r="AV46" s="18">
        <f t="shared" si="120"/>
        <v>3.994765463148565</v>
      </c>
      <c r="AW46" s="18">
        <f t="shared" si="120"/>
        <v>4.7215455248342133</v>
      </c>
      <c r="AX46" s="18">
        <f t="shared" si="120"/>
        <v>4.7621725638865495</v>
      </c>
      <c r="AZ46" s="68">
        <f t="shared" si="121"/>
        <v>44.513424851837996</v>
      </c>
      <c r="BA46" s="69">
        <f t="shared" si="122"/>
        <v>78.899004714534414</v>
      </c>
      <c r="BB46" s="69">
        <f t="shared" si="123"/>
        <v>123.4124295663724</v>
      </c>
      <c r="BD46" t="str">
        <f t="shared" ref="BD46:BD69" si="144">AH46</f>
        <v>12 Other managers and proprietors</v>
      </c>
      <c r="BE46" s="18">
        <f t="shared" si="124"/>
        <v>2.7561243623117049</v>
      </c>
      <c r="BF46" s="18">
        <f t="shared" si="124"/>
        <v>2.6059808310131358</v>
      </c>
      <c r="BG46" s="18">
        <f t="shared" si="124"/>
        <v>2.6289045192860265</v>
      </c>
      <c r="BH46" s="18">
        <f t="shared" si="124"/>
        <v>2.8025212692898389</v>
      </c>
      <c r="BI46" s="18">
        <f t="shared" si="124"/>
        <v>3.0633257135796725</v>
      </c>
      <c r="BK46" s="68">
        <f t="shared" si="125"/>
        <v>16.536721724136477</v>
      </c>
      <c r="BL46" s="69">
        <f t="shared" si="126"/>
        <v>51.328428778404366</v>
      </c>
      <c r="BM46" s="69">
        <f t="shared" si="127"/>
        <v>67.865150502540843</v>
      </c>
      <c r="BO46" t="str">
        <f t="shared" ref="BO46:BO69" si="145">AS46</f>
        <v>12 Other managers and proprietors</v>
      </c>
      <c r="BP46" s="18">
        <f t="shared" si="128"/>
        <v>2.6883814806919868</v>
      </c>
      <c r="BQ46" s="18">
        <f t="shared" si="128"/>
        <v>2.9839007421816923</v>
      </c>
      <c r="BR46" s="18">
        <f t="shared" si="128"/>
        <v>2.9491147781345091</v>
      </c>
      <c r="BS46" s="18">
        <f t="shared" si="128"/>
        <v>3.5014684871315689</v>
      </c>
      <c r="BT46" s="18">
        <f t="shared" si="128"/>
        <v>4.1266615986791866</v>
      </c>
      <c r="BV46" s="68">
        <f t="shared" si="129"/>
        <v>21.137744751046057</v>
      </c>
      <c r="BW46" s="69">
        <f t="shared" si="130"/>
        <v>59.365037291815803</v>
      </c>
      <c r="BX46" s="69">
        <f t="shared" si="131"/>
        <v>80.502782042861881</v>
      </c>
      <c r="BZ46" t="str">
        <f t="shared" ref="BZ46:BZ69" si="146">BD46</f>
        <v>12 Other managers and proprietors</v>
      </c>
      <c r="CA46" s="18">
        <f t="shared" si="132"/>
        <v>2.7490043234298134</v>
      </c>
      <c r="CB46" s="18">
        <f t="shared" si="132"/>
        <v>3.3056197736578952</v>
      </c>
      <c r="CC46" s="18">
        <f t="shared" si="132"/>
        <v>3.1961164089334519</v>
      </c>
      <c r="CD46" s="18">
        <f t="shared" si="132"/>
        <v>3.8393501215040753</v>
      </c>
      <c r="CE46" s="18">
        <f t="shared" si="132"/>
        <v>4.7046815834973037</v>
      </c>
      <c r="CG46" s="68">
        <f t="shared" si="133"/>
        <v>-14.22782920546749</v>
      </c>
      <c r="CH46" s="69">
        <f t="shared" si="134"/>
        <v>48.21363727929446</v>
      </c>
      <c r="CI46" s="69">
        <f t="shared" si="135"/>
        <v>33.985808073826973</v>
      </c>
      <c r="CK46" t="str">
        <f t="shared" ref="CK46:CK69" si="147">BO46</f>
        <v>12 Other managers and proprietors</v>
      </c>
      <c r="CL46" s="18">
        <f t="shared" si="136"/>
        <v>2.4983056326125301</v>
      </c>
      <c r="CM46" s="18">
        <f t="shared" si="136"/>
        <v>2.7767290683196362</v>
      </c>
      <c r="CN46" s="18">
        <f t="shared" si="136"/>
        <v>2.8866972070371335</v>
      </c>
      <c r="CO46" s="18">
        <f t="shared" si="136"/>
        <v>4.0671111567432501</v>
      </c>
      <c r="CP46" s="18">
        <f t="shared" si="136"/>
        <v>5.5017551798256443</v>
      </c>
      <c r="CR46" s="68">
        <f t="shared" si="137"/>
        <v>12.130279978133423</v>
      </c>
      <c r="CS46" s="69">
        <f t="shared" si="138"/>
        <v>41.049475379187804</v>
      </c>
      <c r="CT46" s="69">
        <f t="shared" si="139"/>
        <v>53.179755357321227</v>
      </c>
    </row>
    <row r="47" spans="1:98" x14ac:dyDescent="0.2">
      <c r="A47" t="str">
        <f t="shared" si="103"/>
        <v>21 Science, research, engineering and technology professionals</v>
      </c>
      <c r="B47" s="18">
        <f t="shared" si="104"/>
        <v>14.95755416999242</v>
      </c>
      <c r="C47" s="18">
        <f t="shared" si="104"/>
        <v>16.273405949692705</v>
      </c>
      <c r="D47" s="18">
        <f t="shared" si="104"/>
        <v>15.900778373603789</v>
      </c>
      <c r="E47" s="18">
        <f t="shared" si="104"/>
        <v>16.115233413282049</v>
      </c>
      <c r="F47" s="18">
        <f t="shared" si="104"/>
        <v>17.158985188709316</v>
      </c>
      <c r="H47" s="68">
        <f t="shared" si="105"/>
        <v>65.092158357041868</v>
      </c>
      <c r="I47" s="69">
        <f t="shared" si="106"/>
        <v>53.233860161596759</v>
      </c>
      <c r="J47" s="69">
        <f t="shared" si="107"/>
        <v>118.32601851863862</v>
      </c>
      <c r="L47" t="str">
        <f t="shared" si="140"/>
        <v>21 Science, research, engineering and technology professionals</v>
      </c>
      <c r="M47" s="18">
        <f t="shared" si="108"/>
        <v>8.4174451171799483</v>
      </c>
      <c r="N47" s="18">
        <f t="shared" si="108"/>
        <v>9.3067945015912876</v>
      </c>
      <c r="O47" s="18">
        <f t="shared" si="108"/>
        <v>9.3258718519139858</v>
      </c>
      <c r="P47" s="18">
        <f t="shared" si="108"/>
        <v>10.013309521926466</v>
      </c>
      <c r="Q47" s="18">
        <f t="shared" si="108"/>
        <v>11.237980858821127</v>
      </c>
      <c r="S47" s="68">
        <f t="shared" si="109"/>
        <v>74.372898699775007</v>
      </c>
      <c r="T47" s="69">
        <f t="shared" si="110"/>
        <v>59.704614350972165</v>
      </c>
      <c r="U47" s="69">
        <f t="shared" si="111"/>
        <v>134.07751305074717</v>
      </c>
      <c r="W47" t="str">
        <f t="shared" si="141"/>
        <v>21 Science, research, engineering and technology professionals</v>
      </c>
      <c r="X47" s="18">
        <f t="shared" si="112"/>
        <v>9.0587511257753022</v>
      </c>
      <c r="Y47" s="18">
        <f t="shared" si="112"/>
        <v>8.209884508069484</v>
      </c>
      <c r="Z47" s="18">
        <f t="shared" si="112"/>
        <v>8.0683567945279293</v>
      </c>
      <c r="AA47" s="18">
        <f t="shared" si="112"/>
        <v>7.7604534544655355</v>
      </c>
      <c r="AB47" s="18">
        <f t="shared" si="112"/>
        <v>6.7620250490156355</v>
      </c>
      <c r="AD47" s="68">
        <f t="shared" si="113"/>
        <v>14.566154710515718</v>
      </c>
      <c r="AE47" s="69">
        <f t="shared" si="114"/>
        <v>42.858258545400076</v>
      </c>
      <c r="AF47" s="69">
        <f t="shared" si="115"/>
        <v>57.424413255915795</v>
      </c>
      <c r="AH47" t="str">
        <f t="shared" si="142"/>
        <v>21 Science, research, engineering and technology professionals</v>
      </c>
      <c r="AI47" s="18">
        <f t="shared" si="116"/>
        <v>2.6670102456031812</v>
      </c>
      <c r="AJ47" s="18">
        <f t="shared" si="116"/>
        <v>2.7028095509783485</v>
      </c>
      <c r="AK47" s="18">
        <f t="shared" si="116"/>
        <v>2.835284554290074</v>
      </c>
      <c r="AL47" s="18">
        <f t="shared" si="116"/>
        <v>3.0720407698690435</v>
      </c>
      <c r="AM47" s="18">
        <f t="shared" si="116"/>
        <v>3.1079088186693307</v>
      </c>
      <c r="AO47" s="68">
        <f t="shared" si="117"/>
        <v>17.982255799775896</v>
      </c>
      <c r="AP47" s="69">
        <f t="shared" si="118"/>
        <v>41.869857070723583</v>
      </c>
      <c r="AQ47" s="69">
        <f t="shared" si="119"/>
        <v>59.852112870499475</v>
      </c>
      <c r="AS47" t="str">
        <f t="shared" si="143"/>
        <v>21 Science, research, engineering and technology professionals</v>
      </c>
      <c r="AT47" s="18">
        <f t="shared" si="120"/>
        <v>10.267188114279513</v>
      </c>
      <c r="AU47" s="18">
        <f t="shared" si="120"/>
        <v>9.6741295031591701</v>
      </c>
      <c r="AV47" s="18">
        <f t="shared" si="120"/>
        <v>9.7058150089727704</v>
      </c>
      <c r="AW47" s="18">
        <f t="shared" si="120"/>
        <v>9.0736681938091763</v>
      </c>
      <c r="AX47" s="18">
        <f t="shared" si="120"/>
        <v>7.7041165564138385</v>
      </c>
      <c r="AZ47" s="68">
        <f t="shared" si="121"/>
        <v>-3.7756055629928316</v>
      </c>
      <c r="BA47" s="69">
        <f t="shared" si="122"/>
        <v>33.71747612148225</v>
      </c>
      <c r="BB47" s="69">
        <f t="shared" si="123"/>
        <v>29.94187055848942</v>
      </c>
      <c r="BD47" t="str">
        <f t="shared" si="144"/>
        <v>21 Science, research, engineering and technology professionals</v>
      </c>
      <c r="BE47" s="18">
        <f t="shared" si="124"/>
        <v>3.3514150839338543</v>
      </c>
      <c r="BF47" s="18">
        <f t="shared" si="124"/>
        <v>3.4146816348634008</v>
      </c>
      <c r="BG47" s="18">
        <f t="shared" si="124"/>
        <v>3.9989237748950455</v>
      </c>
      <c r="BH47" s="18">
        <f t="shared" si="124"/>
        <v>3.3889291069614185</v>
      </c>
      <c r="BI47" s="18">
        <f t="shared" si="124"/>
        <v>3.1053250725535051</v>
      </c>
      <c r="BK47" s="68">
        <f t="shared" si="125"/>
        <v>-22.338034554321801</v>
      </c>
      <c r="BL47" s="69">
        <f t="shared" si="126"/>
        <v>23.537643417600627</v>
      </c>
      <c r="BM47" s="69">
        <f t="shared" si="127"/>
        <v>1.1996088632788253</v>
      </c>
      <c r="BO47" t="str">
        <f t="shared" si="145"/>
        <v>21 Science, research, engineering and technology professionals</v>
      </c>
      <c r="BP47" s="18">
        <f t="shared" si="128"/>
        <v>2.1660189102076668</v>
      </c>
      <c r="BQ47" s="18">
        <f t="shared" si="128"/>
        <v>2.2928251348435191</v>
      </c>
      <c r="BR47" s="18">
        <f t="shared" si="128"/>
        <v>2.558426249224635</v>
      </c>
      <c r="BS47" s="18">
        <f t="shared" si="128"/>
        <v>2.5211913921619087</v>
      </c>
      <c r="BT47" s="18">
        <f t="shared" si="128"/>
        <v>2.7387411470442635</v>
      </c>
      <c r="BV47" s="68">
        <f t="shared" si="129"/>
        <v>-7.3276049210700025</v>
      </c>
      <c r="BW47" s="69">
        <f t="shared" si="130"/>
        <v>29.41544665158759</v>
      </c>
      <c r="BX47" s="69">
        <f t="shared" si="131"/>
        <v>22.087841730517585</v>
      </c>
      <c r="BZ47" t="str">
        <f t="shared" si="146"/>
        <v>21 Science, research, engineering and technology professionals</v>
      </c>
      <c r="CA47" s="18">
        <f t="shared" si="132"/>
        <v>1.7322049519811971</v>
      </c>
      <c r="CB47" s="18">
        <f t="shared" si="132"/>
        <v>2.4191513469835622</v>
      </c>
      <c r="CC47" s="18">
        <f t="shared" si="132"/>
        <v>2.3740590389528982</v>
      </c>
      <c r="CD47" s="18">
        <f t="shared" si="132"/>
        <v>2.6993645128925126</v>
      </c>
      <c r="CE47" s="18">
        <f t="shared" si="132"/>
        <v>3.5756615865104742</v>
      </c>
      <c r="CG47" s="68">
        <f t="shared" si="133"/>
        <v>-12.238578492103168</v>
      </c>
      <c r="CH47" s="69">
        <f t="shared" si="134"/>
        <v>29.401471266435696</v>
      </c>
      <c r="CI47" s="69">
        <f t="shared" si="135"/>
        <v>17.16289277433253</v>
      </c>
      <c r="CK47" t="str">
        <f t="shared" si="147"/>
        <v>21 Science, research, engineering and technology professionals</v>
      </c>
      <c r="CL47" s="18">
        <f t="shared" si="136"/>
        <v>0.86146086506050745</v>
      </c>
      <c r="CM47" s="18">
        <f t="shared" si="136"/>
        <v>1.1748252927998399</v>
      </c>
      <c r="CN47" s="18">
        <f t="shared" si="136"/>
        <v>1.4316249794290636</v>
      </c>
      <c r="CO47" s="18">
        <f t="shared" si="136"/>
        <v>1.9282697033557346</v>
      </c>
      <c r="CP47" s="18">
        <f t="shared" si="136"/>
        <v>2.5475735516021345</v>
      </c>
      <c r="CR47" s="68">
        <f t="shared" si="137"/>
        <v>4.6936500981646958</v>
      </c>
      <c r="CS47" s="69">
        <f t="shared" si="138"/>
        <v>35.518293785473503</v>
      </c>
      <c r="CT47" s="69">
        <f t="shared" si="139"/>
        <v>40.211943883638199</v>
      </c>
    </row>
    <row r="48" spans="1:98" x14ac:dyDescent="0.2">
      <c r="A48" t="str">
        <f t="shared" si="103"/>
        <v>22 Health professionals</v>
      </c>
      <c r="B48" s="18">
        <f t="shared" si="104"/>
        <v>25.312325710239712</v>
      </c>
      <c r="C48" s="18">
        <f t="shared" si="104"/>
        <v>25.884002742417074</v>
      </c>
      <c r="D48" s="18">
        <f t="shared" si="104"/>
        <v>25.995417785262738</v>
      </c>
      <c r="E48" s="18">
        <f t="shared" si="104"/>
        <v>26.737330838303912</v>
      </c>
      <c r="F48" s="18">
        <f t="shared" si="104"/>
        <v>26.471565261940828</v>
      </c>
      <c r="H48" s="68">
        <f t="shared" si="105"/>
        <v>55.788734932786269</v>
      </c>
      <c r="I48" s="69">
        <f t="shared" si="106"/>
        <v>71.603271132327919</v>
      </c>
      <c r="J48" s="69">
        <f t="shared" si="107"/>
        <v>127.39200606511419</v>
      </c>
      <c r="L48" t="str">
        <f t="shared" si="140"/>
        <v>22 Health professionals</v>
      </c>
      <c r="M48" s="18">
        <f t="shared" si="108"/>
        <v>12.014642968902486</v>
      </c>
      <c r="N48" s="18">
        <f t="shared" si="108"/>
        <v>11.578822482279238</v>
      </c>
      <c r="O48" s="18">
        <f t="shared" si="108"/>
        <v>11.580479248548624</v>
      </c>
      <c r="P48" s="18">
        <f t="shared" si="108"/>
        <v>11.490124723404882</v>
      </c>
      <c r="Q48" s="18">
        <f t="shared" si="108"/>
        <v>10.484255969499522</v>
      </c>
      <c r="S48" s="68">
        <f t="shared" si="109"/>
        <v>31.006011726047028</v>
      </c>
      <c r="T48" s="69">
        <f t="shared" si="110"/>
        <v>67.835971835647058</v>
      </c>
      <c r="U48" s="69">
        <f t="shared" si="111"/>
        <v>98.841983561694093</v>
      </c>
      <c r="W48" t="str">
        <f t="shared" si="141"/>
        <v>22 Health professionals</v>
      </c>
      <c r="X48" s="18">
        <f t="shared" si="112"/>
        <v>12.70866501272358</v>
      </c>
      <c r="Y48" s="18">
        <f t="shared" si="112"/>
        <v>13.181388229509555</v>
      </c>
      <c r="Z48" s="18">
        <f t="shared" si="112"/>
        <v>13.428402666637906</v>
      </c>
      <c r="AA48" s="18">
        <f t="shared" si="112"/>
        <v>14.277278263845645</v>
      </c>
      <c r="AB48" s="18">
        <f t="shared" si="112"/>
        <v>14.499592029418404</v>
      </c>
      <c r="AD48" s="68">
        <f t="shared" si="113"/>
        <v>47.603305631082463</v>
      </c>
      <c r="AE48" s="69">
        <f t="shared" si="114"/>
        <v>74.531861166706108</v>
      </c>
      <c r="AF48" s="69">
        <f t="shared" si="115"/>
        <v>122.13516679778856</v>
      </c>
      <c r="AH48" t="str">
        <f t="shared" si="142"/>
        <v>22 Health professionals</v>
      </c>
      <c r="AI48" s="18">
        <f t="shared" si="116"/>
        <v>20.023400700736342</v>
      </c>
      <c r="AJ48" s="18">
        <f t="shared" si="116"/>
        <v>15.256832203621221</v>
      </c>
      <c r="AK48" s="18">
        <f t="shared" si="116"/>
        <v>14.340387555984147</v>
      </c>
      <c r="AL48" s="18">
        <f t="shared" si="116"/>
        <v>8.7160302356281534</v>
      </c>
      <c r="AM48" s="18">
        <f t="shared" si="116"/>
        <v>2.3044630026775001</v>
      </c>
      <c r="AO48" s="68">
        <f t="shared" si="117"/>
        <v>-82.703671288134942</v>
      </c>
      <c r="AP48" s="69">
        <f t="shared" si="118"/>
        <v>19.451031540505415</v>
      </c>
      <c r="AQ48" s="69">
        <f t="shared" si="119"/>
        <v>-63.252639747629537</v>
      </c>
      <c r="AS48" t="str">
        <f t="shared" si="143"/>
        <v>22 Health professionals</v>
      </c>
      <c r="AT48" s="18">
        <f t="shared" si="120"/>
        <v>2.6112473486751084</v>
      </c>
      <c r="AU48" s="18">
        <f t="shared" si="120"/>
        <v>2.8296863821840641</v>
      </c>
      <c r="AV48" s="18">
        <f t="shared" si="120"/>
        <v>3.342213044553239</v>
      </c>
      <c r="AW48" s="18">
        <f t="shared" si="120"/>
        <v>3.5247550952452591</v>
      </c>
      <c r="AX48" s="18">
        <f t="shared" si="120"/>
        <v>3.6095096207230699</v>
      </c>
      <c r="AZ48" s="68">
        <f t="shared" si="121"/>
        <v>30.920732129006158</v>
      </c>
      <c r="BA48" s="69">
        <f t="shared" si="122"/>
        <v>59.471162188020799</v>
      </c>
      <c r="BB48" s="69">
        <f t="shared" si="123"/>
        <v>90.391894317026953</v>
      </c>
      <c r="BD48" t="str">
        <f t="shared" si="144"/>
        <v>22 Health professionals</v>
      </c>
      <c r="BE48" s="18">
        <f t="shared" si="124"/>
        <v>2.4416337814036129</v>
      </c>
      <c r="BF48" s="18">
        <f t="shared" si="124"/>
        <v>2.9029539645283822</v>
      </c>
      <c r="BG48" s="18">
        <f t="shared" si="124"/>
        <v>2.9568785866407121</v>
      </c>
      <c r="BH48" s="18">
        <f t="shared" si="124"/>
        <v>3.581222392009674</v>
      </c>
      <c r="BI48" s="18">
        <f t="shared" si="124"/>
        <v>4.0058431455381012</v>
      </c>
      <c r="BK48" s="68">
        <f t="shared" si="125"/>
        <v>35.489263228351454</v>
      </c>
      <c r="BL48" s="69">
        <f t="shared" si="126"/>
        <v>67.6524263705859</v>
      </c>
      <c r="BM48" s="69">
        <f t="shared" si="127"/>
        <v>103.14168959893735</v>
      </c>
      <c r="BO48" t="str">
        <f t="shared" si="145"/>
        <v>22 Health professionals</v>
      </c>
      <c r="BP48" s="18">
        <f t="shared" si="128"/>
        <v>1.8852687168257256</v>
      </c>
      <c r="BQ48" s="18">
        <f t="shared" si="128"/>
        <v>2.1138888936837485</v>
      </c>
      <c r="BR48" s="18">
        <f t="shared" si="128"/>
        <v>2.3109484975668373</v>
      </c>
      <c r="BS48" s="18">
        <f t="shared" si="128"/>
        <v>2.4066236118120381</v>
      </c>
      <c r="BT48" s="18">
        <f t="shared" si="128"/>
        <v>2.3269147388945233</v>
      </c>
      <c r="BV48" s="68">
        <f t="shared" si="129"/>
        <v>-12.830911134090799</v>
      </c>
      <c r="BW48" s="69">
        <f t="shared" si="130"/>
        <v>42.062943490655144</v>
      </c>
      <c r="BX48" s="69">
        <f t="shared" si="131"/>
        <v>29.232032356564343</v>
      </c>
      <c r="BZ48" t="str">
        <f t="shared" si="146"/>
        <v>22 Health professionals</v>
      </c>
      <c r="CA48" s="18">
        <f t="shared" si="132"/>
        <v>1.8509458873570608</v>
      </c>
      <c r="CB48" s="18">
        <f t="shared" si="132"/>
        <v>1.5716913863586739</v>
      </c>
      <c r="CC48" s="18">
        <f t="shared" si="132"/>
        <v>1.9204810796818435</v>
      </c>
      <c r="CD48" s="18">
        <f t="shared" si="132"/>
        <v>1.8612330374387149</v>
      </c>
      <c r="CE48" s="18">
        <f t="shared" si="132"/>
        <v>1.4641540451350747</v>
      </c>
      <c r="CG48" s="68">
        <f t="shared" si="133"/>
        <v>-55.576221615668153</v>
      </c>
      <c r="CH48" s="69">
        <f t="shared" si="134"/>
        <v>29.608077257118897</v>
      </c>
      <c r="CI48" s="69">
        <f t="shared" si="135"/>
        <v>-25.968144358549257</v>
      </c>
      <c r="CK48" t="str">
        <f t="shared" si="147"/>
        <v>22 Health professionals</v>
      </c>
      <c r="CL48" s="18">
        <f t="shared" si="136"/>
        <v>0.53561566097871383</v>
      </c>
      <c r="CM48" s="18">
        <f t="shared" si="136"/>
        <v>0.7480494230453868</v>
      </c>
      <c r="CN48" s="18">
        <f t="shared" si="136"/>
        <v>0.8608839740585269</v>
      </c>
      <c r="CO48" s="18">
        <f t="shared" si="136"/>
        <v>1.204718829481481</v>
      </c>
      <c r="CP48" s="18">
        <f t="shared" si="136"/>
        <v>1.8505297559436786</v>
      </c>
      <c r="CR48" s="68">
        <f t="shared" si="137"/>
        <v>26.466158619909784</v>
      </c>
      <c r="CS48" s="69">
        <f t="shared" si="138"/>
        <v>45.090758623495979</v>
      </c>
      <c r="CT48" s="69">
        <f t="shared" si="139"/>
        <v>71.556917243405778</v>
      </c>
    </row>
    <row r="49" spans="1:98" x14ac:dyDescent="0.2">
      <c r="A49" t="str">
        <f t="shared" si="103"/>
        <v>23 Teaching and other educational professionals</v>
      </c>
      <c r="B49" s="18">
        <f t="shared" si="104"/>
        <v>33.001820362198501</v>
      </c>
      <c r="C49" s="18">
        <f t="shared" si="104"/>
        <v>28.893299817924579</v>
      </c>
      <c r="D49" s="18">
        <f t="shared" si="104"/>
        <v>30.586575843320684</v>
      </c>
      <c r="E49" s="18">
        <f t="shared" si="104"/>
        <v>29.879334501482003</v>
      </c>
      <c r="F49" s="18">
        <f t="shared" si="104"/>
        <v>26.970567118482673</v>
      </c>
      <c r="H49" s="68">
        <f t="shared" si="105"/>
        <v>34.900154918076673</v>
      </c>
      <c r="I49" s="69">
        <f t="shared" si="106"/>
        <v>62.410548967201976</v>
      </c>
      <c r="J49" s="69">
        <f t="shared" si="107"/>
        <v>97.310703885278656</v>
      </c>
      <c r="L49" t="str">
        <f t="shared" si="140"/>
        <v>23 Teaching and other educational professionals</v>
      </c>
      <c r="M49" s="18">
        <f t="shared" si="108"/>
        <v>27.799760353770747</v>
      </c>
      <c r="N49" s="18">
        <f t="shared" si="108"/>
        <v>25.215200268482381</v>
      </c>
      <c r="O49" s="18">
        <f t="shared" si="108"/>
        <v>27.018840915608379</v>
      </c>
      <c r="P49" s="18">
        <f t="shared" si="108"/>
        <v>26.798922848731976</v>
      </c>
      <c r="Q49" s="18">
        <f t="shared" si="108"/>
        <v>24.366421925856361</v>
      </c>
      <c r="S49" s="68">
        <f t="shared" si="109"/>
        <v>30.498400445348793</v>
      </c>
      <c r="T49" s="69">
        <f t="shared" si="110"/>
        <v>63.413872386170624</v>
      </c>
      <c r="U49" s="69">
        <f t="shared" si="111"/>
        <v>93.912272831519417</v>
      </c>
      <c r="W49" t="str">
        <f t="shared" si="141"/>
        <v>23 Teaching and other educational professionals</v>
      </c>
      <c r="X49" s="18">
        <f t="shared" si="112"/>
        <v>8.1744072572547637</v>
      </c>
      <c r="Y49" s="18">
        <f t="shared" si="112"/>
        <v>6.6544424578078356</v>
      </c>
      <c r="Z49" s="18">
        <f t="shared" si="112"/>
        <v>7.5475468570665658</v>
      </c>
      <c r="AA49" s="18">
        <f t="shared" si="112"/>
        <v>6.6063016761802151</v>
      </c>
      <c r="AB49" s="18">
        <f t="shared" si="112"/>
        <v>5.6065992084193033</v>
      </c>
      <c r="AD49" s="68">
        <f t="shared" si="113"/>
        <v>1.5449546680069373</v>
      </c>
      <c r="AE49" s="69">
        <f t="shared" si="114"/>
        <v>48.205308770274272</v>
      </c>
      <c r="AF49" s="69">
        <f t="shared" si="115"/>
        <v>49.750263438281209</v>
      </c>
      <c r="AH49" t="str">
        <f t="shared" si="142"/>
        <v>23 Teaching and other educational professionals</v>
      </c>
      <c r="AI49" s="18">
        <f t="shared" si="116"/>
        <v>3.196427356599929</v>
      </c>
      <c r="AJ49" s="18">
        <f t="shared" si="116"/>
        <v>1.4712510669039518</v>
      </c>
      <c r="AK49" s="18">
        <f t="shared" si="116"/>
        <v>1.3138101649844989</v>
      </c>
      <c r="AL49" s="18">
        <f t="shared" si="116"/>
        <v>0.72371202206320928</v>
      </c>
      <c r="AM49" s="18">
        <f t="shared" si="116"/>
        <v>0.65547031333984762</v>
      </c>
      <c r="AO49" s="68">
        <f t="shared" si="117"/>
        <v>-46.301087804469063</v>
      </c>
      <c r="AP49" s="69">
        <f t="shared" si="118"/>
        <v>15.308247600771118</v>
      </c>
      <c r="AQ49" s="69">
        <f t="shared" si="119"/>
        <v>-30.992840203697941</v>
      </c>
      <c r="AS49" t="str">
        <f t="shared" si="143"/>
        <v>23 Teaching and other educational professionals</v>
      </c>
      <c r="AT49" s="18">
        <f t="shared" si="120"/>
        <v>0.95129372013001112</v>
      </c>
      <c r="AU49" s="18">
        <f t="shared" si="120"/>
        <v>0.6465567117636446</v>
      </c>
      <c r="AV49" s="18">
        <f t="shared" si="120"/>
        <v>0.68213159795822609</v>
      </c>
      <c r="AW49" s="18">
        <f t="shared" si="120"/>
        <v>0.54308252218956232</v>
      </c>
      <c r="AX49" s="18">
        <f t="shared" si="120"/>
        <v>0.38270978362710456</v>
      </c>
      <c r="AZ49" s="68">
        <f t="shared" si="121"/>
        <v>-31.986402234874628</v>
      </c>
      <c r="BA49" s="69">
        <f t="shared" si="122"/>
        <v>31.902534075728759</v>
      </c>
      <c r="BB49" s="69">
        <f t="shared" si="123"/>
        <v>-8.386815914586572E-2</v>
      </c>
      <c r="BD49" t="str">
        <f t="shared" si="144"/>
        <v>23 Teaching and other educational professionals</v>
      </c>
      <c r="BE49" s="18">
        <f t="shared" si="124"/>
        <v>0.85054457059045196</v>
      </c>
      <c r="BF49" s="18">
        <f t="shared" si="124"/>
        <v>0.75254708602309295</v>
      </c>
      <c r="BG49" s="18">
        <f t="shared" si="124"/>
        <v>0.95479995006691121</v>
      </c>
      <c r="BH49" s="18">
        <f t="shared" si="124"/>
        <v>1.0220246418797834</v>
      </c>
      <c r="BI49" s="18">
        <f t="shared" si="124"/>
        <v>1.0981745165471135</v>
      </c>
      <c r="BK49" s="68">
        <f t="shared" si="125"/>
        <v>15.027957264597921</v>
      </c>
      <c r="BL49" s="69">
        <f t="shared" si="126"/>
        <v>42.204001498392778</v>
      </c>
      <c r="BM49" s="69">
        <f t="shared" si="127"/>
        <v>57.231958762990701</v>
      </c>
      <c r="BO49" t="str">
        <f t="shared" si="145"/>
        <v>23 Teaching and other educational professionals</v>
      </c>
      <c r="BP49" s="18">
        <f t="shared" si="128"/>
        <v>0.65366675242630956</v>
      </c>
      <c r="BQ49" s="18">
        <f t="shared" si="128"/>
        <v>0.6132805031071199</v>
      </c>
      <c r="BR49" s="18">
        <f t="shared" si="128"/>
        <v>0.77190626739679558</v>
      </c>
      <c r="BS49" s="18">
        <f t="shared" si="128"/>
        <v>0.75653749346130328</v>
      </c>
      <c r="BT49" s="18">
        <f t="shared" si="128"/>
        <v>0.71690257644661148</v>
      </c>
      <c r="BV49" s="68">
        <f t="shared" si="129"/>
        <v>-19.597810251718911</v>
      </c>
      <c r="BW49" s="69">
        <f t="shared" si="130"/>
        <v>39.846846303726821</v>
      </c>
      <c r="BX49" s="69">
        <f t="shared" si="131"/>
        <v>20.249036052007906</v>
      </c>
      <c r="BZ49" t="str">
        <f t="shared" si="146"/>
        <v>23 Teaching and other educational professionals</v>
      </c>
      <c r="CA49" s="18">
        <f t="shared" si="132"/>
        <v>0.85858666979785081</v>
      </c>
      <c r="CB49" s="18">
        <f t="shared" si="132"/>
        <v>0.75009248364393299</v>
      </c>
      <c r="CC49" s="18">
        <f t="shared" si="132"/>
        <v>0.98222432765788892</v>
      </c>
      <c r="CD49" s="18">
        <f t="shared" si="132"/>
        <v>1.0104299244401664</v>
      </c>
      <c r="CE49" s="18">
        <f t="shared" si="132"/>
        <v>1.1168072576340762</v>
      </c>
      <c r="CG49" s="68">
        <f t="shared" si="133"/>
        <v>-33.746885907850796</v>
      </c>
      <c r="CH49" s="69">
        <f t="shared" si="134"/>
        <v>34.887633237591636</v>
      </c>
      <c r="CI49" s="69">
        <f t="shared" si="135"/>
        <v>1.1407473297408428</v>
      </c>
      <c r="CK49" t="str">
        <f t="shared" si="147"/>
        <v>23 Teaching and other educational professionals</v>
      </c>
      <c r="CL49" s="18">
        <f t="shared" si="136"/>
        <v>0.39206241144362547</v>
      </c>
      <c r="CM49" s="18">
        <f t="shared" si="136"/>
        <v>0.52513867785894841</v>
      </c>
      <c r="CN49" s="18">
        <f t="shared" si="136"/>
        <v>0.66401628570487736</v>
      </c>
      <c r="CO49" s="18">
        <f t="shared" si="136"/>
        <v>0.95056621042924583</v>
      </c>
      <c r="CP49" s="18">
        <f t="shared" si="136"/>
        <v>1.4129047508671595</v>
      </c>
      <c r="CR49" s="68">
        <f t="shared" si="137"/>
        <v>25.186365817848056</v>
      </c>
      <c r="CS49" s="69">
        <f t="shared" si="138"/>
        <v>46.03542317709087</v>
      </c>
      <c r="CT49" s="69">
        <f t="shared" si="139"/>
        <v>71.221788994938933</v>
      </c>
    </row>
    <row r="50" spans="1:98" x14ac:dyDescent="0.2">
      <c r="A50" t="str">
        <f t="shared" si="103"/>
        <v>24 Business, media and public service professionals</v>
      </c>
      <c r="B50" s="18">
        <f t="shared" si="104"/>
        <v>5.0472398103698879</v>
      </c>
      <c r="C50" s="18">
        <f t="shared" si="104"/>
        <v>5.6094975582291582</v>
      </c>
      <c r="D50" s="18">
        <f t="shared" si="104"/>
        <v>5.8459753180398328</v>
      </c>
      <c r="E50" s="18">
        <f t="shared" si="104"/>
        <v>6.1446907096429744</v>
      </c>
      <c r="F50" s="18">
        <f t="shared" si="104"/>
        <v>6.6908986307436189</v>
      </c>
      <c r="H50" s="68">
        <f t="shared" si="105"/>
        <v>75.097805545384617</v>
      </c>
      <c r="I50" s="69">
        <f t="shared" si="106"/>
        <v>76.627669060116375</v>
      </c>
      <c r="J50" s="69">
        <f t="shared" si="107"/>
        <v>151.72547460550101</v>
      </c>
      <c r="L50" t="str">
        <f t="shared" si="140"/>
        <v>24 Business, media and public service professionals</v>
      </c>
      <c r="M50" s="18">
        <f t="shared" si="108"/>
        <v>10.673808271695821</v>
      </c>
      <c r="N50" s="18">
        <f t="shared" si="108"/>
        <v>11.029370351791233</v>
      </c>
      <c r="O50" s="18">
        <f t="shared" si="108"/>
        <v>11.560411046492263</v>
      </c>
      <c r="P50" s="18">
        <f t="shared" si="108"/>
        <v>11.621338211313143</v>
      </c>
      <c r="Q50" s="18">
        <f t="shared" si="108"/>
        <v>11.488443583146532</v>
      </c>
      <c r="S50" s="68">
        <f t="shared" si="109"/>
        <v>43.803038337831765</v>
      </c>
      <c r="T50" s="69">
        <f t="shared" si="110"/>
        <v>68.710227041098889</v>
      </c>
      <c r="U50" s="69">
        <f t="shared" si="111"/>
        <v>112.51326537893065</v>
      </c>
      <c r="W50" t="str">
        <f t="shared" si="141"/>
        <v>24 Business, media and public service professionals</v>
      </c>
      <c r="X50" s="18">
        <f t="shared" si="112"/>
        <v>9.1823378572117775</v>
      </c>
      <c r="Y50" s="18">
        <f t="shared" si="112"/>
        <v>9.326363176199342</v>
      </c>
      <c r="Z50" s="18">
        <f t="shared" si="112"/>
        <v>10.422082382040717</v>
      </c>
      <c r="AA50" s="18">
        <f t="shared" si="112"/>
        <v>10.509780926559582</v>
      </c>
      <c r="AB50" s="18">
        <f t="shared" si="112"/>
        <v>10.356944709996045</v>
      </c>
      <c r="AD50" s="68">
        <f t="shared" si="113"/>
        <v>35.844422743298729</v>
      </c>
      <c r="AE50" s="69">
        <f t="shared" si="114"/>
        <v>63.309850031265881</v>
      </c>
      <c r="AF50" s="69">
        <f t="shared" si="115"/>
        <v>99.154272774564603</v>
      </c>
      <c r="AH50" t="str">
        <f t="shared" si="142"/>
        <v>24 Business, media and public service professionals</v>
      </c>
      <c r="AI50" s="18">
        <f t="shared" si="116"/>
        <v>3.1287256197067874</v>
      </c>
      <c r="AJ50" s="18">
        <f t="shared" si="116"/>
        <v>3.001009790662386</v>
      </c>
      <c r="AK50" s="18">
        <f t="shared" si="116"/>
        <v>3.2699753866180141</v>
      </c>
      <c r="AL50" s="18">
        <f t="shared" si="116"/>
        <v>3.154263064714117</v>
      </c>
      <c r="AM50" s="18">
        <f t="shared" si="116"/>
        <v>3.1691721871635061</v>
      </c>
      <c r="AO50" s="68">
        <f t="shared" si="117"/>
        <v>4.3149203878284643</v>
      </c>
      <c r="AP50" s="69">
        <f t="shared" si="118"/>
        <v>37.476360210036091</v>
      </c>
      <c r="AQ50" s="69">
        <f t="shared" si="119"/>
        <v>41.791280597864557</v>
      </c>
      <c r="AS50" t="str">
        <f t="shared" si="143"/>
        <v>24 Business, media and public service professionals</v>
      </c>
      <c r="AT50" s="18">
        <f t="shared" si="120"/>
        <v>5.1848648804866668</v>
      </c>
      <c r="AU50" s="18">
        <f t="shared" si="120"/>
        <v>5.0450317636324877</v>
      </c>
      <c r="AV50" s="18">
        <f t="shared" si="120"/>
        <v>5.6140138528963766</v>
      </c>
      <c r="AW50" s="18">
        <f t="shared" si="120"/>
        <v>5.9442713422765818</v>
      </c>
      <c r="AX50" s="18">
        <f t="shared" si="120"/>
        <v>6.0389056746040453</v>
      </c>
      <c r="AZ50" s="68">
        <f t="shared" si="121"/>
        <v>30.400458281522731</v>
      </c>
      <c r="BA50" s="69">
        <f t="shared" si="122"/>
        <v>56.115667969632788</v>
      </c>
      <c r="BB50" s="69">
        <f t="shared" si="123"/>
        <v>86.516126251155526</v>
      </c>
      <c r="BD50" t="str">
        <f t="shared" si="144"/>
        <v>24 Business, media and public service professionals</v>
      </c>
      <c r="BE50" s="18">
        <f t="shared" si="124"/>
        <v>2.8639699749895104</v>
      </c>
      <c r="BF50" s="18">
        <f t="shared" si="124"/>
        <v>3.0929503009941612</v>
      </c>
      <c r="BG50" s="18">
        <f t="shared" si="124"/>
        <v>3.7038426851383277</v>
      </c>
      <c r="BH50" s="18">
        <f t="shared" si="124"/>
        <v>3.7908572030008227</v>
      </c>
      <c r="BI50" s="18">
        <f t="shared" si="124"/>
        <v>4.0363468651353935</v>
      </c>
      <c r="BK50" s="68">
        <f t="shared" si="125"/>
        <v>8.9884262212817028</v>
      </c>
      <c r="BL50" s="69">
        <f t="shared" si="126"/>
        <v>43.348269541281489</v>
      </c>
      <c r="BM50" s="69">
        <f t="shared" si="127"/>
        <v>52.336695762563203</v>
      </c>
      <c r="BO50" t="str">
        <f t="shared" si="145"/>
        <v>24 Business, media and public service professionals</v>
      </c>
      <c r="BP50" s="18">
        <f t="shared" si="128"/>
        <v>2.0287761953648147</v>
      </c>
      <c r="BQ50" s="18">
        <f t="shared" si="128"/>
        <v>2.1183350801925225</v>
      </c>
      <c r="BR50" s="18">
        <f t="shared" si="128"/>
        <v>2.4790989833530759</v>
      </c>
      <c r="BS50" s="18">
        <f t="shared" si="128"/>
        <v>2.5523743395764633</v>
      </c>
      <c r="BT50" s="18">
        <f t="shared" si="128"/>
        <v>2.7023300530172154</v>
      </c>
      <c r="BV50" s="68">
        <f t="shared" si="129"/>
        <v>-5.6337218273734946</v>
      </c>
      <c r="BW50" s="69">
        <f t="shared" si="130"/>
        <v>38.991472657050672</v>
      </c>
      <c r="BX50" s="69">
        <f t="shared" si="131"/>
        <v>33.35775082967718</v>
      </c>
      <c r="BZ50" t="str">
        <f t="shared" si="146"/>
        <v>24 Business, media and public service professionals</v>
      </c>
      <c r="CA50" s="18">
        <f t="shared" si="132"/>
        <v>1.680932325052277</v>
      </c>
      <c r="CB50" s="18">
        <f t="shared" si="132"/>
        <v>1.9711366412356084</v>
      </c>
      <c r="CC50" s="18">
        <f t="shared" si="132"/>
        <v>2.3087936916356173</v>
      </c>
      <c r="CD50" s="18">
        <f t="shared" si="132"/>
        <v>2.4861261709362328</v>
      </c>
      <c r="CE50" s="18">
        <f t="shared" si="132"/>
        <v>2.5273802262098166</v>
      </c>
      <c r="CG50" s="68">
        <f t="shared" si="133"/>
        <v>-36.214169959699447</v>
      </c>
      <c r="CH50" s="69">
        <f t="shared" si="134"/>
        <v>33.432729428876222</v>
      </c>
      <c r="CI50" s="69">
        <f t="shared" si="135"/>
        <v>-2.7814405308232288</v>
      </c>
      <c r="CK50" t="str">
        <f t="shared" si="147"/>
        <v>24 Business, media and public service professionals</v>
      </c>
      <c r="CL50" s="18">
        <f t="shared" si="136"/>
        <v>1.095360470532931</v>
      </c>
      <c r="CM50" s="18">
        <f t="shared" si="136"/>
        <v>1.5689018637192007</v>
      </c>
      <c r="CN50" s="18">
        <f t="shared" si="136"/>
        <v>1.9151904057497602</v>
      </c>
      <c r="CO50" s="18">
        <f t="shared" si="136"/>
        <v>2.5379682322289225</v>
      </c>
      <c r="CP50" s="18">
        <f t="shared" si="136"/>
        <v>4.0089303963780543</v>
      </c>
      <c r="CR50" s="68">
        <f t="shared" si="137"/>
        <v>23.151423489155025</v>
      </c>
      <c r="CS50" s="69">
        <f t="shared" si="138"/>
        <v>44.092667943518208</v>
      </c>
      <c r="CT50" s="69">
        <f t="shared" si="139"/>
        <v>67.24409143267323</v>
      </c>
    </row>
    <row r="51" spans="1:98" x14ac:dyDescent="0.2">
      <c r="A51" t="str">
        <f t="shared" si="103"/>
        <v>31 Science, engineering and technology associate professionals</v>
      </c>
      <c r="B51" s="18">
        <f t="shared" si="104"/>
        <v>1.9955884744203263</v>
      </c>
      <c r="C51" s="18">
        <f t="shared" si="104"/>
        <v>2.3020829307405366</v>
      </c>
      <c r="D51" s="18">
        <f t="shared" si="104"/>
        <v>2.2808204335620466</v>
      </c>
      <c r="E51" s="18">
        <f t="shared" si="104"/>
        <v>2.1468347625912996</v>
      </c>
      <c r="F51" s="18">
        <f t="shared" si="104"/>
        <v>2.483982311989291</v>
      </c>
      <c r="H51" s="68">
        <f t="shared" si="105"/>
        <v>66.613671375091187</v>
      </c>
      <c r="I51" s="69">
        <f t="shared" si="106"/>
        <v>65.166219914474951</v>
      </c>
      <c r="J51" s="69">
        <f t="shared" si="107"/>
        <v>131.77989128956617</v>
      </c>
      <c r="L51" t="str">
        <f t="shared" si="140"/>
        <v>31 Science, engineering and technology associate professionals</v>
      </c>
      <c r="M51" s="18">
        <f t="shared" si="108"/>
        <v>1.854915423971961</v>
      </c>
      <c r="N51" s="18">
        <f t="shared" si="108"/>
        <v>2.0579365151711428</v>
      </c>
      <c r="O51" s="18">
        <f t="shared" si="108"/>
        <v>2.1322781008990708</v>
      </c>
      <c r="P51" s="18">
        <f t="shared" si="108"/>
        <v>1.9046985740151279</v>
      </c>
      <c r="Q51" s="18">
        <f t="shared" si="108"/>
        <v>2.1171250686116041</v>
      </c>
      <c r="S51" s="68">
        <f t="shared" si="109"/>
        <v>43.675530890086158</v>
      </c>
      <c r="T51" s="69">
        <f t="shared" si="110"/>
        <v>55.483248875269645</v>
      </c>
      <c r="U51" s="69">
        <f t="shared" si="111"/>
        <v>99.158779765355803</v>
      </c>
      <c r="W51" t="str">
        <f t="shared" si="141"/>
        <v>31 Science, engineering and technology associate professionals</v>
      </c>
      <c r="X51" s="18">
        <f t="shared" si="112"/>
        <v>2.587533270974161</v>
      </c>
      <c r="Y51" s="18">
        <f t="shared" si="112"/>
        <v>2.5319987987196617</v>
      </c>
      <c r="Z51" s="18">
        <f t="shared" si="112"/>
        <v>2.5625010990399946</v>
      </c>
      <c r="AA51" s="18">
        <f t="shared" si="112"/>
        <v>2.1706667632047236</v>
      </c>
      <c r="AB51" s="18">
        <f t="shared" si="112"/>
        <v>1.9447369480228995</v>
      </c>
      <c r="AD51" s="68">
        <f t="shared" si="113"/>
        <v>3.7436351993376187</v>
      </c>
      <c r="AE51" s="69">
        <f t="shared" si="114"/>
        <v>43.822399587539671</v>
      </c>
      <c r="AF51" s="69">
        <f t="shared" si="115"/>
        <v>47.566034786877282</v>
      </c>
      <c r="AH51" t="str">
        <f t="shared" si="142"/>
        <v>31 Science, engineering and technology associate professionals</v>
      </c>
      <c r="AI51" s="18">
        <f t="shared" si="116"/>
        <v>1.3928519052382329</v>
      </c>
      <c r="AJ51" s="18">
        <f t="shared" si="116"/>
        <v>1.6193368169068811</v>
      </c>
      <c r="AK51" s="18">
        <f t="shared" si="116"/>
        <v>1.7155864220743529</v>
      </c>
      <c r="AL51" s="18">
        <f t="shared" si="116"/>
        <v>1.7896093438160259</v>
      </c>
      <c r="AM51" s="18">
        <f t="shared" si="116"/>
        <v>2.076105160267081</v>
      </c>
      <c r="AO51" s="68">
        <f t="shared" si="117"/>
        <v>30.251227942283997</v>
      </c>
      <c r="AP51" s="69">
        <f t="shared" si="118"/>
        <v>51.685984153770384</v>
      </c>
      <c r="AQ51" s="69">
        <f t="shared" si="119"/>
        <v>81.937212096054367</v>
      </c>
      <c r="AS51" t="str">
        <f t="shared" si="143"/>
        <v>31 Science, engineering and technology associate professionals</v>
      </c>
      <c r="AT51" s="18">
        <f t="shared" si="120"/>
        <v>4.7643265227577087</v>
      </c>
      <c r="AU51" s="18">
        <f t="shared" si="120"/>
        <v>4.3672763375029806</v>
      </c>
      <c r="AV51" s="18">
        <f t="shared" si="120"/>
        <v>4.4354489749864019</v>
      </c>
      <c r="AW51" s="18">
        <f t="shared" si="120"/>
        <v>3.4930056538351377</v>
      </c>
      <c r="AX51" s="18">
        <f t="shared" si="120"/>
        <v>2.9090521493124863</v>
      </c>
      <c r="AZ51" s="68">
        <f t="shared" si="121"/>
        <v>-20.492468367401866</v>
      </c>
      <c r="BA51" s="69">
        <f t="shared" si="122"/>
        <v>31.536634267578513</v>
      </c>
      <c r="BB51" s="69">
        <f t="shared" si="123"/>
        <v>11.044165900176644</v>
      </c>
      <c r="BD51" t="str">
        <f t="shared" si="144"/>
        <v>31 Science, engineering and technology associate professionals</v>
      </c>
      <c r="BE51" s="18">
        <f t="shared" si="124"/>
        <v>1.9657085545211068</v>
      </c>
      <c r="BF51" s="18">
        <f t="shared" si="124"/>
        <v>2.1419964715628592</v>
      </c>
      <c r="BG51" s="18">
        <f t="shared" si="124"/>
        <v>2.4571863100237126</v>
      </c>
      <c r="BH51" s="18">
        <f t="shared" si="124"/>
        <v>1.7806362891586349</v>
      </c>
      <c r="BI51" s="18">
        <f t="shared" si="124"/>
        <v>1.4961848045236403</v>
      </c>
      <c r="BK51" s="68">
        <f t="shared" si="125"/>
        <v>-39.103604653955784</v>
      </c>
      <c r="BL51" s="69">
        <f t="shared" si="126"/>
        <v>23.234689382181671</v>
      </c>
      <c r="BM51" s="69">
        <f t="shared" si="127"/>
        <v>-15.868915271774112</v>
      </c>
      <c r="BO51" t="str">
        <f t="shared" si="145"/>
        <v>31 Science, engineering and technology associate professionals</v>
      </c>
      <c r="BP51" s="18">
        <f t="shared" si="128"/>
        <v>1.4097418468509433</v>
      </c>
      <c r="BQ51" s="18">
        <f t="shared" si="128"/>
        <v>1.5868444045252124</v>
      </c>
      <c r="BR51" s="18">
        <f t="shared" si="128"/>
        <v>1.7909203878881987</v>
      </c>
      <c r="BS51" s="18">
        <f t="shared" si="128"/>
        <v>1.5202762229496312</v>
      </c>
      <c r="BT51" s="18">
        <f t="shared" si="128"/>
        <v>1.6403523129582962</v>
      </c>
      <c r="BV51" s="68">
        <f t="shared" si="129"/>
        <v>-20.70730887547381</v>
      </c>
      <c r="BW51" s="69">
        <f t="shared" si="130"/>
        <v>28.296249545199665</v>
      </c>
      <c r="BX51" s="69">
        <f t="shared" si="131"/>
        <v>7.5889406697258561</v>
      </c>
      <c r="BZ51" t="str">
        <f t="shared" si="146"/>
        <v>31 Science, engineering and technology associate professionals</v>
      </c>
      <c r="CA51" s="18">
        <f t="shared" si="132"/>
        <v>1.3052386304957526</v>
      </c>
      <c r="CB51" s="18">
        <f t="shared" si="132"/>
        <v>1.9108064279256647</v>
      </c>
      <c r="CC51" s="18">
        <f t="shared" si="132"/>
        <v>1.9619233219191456</v>
      </c>
      <c r="CD51" s="18">
        <f t="shared" si="132"/>
        <v>1.8748447909370987</v>
      </c>
      <c r="CE51" s="18">
        <f t="shared" si="132"/>
        <v>2.5049318434882717</v>
      </c>
      <c r="CG51" s="68">
        <f t="shared" si="133"/>
        <v>-25.603476963463706</v>
      </c>
      <c r="CH51" s="69">
        <f t="shared" si="134"/>
        <v>29.573469305450917</v>
      </c>
      <c r="CI51" s="69">
        <f t="shared" si="135"/>
        <v>3.9699923419872065</v>
      </c>
      <c r="CK51" t="str">
        <f t="shared" si="147"/>
        <v>31 Science, engineering and technology associate professionals</v>
      </c>
      <c r="CL51" s="18">
        <f t="shared" si="136"/>
        <v>0.54598749289443327</v>
      </c>
      <c r="CM51" s="18">
        <f t="shared" si="136"/>
        <v>0.81784290181606911</v>
      </c>
      <c r="CN51" s="18">
        <f t="shared" si="136"/>
        <v>1.0103199238807836</v>
      </c>
      <c r="CO51" s="18">
        <f t="shared" si="136"/>
        <v>1.1899852233750343</v>
      </c>
      <c r="CP51" s="18">
        <f t="shared" si="136"/>
        <v>1.8973430321772584</v>
      </c>
      <c r="CR51" s="68">
        <f t="shared" si="137"/>
        <v>10.486652793054718</v>
      </c>
      <c r="CS51" s="69">
        <f t="shared" si="138"/>
        <v>39.399515578374597</v>
      </c>
      <c r="CT51" s="69">
        <f t="shared" si="139"/>
        <v>49.886168371429321</v>
      </c>
    </row>
    <row r="52" spans="1:98" x14ac:dyDescent="0.2">
      <c r="A52" t="str">
        <f t="shared" si="103"/>
        <v>32 Health and social care associate professionals</v>
      </c>
      <c r="B52" s="18">
        <f t="shared" si="104"/>
        <v>0.54141744543816017</v>
      </c>
      <c r="C52" s="18">
        <f t="shared" si="104"/>
        <v>0.65800927832848055</v>
      </c>
      <c r="D52" s="18">
        <f t="shared" si="104"/>
        <v>0.52644558285175902</v>
      </c>
      <c r="E52" s="18">
        <f t="shared" si="104"/>
        <v>0.50471975625395571</v>
      </c>
      <c r="F52" s="18">
        <f t="shared" si="104"/>
        <v>0.50176558051913345</v>
      </c>
      <c r="H52" s="68">
        <f t="shared" si="105"/>
        <v>45.814465804275443</v>
      </c>
      <c r="I52" s="69">
        <f t="shared" si="106"/>
        <v>83.611950038661206</v>
      </c>
      <c r="J52" s="69">
        <f t="shared" si="107"/>
        <v>129.42641584293665</v>
      </c>
      <c r="L52" t="str">
        <f t="shared" si="140"/>
        <v>32 Health and social care associate professionals</v>
      </c>
      <c r="M52" s="18">
        <f t="shared" si="108"/>
        <v>2.508385772266513</v>
      </c>
      <c r="N52" s="18">
        <f t="shared" si="108"/>
        <v>2.5217398712510311</v>
      </c>
      <c r="O52" s="18">
        <f t="shared" si="108"/>
        <v>2.4277654182022093</v>
      </c>
      <c r="P52" s="18">
        <f t="shared" si="108"/>
        <v>2.3027045451571597</v>
      </c>
      <c r="Q52" s="18">
        <f t="shared" si="108"/>
        <v>2.1995517666300772</v>
      </c>
      <c r="S52" s="68">
        <f t="shared" si="109"/>
        <v>31.101484460134081</v>
      </c>
      <c r="T52" s="69">
        <f t="shared" si="110"/>
        <v>75.879056060546318</v>
      </c>
      <c r="U52" s="69">
        <f t="shared" si="111"/>
        <v>106.98054052068042</v>
      </c>
      <c r="W52" t="str">
        <f t="shared" si="141"/>
        <v>32 Health and social care associate professionals</v>
      </c>
      <c r="X52" s="18">
        <f t="shared" si="112"/>
        <v>3.5530449139937845</v>
      </c>
      <c r="Y52" s="18">
        <f t="shared" si="112"/>
        <v>3.8172191632394097</v>
      </c>
      <c r="Z52" s="18">
        <f t="shared" si="112"/>
        <v>3.8974012387357351</v>
      </c>
      <c r="AA52" s="18">
        <f t="shared" si="112"/>
        <v>3.9841094514019009</v>
      </c>
      <c r="AB52" s="18">
        <f t="shared" si="112"/>
        <v>4.2216045018714405</v>
      </c>
      <c r="AD52" s="68">
        <f t="shared" si="113"/>
        <v>48.070001926834479</v>
      </c>
      <c r="AE52" s="69">
        <f t="shared" si="114"/>
        <v>79.994940956410105</v>
      </c>
      <c r="AF52" s="69">
        <f t="shared" si="115"/>
        <v>128.06494288324458</v>
      </c>
      <c r="AH52" t="str">
        <f t="shared" si="142"/>
        <v>32 Health and social care associate professionals</v>
      </c>
      <c r="AI52" s="18">
        <f t="shared" si="116"/>
        <v>7.6738750715618353</v>
      </c>
      <c r="AJ52" s="18">
        <f t="shared" si="116"/>
        <v>6.5336553940285684</v>
      </c>
      <c r="AK52" s="18">
        <f t="shared" si="116"/>
        <v>6.425962155117011</v>
      </c>
      <c r="AL52" s="18">
        <f t="shared" si="116"/>
        <v>4.8378699869627066</v>
      </c>
      <c r="AM52" s="18">
        <f t="shared" si="116"/>
        <v>2.3631728367941971</v>
      </c>
      <c r="AO52" s="68">
        <f t="shared" si="117"/>
        <v>-60.417574656360649</v>
      </c>
      <c r="AP52" s="69">
        <f t="shared" si="118"/>
        <v>28.917922886187338</v>
      </c>
      <c r="AQ52" s="69">
        <f t="shared" si="119"/>
        <v>-31.499651770173308</v>
      </c>
      <c r="AS52" t="str">
        <f t="shared" si="143"/>
        <v>32 Health and social care associate professionals</v>
      </c>
      <c r="AT52" s="18">
        <f t="shared" si="120"/>
        <v>1.574465594064246</v>
      </c>
      <c r="AU52" s="18">
        <f t="shared" si="120"/>
        <v>1.7478405083369712</v>
      </c>
      <c r="AV52" s="18">
        <f t="shared" si="120"/>
        <v>1.9563599680096733</v>
      </c>
      <c r="AW52" s="18">
        <f t="shared" si="120"/>
        <v>1.8053132399780694</v>
      </c>
      <c r="AX52" s="18">
        <f t="shared" si="120"/>
        <v>1.7741892487353683</v>
      </c>
      <c r="AZ52" s="68">
        <f t="shared" si="121"/>
        <v>9.9374165558387446</v>
      </c>
      <c r="BA52" s="69">
        <f t="shared" si="122"/>
        <v>58.43613246100827</v>
      </c>
      <c r="BB52" s="69">
        <f t="shared" si="123"/>
        <v>68.373549016847008</v>
      </c>
      <c r="BD52" t="str">
        <f t="shared" si="144"/>
        <v>32 Health and social care associate professionals</v>
      </c>
      <c r="BE52" s="18">
        <f t="shared" si="124"/>
        <v>1.4397356536924679</v>
      </c>
      <c r="BF52" s="18">
        <f t="shared" si="124"/>
        <v>1.713204303089394</v>
      </c>
      <c r="BG52" s="18">
        <f t="shared" si="124"/>
        <v>1.7413499546960278</v>
      </c>
      <c r="BH52" s="18">
        <f t="shared" si="124"/>
        <v>1.9199244280571546</v>
      </c>
      <c r="BI52" s="18">
        <f t="shared" si="124"/>
        <v>2.150426830302707</v>
      </c>
      <c r="BK52" s="68">
        <f t="shared" si="125"/>
        <v>23.504574702806476</v>
      </c>
      <c r="BL52" s="69">
        <f t="shared" si="126"/>
        <v>65.890780586470811</v>
      </c>
      <c r="BM52" s="69">
        <f t="shared" si="127"/>
        <v>89.39535528927729</v>
      </c>
      <c r="BO52" t="str">
        <f t="shared" si="145"/>
        <v>32 Health and social care associate professionals</v>
      </c>
      <c r="BP52" s="18">
        <f t="shared" si="128"/>
        <v>1.1735221235683284</v>
      </c>
      <c r="BQ52" s="18">
        <f t="shared" si="128"/>
        <v>1.2824330881115569</v>
      </c>
      <c r="BR52" s="18">
        <f t="shared" si="128"/>
        <v>1.3864589421676912</v>
      </c>
      <c r="BS52" s="18">
        <f t="shared" si="128"/>
        <v>1.2768041045533622</v>
      </c>
      <c r="BT52" s="18">
        <f t="shared" si="128"/>
        <v>1.149939129857642</v>
      </c>
      <c r="BV52" s="68">
        <f t="shared" si="129"/>
        <v>-28.197404711328083</v>
      </c>
      <c r="BW52" s="69">
        <f t="shared" si="130"/>
        <v>41.399503529302692</v>
      </c>
      <c r="BX52" s="69">
        <f t="shared" si="131"/>
        <v>13.202098817974614</v>
      </c>
      <c r="BZ52" t="str">
        <f t="shared" si="146"/>
        <v>32 Health and social care associate professionals</v>
      </c>
      <c r="CA52" s="18">
        <f t="shared" si="132"/>
        <v>0.84137808215076249</v>
      </c>
      <c r="CB52" s="18">
        <f t="shared" si="132"/>
        <v>0.64169704854035881</v>
      </c>
      <c r="CC52" s="18">
        <f t="shared" si="132"/>
        <v>0.7705430625862143</v>
      </c>
      <c r="CD52" s="18">
        <f t="shared" si="132"/>
        <v>0.65192851326120682</v>
      </c>
      <c r="CE52" s="18">
        <f t="shared" si="132"/>
        <v>0.51487767684054908</v>
      </c>
      <c r="CG52" s="68">
        <f t="shared" si="133"/>
        <v>-61.064486811574028</v>
      </c>
      <c r="CH52" s="69">
        <f t="shared" si="134"/>
        <v>27.544217476367685</v>
      </c>
      <c r="CI52" s="69">
        <f t="shared" si="135"/>
        <v>-33.520269335206336</v>
      </c>
      <c r="CK52" t="str">
        <f t="shared" si="147"/>
        <v>32 Health and social care associate professionals</v>
      </c>
      <c r="CL52" s="18">
        <f t="shared" si="136"/>
        <v>0.27732500699726775</v>
      </c>
      <c r="CM52" s="18">
        <f t="shared" si="136"/>
        <v>0.34547069293037458</v>
      </c>
      <c r="CN52" s="18">
        <f t="shared" si="136"/>
        <v>0.39508580314081621</v>
      </c>
      <c r="CO52" s="18">
        <f t="shared" si="136"/>
        <v>0.49346751297066693</v>
      </c>
      <c r="CP52" s="18">
        <f t="shared" si="136"/>
        <v>0.74312559926146549</v>
      </c>
      <c r="CR52" s="68">
        <f t="shared" si="137"/>
        <v>10.660766879417679</v>
      </c>
      <c r="CS52" s="69">
        <f t="shared" si="138"/>
        <v>42.268946195998588</v>
      </c>
      <c r="CT52" s="69">
        <f t="shared" si="139"/>
        <v>52.929713075416259</v>
      </c>
    </row>
    <row r="53" spans="1:98" x14ac:dyDescent="0.2">
      <c r="A53" t="str">
        <f t="shared" si="103"/>
        <v>33 Protective service occupations</v>
      </c>
      <c r="B53" s="18">
        <f t="shared" si="104"/>
        <v>0.21484858860663356</v>
      </c>
      <c r="C53" s="18">
        <f t="shared" si="104"/>
        <v>0.27665931798463977</v>
      </c>
      <c r="D53" s="18">
        <f t="shared" si="104"/>
        <v>0.2493729774306053</v>
      </c>
      <c r="E53" s="18">
        <f t="shared" si="104"/>
        <v>0.30988950622080308</v>
      </c>
      <c r="F53" s="18">
        <f t="shared" si="104"/>
        <v>0.37791873213472565</v>
      </c>
      <c r="H53" s="68">
        <f t="shared" si="105"/>
        <v>131.84741533930702</v>
      </c>
      <c r="I53" s="69">
        <f t="shared" si="106"/>
        <v>70.874234730918232</v>
      </c>
      <c r="J53" s="69">
        <f t="shared" si="107"/>
        <v>202.72165007022522</v>
      </c>
      <c r="L53" t="str">
        <f t="shared" si="140"/>
        <v>33 Protective service occupations</v>
      </c>
      <c r="M53" s="18">
        <f t="shared" si="108"/>
        <v>0.5874866746955808</v>
      </c>
      <c r="N53" s="18">
        <f t="shared" si="108"/>
        <v>0.7249378726553708</v>
      </c>
      <c r="O53" s="18">
        <f t="shared" si="108"/>
        <v>0.68149472797255939</v>
      </c>
      <c r="P53" s="18">
        <f t="shared" si="108"/>
        <v>0.85680899274968125</v>
      </c>
      <c r="Q53" s="18">
        <f t="shared" si="108"/>
        <v>1.1434500610007243</v>
      </c>
      <c r="S53" s="68">
        <f t="shared" si="109"/>
        <v>142.79226354908192</v>
      </c>
      <c r="T53" s="69">
        <f t="shared" si="110"/>
        <v>63.732813999759344</v>
      </c>
      <c r="U53" s="69">
        <f t="shared" si="111"/>
        <v>206.52507754884124</v>
      </c>
      <c r="W53" t="str">
        <f t="shared" si="141"/>
        <v>33 Protective service occupations</v>
      </c>
      <c r="X53" s="18">
        <f t="shared" si="112"/>
        <v>1.6881321158595646</v>
      </c>
      <c r="Y53" s="18">
        <f t="shared" si="112"/>
        <v>1.8956540691548607</v>
      </c>
      <c r="Z53" s="18">
        <f t="shared" si="112"/>
        <v>1.9068713670162982</v>
      </c>
      <c r="AA53" s="18">
        <f t="shared" si="112"/>
        <v>2.2509178583211962</v>
      </c>
      <c r="AB53" s="18">
        <f t="shared" si="112"/>
        <v>2.7163094169450712</v>
      </c>
      <c r="AD53" s="68">
        <f t="shared" si="113"/>
        <v>94.72535231656191</v>
      </c>
      <c r="AE53" s="69">
        <f t="shared" si="114"/>
        <v>68.924201749769111</v>
      </c>
      <c r="AF53" s="69">
        <f t="shared" si="115"/>
        <v>163.64955406633101</v>
      </c>
      <c r="AH53" t="str">
        <f t="shared" si="142"/>
        <v>33 Protective service occupations</v>
      </c>
      <c r="AI53" s="18">
        <f t="shared" si="116"/>
        <v>1.355150036502089</v>
      </c>
      <c r="AJ53" s="18">
        <f t="shared" si="116"/>
        <v>1.6405774795496506</v>
      </c>
      <c r="AK53" s="18">
        <f t="shared" si="116"/>
        <v>1.6596766476445579</v>
      </c>
      <c r="AL53" s="18">
        <f t="shared" si="116"/>
        <v>2.1927680775340175</v>
      </c>
      <c r="AM53" s="18">
        <f t="shared" si="116"/>
        <v>2.7301119315168916</v>
      </c>
      <c r="AO53" s="68">
        <f t="shared" si="117"/>
        <v>77.05249388885747</v>
      </c>
      <c r="AP53" s="69">
        <f t="shared" si="118"/>
        <v>57.063177472741614</v>
      </c>
      <c r="AQ53" s="69">
        <f t="shared" si="119"/>
        <v>134.11567136159908</v>
      </c>
      <c r="AS53" t="str">
        <f t="shared" si="143"/>
        <v>33 Protective service occupations</v>
      </c>
      <c r="AT53" s="18">
        <f t="shared" si="120"/>
        <v>1.4701362475554856</v>
      </c>
      <c r="AU53" s="18">
        <f t="shared" si="120"/>
        <v>1.4947049400873942</v>
      </c>
      <c r="AV53" s="18">
        <f t="shared" si="120"/>
        <v>1.5034496888770079</v>
      </c>
      <c r="AW53" s="18">
        <f t="shared" si="120"/>
        <v>1.5929715376898876</v>
      </c>
      <c r="AX53" s="18">
        <f t="shared" si="120"/>
        <v>1.6919905394137815</v>
      </c>
      <c r="AZ53" s="68">
        <f t="shared" si="121"/>
        <v>36.427959103945561</v>
      </c>
      <c r="BA53" s="69">
        <f t="shared" si="122"/>
        <v>52.653213346644293</v>
      </c>
      <c r="BB53" s="69">
        <f t="shared" si="123"/>
        <v>89.081172450589847</v>
      </c>
      <c r="BD53" t="str">
        <f t="shared" si="144"/>
        <v>33 Protective service occupations</v>
      </c>
      <c r="BE53" s="18">
        <f t="shared" si="124"/>
        <v>1.3606775382090397</v>
      </c>
      <c r="BF53" s="18">
        <f t="shared" si="124"/>
        <v>1.3133763109653644</v>
      </c>
      <c r="BG53" s="18">
        <f t="shared" si="124"/>
        <v>1.4536855987563957</v>
      </c>
      <c r="BH53" s="18">
        <f t="shared" si="124"/>
        <v>1.4155901318413773</v>
      </c>
      <c r="BI53" s="18">
        <f t="shared" si="124"/>
        <v>1.3396353957946787</v>
      </c>
      <c r="BK53" s="68">
        <f t="shared" si="125"/>
        <v>-7.8361604129368541</v>
      </c>
      <c r="BL53" s="69">
        <f t="shared" si="126"/>
        <v>23.786827300558208</v>
      </c>
      <c r="BM53" s="69">
        <f t="shared" si="127"/>
        <v>15.950666887621354</v>
      </c>
      <c r="BO53" t="str">
        <f t="shared" si="145"/>
        <v>33 Protective service occupations</v>
      </c>
      <c r="BP53" s="18">
        <f t="shared" si="128"/>
        <v>1.4869409377246994</v>
      </c>
      <c r="BQ53" s="18">
        <f t="shared" si="128"/>
        <v>1.5988973748992057</v>
      </c>
      <c r="BR53" s="18">
        <f t="shared" si="128"/>
        <v>1.6370129236071385</v>
      </c>
      <c r="BS53" s="18">
        <f t="shared" si="128"/>
        <v>1.8526373205174238</v>
      </c>
      <c r="BT53" s="18">
        <f t="shared" si="128"/>
        <v>1.9453343502905833</v>
      </c>
      <c r="BV53" s="68">
        <f t="shared" si="129"/>
        <v>2.8760901561445413</v>
      </c>
      <c r="BW53" s="69">
        <f t="shared" si="130"/>
        <v>30.461986103744259</v>
      </c>
      <c r="BX53" s="69">
        <f t="shared" si="131"/>
        <v>33.338076259888801</v>
      </c>
      <c r="BZ53" t="str">
        <f t="shared" si="146"/>
        <v>33 Protective service occupations</v>
      </c>
      <c r="CA53" s="18">
        <f t="shared" si="132"/>
        <v>1.1586161607663135</v>
      </c>
      <c r="CB53" s="18">
        <f t="shared" si="132"/>
        <v>1.3617384908641796</v>
      </c>
      <c r="CC53" s="18">
        <f t="shared" si="132"/>
        <v>1.4577084366926978</v>
      </c>
      <c r="CD53" s="18">
        <f t="shared" si="132"/>
        <v>1.7911927900410529</v>
      </c>
      <c r="CE53" s="18">
        <f t="shared" si="132"/>
        <v>1.6740549161260936</v>
      </c>
      <c r="CG53" s="68">
        <f t="shared" si="133"/>
        <v>-33.082795714314948</v>
      </c>
      <c r="CH53" s="69">
        <f t="shared" si="134"/>
        <v>35.244220335226537</v>
      </c>
      <c r="CI53" s="69">
        <f t="shared" si="135"/>
        <v>2.1614246209115811</v>
      </c>
      <c r="CK53" t="str">
        <f t="shared" si="147"/>
        <v>33 Protective service occupations</v>
      </c>
      <c r="CL53" s="18">
        <f t="shared" si="136"/>
        <v>0.4727459702119613</v>
      </c>
      <c r="CM53" s="18">
        <f t="shared" si="136"/>
        <v>0.52398776951101267</v>
      </c>
      <c r="CN53" s="18">
        <f t="shared" si="136"/>
        <v>0.58517763488611318</v>
      </c>
      <c r="CO53" s="18">
        <f t="shared" si="136"/>
        <v>0.58678762442511601</v>
      </c>
      <c r="CP53" s="18">
        <f t="shared" si="136"/>
        <v>0.75906276579879195</v>
      </c>
      <c r="CR53" s="68">
        <f t="shared" si="137"/>
        <v>-23.684483683290434</v>
      </c>
      <c r="CS53" s="69">
        <f t="shared" si="138"/>
        <v>20.426057449358165</v>
      </c>
      <c r="CT53" s="69">
        <f t="shared" si="139"/>
        <v>-3.2584262339322696</v>
      </c>
    </row>
    <row r="54" spans="1:98" x14ac:dyDescent="0.2">
      <c r="A54" t="str">
        <f t="shared" si="103"/>
        <v>34 Culture, media and sports occupations</v>
      </c>
      <c r="B54" s="18">
        <f t="shared" si="104"/>
        <v>1.1812760361933059</v>
      </c>
      <c r="C54" s="18">
        <f t="shared" si="104"/>
        <v>1.3002837958999514</v>
      </c>
      <c r="D54" s="18">
        <f t="shared" si="104"/>
        <v>1.509505171516522</v>
      </c>
      <c r="E54" s="18">
        <f t="shared" si="104"/>
        <v>1.2172144739108475</v>
      </c>
      <c r="F54" s="18">
        <f t="shared" si="104"/>
        <v>1.1454138975696686</v>
      </c>
      <c r="H54" s="68">
        <f t="shared" si="105"/>
        <v>16.086327839490444</v>
      </c>
      <c r="I54" s="69">
        <f t="shared" si="106"/>
        <v>62.881481017421201</v>
      </c>
      <c r="J54" s="69">
        <f t="shared" si="107"/>
        <v>78.967808856911645</v>
      </c>
      <c r="L54" t="str">
        <f t="shared" si="140"/>
        <v>34 Culture, media and sports occupations</v>
      </c>
      <c r="M54" s="18">
        <f t="shared" si="108"/>
        <v>2.910908312907333</v>
      </c>
      <c r="N54" s="18">
        <f t="shared" si="108"/>
        <v>2.7402823361820641</v>
      </c>
      <c r="O54" s="18">
        <f t="shared" si="108"/>
        <v>2.5821273256901192</v>
      </c>
      <c r="P54" s="18">
        <f t="shared" si="108"/>
        <v>2.1835441637084347</v>
      </c>
      <c r="Q54" s="18">
        <f t="shared" si="108"/>
        <v>2.0576619904867055</v>
      </c>
      <c r="S54" s="68">
        <f t="shared" si="109"/>
        <v>15.312536192319289</v>
      </c>
      <c r="T54" s="69">
        <f t="shared" si="110"/>
        <v>62.829758166098379</v>
      </c>
      <c r="U54" s="69">
        <f t="shared" si="111"/>
        <v>78.142294358417672</v>
      </c>
      <c r="W54" t="str">
        <f t="shared" si="141"/>
        <v>34 Culture, media and sports occupations</v>
      </c>
      <c r="X54" s="18">
        <f t="shared" si="112"/>
        <v>2.8138412412713683</v>
      </c>
      <c r="Y54" s="18">
        <f t="shared" si="112"/>
        <v>2.8743679587522006</v>
      </c>
      <c r="Z54" s="18">
        <f t="shared" si="112"/>
        <v>2.5349258338304321</v>
      </c>
      <c r="AA54" s="18">
        <f t="shared" si="112"/>
        <v>2.1759977167630558</v>
      </c>
      <c r="AB54" s="18">
        <f t="shared" si="112"/>
        <v>2.0279624040390667</v>
      </c>
      <c r="AD54" s="68">
        <f t="shared" si="113"/>
        <v>9.3602007167824421</v>
      </c>
      <c r="AE54" s="69">
        <f t="shared" si="114"/>
        <v>51.249206248932502</v>
      </c>
      <c r="AF54" s="69">
        <f t="shared" si="115"/>
        <v>60.609406965714939</v>
      </c>
      <c r="AH54" t="str">
        <f t="shared" si="142"/>
        <v>34 Culture, media and sports occupations</v>
      </c>
      <c r="AI54" s="18">
        <f t="shared" si="116"/>
        <v>0.85222168927650088</v>
      </c>
      <c r="AJ54" s="18">
        <f t="shared" si="116"/>
        <v>0.84794659134828032</v>
      </c>
      <c r="AK54" s="18">
        <f t="shared" si="116"/>
        <v>1.1123278316899239</v>
      </c>
      <c r="AL54" s="18">
        <f t="shared" si="116"/>
        <v>1.1250475318988713</v>
      </c>
      <c r="AM54" s="18">
        <f t="shared" si="116"/>
        <v>1.3586760871651493</v>
      </c>
      <c r="AO54" s="68">
        <f t="shared" si="117"/>
        <v>31.470467336990932</v>
      </c>
      <c r="AP54" s="69">
        <f t="shared" si="118"/>
        <v>54.942958103586562</v>
      </c>
      <c r="AQ54" s="69">
        <f t="shared" si="119"/>
        <v>86.413425440577498</v>
      </c>
      <c r="AS54" t="str">
        <f t="shared" si="143"/>
        <v>34 Culture, media and sports occupations</v>
      </c>
      <c r="AT54" s="18">
        <f t="shared" si="120"/>
        <v>1.4573133327188859</v>
      </c>
      <c r="AU54" s="18">
        <f t="shared" si="120"/>
        <v>1.4716059743918632</v>
      </c>
      <c r="AV54" s="18">
        <f t="shared" si="120"/>
        <v>1.424672072261377</v>
      </c>
      <c r="AW54" s="18">
        <f t="shared" si="120"/>
        <v>1.2867067400999685</v>
      </c>
      <c r="AX54" s="18">
        <f t="shared" si="120"/>
        <v>1.3312101499041873</v>
      </c>
      <c r="AZ54" s="68">
        <f t="shared" si="121"/>
        <v>13.272910798407251</v>
      </c>
      <c r="BA54" s="69">
        <f t="shared" si="122"/>
        <v>50.00219552959657</v>
      </c>
      <c r="BB54" s="69">
        <f t="shared" si="123"/>
        <v>63.275106328003815</v>
      </c>
      <c r="BD54" t="str">
        <f t="shared" si="144"/>
        <v>34 Culture, media and sports occupations</v>
      </c>
      <c r="BE54" s="18">
        <f t="shared" si="124"/>
        <v>0.89691385487312725</v>
      </c>
      <c r="BF54" s="18">
        <f t="shared" si="124"/>
        <v>0.95382446135162269</v>
      </c>
      <c r="BG54" s="18">
        <f t="shared" si="124"/>
        <v>0.87089939159305774</v>
      </c>
      <c r="BH54" s="18">
        <f t="shared" si="124"/>
        <v>0.79717751236974732</v>
      </c>
      <c r="BI54" s="18">
        <f t="shared" si="124"/>
        <v>0.92299891394462008</v>
      </c>
      <c r="BK54" s="68">
        <f t="shared" si="125"/>
        <v>5.9931102699750705</v>
      </c>
      <c r="BL54" s="69">
        <f t="shared" si="126"/>
        <v>39.141671755966705</v>
      </c>
      <c r="BM54" s="69">
        <f t="shared" si="127"/>
        <v>45.134782025941774</v>
      </c>
      <c r="BO54" t="str">
        <f t="shared" si="145"/>
        <v>34 Culture, media and sports occupations</v>
      </c>
      <c r="BP54" s="18">
        <f t="shared" si="128"/>
        <v>0.5102355783236856</v>
      </c>
      <c r="BQ54" s="18">
        <f t="shared" si="128"/>
        <v>0.46984456783676642</v>
      </c>
      <c r="BR54" s="18">
        <f t="shared" si="128"/>
        <v>0.37372648071259096</v>
      </c>
      <c r="BS54" s="18">
        <f t="shared" si="128"/>
        <v>0.30068727234386328</v>
      </c>
      <c r="BT54" s="18">
        <f t="shared" si="128"/>
        <v>0.22302013876241428</v>
      </c>
      <c r="BV54" s="68">
        <f t="shared" si="129"/>
        <v>-48.339035120107319</v>
      </c>
      <c r="BW54" s="69">
        <f t="shared" si="130"/>
        <v>26.813814236541845</v>
      </c>
      <c r="BX54" s="69">
        <f t="shared" si="131"/>
        <v>-21.525220883565471</v>
      </c>
      <c r="BZ54" t="str">
        <f t="shared" si="146"/>
        <v>34 Culture, media and sports occupations</v>
      </c>
      <c r="CA54" s="18">
        <f t="shared" si="132"/>
        <v>0.58081103891478569</v>
      </c>
      <c r="CB54" s="18">
        <f t="shared" si="132"/>
        <v>0.58886940869328774</v>
      </c>
      <c r="CC54" s="18">
        <f t="shared" si="132"/>
        <v>0.56846645692477982</v>
      </c>
      <c r="CD54" s="18">
        <f t="shared" si="132"/>
        <v>0.46720196482105275</v>
      </c>
      <c r="CE54" s="18">
        <f t="shared" si="132"/>
        <v>0.39025315735967586</v>
      </c>
      <c r="CG54" s="68">
        <f t="shared" si="133"/>
        <v>-59.998126061898674</v>
      </c>
      <c r="CH54" s="69">
        <f t="shared" si="134"/>
        <v>23.073914360640217</v>
      </c>
      <c r="CI54" s="69">
        <f t="shared" si="135"/>
        <v>-36.92421170125845</v>
      </c>
      <c r="CK54" t="str">
        <f t="shared" si="147"/>
        <v>34 Culture, media and sports occupations</v>
      </c>
      <c r="CL54" s="18">
        <f t="shared" si="136"/>
        <v>0.39492801395739446</v>
      </c>
      <c r="CM54" s="18">
        <f t="shared" si="136"/>
        <v>0.62174288568190372</v>
      </c>
      <c r="CN54" s="18">
        <f t="shared" si="136"/>
        <v>0.66817002266602388</v>
      </c>
      <c r="CO54" s="18">
        <f t="shared" si="136"/>
        <v>0.83038104001309132</v>
      </c>
      <c r="CP54" s="18">
        <f t="shared" si="136"/>
        <v>1.7836896119947192</v>
      </c>
      <c r="CR54" s="68">
        <f t="shared" si="137"/>
        <v>57.056231821797233</v>
      </c>
      <c r="CS54" s="69">
        <f t="shared" si="138"/>
        <v>42.503943999319496</v>
      </c>
      <c r="CT54" s="69">
        <f t="shared" si="139"/>
        <v>99.560175821116729</v>
      </c>
    </row>
    <row r="55" spans="1:98" x14ac:dyDescent="0.2">
      <c r="A55" t="str">
        <f t="shared" si="103"/>
        <v>35 Business and public service associate professionals</v>
      </c>
      <c r="B55" s="18">
        <f t="shared" ref="B55:F64" si="148">B18/B$35*100</f>
        <v>3.4019694554012361</v>
      </c>
      <c r="C55" s="18">
        <f t="shared" si="148"/>
        <v>3.5927545997523262</v>
      </c>
      <c r="D55" s="18">
        <f t="shared" si="148"/>
        <v>3.3030695459145791</v>
      </c>
      <c r="E55" s="18">
        <f t="shared" si="148"/>
        <v>3.0901265688392043</v>
      </c>
      <c r="F55" s="18">
        <f t="shared" si="148"/>
        <v>3.2084515986347921</v>
      </c>
      <c r="H55" s="68">
        <f t="shared" si="105"/>
        <v>48.604172833239886</v>
      </c>
      <c r="I55" s="69">
        <f t="shared" si="106"/>
        <v>64.850296435036896</v>
      </c>
      <c r="J55" s="69">
        <f t="shared" si="107"/>
        <v>113.45446926827678</v>
      </c>
      <c r="L55" t="str">
        <f t="shared" si="140"/>
        <v>35 Business and public service associate professionals</v>
      </c>
      <c r="M55" s="18">
        <f t="shared" ref="M55:Q64" si="149">M18/M$35*100</f>
        <v>6.0909855073609016</v>
      </c>
      <c r="N55" s="18">
        <f t="shared" si="149"/>
        <v>6.2906315785269546</v>
      </c>
      <c r="O55" s="18">
        <f t="shared" si="149"/>
        <v>6.099677905648953</v>
      </c>
      <c r="P55" s="18">
        <f t="shared" si="149"/>
        <v>5.576240872826002</v>
      </c>
      <c r="Q55" s="18">
        <f t="shared" si="149"/>
        <v>5.4088020789748574</v>
      </c>
      <c r="S55" s="68">
        <f t="shared" si="109"/>
        <v>28.314084527613325</v>
      </c>
      <c r="T55" s="69">
        <f t="shared" si="110"/>
        <v>62.560052994089091</v>
      </c>
      <c r="U55" s="69">
        <f t="shared" si="111"/>
        <v>90.874137521702423</v>
      </c>
      <c r="W55" t="str">
        <f t="shared" si="141"/>
        <v>35 Business and public service associate professionals</v>
      </c>
      <c r="X55" s="18">
        <f t="shared" ref="X55:AB64" si="150">X18/X$35*100</f>
        <v>6.3564552228846649</v>
      </c>
      <c r="Y55" s="18">
        <f t="shared" si="150"/>
        <v>6.3582546100839199</v>
      </c>
      <c r="Z55" s="18">
        <f t="shared" si="150"/>
        <v>6.2862760515954754</v>
      </c>
      <c r="AA55" s="18">
        <f t="shared" si="150"/>
        <v>5.6621804271909708</v>
      </c>
      <c r="AB55" s="18">
        <f t="shared" si="150"/>
        <v>5.2324260473487474</v>
      </c>
      <c r="AD55" s="68">
        <f t="shared" si="113"/>
        <v>13.782194870399033</v>
      </c>
      <c r="AE55" s="69">
        <f t="shared" si="114"/>
        <v>54.76484131344165</v>
      </c>
      <c r="AF55" s="69">
        <f t="shared" si="115"/>
        <v>68.547036183840675</v>
      </c>
      <c r="AH55" t="str">
        <f t="shared" si="142"/>
        <v>35 Business and public service associate professionals</v>
      </c>
      <c r="AI55" s="18">
        <f t="shared" ref="AI55:AM64" si="151">AI18/AI$35*100</f>
        <v>5.5516777246854252</v>
      </c>
      <c r="AJ55" s="18">
        <f t="shared" si="151"/>
        <v>6.0812312576262393</v>
      </c>
      <c r="AK55" s="18">
        <f t="shared" si="151"/>
        <v>6.2893314061824306</v>
      </c>
      <c r="AL55" s="18">
        <f t="shared" si="151"/>
        <v>6.3821942759146513</v>
      </c>
      <c r="AM55" s="18">
        <f t="shared" si="151"/>
        <v>6.572380160879721</v>
      </c>
      <c r="AO55" s="68">
        <f t="shared" si="117"/>
        <v>12.476883649137623</v>
      </c>
      <c r="AP55" s="69">
        <f t="shared" si="118"/>
        <v>51.008206498031306</v>
      </c>
      <c r="AQ55" s="69">
        <f t="shared" si="119"/>
        <v>63.485090147168918</v>
      </c>
      <c r="AS55" t="str">
        <f t="shared" si="143"/>
        <v>35 Business and public service associate professionals</v>
      </c>
      <c r="AT55" s="18">
        <f t="shared" ref="AT55:AX64" si="152">AT18/AT$35*100</f>
        <v>5.4849480882658783</v>
      </c>
      <c r="AU55" s="18">
        <f t="shared" si="152"/>
        <v>5.5096552425072192</v>
      </c>
      <c r="AV55" s="18">
        <f t="shared" si="152"/>
        <v>5.8245134491904418</v>
      </c>
      <c r="AW55" s="18">
        <f t="shared" si="152"/>
        <v>5.4287323594839947</v>
      </c>
      <c r="AX55" s="18">
        <f t="shared" si="152"/>
        <v>5.4655857036389168</v>
      </c>
      <c r="AZ55" s="68">
        <f t="shared" si="121"/>
        <v>13.75523913808679</v>
      </c>
      <c r="BA55" s="69">
        <f t="shared" si="122"/>
        <v>50.875405514234231</v>
      </c>
      <c r="BB55" s="69">
        <f t="shared" si="123"/>
        <v>64.630644652321024</v>
      </c>
      <c r="BD55" t="str">
        <f t="shared" si="144"/>
        <v>35 Business and public service associate professionals</v>
      </c>
      <c r="BE55" s="18">
        <f t="shared" ref="BE55:BI64" si="153">BE18/BE$35*100</f>
        <v>4.1803258239972916</v>
      </c>
      <c r="BF55" s="18">
        <f t="shared" si="153"/>
        <v>4.228087072345212</v>
      </c>
      <c r="BG55" s="18">
        <f t="shared" si="153"/>
        <v>4.5969218068696662</v>
      </c>
      <c r="BH55" s="18">
        <f t="shared" si="153"/>
        <v>4.1493018709572853</v>
      </c>
      <c r="BI55" s="18">
        <f t="shared" si="153"/>
        <v>4.0765515033308395</v>
      </c>
      <c r="BK55" s="68">
        <f t="shared" si="125"/>
        <v>-11.310899437811816</v>
      </c>
      <c r="BL55" s="69">
        <f t="shared" si="126"/>
        <v>38.076590634534817</v>
      </c>
      <c r="BM55" s="69">
        <f t="shared" si="127"/>
        <v>26.765691196723001</v>
      </c>
      <c r="BO55" t="str">
        <f t="shared" si="145"/>
        <v>35 Business and public service associate professionals</v>
      </c>
      <c r="BP55" s="18">
        <f t="shared" ref="BP55:BT64" si="154">BP18/BP$35*100</f>
        <v>3.1589821828599876</v>
      </c>
      <c r="BQ55" s="18">
        <f t="shared" si="154"/>
        <v>3.2090003376681095</v>
      </c>
      <c r="BR55" s="18">
        <f t="shared" si="154"/>
        <v>3.4728187352525768</v>
      </c>
      <c r="BS55" s="18">
        <f t="shared" si="154"/>
        <v>3.146725675164423</v>
      </c>
      <c r="BT55" s="18">
        <f t="shared" si="154"/>
        <v>3.1880259218386517</v>
      </c>
      <c r="BV55" s="68">
        <f t="shared" si="129"/>
        <v>-20.528386401334199</v>
      </c>
      <c r="BW55" s="69">
        <f t="shared" si="130"/>
        <v>32.610490777111835</v>
      </c>
      <c r="BX55" s="69">
        <f t="shared" si="131"/>
        <v>12.082104375777632</v>
      </c>
      <c r="BZ55" t="str">
        <f t="shared" si="146"/>
        <v>35 Business and public service associate professionals</v>
      </c>
      <c r="CA55" s="18">
        <f t="shared" ref="CA55:CE64" si="155">CA18/CA$35*100</f>
        <v>2.7647827497609914</v>
      </c>
      <c r="CB55" s="18">
        <f t="shared" si="155"/>
        <v>2.9286636502305545</v>
      </c>
      <c r="CC55" s="18">
        <f t="shared" si="155"/>
        <v>3.1703645815972674</v>
      </c>
      <c r="CD55" s="18">
        <f t="shared" si="155"/>
        <v>2.848590262999886</v>
      </c>
      <c r="CE55" s="18">
        <f t="shared" si="155"/>
        <v>2.7098421392278622</v>
      </c>
      <c r="CG55" s="68">
        <f t="shared" si="133"/>
        <v>-50.194931750950886</v>
      </c>
      <c r="CH55" s="69">
        <f t="shared" si="134"/>
        <v>26.125525006449589</v>
      </c>
      <c r="CI55" s="69">
        <f t="shared" si="135"/>
        <v>-24.069406744501308</v>
      </c>
      <c r="CK55" t="str">
        <f t="shared" si="147"/>
        <v>35 Business and public service associate professionals</v>
      </c>
      <c r="CL55" s="18">
        <f t="shared" ref="CL55:CP64" si="156">CL18/CL$35*100</f>
        <v>1.6538108553259787</v>
      </c>
      <c r="CM55" s="18">
        <f t="shared" si="156"/>
        <v>2.0635531645135505</v>
      </c>
      <c r="CN55" s="18">
        <f t="shared" si="156"/>
        <v>2.125178457739481</v>
      </c>
      <c r="CO55" s="18">
        <f t="shared" si="156"/>
        <v>2.4039967063276451</v>
      </c>
      <c r="CP55" s="18">
        <f t="shared" si="156"/>
        <v>3.8545711876566267</v>
      </c>
      <c r="CR55" s="68">
        <f t="shared" si="137"/>
        <v>6.7096126398144138</v>
      </c>
      <c r="CS55" s="69">
        <f t="shared" si="138"/>
        <v>36.076191016161509</v>
      </c>
      <c r="CT55" s="69">
        <f t="shared" si="139"/>
        <v>42.785803655975919</v>
      </c>
    </row>
    <row r="56" spans="1:98" x14ac:dyDescent="0.2">
      <c r="A56" t="str">
        <f t="shared" si="103"/>
        <v>41 Administrative occupations</v>
      </c>
      <c r="B56" s="18">
        <f t="shared" si="148"/>
        <v>3.8068913247403762</v>
      </c>
      <c r="C56" s="18">
        <f t="shared" si="148"/>
        <v>3.5902666506643288</v>
      </c>
      <c r="D56" s="18">
        <f t="shared" si="148"/>
        <v>3.3893090376052677</v>
      </c>
      <c r="E56" s="18">
        <f t="shared" si="148"/>
        <v>3.052949527244222</v>
      </c>
      <c r="F56" s="18">
        <f t="shared" si="148"/>
        <v>2.9810444900382045</v>
      </c>
      <c r="H56" s="68">
        <f t="shared" si="105"/>
        <v>34.558308280074293</v>
      </c>
      <c r="I56" s="69">
        <f t="shared" si="106"/>
        <v>65.159945001066177</v>
      </c>
      <c r="J56" s="69">
        <f t="shared" si="107"/>
        <v>99.718253281140463</v>
      </c>
      <c r="L56" t="str">
        <f t="shared" si="140"/>
        <v>41 Administrative occupations</v>
      </c>
      <c r="M56" s="18">
        <f t="shared" si="149"/>
        <v>6.3680252299876159</v>
      </c>
      <c r="N56" s="18">
        <f t="shared" si="149"/>
        <v>6.1502098597833381</v>
      </c>
      <c r="O56" s="18">
        <f t="shared" si="149"/>
        <v>5.8621727086559368</v>
      </c>
      <c r="P56" s="18">
        <f t="shared" si="149"/>
        <v>5.4824649317244267</v>
      </c>
      <c r="Q56" s="18">
        <f t="shared" si="149"/>
        <v>5.3642721901257628</v>
      </c>
      <c r="S56" s="68">
        <f t="shared" si="109"/>
        <v>32.413522726308585</v>
      </c>
      <c r="T56" s="69">
        <f t="shared" si="110"/>
        <v>69.371713084568071</v>
      </c>
      <c r="U56" s="69">
        <f t="shared" si="111"/>
        <v>101.78523581087666</v>
      </c>
      <c r="W56" t="str">
        <f t="shared" si="141"/>
        <v>41 Administrative occupations</v>
      </c>
      <c r="X56" s="18">
        <f t="shared" si="150"/>
        <v>9.950650246561267</v>
      </c>
      <c r="Y56" s="18">
        <f t="shared" si="150"/>
        <v>9.7712003401414993</v>
      </c>
      <c r="Z56" s="18">
        <f t="shared" si="150"/>
        <v>9.8997942240893586</v>
      </c>
      <c r="AA56" s="18">
        <f t="shared" si="150"/>
        <v>9.2522383185907255</v>
      </c>
      <c r="AB56" s="18">
        <f t="shared" si="150"/>
        <v>8.8251022643838883</v>
      </c>
      <c r="AD56" s="68">
        <f t="shared" si="113"/>
        <v>21.859175608230302</v>
      </c>
      <c r="AE56" s="69">
        <f t="shared" si="114"/>
        <v>63.870151383731724</v>
      </c>
      <c r="AF56" s="69">
        <f t="shared" si="115"/>
        <v>85.729326991962026</v>
      </c>
      <c r="AH56" t="str">
        <f t="shared" si="142"/>
        <v>41 Administrative occupations</v>
      </c>
      <c r="AI56" s="18">
        <f t="shared" si="151"/>
        <v>10.550364076553612</v>
      </c>
      <c r="AJ56" s="18">
        <f t="shared" si="151"/>
        <v>12.240217083863177</v>
      </c>
      <c r="AK56" s="18">
        <f t="shared" si="151"/>
        <v>12.480648107843301</v>
      </c>
      <c r="AL56" s="18">
        <f t="shared" si="151"/>
        <v>12.830057707597947</v>
      </c>
      <c r="AM56" s="18">
        <f t="shared" si="151"/>
        <v>13.496414460706111</v>
      </c>
      <c r="AO56" s="68">
        <f t="shared" si="117"/>
        <v>16.392861896913253</v>
      </c>
      <c r="AP56" s="69">
        <f t="shared" si="118"/>
        <v>63.955548300755623</v>
      </c>
      <c r="AQ56" s="69">
        <f t="shared" si="119"/>
        <v>80.348410197668869</v>
      </c>
      <c r="AS56" t="str">
        <f t="shared" si="143"/>
        <v>41 Administrative occupations</v>
      </c>
      <c r="AT56" s="18">
        <f t="shared" si="152"/>
        <v>11.723915360311153</v>
      </c>
      <c r="AU56" s="18">
        <f t="shared" si="152"/>
        <v>11.983046538789614</v>
      </c>
      <c r="AV56" s="18">
        <f t="shared" si="152"/>
        <v>12.776563061768403</v>
      </c>
      <c r="AW56" s="18">
        <f t="shared" si="152"/>
        <v>11.999894500742437</v>
      </c>
      <c r="AX56" s="18">
        <f t="shared" si="152"/>
        <v>12.186537489600017</v>
      </c>
      <c r="AZ56" s="68">
        <f t="shared" si="121"/>
        <v>15.627367326729354</v>
      </c>
      <c r="BA56" s="69">
        <f t="shared" si="122"/>
        <v>60.722959937408419</v>
      </c>
      <c r="BB56" s="69">
        <f t="shared" si="123"/>
        <v>76.350327264137775</v>
      </c>
      <c r="BD56" t="str">
        <f t="shared" si="144"/>
        <v>41 Administrative occupations</v>
      </c>
      <c r="BE56" s="18">
        <f t="shared" si="153"/>
        <v>8.9564968941287901</v>
      </c>
      <c r="BF56" s="18">
        <f t="shared" si="153"/>
        <v>8.6649388745397591</v>
      </c>
      <c r="BG56" s="18">
        <f t="shared" si="153"/>
        <v>8.8455959961508412</v>
      </c>
      <c r="BH56" s="18">
        <f t="shared" si="153"/>
        <v>8.0845792312486466</v>
      </c>
      <c r="BI56" s="18">
        <f t="shared" si="153"/>
        <v>7.0560896008890106</v>
      </c>
      <c r="BK56" s="68">
        <f t="shared" si="125"/>
        <v>-20.222316707196789</v>
      </c>
      <c r="BL56" s="69">
        <f t="shared" si="126"/>
        <v>41.828856145246164</v>
      </c>
      <c r="BM56" s="69">
        <f t="shared" si="127"/>
        <v>21.606539438049378</v>
      </c>
      <c r="BO56" t="str">
        <f t="shared" si="145"/>
        <v>41 Administrative occupations</v>
      </c>
      <c r="BP56" s="18">
        <f t="shared" si="154"/>
        <v>10.466625438361639</v>
      </c>
      <c r="BQ56" s="18">
        <f t="shared" si="154"/>
        <v>9.8645211886913806</v>
      </c>
      <c r="BR56" s="18">
        <f t="shared" si="154"/>
        <v>10.394036089221137</v>
      </c>
      <c r="BS56" s="18">
        <f t="shared" si="154"/>
        <v>8.8246135117821414</v>
      </c>
      <c r="BT56" s="18">
        <f t="shared" si="154"/>
        <v>7.2821183671865937</v>
      </c>
      <c r="BV56" s="68">
        <f t="shared" si="129"/>
        <v>-39.347903631517738</v>
      </c>
      <c r="BW56" s="69">
        <f t="shared" si="130"/>
        <v>31.304337327514975</v>
      </c>
      <c r="BX56" s="69">
        <f t="shared" si="131"/>
        <v>-8.0435663040027645</v>
      </c>
      <c r="BZ56" t="str">
        <f t="shared" si="146"/>
        <v>41 Administrative occupations</v>
      </c>
      <c r="CA56" s="18">
        <f t="shared" si="155"/>
        <v>9.2078322678126359</v>
      </c>
      <c r="CB56" s="18">
        <f t="shared" si="155"/>
        <v>6.7175615973038418</v>
      </c>
      <c r="CC56" s="18">
        <f t="shared" si="155"/>
        <v>7.7754584489118885</v>
      </c>
      <c r="CD56" s="18">
        <f t="shared" si="155"/>
        <v>5.7851777598980743</v>
      </c>
      <c r="CE56" s="18">
        <f t="shared" si="155"/>
        <v>3.3791020290307934</v>
      </c>
      <c r="CG56" s="68">
        <f t="shared" si="133"/>
        <v>-74.677064117649408</v>
      </c>
      <c r="CH56" s="69">
        <f t="shared" si="134"/>
        <v>20.394734540942945</v>
      </c>
      <c r="CI56" s="69">
        <f t="shared" si="135"/>
        <v>-54.282329576706459</v>
      </c>
      <c r="CK56" t="str">
        <f t="shared" si="147"/>
        <v>41 Administrative occupations</v>
      </c>
      <c r="CL56" s="18">
        <f t="shared" si="156"/>
        <v>6.2179310403930295</v>
      </c>
      <c r="CM56" s="18">
        <f t="shared" si="156"/>
        <v>6.118175690407579</v>
      </c>
      <c r="CN56" s="18">
        <f t="shared" si="156"/>
        <v>6.3928266302523209</v>
      </c>
      <c r="CO56" s="18">
        <f t="shared" si="156"/>
        <v>7.425240082303004</v>
      </c>
      <c r="CP56" s="18">
        <f t="shared" si="156"/>
        <v>10.084941455727012</v>
      </c>
      <c r="CR56" s="68">
        <f t="shared" si="137"/>
        <v>-7.1881707838608397</v>
      </c>
      <c r="CS56" s="69">
        <f t="shared" si="138"/>
        <v>33.752165873305437</v>
      </c>
      <c r="CT56" s="69">
        <f t="shared" si="139"/>
        <v>26.563995089444596</v>
      </c>
    </row>
    <row r="57" spans="1:98" x14ac:dyDescent="0.2">
      <c r="A57" t="str">
        <f t="shared" si="103"/>
        <v>42 Secretarial and related occupations</v>
      </c>
      <c r="B57" s="18">
        <f t="shared" si="148"/>
        <v>0.19301248093524173</v>
      </c>
      <c r="C57" s="18">
        <f t="shared" si="148"/>
        <v>0.19467080338682238</v>
      </c>
      <c r="D57" s="18">
        <f t="shared" si="148"/>
        <v>0.19425612180195906</v>
      </c>
      <c r="E57" s="18">
        <f t="shared" si="148"/>
        <v>0.24139010559928639</v>
      </c>
      <c r="F57" s="18">
        <f t="shared" si="148"/>
        <v>0.28819912518022717</v>
      </c>
      <c r="H57" s="68">
        <f t="shared" si="105"/>
        <v>126.97141988726331</v>
      </c>
      <c r="I57" s="69">
        <f t="shared" si="106"/>
        <v>116.42337042476909</v>
      </c>
      <c r="J57" s="69">
        <f t="shared" si="107"/>
        <v>243.39479031203243</v>
      </c>
      <c r="L57" t="str">
        <f t="shared" si="140"/>
        <v>42 Secretarial and related occupations</v>
      </c>
      <c r="M57" s="18">
        <f t="shared" si="149"/>
        <v>0.95400986703493074</v>
      </c>
      <c r="N57" s="18">
        <f t="shared" si="149"/>
        <v>0.86372197826807651</v>
      </c>
      <c r="O57" s="18">
        <f t="shared" si="149"/>
        <v>0.81411301205607223</v>
      </c>
      <c r="P57" s="18">
        <f t="shared" si="149"/>
        <v>0.98359119093165359</v>
      </c>
      <c r="Q57" s="18">
        <f t="shared" si="149"/>
        <v>0.94310105774905084</v>
      </c>
      <c r="S57" s="68">
        <f t="shared" si="109"/>
        <v>67.630746223707689</v>
      </c>
      <c r="T57" s="69">
        <f t="shared" si="110"/>
        <v>95.964525249213054</v>
      </c>
      <c r="U57" s="69">
        <f t="shared" si="111"/>
        <v>163.59527147292073</v>
      </c>
      <c r="W57" t="str">
        <f t="shared" si="141"/>
        <v>42 Secretarial and related occupations</v>
      </c>
      <c r="X57" s="18">
        <f t="shared" si="150"/>
        <v>1.4768773599922316</v>
      </c>
      <c r="Y57" s="18">
        <f t="shared" si="150"/>
        <v>1.4927595784742538</v>
      </c>
      <c r="Z57" s="18">
        <f t="shared" si="150"/>
        <v>1.4901346995129556</v>
      </c>
      <c r="AA57" s="18">
        <f t="shared" si="150"/>
        <v>1.9028191417592801</v>
      </c>
      <c r="AB57" s="18">
        <f t="shared" si="150"/>
        <v>2.6425757714636333</v>
      </c>
      <c r="AD57" s="68">
        <f t="shared" si="113"/>
        <v>142.4189565435376</v>
      </c>
      <c r="AE57" s="69">
        <f t="shared" si="114"/>
        <v>103.45203745168125</v>
      </c>
      <c r="AF57" s="69">
        <f t="shared" si="115"/>
        <v>245.87099399521884</v>
      </c>
      <c r="AH57" t="str">
        <f t="shared" si="142"/>
        <v>42 Secretarial and related occupations</v>
      </c>
      <c r="AI57" s="18">
        <f t="shared" si="151"/>
        <v>1.8920279855662854</v>
      </c>
      <c r="AJ57" s="18">
        <f t="shared" si="151"/>
        <v>2.0679984014541701</v>
      </c>
      <c r="AK57" s="18">
        <f t="shared" si="151"/>
        <v>2.1296162820766877</v>
      </c>
      <c r="AL57" s="18">
        <f t="shared" si="151"/>
        <v>2.7490913297352737</v>
      </c>
      <c r="AM57" s="18">
        <f t="shared" si="151"/>
        <v>2.5956524420669167</v>
      </c>
      <c r="AO57" s="68">
        <f t="shared" si="117"/>
        <v>31.186836733240142</v>
      </c>
      <c r="AP57" s="69">
        <f t="shared" si="118"/>
        <v>78.639048100826898</v>
      </c>
      <c r="AQ57" s="69">
        <f t="shared" si="119"/>
        <v>109.82588483406704</v>
      </c>
      <c r="AS57" t="str">
        <f t="shared" si="143"/>
        <v>42 Secretarial and related occupations</v>
      </c>
      <c r="AT57" s="18">
        <f t="shared" si="152"/>
        <v>1.967158836153335</v>
      </c>
      <c r="AU57" s="18">
        <f t="shared" si="152"/>
        <v>1.9544568653416405</v>
      </c>
      <c r="AV57" s="18">
        <f t="shared" si="152"/>
        <v>2.0180945840608229</v>
      </c>
      <c r="AW57" s="18">
        <f t="shared" si="152"/>
        <v>2.396407577283671</v>
      </c>
      <c r="AX57" s="18">
        <f t="shared" si="152"/>
        <v>2.8112541200543064</v>
      </c>
      <c r="AZ57" s="68">
        <f t="shared" si="121"/>
        <v>68.870169589175163</v>
      </c>
      <c r="BA57" s="69">
        <f t="shared" si="122"/>
        <v>77.676836705556951</v>
      </c>
      <c r="BB57" s="69">
        <f t="shared" si="123"/>
        <v>146.54700629473211</v>
      </c>
      <c r="BD57" t="str">
        <f t="shared" si="144"/>
        <v>42 Secretarial and related occupations</v>
      </c>
      <c r="BE57" s="18">
        <f t="shared" si="153"/>
        <v>1.7119672392899714</v>
      </c>
      <c r="BF57" s="18">
        <f t="shared" si="153"/>
        <v>1.6653609940138991</v>
      </c>
      <c r="BG57" s="18">
        <f t="shared" si="153"/>
        <v>1.5334844324272792</v>
      </c>
      <c r="BH57" s="18">
        <f t="shared" si="153"/>
        <v>2.06197160734231</v>
      </c>
      <c r="BI57" s="18">
        <f t="shared" si="153"/>
        <v>1.3672737387985028</v>
      </c>
      <c r="BK57" s="68">
        <f t="shared" si="125"/>
        <v>-10.829637047488632</v>
      </c>
      <c r="BL57" s="69">
        <f t="shared" si="126"/>
        <v>61.609804696995795</v>
      </c>
      <c r="BM57" s="69">
        <f t="shared" si="127"/>
        <v>50.780167649507156</v>
      </c>
      <c r="BO57" t="str">
        <f t="shared" si="145"/>
        <v>42 Secretarial and related occupations</v>
      </c>
      <c r="BP57" s="18">
        <f t="shared" si="154"/>
        <v>2.0738280256979125</v>
      </c>
      <c r="BQ57" s="18">
        <f t="shared" si="154"/>
        <v>1.6751525582258902</v>
      </c>
      <c r="BR57" s="18">
        <f t="shared" si="154"/>
        <v>1.7032510259852731</v>
      </c>
      <c r="BS57" s="18">
        <f t="shared" si="154"/>
        <v>1.3369408768435154</v>
      </c>
      <c r="BT57" s="18">
        <f t="shared" si="154"/>
        <v>0.39293877578211689</v>
      </c>
      <c r="BV57" s="68">
        <f t="shared" si="129"/>
        <v>-80.028139156672012</v>
      </c>
      <c r="BW57" s="69">
        <f t="shared" si="130"/>
        <v>25.546742630395126</v>
      </c>
      <c r="BX57" s="69">
        <f t="shared" si="131"/>
        <v>-54.481396526276896</v>
      </c>
      <c r="BZ57" t="str">
        <f t="shared" si="146"/>
        <v>42 Secretarial and related occupations</v>
      </c>
      <c r="CA57" s="18">
        <f t="shared" si="155"/>
        <v>3.5012412473725858</v>
      </c>
      <c r="CB57" s="18">
        <f t="shared" si="155"/>
        <v>2.3413966955177932</v>
      </c>
      <c r="CC57" s="18">
        <f t="shared" si="155"/>
        <v>3.0413904309885749</v>
      </c>
      <c r="CD57" s="18">
        <f t="shared" si="155"/>
        <v>2.2451829709368933</v>
      </c>
      <c r="CE57" s="18">
        <f t="shared" si="155"/>
        <v>0.75219305644086787</v>
      </c>
      <c r="CG57" s="68">
        <f t="shared" si="133"/>
        <v>-85.588940873498061</v>
      </c>
      <c r="CH57" s="69">
        <f t="shared" si="134"/>
        <v>21.95142829424293</v>
      </c>
      <c r="CI57" s="69">
        <f t="shared" si="135"/>
        <v>-63.63751257925513</v>
      </c>
      <c r="CK57" t="str">
        <f t="shared" si="147"/>
        <v>42 Secretarial and related occupations</v>
      </c>
      <c r="CL57" s="18">
        <f t="shared" si="156"/>
        <v>2.3291444432663551</v>
      </c>
      <c r="CM57" s="18">
        <f t="shared" si="156"/>
        <v>2.5544083424896979</v>
      </c>
      <c r="CN57" s="18">
        <f t="shared" si="156"/>
        <v>2.4479039146729829</v>
      </c>
      <c r="CO57" s="18">
        <f t="shared" si="156"/>
        <v>4.1450813729542393</v>
      </c>
      <c r="CP57" s="18">
        <f t="shared" si="156"/>
        <v>4.9911862647043286</v>
      </c>
      <c r="CR57" s="68">
        <f t="shared" si="137"/>
        <v>19.958848483962448</v>
      </c>
      <c r="CS57" s="69">
        <f t="shared" si="138"/>
        <v>60.120003144754023</v>
      </c>
      <c r="CT57" s="69">
        <f t="shared" si="139"/>
        <v>80.078851628716464</v>
      </c>
    </row>
    <row r="58" spans="1:98" x14ac:dyDescent="0.2">
      <c r="A58" t="str">
        <f t="shared" si="103"/>
        <v>51 Skilled agricultural and related trades</v>
      </c>
      <c r="B58" s="18">
        <f t="shared" si="148"/>
        <v>4.3306321447922888E-2</v>
      </c>
      <c r="C58" s="18">
        <f t="shared" si="148"/>
        <v>7.0654870143492934E-2</v>
      </c>
      <c r="D58" s="18">
        <f t="shared" si="148"/>
        <v>0.12205448982737641</v>
      </c>
      <c r="E58" s="18">
        <f t="shared" si="148"/>
        <v>0.10691367984200437</v>
      </c>
      <c r="F58" s="18">
        <f t="shared" si="148"/>
        <v>0.10479679880593412</v>
      </c>
      <c r="H58" s="68">
        <f t="shared" si="105"/>
        <v>31.355265702176137</v>
      </c>
      <c r="I58" s="69">
        <f t="shared" si="106"/>
        <v>78.760535973950326</v>
      </c>
      <c r="J58" s="69">
        <f t="shared" si="107"/>
        <v>110.11580167612647</v>
      </c>
      <c r="L58" t="str">
        <f t="shared" si="140"/>
        <v>51 Skilled agricultural and related trades</v>
      </c>
      <c r="M58" s="18">
        <f t="shared" si="149"/>
        <v>0.12775455663045668</v>
      </c>
      <c r="N58" s="18">
        <f t="shared" si="149"/>
        <v>0.10107471967912705</v>
      </c>
      <c r="O58" s="18">
        <f t="shared" si="149"/>
        <v>0.11064254847198485</v>
      </c>
      <c r="P58" s="18">
        <f t="shared" si="149"/>
        <v>0.100084871856188</v>
      </c>
      <c r="Q58" s="18">
        <f t="shared" si="149"/>
        <v>0.11068932801176028</v>
      </c>
      <c r="S58" s="68">
        <f t="shared" si="109"/>
        <v>44.765049421546564</v>
      </c>
      <c r="T58" s="69">
        <f t="shared" si="110"/>
        <v>71.310466906574206</v>
      </c>
      <c r="U58" s="69">
        <f t="shared" si="111"/>
        <v>116.07551632812077</v>
      </c>
      <c r="W58" t="str">
        <f t="shared" si="141"/>
        <v>51 Skilled agricultural and related trades</v>
      </c>
      <c r="X58" s="18">
        <f t="shared" si="150"/>
        <v>0.5553830656385117</v>
      </c>
      <c r="Y58" s="18">
        <f t="shared" si="150"/>
        <v>0.43114054271824404</v>
      </c>
      <c r="Z58" s="18">
        <f t="shared" si="150"/>
        <v>0.48853742959060664</v>
      </c>
      <c r="AA58" s="18">
        <f t="shared" si="150"/>
        <v>0.51033094707286897</v>
      </c>
      <c r="AB58" s="18">
        <f t="shared" si="150"/>
        <v>0.56011907576170694</v>
      </c>
      <c r="AD58" s="68">
        <f t="shared" si="113"/>
        <v>56.728211273426389</v>
      </c>
      <c r="AE58" s="69">
        <f t="shared" si="114"/>
        <v>90.275303641124339</v>
      </c>
      <c r="AF58" s="69">
        <f t="shared" si="115"/>
        <v>147.00351491455072</v>
      </c>
      <c r="AH58" t="str">
        <f t="shared" si="142"/>
        <v>51 Skilled agricultural and related trades</v>
      </c>
      <c r="AI58" s="18">
        <f t="shared" si="151"/>
        <v>0.92478994838019335</v>
      </c>
      <c r="AJ58" s="18">
        <f t="shared" si="151"/>
        <v>0.93410394714667599</v>
      </c>
      <c r="AK58" s="18">
        <f t="shared" si="151"/>
        <v>0.95262299271962636</v>
      </c>
      <c r="AL58" s="18">
        <f t="shared" si="151"/>
        <v>1.1065576633946803</v>
      </c>
      <c r="AM58" s="18">
        <f t="shared" si="151"/>
        <v>1.2148265264497411</v>
      </c>
      <c r="AO58" s="68">
        <f t="shared" si="117"/>
        <v>37.258195700386828</v>
      </c>
      <c r="AP58" s="69">
        <f t="shared" si="118"/>
        <v>85.296699051346593</v>
      </c>
      <c r="AQ58" s="69">
        <f t="shared" si="119"/>
        <v>122.5548947517334</v>
      </c>
      <c r="AS58" t="str">
        <f t="shared" si="143"/>
        <v>51 Skilled agricultural and related trades</v>
      </c>
      <c r="AT58" s="18">
        <f t="shared" si="152"/>
        <v>1.4700725575782179</v>
      </c>
      <c r="AU58" s="18">
        <f t="shared" si="152"/>
        <v>1.266358419148977</v>
      </c>
      <c r="AV58" s="18">
        <f t="shared" si="152"/>
        <v>1.4553595934538726</v>
      </c>
      <c r="AW58" s="18">
        <f t="shared" si="152"/>
        <v>1.5134198416546234</v>
      </c>
      <c r="AX58" s="18">
        <f t="shared" si="152"/>
        <v>1.73844549308298</v>
      </c>
      <c r="AZ58" s="68">
        <f t="shared" si="121"/>
        <v>44.805519795511032</v>
      </c>
      <c r="BA58" s="69">
        <f t="shared" si="122"/>
        <v>78.712080149392364</v>
      </c>
      <c r="BB58" s="69">
        <f t="shared" si="123"/>
        <v>123.5175999449034</v>
      </c>
      <c r="BD58" t="str">
        <f t="shared" si="144"/>
        <v>51 Skilled agricultural and related trades</v>
      </c>
      <c r="BE58" s="18">
        <f t="shared" si="153"/>
        <v>0.72796254925381076</v>
      </c>
      <c r="BF58" s="18">
        <f t="shared" si="153"/>
        <v>0.54039493426141505</v>
      </c>
      <c r="BG58" s="18">
        <f t="shared" si="153"/>
        <v>0.57268600032525441</v>
      </c>
      <c r="BH58" s="18">
        <f t="shared" si="153"/>
        <v>0.52643373471039034</v>
      </c>
      <c r="BI58" s="18">
        <f t="shared" si="153"/>
        <v>0.55453619051642211</v>
      </c>
      <c r="BK58" s="68">
        <f t="shared" si="125"/>
        <v>-3.1593353584249408</v>
      </c>
      <c r="BL58" s="69">
        <f t="shared" si="126"/>
        <v>49.609580388508242</v>
      </c>
      <c r="BM58" s="69">
        <f t="shared" si="127"/>
        <v>46.450245030083302</v>
      </c>
      <c r="BO58" t="str">
        <f t="shared" si="145"/>
        <v>51 Skilled agricultural and related trades</v>
      </c>
      <c r="BP58" s="18">
        <f t="shared" si="154"/>
        <v>1.1666206904325489</v>
      </c>
      <c r="BQ58" s="18">
        <f t="shared" si="154"/>
        <v>1.0350585157153036</v>
      </c>
      <c r="BR58" s="18">
        <f t="shared" si="154"/>
        <v>1.0062836973314608</v>
      </c>
      <c r="BS58" s="18">
        <f t="shared" si="154"/>
        <v>1.0639113893259009</v>
      </c>
      <c r="BT58" s="18">
        <f t="shared" si="154"/>
        <v>1.3152171218706004</v>
      </c>
      <c r="BV58" s="68">
        <f t="shared" si="129"/>
        <v>13.148635251492907</v>
      </c>
      <c r="BW58" s="69">
        <f t="shared" si="130"/>
        <v>55.588723126634513</v>
      </c>
      <c r="BX58" s="69">
        <f t="shared" si="131"/>
        <v>68.737358378127411</v>
      </c>
      <c r="BZ58" t="str">
        <f t="shared" si="146"/>
        <v>51 Skilled agricultural and related trades</v>
      </c>
      <c r="CA58" s="18">
        <f t="shared" si="155"/>
        <v>1.1440307980491504</v>
      </c>
      <c r="CB58" s="18">
        <f t="shared" si="155"/>
        <v>1.249332073170913</v>
      </c>
      <c r="CC58" s="18">
        <f t="shared" si="155"/>
        <v>1.1927123706098295</v>
      </c>
      <c r="CD58" s="18">
        <f t="shared" si="155"/>
        <v>1.3268582239115418</v>
      </c>
      <c r="CE58" s="18">
        <f t="shared" si="155"/>
        <v>2.4526247836978756</v>
      </c>
      <c r="CG58" s="68">
        <f t="shared" si="133"/>
        <v>19.821332214291974</v>
      </c>
      <c r="CH58" s="69">
        <f t="shared" si="134"/>
        <v>51.449836346999923</v>
      </c>
      <c r="CI58" s="69">
        <f t="shared" si="135"/>
        <v>71.271168561291887</v>
      </c>
      <c r="CK58" t="str">
        <f t="shared" si="147"/>
        <v>51 Skilled agricultural and related trades</v>
      </c>
      <c r="CL58" s="18">
        <f t="shared" si="156"/>
        <v>2.2127468601129401</v>
      </c>
      <c r="CM58" s="18">
        <f t="shared" si="156"/>
        <v>1.9284795641203636</v>
      </c>
      <c r="CN58" s="18">
        <f t="shared" si="156"/>
        <v>2.4463969554531295</v>
      </c>
      <c r="CO58" s="18">
        <f t="shared" si="156"/>
        <v>2.5753676384256621</v>
      </c>
      <c r="CP58" s="18">
        <f t="shared" si="156"/>
        <v>1.8829461830562277</v>
      </c>
      <c r="CR58" s="68">
        <f t="shared" si="137"/>
        <v>-54.717139058034945</v>
      </c>
      <c r="CS58" s="69">
        <f t="shared" si="138"/>
        <v>30.010629157174197</v>
      </c>
      <c r="CT58" s="69">
        <f t="shared" si="139"/>
        <v>-24.706509900860748</v>
      </c>
    </row>
    <row r="59" spans="1:98" x14ac:dyDescent="0.2">
      <c r="A59" t="str">
        <f t="shared" si="103"/>
        <v>52 Skilled metal, electrical and electronic trades</v>
      </c>
      <c r="B59" s="18">
        <f t="shared" si="148"/>
        <v>0.23591397660669222</v>
      </c>
      <c r="C59" s="18">
        <f t="shared" si="148"/>
        <v>0.27288690604692667</v>
      </c>
      <c r="D59" s="18">
        <f t="shared" si="148"/>
        <v>0.21906342872705445</v>
      </c>
      <c r="E59" s="18">
        <f t="shared" si="148"/>
        <v>0.22177411761848442</v>
      </c>
      <c r="F59" s="18">
        <f t="shared" si="148"/>
        <v>0.24982151918612133</v>
      </c>
      <c r="H59" s="68">
        <f t="shared" si="105"/>
        <v>74.466960317869422</v>
      </c>
      <c r="I59" s="69">
        <f t="shared" si="106"/>
        <v>68.949069994806251</v>
      </c>
      <c r="J59" s="69">
        <f t="shared" si="107"/>
        <v>143.41603031267567</v>
      </c>
      <c r="L59" t="str">
        <f t="shared" si="140"/>
        <v>52 Skilled metal, electrical and electronic trades</v>
      </c>
      <c r="M59" s="18">
        <f t="shared" si="149"/>
        <v>0.6553559304018296</v>
      </c>
      <c r="N59" s="18">
        <f t="shared" si="149"/>
        <v>0.819517956528654</v>
      </c>
      <c r="O59" s="18">
        <f t="shared" si="149"/>
        <v>0.58922617924933329</v>
      </c>
      <c r="P59" s="18">
        <f t="shared" si="149"/>
        <v>0.74474348836117565</v>
      </c>
      <c r="Q59" s="18">
        <f t="shared" si="149"/>
        <v>0.87662536734586172</v>
      </c>
      <c r="S59" s="68">
        <f t="shared" si="109"/>
        <v>115.28419239756946</v>
      </c>
      <c r="T59" s="69">
        <f t="shared" si="110"/>
        <v>85.34086996599649</v>
      </c>
      <c r="U59" s="69">
        <f t="shared" si="111"/>
        <v>200.62506236356592</v>
      </c>
      <c r="W59" t="str">
        <f t="shared" si="141"/>
        <v>52 Skilled metal, electrical and electronic trades</v>
      </c>
      <c r="X59" s="18">
        <f t="shared" si="150"/>
        <v>1.3198121013983042</v>
      </c>
      <c r="Y59" s="18">
        <f t="shared" si="150"/>
        <v>1.2245868438240124</v>
      </c>
      <c r="Z59" s="18">
        <f t="shared" si="150"/>
        <v>0.85247869010675503</v>
      </c>
      <c r="AA59" s="18">
        <f t="shared" si="150"/>
        <v>0.95763594027855492</v>
      </c>
      <c r="AB59" s="18">
        <f t="shared" si="150"/>
        <v>0.89720618455903056</v>
      </c>
      <c r="AD59" s="68">
        <f t="shared" si="113"/>
        <v>43.871040222320829</v>
      </c>
      <c r="AE59" s="69">
        <f t="shared" si="114"/>
        <v>63.171283076953912</v>
      </c>
      <c r="AF59" s="69">
        <f t="shared" si="115"/>
        <v>107.04232329927474</v>
      </c>
      <c r="AH59" t="str">
        <f t="shared" si="142"/>
        <v>52 Skilled metal, electrical and electronic trades</v>
      </c>
      <c r="AI59" s="18">
        <f t="shared" si="151"/>
        <v>1.4413229686403441</v>
      </c>
      <c r="AJ59" s="18">
        <f t="shared" si="151"/>
        <v>1.4226175570435793</v>
      </c>
      <c r="AK59" s="18">
        <f t="shared" si="151"/>
        <v>1.0988757735055736</v>
      </c>
      <c r="AL59" s="18">
        <f t="shared" si="151"/>
        <v>1.2975328744234029</v>
      </c>
      <c r="AM59" s="18">
        <f t="shared" si="151"/>
        <v>1.4092056043108658</v>
      </c>
      <c r="AO59" s="68">
        <f t="shared" si="117"/>
        <v>38.029158936736152</v>
      </c>
      <c r="AP59" s="69">
        <f t="shared" si="118"/>
        <v>55.791683468930273</v>
      </c>
      <c r="AQ59" s="69">
        <f t="shared" si="119"/>
        <v>93.82084240566644</v>
      </c>
      <c r="AS59" t="str">
        <f t="shared" si="143"/>
        <v>52 Skilled metal, electrical and electronic trades</v>
      </c>
      <c r="AT59" s="18">
        <f t="shared" si="152"/>
        <v>7.2559341477429777</v>
      </c>
      <c r="AU59" s="18">
        <f t="shared" si="152"/>
        <v>6.7171508629192163</v>
      </c>
      <c r="AV59" s="18">
        <f t="shared" si="152"/>
        <v>5.072542711985081</v>
      </c>
      <c r="AW59" s="18">
        <f t="shared" si="152"/>
        <v>5.2564485734257049</v>
      </c>
      <c r="AX59" s="18">
        <f t="shared" si="152"/>
        <v>4.5955303457554955</v>
      </c>
      <c r="AZ59" s="68">
        <f t="shared" si="121"/>
        <v>9.8257751360140357</v>
      </c>
      <c r="BA59" s="69">
        <f t="shared" si="122"/>
        <v>47.918680953735198</v>
      </c>
      <c r="BB59" s="69">
        <f t="shared" si="123"/>
        <v>57.744456089749228</v>
      </c>
      <c r="BD59" t="str">
        <f t="shared" si="144"/>
        <v>52 Skilled metal, electrical and electronic trades</v>
      </c>
      <c r="BE59" s="18">
        <f t="shared" si="153"/>
        <v>9.7494394146664671</v>
      </c>
      <c r="BF59" s="18">
        <f t="shared" si="153"/>
        <v>9.4636539097015842</v>
      </c>
      <c r="BG59" s="18">
        <f t="shared" si="153"/>
        <v>8.5187850875090003</v>
      </c>
      <c r="BH59" s="18">
        <f t="shared" si="153"/>
        <v>7.6966729238988716</v>
      </c>
      <c r="BI59" s="18">
        <f t="shared" si="153"/>
        <v>6.7688193864182065</v>
      </c>
      <c r="BK59" s="68">
        <f t="shared" si="125"/>
        <v>-20.534302925611915</v>
      </c>
      <c r="BL59" s="69">
        <f t="shared" si="126"/>
        <v>30.165248871373979</v>
      </c>
      <c r="BM59" s="69">
        <f t="shared" si="127"/>
        <v>9.6309459457620665</v>
      </c>
      <c r="BO59" t="str">
        <f t="shared" si="145"/>
        <v>52 Skilled metal, electrical and electronic trades</v>
      </c>
      <c r="BP59" s="18">
        <f t="shared" si="154"/>
        <v>5.3663449296580463</v>
      </c>
      <c r="BQ59" s="18">
        <f t="shared" si="154"/>
        <v>5.4515213285876971</v>
      </c>
      <c r="BR59" s="18">
        <f t="shared" si="154"/>
        <v>4.4161185887973895</v>
      </c>
      <c r="BS59" s="18">
        <f t="shared" si="154"/>
        <v>4.5029728746909958</v>
      </c>
      <c r="BT59" s="18">
        <f t="shared" si="154"/>
        <v>4.3881932733580102</v>
      </c>
      <c r="BV59" s="68">
        <f t="shared" si="129"/>
        <v>-13.976457525085001</v>
      </c>
      <c r="BW59" s="69">
        <f t="shared" si="130"/>
        <v>33.385773046538723</v>
      </c>
      <c r="BX59" s="69">
        <f t="shared" si="131"/>
        <v>19.409315521453721</v>
      </c>
      <c r="BZ59" t="str">
        <f t="shared" si="146"/>
        <v>52 Skilled metal, electrical and electronic trades</v>
      </c>
      <c r="CA59" s="18">
        <f t="shared" si="155"/>
        <v>3.5164466115854469</v>
      </c>
      <c r="CB59" s="18">
        <f t="shared" si="155"/>
        <v>4.5068128826071723</v>
      </c>
      <c r="CC59" s="18">
        <f t="shared" si="155"/>
        <v>3.1366623087725443</v>
      </c>
      <c r="CD59" s="18">
        <f t="shared" si="155"/>
        <v>3.3969423328286918</v>
      </c>
      <c r="CE59" s="18">
        <f t="shared" si="155"/>
        <v>2.7478388588459794</v>
      </c>
      <c r="CG59" s="68">
        <f t="shared" si="133"/>
        <v>-48.953937171892207</v>
      </c>
      <c r="CH59" s="69">
        <f t="shared" si="134"/>
        <v>30.35648426745005</v>
      </c>
      <c r="CI59" s="69">
        <f t="shared" si="135"/>
        <v>-18.597452904442154</v>
      </c>
      <c r="CK59" t="str">
        <f t="shared" si="147"/>
        <v>52 Skilled metal, electrical and electronic trades</v>
      </c>
      <c r="CL59" s="18">
        <f t="shared" si="156"/>
        <v>3.2093225457710317</v>
      </c>
      <c r="CM59" s="18">
        <f t="shared" si="156"/>
        <v>3.4225417209155053</v>
      </c>
      <c r="CN59" s="18">
        <f t="shared" si="156"/>
        <v>3.2265038940841873</v>
      </c>
      <c r="CO59" s="18">
        <f t="shared" si="156"/>
        <v>3.0905935969509528</v>
      </c>
      <c r="CP59" s="18">
        <f t="shared" si="156"/>
        <v>3.0860689318636974</v>
      </c>
      <c r="CR59" s="68">
        <f t="shared" si="137"/>
        <v>-43.727487488077905</v>
      </c>
      <c r="CS59" s="69">
        <f t="shared" si="138"/>
        <v>27.782362460246524</v>
      </c>
      <c r="CT59" s="69">
        <f t="shared" si="139"/>
        <v>-15.945125027831375</v>
      </c>
    </row>
    <row r="60" spans="1:98" x14ac:dyDescent="0.2">
      <c r="A60" t="str">
        <f t="shared" si="103"/>
        <v>53 Skilled construction and building trades</v>
      </c>
      <c r="B60" s="18">
        <f t="shared" si="148"/>
        <v>7.384545817687739E-2</v>
      </c>
      <c r="C60" s="18">
        <f t="shared" si="148"/>
        <v>6.3389237715701222E-2</v>
      </c>
      <c r="D60" s="18">
        <f t="shared" si="148"/>
        <v>4.1944502167885298E-2</v>
      </c>
      <c r="E60" s="18">
        <f t="shared" si="148"/>
        <v>5.6755723603486075E-2</v>
      </c>
      <c r="F60" s="18">
        <f t="shared" si="148"/>
        <v>5.0530317341257631E-2</v>
      </c>
      <c r="H60" s="68">
        <f t="shared" si="105"/>
        <v>84.302069519353111</v>
      </c>
      <c r="I60" s="69">
        <f t="shared" si="106"/>
        <v>80.363469974589805</v>
      </c>
      <c r="J60" s="69">
        <f t="shared" si="107"/>
        <v>164.6655394939429</v>
      </c>
      <c r="L60" t="str">
        <f t="shared" si="140"/>
        <v>53 Skilled construction and building trades</v>
      </c>
      <c r="M60" s="18">
        <f t="shared" si="149"/>
        <v>0.34662124094609215</v>
      </c>
      <c r="N60" s="18">
        <f t="shared" si="149"/>
        <v>0.3422663458914863</v>
      </c>
      <c r="O60" s="18">
        <f t="shared" si="149"/>
        <v>0.24662697546719198</v>
      </c>
      <c r="P60" s="18">
        <f t="shared" si="149"/>
        <v>0.28473838280376779</v>
      </c>
      <c r="Q60" s="18">
        <f t="shared" si="149"/>
        <v>0.3111193626101299</v>
      </c>
      <c r="S60" s="68">
        <f t="shared" si="109"/>
        <v>82.543597842791883</v>
      </c>
      <c r="T60" s="69">
        <f t="shared" si="110"/>
        <v>81.503207942322405</v>
      </c>
      <c r="U60" s="69">
        <f t="shared" si="111"/>
        <v>164.04680578511432</v>
      </c>
      <c r="W60" t="str">
        <f t="shared" si="141"/>
        <v>53 Skilled construction and building trades</v>
      </c>
      <c r="X60" s="18">
        <f t="shared" si="150"/>
        <v>0.60347837850041142</v>
      </c>
      <c r="Y60" s="18">
        <f t="shared" si="150"/>
        <v>0.56487361369792288</v>
      </c>
      <c r="Z60" s="18">
        <f t="shared" si="150"/>
        <v>0.39522593664710787</v>
      </c>
      <c r="AA60" s="18">
        <f t="shared" si="150"/>
        <v>0.43878322374353562</v>
      </c>
      <c r="AB60" s="18">
        <f t="shared" si="150"/>
        <v>0.36384678684826605</v>
      </c>
      <c r="AD60" s="68">
        <f t="shared" si="113"/>
        <v>25.845521043596413</v>
      </c>
      <c r="AE60" s="69">
        <f t="shared" si="114"/>
        <v>63.551692950223014</v>
      </c>
      <c r="AF60" s="69">
        <f t="shared" si="115"/>
        <v>89.39721399381942</v>
      </c>
      <c r="AH60" t="str">
        <f t="shared" si="142"/>
        <v>53 Skilled construction and building trades</v>
      </c>
      <c r="AI60" s="18">
        <f t="shared" si="151"/>
        <v>1.1520546461866459</v>
      </c>
      <c r="AJ60" s="18">
        <f t="shared" si="151"/>
        <v>1.3024756357224381</v>
      </c>
      <c r="AK60" s="18">
        <f t="shared" si="151"/>
        <v>0.98502180452656596</v>
      </c>
      <c r="AL60" s="18">
        <f t="shared" si="151"/>
        <v>1.1888135002016158</v>
      </c>
      <c r="AM60" s="18">
        <f t="shared" si="151"/>
        <v>1.1538049560673787</v>
      </c>
      <c r="AO60" s="68">
        <f t="shared" si="117"/>
        <v>26.075771572872746</v>
      </c>
      <c r="AP60" s="69">
        <f t="shared" si="118"/>
        <v>65.180010669085206</v>
      </c>
      <c r="AQ60" s="69">
        <f t="shared" si="119"/>
        <v>91.255782241957959</v>
      </c>
      <c r="AS60" t="str">
        <f t="shared" si="143"/>
        <v>53 Skilled construction and building trades</v>
      </c>
      <c r="AT60" s="18">
        <f t="shared" si="152"/>
        <v>1.958831018205182</v>
      </c>
      <c r="AU60" s="18">
        <f t="shared" si="152"/>
        <v>2.094692495270805</v>
      </c>
      <c r="AV60" s="18">
        <f t="shared" si="152"/>
        <v>1.6217207842705514</v>
      </c>
      <c r="AW60" s="18">
        <f t="shared" si="152"/>
        <v>1.9304508049465239</v>
      </c>
      <c r="AX60" s="18">
        <f t="shared" si="152"/>
        <v>1.80178881281762</v>
      </c>
      <c r="AZ60" s="68">
        <f t="shared" si="121"/>
        <v>34.685906871941299</v>
      </c>
      <c r="BA60" s="69">
        <f t="shared" si="122"/>
        <v>69.554174683229363</v>
      </c>
      <c r="BB60" s="69">
        <f t="shared" si="123"/>
        <v>104.24008155517066</v>
      </c>
      <c r="BD60" t="str">
        <f t="shared" si="144"/>
        <v>53 Skilled construction and building trades</v>
      </c>
      <c r="BE60" s="18">
        <f t="shared" si="153"/>
        <v>6.2536412817979965</v>
      </c>
      <c r="BF60" s="18">
        <f t="shared" si="153"/>
        <v>6.4443352647563641</v>
      </c>
      <c r="BG60" s="18">
        <f t="shared" si="153"/>
        <v>5.5974654019762653</v>
      </c>
      <c r="BH60" s="18">
        <f t="shared" si="153"/>
        <v>4.9962762995007504</v>
      </c>
      <c r="BI60" s="18">
        <f t="shared" si="153"/>
        <v>4.1095321850520987</v>
      </c>
      <c r="BK60" s="68">
        <f t="shared" si="125"/>
        <v>-26.57475544527567</v>
      </c>
      <c r="BL60" s="69">
        <f t="shared" si="126"/>
        <v>32.114441714514733</v>
      </c>
      <c r="BM60" s="69">
        <f t="shared" si="127"/>
        <v>5.5396862692390556</v>
      </c>
      <c r="BO60" t="str">
        <f t="shared" si="145"/>
        <v>53 Skilled construction and building trades</v>
      </c>
      <c r="BP60" s="18">
        <f t="shared" si="154"/>
        <v>5.3225036035951332</v>
      </c>
      <c r="BQ60" s="18">
        <f t="shared" si="154"/>
        <v>6.2919988420002602</v>
      </c>
      <c r="BR60" s="18">
        <f t="shared" si="154"/>
        <v>5.1190856010251125</v>
      </c>
      <c r="BS60" s="18">
        <f t="shared" si="154"/>
        <v>5.9368098878919309</v>
      </c>
      <c r="BT60" s="18">
        <f t="shared" si="154"/>
        <v>6.7887518606047204</v>
      </c>
      <c r="BV60" s="68">
        <f t="shared" si="129"/>
        <v>14.807390502874332</v>
      </c>
      <c r="BW60" s="69">
        <f t="shared" si="130"/>
        <v>47.918989626623443</v>
      </c>
      <c r="BX60" s="69">
        <f t="shared" si="131"/>
        <v>62.72638012949777</v>
      </c>
      <c r="BZ60" t="str">
        <f t="shared" si="146"/>
        <v>53 Skilled construction and building trades</v>
      </c>
      <c r="CA60" s="18">
        <f t="shared" si="155"/>
        <v>3.4850400771751042</v>
      </c>
      <c r="CB60" s="18">
        <f t="shared" si="155"/>
        <v>4.8929488932317948</v>
      </c>
      <c r="CC60" s="18">
        <f t="shared" si="155"/>
        <v>3.3468134800917397</v>
      </c>
      <c r="CD60" s="18">
        <f t="shared" si="155"/>
        <v>3.8375110561025707</v>
      </c>
      <c r="CE60" s="18">
        <f t="shared" si="155"/>
        <v>4.3294091130677659</v>
      </c>
      <c r="CG60" s="68">
        <f t="shared" si="133"/>
        <v>-24.623516518622242</v>
      </c>
      <c r="CH60" s="69">
        <f t="shared" si="134"/>
        <v>38.480527331125373</v>
      </c>
      <c r="CI60" s="69">
        <f t="shared" si="135"/>
        <v>13.857010812503123</v>
      </c>
      <c r="CK60" t="str">
        <f t="shared" si="147"/>
        <v>53 Skilled construction and building trades</v>
      </c>
      <c r="CL60" s="18">
        <f t="shared" si="156"/>
        <v>4.1882228215802844</v>
      </c>
      <c r="CM60" s="18">
        <f t="shared" si="156"/>
        <v>5.1312304560682414</v>
      </c>
      <c r="CN60" s="18">
        <f t="shared" si="156"/>
        <v>4.7355670819535023</v>
      </c>
      <c r="CO60" s="18">
        <f t="shared" si="156"/>
        <v>3.6734480475654925</v>
      </c>
      <c r="CP60" s="18">
        <f t="shared" si="156"/>
        <v>0.99129063891621183</v>
      </c>
      <c r="CR60" s="68">
        <f t="shared" si="137"/>
        <v>-87.684504508887144</v>
      </c>
      <c r="CS60" s="69">
        <f t="shared" si="138"/>
        <v>15.496243746409075</v>
      </c>
      <c r="CT60" s="69">
        <f t="shared" si="139"/>
        <v>-72.18826076247808</v>
      </c>
    </row>
    <row r="61" spans="1:98" x14ac:dyDescent="0.2">
      <c r="A61" t="str">
        <f t="shared" si="103"/>
        <v>54 Textiles, printing and other skilled trades</v>
      </c>
      <c r="B61" s="18">
        <f t="shared" si="148"/>
        <v>0.53300353592322081</v>
      </c>
      <c r="C61" s="18">
        <f t="shared" si="148"/>
        <v>0.3797517383473728</v>
      </c>
      <c r="D61" s="18">
        <f t="shared" si="148"/>
        <v>0.30524933342463739</v>
      </c>
      <c r="E61" s="18">
        <f t="shared" si="148"/>
        <v>0.30761770164046148</v>
      </c>
      <c r="F61" s="18">
        <f t="shared" si="148"/>
        <v>0.30829751174217901</v>
      </c>
      <c r="H61" s="68">
        <f t="shared" si="105"/>
        <v>54.514245561666186</v>
      </c>
      <c r="I61" s="69">
        <f t="shared" si="106"/>
        <v>77.824415126622483</v>
      </c>
      <c r="J61" s="69">
        <f t="shared" si="107"/>
        <v>132.33866068828868</v>
      </c>
      <c r="L61" t="str">
        <f t="shared" si="140"/>
        <v>54 Textiles, printing and other skilled trades</v>
      </c>
      <c r="M61" s="18">
        <f t="shared" si="149"/>
        <v>0.57529739145277548</v>
      </c>
      <c r="N61" s="18">
        <f t="shared" si="149"/>
        <v>0.4989332224534318</v>
      </c>
      <c r="O61" s="18">
        <f t="shared" si="149"/>
        <v>0.55479654293384928</v>
      </c>
      <c r="P61" s="18">
        <f t="shared" si="149"/>
        <v>0.56638379826664986</v>
      </c>
      <c r="Q61" s="18">
        <f t="shared" si="149"/>
        <v>0.60249390748455189</v>
      </c>
      <c r="S61" s="68">
        <f t="shared" si="109"/>
        <v>57.144453131733385</v>
      </c>
      <c r="T61" s="69">
        <f t="shared" si="110"/>
        <v>81.218700759538748</v>
      </c>
      <c r="U61" s="69">
        <f t="shared" si="111"/>
        <v>138.36315389127213</v>
      </c>
      <c r="W61" t="str">
        <f t="shared" si="141"/>
        <v>54 Textiles, printing and other skilled trades</v>
      </c>
      <c r="X61" s="18">
        <f t="shared" si="150"/>
        <v>0.99318289647115798</v>
      </c>
      <c r="Y61" s="18">
        <f t="shared" si="150"/>
        <v>0.92002889212369987</v>
      </c>
      <c r="Z61" s="18">
        <f t="shared" si="150"/>
        <v>0.772466145923</v>
      </c>
      <c r="AA61" s="18">
        <f t="shared" si="150"/>
        <v>0.85651651382718774</v>
      </c>
      <c r="AB61" s="18">
        <f t="shared" si="150"/>
        <v>0.84610520534393951</v>
      </c>
      <c r="AD61" s="68">
        <f t="shared" si="113"/>
        <v>49.730256424689351</v>
      </c>
      <c r="AE61" s="69">
        <f t="shared" si="114"/>
        <v>79.655737611888725</v>
      </c>
      <c r="AF61" s="69">
        <f t="shared" si="115"/>
        <v>129.38599403657807</v>
      </c>
      <c r="AH61" t="str">
        <f t="shared" si="142"/>
        <v>54 Textiles, printing and other skilled trades</v>
      </c>
      <c r="AI61" s="18">
        <f t="shared" si="151"/>
        <v>1.1482455688697273</v>
      </c>
      <c r="AJ61" s="18">
        <f t="shared" si="151"/>
        <v>1.1477777418647612</v>
      </c>
      <c r="AK61" s="18">
        <f t="shared" si="151"/>
        <v>1.2213290863297137</v>
      </c>
      <c r="AL61" s="18">
        <f t="shared" si="151"/>
        <v>1.4144295887672982</v>
      </c>
      <c r="AM61" s="18">
        <f t="shared" si="151"/>
        <v>1.7366952433859515</v>
      </c>
      <c r="AO61" s="68">
        <f t="shared" si="117"/>
        <v>53.05093725986498</v>
      </c>
      <c r="AP61" s="69">
        <f t="shared" si="118"/>
        <v>78.980631740874088</v>
      </c>
      <c r="AQ61" s="69">
        <f t="shared" si="119"/>
        <v>132.03156900073907</v>
      </c>
      <c r="AS61" t="str">
        <f t="shared" si="143"/>
        <v>54 Textiles, printing and other skilled trades</v>
      </c>
      <c r="AT61" s="18">
        <f t="shared" si="152"/>
        <v>1.4181712094297245</v>
      </c>
      <c r="AU61" s="18">
        <f t="shared" si="152"/>
        <v>1.2204117699555233</v>
      </c>
      <c r="AV61" s="18">
        <f t="shared" si="152"/>
        <v>1.1656899323987131</v>
      </c>
      <c r="AW61" s="18">
        <f t="shared" si="152"/>
        <v>1.241438525968231</v>
      </c>
      <c r="AX61" s="18">
        <f t="shared" si="152"/>
        <v>1.1299062318004127</v>
      </c>
      <c r="AZ61" s="68">
        <f t="shared" si="121"/>
        <v>17.504286501167641</v>
      </c>
      <c r="BA61" s="69">
        <f t="shared" si="122"/>
        <v>65.62844782028337</v>
      </c>
      <c r="BB61" s="69">
        <f t="shared" si="123"/>
        <v>83.132734321451011</v>
      </c>
      <c r="BD61" t="str">
        <f t="shared" si="144"/>
        <v>54 Textiles, printing and other skilled trades</v>
      </c>
      <c r="BE61" s="18">
        <f t="shared" si="153"/>
        <v>2.5353119610573343</v>
      </c>
      <c r="BF61" s="18">
        <f t="shared" si="153"/>
        <v>2.1049918390414635</v>
      </c>
      <c r="BG61" s="18">
        <f t="shared" si="153"/>
        <v>1.9736742908142373</v>
      </c>
      <c r="BH61" s="18">
        <f t="shared" si="153"/>
        <v>2.0965687958666983</v>
      </c>
      <c r="BI61" s="18">
        <f t="shared" si="153"/>
        <v>2.1700140293516106</v>
      </c>
      <c r="BK61" s="68">
        <f t="shared" si="125"/>
        <v>9.9591796320590511</v>
      </c>
      <c r="BL61" s="69">
        <f t="shared" si="126"/>
        <v>45.596851685821285</v>
      </c>
      <c r="BM61" s="69">
        <f t="shared" si="127"/>
        <v>55.55603131788034</v>
      </c>
      <c r="BO61" t="str">
        <f t="shared" si="145"/>
        <v>54 Textiles, printing and other skilled trades</v>
      </c>
      <c r="BP61" s="18">
        <f t="shared" si="154"/>
        <v>2.6664517207715539</v>
      </c>
      <c r="BQ61" s="18">
        <f t="shared" si="154"/>
        <v>2.2651966914422434</v>
      </c>
      <c r="BR61" s="18">
        <f t="shared" si="154"/>
        <v>2.246538593535139</v>
      </c>
      <c r="BS61" s="18">
        <f t="shared" si="154"/>
        <v>2.0015534345918895</v>
      </c>
      <c r="BT61" s="18">
        <f t="shared" si="154"/>
        <v>1.8561504383921603</v>
      </c>
      <c r="BV61" s="68">
        <f t="shared" si="129"/>
        <v>-28.472739584437186</v>
      </c>
      <c r="BW61" s="69">
        <f t="shared" si="130"/>
        <v>32.134595713225345</v>
      </c>
      <c r="BX61" s="69">
        <f t="shared" si="131"/>
        <v>3.6618561287881648</v>
      </c>
      <c r="BZ61" t="str">
        <f t="shared" si="146"/>
        <v>54 Textiles, printing and other skilled trades</v>
      </c>
      <c r="CA61" s="18">
        <f t="shared" si="155"/>
        <v>2.909822533749777</v>
      </c>
      <c r="CB61" s="18">
        <f t="shared" si="155"/>
        <v>2.6703976744385005</v>
      </c>
      <c r="CC61" s="18">
        <f t="shared" si="155"/>
        <v>2.6956279970040216</v>
      </c>
      <c r="CD61" s="18">
        <f t="shared" si="155"/>
        <v>2.7911461361897727</v>
      </c>
      <c r="CE61" s="18">
        <f t="shared" si="155"/>
        <v>2.8169429628627825</v>
      </c>
      <c r="CG61" s="68">
        <f t="shared" si="133"/>
        <v>-39.108475079211843</v>
      </c>
      <c r="CH61" s="69">
        <f t="shared" si="134"/>
        <v>31.293540206084579</v>
      </c>
      <c r="CI61" s="69">
        <f t="shared" si="135"/>
        <v>-7.8149348731272594</v>
      </c>
      <c r="CK61" t="str">
        <f t="shared" si="147"/>
        <v>54 Textiles, printing and other skilled trades</v>
      </c>
      <c r="CL61" s="18">
        <f t="shared" si="156"/>
        <v>3.6709840976387498</v>
      </c>
      <c r="CM61" s="18">
        <f t="shared" si="156"/>
        <v>3.5348689614431246</v>
      </c>
      <c r="CN61" s="18">
        <f t="shared" si="156"/>
        <v>3.727836833000806</v>
      </c>
      <c r="CO61" s="18">
        <f t="shared" si="156"/>
        <v>3.7187507668603037</v>
      </c>
      <c r="CP61" s="18">
        <f t="shared" si="156"/>
        <v>4.0097872375623433</v>
      </c>
      <c r="CR61" s="68">
        <f t="shared" si="137"/>
        <v>-36.71696320277578</v>
      </c>
      <c r="CS61" s="69">
        <f t="shared" si="138"/>
        <v>27.281183124475078</v>
      </c>
      <c r="CT61" s="69">
        <f t="shared" si="139"/>
        <v>-9.4357800783007022</v>
      </c>
    </row>
    <row r="62" spans="1:98" x14ac:dyDescent="0.2">
      <c r="A62" t="str">
        <f t="shared" si="103"/>
        <v>61 Caring personal service occupations</v>
      </c>
      <c r="B62" s="18">
        <f t="shared" si="148"/>
        <v>0.32919537600349674</v>
      </c>
      <c r="C62" s="18">
        <f t="shared" si="148"/>
        <v>0.30024498888504253</v>
      </c>
      <c r="D62" s="18">
        <f t="shared" si="148"/>
        <v>0.27121440980882838</v>
      </c>
      <c r="E62" s="18">
        <f t="shared" si="148"/>
        <v>0.2755542411263151</v>
      </c>
      <c r="F62" s="18">
        <f t="shared" si="148"/>
        <v>0.27374630539088946</v>
      </c>
      <c r="H62" s="68">
        <f t="shared" si="105"/>
        <v>54.414733656774786</v>
      </c>
      <c r="I62" s="69">
        <f t="shared" si="106"/>
        <v>80.99062892440395</v>
      </c>
      <c r="J62" s="69">
        <f t="shared" si="107"/>
        <v>135.40536258117874</v>
      </c>
      <c r="L62" t="str">
        <f t="shared" si="140"/>
        <v>61 Caring personal service occupations</v>
      </c>
      <c r="M62" s="18">
        <f t="shared" si="149"/>
        <v>2.6789794393759832</v>
      </c>
      <c r="N62" s="18">
        <f t="shared" si="149"/>
        <v>2.6380192793197139</v>
      </c>
      <c r="O62" s="18">
        <f t="shared" si="149"/>
        <v>2.4136755435846204</v>
      </c>
      <c r="P62" s="18">
        <f t="shared" si="149"/>
        <v>2.472714747300309</v>
      </c>
      <c r="Q62" s="18">
        <f t="shared" si="149"/>
        <v>2.4231051692425276</v>
      </c>
      <c r="S62" s="68">
        <f t="shared" si="109"/>
        <v>45.269190558630896</v>
      </c>
      <c r="T62" s="69">
        <f t="shared" si="110"/>
        <v>82.468364869621482</v>
      </c>
      <c r="U62" s="69">
        <f t="shared" si="111"/>
        <v>127.73755542825238</v>
      </c>
      <c r="W62" t="str">
        <f t="shared" si="141"/>
        <v>61 Caring personal service occupations</v>
      </c>
      <c r="X62" s="18">
        <f t="shared" si="150"/>
        <v>4.2603015502722785</v>
      </c>
      <c r="Y62" s="18">
        <f t="shared" si="150"/>
        <v>4.6653854331211289</v>
      </c>
      <c r="Z62" s="18">
        <f t="shared" si="150"/>
        <v>4.3724108001371089</v>
      </c>
      <c r="AA62" s="18">
        <f t="shared" si="150"/>
        <v>4.6282754054192727</v>
      </c>
      <c r="AB62" s="18">
        <f t="shared" si="150"/>
        <v>4.7464152028154984</v>
      </c>
      <c r="AD62" s="68">
        <f t="shared" si="113"/>
        <v>48.391636583567575</v>
      </c>
      <c r="AE62" s="69">
        <f t="shared" si="114"/>
        <v>83.592845863365497</v>
      </c>
      <c r="AF62" s="69">
        <f t="shared" si="115"/>
        <v>131.98448244693307</v>
      </c>
      <c r="AH62" t="str">
        <f t="shared" si="142"/>
        <v>61 Caring personal service occupations</v>
      </c>
      <c r="AI62" s="18">
        <f t="shared" si="151"/>
        <v>11.170587914965472</v>
      </c>
      <c r="AJ62" s="18">
        <f t="shared" si="151"/>
        <v>11.618480830310379</v>
      </c>
      <c r="AK62" s="18">
        <f t="shared" si="151"/>
        <v>11.621902327926929</v>
      </c>
      <c r="AL62" s="18">
        <f t="shared" si="151"/>
        <v>12.272841961780699</v>
      </c>
      <c r="AM62" s="18">
        <f t="shared" si="151"/>
        <v>12.075466107018942</v>
      </c>
      <c r="AO62" s="68">
        <f t="shared" si="117"/>
        <v>11.833459777682352</v>
      </c>
      <c r="AP62" s="69">
        <f t="shared" si="118"/>
        <v>62.564547677782237</v>
      </c>
      <c r="AQ62" s="69">
        <f t="shared" si="119"/>
        <v>74.39800745546458</v>
      </c>
      <c r="AS62" t="str">
        <f t="shared" si="143"/>
        <v>61 Caring personal service occupations</v>
      </c>
      <c r="AT62" s="18">
        <f t="shared" si="152"/>
        <v>6.8676938812895481</v>
      </c>
      <c r="AU62" s="18">
        <f t="shared" si="152"/>
        <v>7.1421773107694317</v>
      </c>
      <c r="AV62" s="18">
        <f t="shared" si="152"/>
        <v>7.2007335570821214</v>
      </c>
      <c r="AW62" s="18">
        <f t="shared" si="152"/>
        <v>7.0622558944833367</v>
      </c>
      <c r="AX62" s="18">
        <f t="shared" si="152"/>
        <v>6.6606855839856678</v>
      </c>
      <c r="AZ62" s="68">
        <f t="shared" si="121"/>
        <v>12.133800951132278</v>
      </c>
      <c r="BA62" s="69">
        <f t="shared" si="122"/>
        <v>65.220788590331466</v>
      </c>
      <c r="BB62" s="69">
        <f t="shared" si="123"/>
        <v>77.354589541463753</v>
      </c>
      <c r="BD62" t="str">
        <f t="shared" si="144"/>
        <v>61 Caring personal service occupations</v>
      </c>
      <c r="BE62" s="18">
        <f t="shared" si="153"/>
        <v>10.301043849619385</v>
      </c>
      <c r="BF62" s="18">
        <f t="shared" si="153"/>
        <v>11.062482520157587</v>
      </c>
      <c r="BG62" s="18">
        <f t="shared" si="153"/>
        <v>10.133080397202692</v>
      </c>
      <c r="BH62" s="18">
        <f t="shared" si="153"/>
        <v>12.292498899956893</v>
      </c>
      <c r="BI62" s="18">
        <f t="shared" si="153"/>
        <v>13.337660741693542</v>
      </c>
      <c r="BK62" s="68">
        <f t="shared" si="125"/>
        <v>31.638404995711888</v>
      </c>
      <c r="BL62" s="69">
        <f t="shared" si="126"/>
        <v>69.75512883682039</v>
      </c>
      <c r="BM62" s="69">
        <f t="shared" si="127"/>
        <v>101.39353383253227</v>
      </c>
      <c r="BO62" t="str">
        <f t="shared" si="145"/>
        <v>61 Caring personal service occupations</v>
      </c>
      <c r="BP62" s="18">
        <f t="shared" si="154"/>
        <v>8.5105902400811893</v>
      </c>
      <c r="BQ62" s="18">
        <f t="shared" si="154"/>
        <v>7.6094905333867331</v>
      </c>
      <c r="BR62" s="18">
        <f t="shared" si="154"/>
        <v>7.8057745439119461</v>
      </c>
      <c r="BS62" s="18">
        <f t="shared" si="154"/>
        <v>7.3555505294957895</v>
      </c>
      <c r="BT62" s="18">
        <f t="shared" si="154"/>
        <v>5.8605102349717262</v>
      </c>
      <c r="BV62" s="68">
        <f t="shared" si="129"/>
        <v>-35.003236989948569</v>
      </c>
      <c r="BW62" s="69">
        <f t="shared" si="130"/>
        <v>40.254540648168849</v>
      </c>
      <c r="BX62" s="69">
        <f t="shared" si="131"/>
        <v>5.2513036582202774</v>
      </c>
      <c r="BZ62" t="str">
        <f t="shared" si="146"/>
        <v>61 Caring personal service occupations</v>
      </c>
      <c r="CA62" s="18">
        <f t="shared" si="155"/>
        <v>4.4733058989535701</v>
      </c>
      <c r="CB62" s="18">
        <f t="shared" si="155"/>
        <v>2.2608322631546574</v>
      </c>
      <c r="CC62" s="18">
        <f t="shared" si="155"/>
        <v>2.3761668783401868</v>
      </c>
      <c r="CD62" s="18">
        <f t="shared" si="155"/>
        <v>1.9383561867327821</v>
      </c>
      <c r="CE62" s="18">
        <f t="shared" si="155"/>
        <v>2.5891434583344148</v>
      </c>
      <c r="CG62" s="68">
        <f t="shared" si="133"/>
        <v>-36.508157308310238</v>
      </c>
      <c r="CH62" s="69">
        <f t="shared" si="134"/>
        <v>24.807729233144617</v>
      </c>
      <c r="CI62" s="69">
        <f t="shared" si="135"/>
        <v>-11.700428075165622</v>
      </c>
      <c r="CK62" t="str">
        <f t="shared" si="147"/>
        <v>61 Caring personal service occupations</v>
      </c>
      <c r="CL62" s="18">
        <f t="shared" si="156"/>
        <v>1.6124731179608407</v>
      </c>
      <c r="CM62" s="18">
        <f t="shared" si="156"/>
        <v>1.8626158530229606</v>
      </c>
      <c r="CN62" s="18">
        <f t="shared" si="156"/>
        <v>1.9865462240057272</v>
      </c>
      <c r="CO62" s="18">
        <f t="shared" si="156"/>
        <v>2.6763776423271981</v>
      </c>
      <c r="CP62" s="18">
        <f t="shared" si="156"/>
        <v>3.7084449418860528</v>
      </c>
      <c r="CR62" s="68">
        <f t="shared" si="137"/>
        <v>9.8287493560056269</v>
      </c>
      <c r="CS62" s="69">
        <f t="shared" si="138"/>
        <v>33.279128949914814</v>
      </c>
      <c r="CT62" s="69">
        <f t="shared" si="139"/>
        <v>43.10787830592043</v>
      </c>
    </row>
    <row r="63" spans="1:98" x14ac:dyDescent="0.2">
      <c r="A63" t="str">
        <f t="shared" si="103"/>
        <v>62 Leisure, travel and related personal service occupations</v>
      </c>
      <c r="B63" s="18">
        <f t="shared" si="148"/>
        <v>0.21630833335353059</v>
      </c>
      <c r="C63" s="18">
        <f t="shared" si="148"/>
        <v>0.13683395229551931</v>
      </c>
      <c r="D63" s="18">
        <f t="shared" si="148"/>
        <v>0.19962527704223404</v>
      </c>
      <c r="E63" s="18">
        <f t="shared" si="148"/>
        <v>0.20528000511222089</v>
      </c>
      <c r="F63" s="18">
        <f t="shared" si="148"/>
        <v>0.23259905949610493</v>
      </c>
      <c r="H63" s="68">
        <f t="shared" si="105"/>
        <v>78.256614033539691</v>
      </c>
      <c r="I63" s="69">
        <f t="shared" si="106"/>
        <v>83.735362235695092</v>
      </c>
      <c r="J63" s="69">
        <f t="shared" si="107"/>
        <v>161.99197626923475</v>
      </c>
      <c r="L63" t="str">
        <f t="shared" si="140"/>
        <v>62 Leisure, travel and related personal service occupations</v>
      </c>
      <c r="M63" s="18">
        <f t="shared" si="149"/>
        <v>0.50929714229147738</v>
      </c>
      <c r="N63" s="18">
        <f t="shared" si="149"/>
        <v>0.58309828197327218</v>
      </c>
      <c r="O63" s="18">
        <f t="shared" si="149"/>
        <v>0.48935189564033044</v>
      </c>
      <c r="P63" s="18">
        <f t="shared" si="149"/>
        <v>0.48502575670122317</v>
      </c>
      <c r="Q63" s="18">
        <f t="shared" si="149"/>
        <v>0.49137898434020749</v>
      </c>
      <c r="S63" s="68">
        <f t="shared" si="109"/>
        <v>45.303289334918539</v>
      </c>
      <c r="T63" s="69">
        <f t="shared" si="110"/>
        <v>78.392343909993897</v>
      </c>
      <c r="U63" s="69">
        <f t="shared" si="111"/>
        <v>123.69563324491244</v>
      </c>
      <c r="W63" t="str">
        <f t="shared" si="141"/>
        <v>62 Leisure, travel and related personal service occupations</v>
      </c>
      <c r="X63" s="18">
        <f t="shared" si="150"/>
        <v>1.05662521960319</v>
      </c>
      <c r="Y63" s="18">
        <f t="shared" si="150"/>
        <v>1.3086369777200935</v>
      </c>
      <c r="Z63" s="18">
        <f t="shared" si="150"/>
        <v>1.2012706680574023</v>
      </c>
      <c r="AA63" s="18">
        <f t="shared" si="150"/>
        <v>1.2916584301009078</v>
      </c>
      <c r="AB63" s="18">
        <f t="shared" si="150"/>
        <v>1.4235059937339365</v>
      </c>
      <c r="AD63" s="68">
        <f t="shared" si="113"/>
        <v>61.988089689504214</v>
      </c>
      <c r="AE63" s="69">
        <f t="shared" si="114"/>
        <v>84.49356204524625</v>
      </c>
      <c r="AF63" s="69">
        <f t="shared" si="115"/>
        <v>146.48165173475047</v>
      </c>
      <c r="AH63" t="str">
        <f t="shared" si="142"/>
        <v>62 Leisure, travel and related personal service occupations</v>
      </c>
      <c r="AI63" s="18">
        <f t="shared" si="151"/>
        <v>1.9212824862670379</v>
      </c>
      <c r="AJ63" s="18">
        <f t="shared" si="151"/>
        <v>2.6946648786115817</v>
      </c>
      <c r="AK63" s="18">
        <f t="shared" si="151"/>
        <v>2.6029749000760258</v>
      </c>
      <c r="AL63" s="18">
        <f t="shared" si="151"/>
        <v>3.0387200038319389</v>
      </c>
      <c r="AM63" s="18">
        <f t="shared" si="151"/>
        <v>3.9307482167527623</v>
      </c>
      <c r="AO63" s="68">
        <f t="shared" si="117"/>
        <v>62.536283281915154</v>
      </c>
      <c r="AP63" s="69">
        <f t="shared" si="118"/>
        <v>83.248518362867586</v>
      </c>
      <c r="AQ63" s="69">
        <f t="shared" si="119"/>
        <v>145.78480164478273</v>
      </c>
      <c r="AS63" t="str">
        <f t="shared" si="143"/>
        <v>62 Leisure, travel and related personal service occupations</v>
      </c>
      <c r="AT63" s="18">
        <f t="shared" si="152"/>
        <v>2.7693015710113964</v>
      </c>
      <c r="AU63" s="18">
        <f t="shared" si="152"/>
        <v>3.7491509962893668</v>
      </c>
      <c r="AV63" s="18">
        <f t="shared" si="152"/>
        <v>3.8464031026231096</v>
      </c>
      <c r="AW63" s="18">
        <f t="shared" si="152"/>
        <v>4.1542725678967063</v>
      </c>
      <c r="AX63" s="18">
        <f t="shared" si="152"/>
        <v>5.0861443827002839</v>
      </c>
      <c r="AZ63" s="68">
        <f t="shared" si="121"/>
        <v>60.298050167344442</v>
      </c>
      <c r="BA63" s="69">
        <f t="shared" si="122"/>
        <v>80.829508659891047</v>
      </c>
      <c r="BB63" s="69">
        <f t="shared" si="123"/>
        <v>141.12755882723548</v>
      </c>
      <c r="BD63" t="str">
        <f t="shared" si="144"/>
        <v>62 Leisure, travel and related personal service occupations</v>
      </c>
      <c r="BE63" s="18">
        <f t="shared" si="153"/>
        <v>2.421974119695955</v>
      </c>
      <c r="BF63" s="18">
        <f t="shared" si="153"/>
        <v>2.7224628536449265</v>
      </c>
      <c r="BG63" s="18">
        <f t="shared" si="153"/>
        <v>2.3670796567724599</v>
      </c>
      <c r="BH63" s="18">
        <f t="shared" si="153"/>
        <v>2.4395279662865383</v>
      </c>
      <c r="BI63" s="18">
        <f t="shared" si="153"/>
        <v>2.4793044944023266</v>
      </c>
      <c r="BK63" s="68">
        <f t="shared" si="125"/>
        <v>4.7517840150833699</v>
      </c>
      <c r="BL63" s="69">
        <f t="shared" si="126"/>
        <v>47.468716863436526</v>
      </c>
      <c r="BM63" s="69">
        <f t="shared" si="127"/>
        <v>52.220500878519893</v>
      </c>
      <c r="BO63" t="str">
        <f t="shared" si="145"/>
        <v>62 Leisure, travel and related personal service occupations</v>
      </c>
      <c r="BP63" s="18">
        <f t="shared" si="154"/>
        <v>2.6228459936517732</v>
      </c>
      <c r="BQ63" s="18">
        <f t="shared" si="154"/>
        <v>2.8044660390330196</v>
      </c>
      <c r="BR63" s="18">
        <f t="shared" si="154"/>
        <v>2.623324453522498</v>
      </c>
      <c r="BS63" s="18">
        <f t="shared" si="154"/>
        <v>2.3296788502264851</v>
      </c>
      <c r="BT63" s="18">
        <f t="shared" si="154"/>
        <v>2.0336152765884017</v>
      </c>
      <c r="BV63" s="68">
        <f t="shared" si="129"/>
        <v>-32.889713798468549</v>
      </c>
      <c r="BW63" s="69">
        <f t="shared" si="130"/>
        <v>37.037136152204859</v>
      </c>
      <c r="BX63" s="69">
        <f t="shared" si="131"/>
        <v>4.1474223537363164</v>
      </c>
      <c r="BZ63" t="str">
        <f t="shared" si="146"/>
        <v>62 Leisure, travel and related personal service occupations</v>
      </c>
      <c r="CA63" s="18">
        <f t="shared" si="155"/>
        <v>2.8292337480851399</v>
      </c>
      <c r="CB63" s="18">
        <f t="shared" si="155"/>
        <v>2.7568223291593132</v>
      </c>
      <c r="CC63" s="18">
        <f t="shared" si="155"/>
        <v>3.0082176261460125</v>
      </c>
      <c r="CD63" s="18">
        <f t="shared" si="155"/>
        <v>3.0008165863004392</v>
      </c>
      <c r="CE63" s="18">
        <f t="shared" si="155"/>
        <v>3.1041939364220248</v>
      </c>
      <c r="CG63" s="68">
        <f t="shared" si="133"/>
        <v>-39.871779675877924</v>
      </c>
      <c r="CH63" s="69">
        <f t="shared" si="134"/>
        <v>34.204296472861309</v>
      </c>
      <c r="CI63" s="69">
        <f t="shared" si="135"/>
        <v>-5.6674832030166131</v>
      </c>
      <c r="CK63" t="str">
        <f t="shared" si="147"/>
        <v>62 Leisure, travel and related personal service occupations</v>
      </c>
      <c r="CL63" s="18">
        <f t="shared" si="156"/>
        <v>3.1662384601477607</v>
      </c>
      <c r="CM63" s="18">
        <f t="shared" si="156"/>
        <v>3.0149749304096858</v>
      </c>
      <c r="CN63" s="18">
        <f t="shared" si="156"/>
        <v>2.866522678253475</v>
      </c>
      <c r="CO63" s="18">
        <f t="shared" si="156"/>
        <v>2.8970010670482313</v>
      </c>
      <c r="CP63" s="18">
        <f t="shared" si="156"/>
        <v>3.1147868623064516</v>
      </c>
      <c r="CR63" s="68">
        <f t="shared" si="137"/>
        <v>-36.071306371388282</v>
      </c>
      <c r="CS63" s="69">
        <f t="shared" si="138"/>
        <v>26.520523774227467</v>
      </c>
      <c r="CT63" s="69">
        <f t="shared" si="139"/>
        <v>-9.5507825971608202</v>
      </c>
    </row>
    <row r="64" spans="1:98" x14ac:dyDescent="0.2">
      <c r="A64" t="str">
        <f t="shared" si="103"/>
        <v>63 Community and civil enforcement occupations</v>
      </c>
      <c r="B64" s="18">
        <f t="shared" si="148"/>
        <v>1.4686835580346466E-2</v>
      </c>
      <c r="C64" s="18">
        <f t="shared" si="148"/>
        <v>1.7480205514595379E-2</v>
      </c>
      <c r="D64" s="18">
        <f t="shared" si="148"/>
        <v>1.602039307134679E-2</v>
      </c>
      <c r="E64" s="18">
        <f t="shared" si="148"/>
        <v>1.6599807529247761E-2</v>
      </c>
      <c r="F64" s="18">
        <f t="shared" si="148"/>
        <v>1.8284928572981828E-2</v>
      </c>
      <c r="H64" s="68">
        <f t="shared" si="105"/>
        <v>74.611696136184548</v>
      </c>
      <c r="I64" s="69">
        <f t="shared" si="106"/>
        <v>84.003615349534599</v>
      </c>
      <c r="J64" s="69">
        <f t="shared" si="107"/>
        <v>158.61531148571913</v>
      </c>
      <c r="L64" t="str">
        <f t="shared" si="140"/>
        <v>63 Community and civil enforcement occupations</v>
      </c>
      <c r="M64" s="18">
        <f t="shared" si="149"/>
        <v>3.9273912913785639E-2</v>
      </c>
      <c r="N64" s="18">
        <f t="shared" si="149"/>
        <v>3.8493156196545253E-2</v>
      </c>
      <c r="O64" s="18">
        <f t="shared" si="149"/>
        <v>4.4715892879237107E-2</v>
      </c>
      <c r="P64" s="18">
        <f t="shared" si="149"/>
        <v>3.8460658358002137E-2</v>
      </c>
      <c r="Q64" s="18">
        <f t="shared" si="149"/>
        <v>4.7948402005442349E-2</v>
      </c>
      <c r="S64" s="68">
        <f t="shared" si="109"/>
        <v>55.164502506663595</v>
      </c>
      <c r="T64" s="69">
        <f t="shared" si="110"/>
        <v>69.028762032065345</v>
      </c>
      <c r="U64" s="69">
        <f t="shared" si="111"/>
        <v>124.19326453872893</v>
      </c>
      <c r="W64" t="str">
        <f t="shared" si="141"/>
        <v>63 Community and civil enforcement occupations</v>
      </c>
      <c r="X64" s="18">
        <f t="shared" si="150"/>
        <v>0.11350803194773884</v>
      </c>
      <c r="Y64" s="18">
        <f t="shared" si="150"/>
        <v>0.12532831669192282</v>
      </c>
      <c r="Z64" s="18">
        <f t="shared" si="150"/>
        <v>0.117557068325822</v>
      </c>
      <c r="AA64" s="18">
        <f t="shared" si="150"/>
        <v>0.12661391905185829</v>
      </c>
      <c r="AB64" s="18">
        <f t="shared" si="150"/>
        <v>0.13095727769215601</v>
      </c>
      <c r="AD64" s="68">
        <f t="shared" si="113"/>
        <v>52.280939703480669</v>
      </c>
      <c r="AE64" s="69">
        <f t="shared" si="114"/>
        <v>87.827929952571552</v>
      </c>
      <c r="AF64" s="69">
        <f t="shared" si="115"/>
        <v>140.10886965605224</v>
      </c>
      <c r="AH64" t="str">
        <f t="shared" si="142"/>
        <v>63 Community and civil enforcement occupations</v>
      </c>
      <c r="AI64" s="18">
        <f t="shared" si="151"/>
        <v>9.1730870606154882E-2</v>
      </c>
      <c r="AJ64" s="18">
        <f t="shared" si="151"/>
        <v>0.10106945286294299</v>
      </c>
      <c r="AK64" s="18">
        <f t="shared" si="151"/>
        <v>0.11085139801968998</v>
      </c>
      <c r="AL64" s="18">
        <f t="shared" si="151"/>
        <v>0.1152128170564559</v>
      </c>
      <c r="AM64" s="18">
        <f t="shared" si="151"/>
        <v>0.12740839642364235</v>
      </c>
      <c r="AO64" s="68">
        <f t="shared" si="117"/>
        <v>23.709187282632456</v>
      </c>
      <c r="AP64" s="69">
        <f t="shared" si="118"/>
        <v>66.289366030347111</v>
      </c>
      <c r="AQ64" s="69">
        <f t="shared" si="119"/>
        <v>89.998553312979553</v>
      </c>
      <c r="AS64" t="str">
        <f t="shared" si="143"/>
        <v>63 Community and civil enforcement occupations</v>
      </c>
      <c r="AT64" s="18">
        <f t="shared" si="152"/>
        <v>0.10707132224110104</v>
      </c>
      <c r="AU64" s="18">
        <f t="shared" si="152"/>
        <v>0.10434374114510411</v>
      </c>
      <c r="AV64" s="18">
        <f t="shared" si="152"/>
        <v>0.10884810375251427</v>
      </c>
      <c r="AW64" s="18">
        <f t="shared" si="152"/>
        <v>9.514736716582306E-2</v>
      </c>
      <c r="AX64" s="18">
        <f t="shared" si="152"/>
        <v>9.0123481334856953E-2</v>
      </c>
      <c r="AZ64" s="68">
        <f t="shared" si="121"/>
        <v>0.37173779900819132</v>
      </c>
      <c r="BA64" s="69">
        <f t="shared" si="122"/>
        <v>62.014623882132</v>
      </c>
      <c r="BB64" s="69">
        <f t="shared" si="123"/>
        <v>62.386361681140201</v>
      </c>
      <c r="BD64" t="str">
        <f t="shared" si="144"/>
        <v>63 Community and civil enforcement occupations</v>
      </c>
      <c r="BE64" s="18">
        <f t="shared" si="153"/>
        <v>0.10468736879296074</v>
      </c>
      <c r="BF64" s="18">
        <f t="shared" si="153"/>
        <v>7.2008670193448893E-2</v>
      </c>
      <c r="BG64" s="18">
        <f t="shared" si="153"/>
        <v>0.1123624532960727</v>
      </c>
      <c r="BH64" s="18">
        <f t="shared" si="153"/>
        <v>6.6264746037665953E-2</v>
      </c>
      <c r="BI64" s="18">
        <f t="shared" si="153"/>
        <v>6.5524125399163691E-2</v>
      </c>
      <c r="BK64" s="68">
        <f t="shared" si="125"/>
        <v>-41.679068307821851</v>
      </c>
      <c r="BL64" s="69">
        <f t="shared" si="126"/>
        <v>22.857765364777745</v>
      </c>
      <c r="BM64" s="69">
        <f t="shared" si="127"/>
        <v>-18.821302943044106</v>
      </c>
      <c r="BO64" t="str">
        <f t="shared" si="145"/>
        <v>63 Community and civil enforcement occupations</v>
      </c>
      <c r="BP64" s="18">
        <f t="shared" si="154"/>
        <v>0.14483666231011019</v>
      </c>
      <c r="BQ64" s="18">
        <f t="shared" si="154"/>
        <v>0.13004711891535251</v>
      </c>
      <c r="BR64" s="18">
        <f t="shared" si="154"/>
        <v>0.17154693693716858</v>
      </c>
      <c r="BS64" s="18">
        <f t="shared" si="154"/>
        <v>0.13770307456860745</v>
      </c>
      <c r="BT64" s="18">
        <f t="shared" si="154"/>
        <v>0.16227343700852198</v>
      </c>
      <c r="BV64" s="68">
        <f t="shared" si="129"/>
        <v>-18.108887758450287</v>
      </c>
      <c r="BW64" s="69">
        <f t="shared" si="130"/>
        <v>33.463473228474797</v>
      </c>
      <c r="BX64" s="69">
        <f t="shared" si="131"/>
        <v>15.354585470024507</v>
      </c>
      <c r="BZ64" t="str">
        <f t="shared" si="146"/>
        <v>63 Community and civil enforcement occupations</v>
      </c>
      <c r="CA64" s="18">
        <f t="shared" si="155"/>
        <v>0.16499852025597059</v>
      </c>
      <c r="CB64" s="18">
        <f t="shared" si="155"/>
        <v>0.17664954467388369</v>
      </c>
      <c r="CC64" s="18">
        <f t="shared" si="155"/>
        <v>0.22263696402861746</v>
      </c>
      <c r="CD64" s="18">
        <f t="shared" si="155"/>
        <v>0.21535350794747921</v>
      </c>
      <c r="CE64" s="18">
        <f t="shared" si="155"/>
        <v>0.2608672927180265</v>
      </c>
      <c r="CG64" s="68">
        <f t="shared" si="133"/>
        <v>-31.72509333706542</v>
      </c>
      <c r="CH64" s="69">
        <f t="shared" si="134"/>
        <v>33.649405016165595</v>
      </c>
      <c r="CI64" s="69">
        <f t="shared" si="135"/>
        <v>1.9243116791001793</v>
      </c>
      <c r="CK64" t="str">
        <f t="shared" si="147"/>
        <v>63 Community and civil enforcement occupations</v>
      </c>
      <c r="CL64" s="18">
        <f t="shared" si="156"/>
        <v>0.13134982436370196</v>
      </c>
      <c r="CM64" s="18">
        <f t="shared" si="156"/>
        <v>0.10557101721948153</v>
      </c>
      <c r="CN64" s="18">
        <f t="shared" si="156"/>
        <v>0.17228588593815478</v>
      </c>
      <c r="CO64" s="18">
        <f t="shared" si="156"/>
        <v>0.10526494479668966</v>
      </c>
      <c r="CP64" s="18">
        <f t="shared" si="156"/>
        <v>9.7546410531290942E-2</v>
      </c>
      <c r="CR64" s="68">
        <f t="shared" si="137"/>
        <v>-66.689245468835807</v>
      </c>
      <c r="CS64" s="69">
        <f t="shared" si="138"/>
        <v>13.855297854433452</v>
      </c>
      <c r="CT64" s="69">
        <f t="shared" si="139"/>
        <v>-52.833947614402341</v>
      </c>
    </row>
    <row r="65" spans="1:98" x14ac:dyDescent="0.2">
      <c r="A65" t="str">
        <f t="shared" si="103"/>
        <v>71 Sales occupations</v>
      </c>
      <c r="B65" s="18">
        <f t="shared" ref="B65:F70" si="157">B28/B$35*100</f>
        <v>1.3740891552179513</v>
      </c>
      <c r="C65" s="18">
        <f t="shared" si="157"/>
        <v>1.2365083219205735</v>
      </c>
      <c r="D65" s="18">
        <f t="shared" si="157"/>
        <v>0.94842554435381898</v>
      </c>
      <c r="E65" s="18">
        <f t="shared" si="157"/>
        <v>0.87954604138935655</v>
      </c>
      <c r="F65" s="18">
        <f t="shared" si="157"/>
        <v>0.86833272760291802</v>
      </c>
      <c r="H65" s="68">
        <f t="shared" si="105"/>
        <v>40.067106743782851</v>
      </c>
      <c r="I65" s="69">
        <f t="shared" si="106"/>
        <v>64.491515762469646</v>
      </c>
      <c r="J65" s="69">
        <f t="shared" si="107"/>
        <v>104.55862250625252</v>
      </c>
      <c r="L65" t="str">
        <f t="shared" si="140"/>
        <v>71 Sales occupations</v>
      </c>
      <c r="M65" s="18">
        <f t="shared" ref="M65:Q70" si="158">M28/M$35*100</f>
        <v>2.7795938013840766</v>
      </c>
      <c r="N65" s="18">
        <f t="shared" si="158"/>
        <v>2.6356641057278396</v>
      </c>
      <c r="O65" s="18">
        <f t="shared" si="158"/>
        <v>2.4383447816634507</v>
      </c>
      <c r="P65" s="18">
        <f t="shared" si="158"/>
        <v>2.4166322308729362</v>
      </c>
      <c r="Q65" s="18">
        <f t="shared" si="158"/>
        <v>2.7051247549346518</v>
      </c>
      <c r="S65" s="68">
        <f t="shared" si="109"/>
        <v>60.535958883716233</v>
      </c>
      <c r="T65" s="69">
        <f t="shared" si="110"/>
        <v>73.494951219337906</v>
      </c>
      <c r="U65" s="69">
        <f t="shared" si="111"/>
        <v>134.03091010305417</v>
      </c>
      <c r="W65" t="str">
        <f t="shared" si="141"/>
        <v>71 Sales occupations</v>
      </c>
      <c r="X65" s="18">
        <f t="shared" ref="X65:AB70" si="159">X28/X$35*100</f>
        <v>5.8105047065521562</v>
      </c>
      <c r="Y65" s="18">
        <f t="shared" si="159"/>
        <v>5.7470376118270297</v>
      </c>
      <c r="Z65" s="18">
        <f t="shared" si="159"/>
        <v>5.6802540984675121</v>
      </c>
      <c r="AA65" s="18">
        <f t="shared" si="159"/>
        <v>5.6473503074456488</v>
      </c>
      <c r="AB65" s="18">
        <f t="shared" si="159"/>
        <v>6.2613535614844631</v>
      </c>
      <c r="AD65" s="68">
        <f t="shared" si="113"/>
        <v>50.683299300630935</v>
      </c>
      <c r="AE65" s="69">
        <f t="shared" si="114"/>
        <v>74.483509663837964</v>
      </c>
      <c r="AF65" s="69">
        <f t="shared" si="115"/>
        <v>125.1668089644689</v>
      </c>
      <c r="AH65" t="str">
        <f t="shared" si="142"/>
        <v>71 Sales occupations</v>
      </c>
      <c r="AI65" s="18">
        <f t="shared" ref="AI65:AM70" si="160">AI28/AI$35*100</f>
        <v>6.264733630410559</v>
      </c>
      <c r="AJ65" s="18">
        <f t="shared" si="160"/>
        <v>6.8429662563346589</v>
      </c>
      <c r="AK65" s="18">
        <f t="shared" si="160"/>
        <v>7.0684232395053197</v>
      </c>
      <c r="AL65" s="18">
        <f t="shared" si="160"/>
        <v>7.7138274189490517</v>
      </c>
      <c r="AM65" s="18">
        <f t="shared" si="160"/>
        <v>9.6574425084251327</v>
      </c>
      <c r="AO65" s="68">
        <f t="shared" si="117"/>
        <v>47.056648559594613</v>
      </c>
      <c r="AP65" s="69">
        <f t="shared" si="118"/>
        <v>72.747613203072675</v>
      </c>
      <c r="AQ65" s="69">
        <f t="shared" si="119"/>
        <v>119.80426176266729</v>
      </c>
      <c r="AS65" t="str">
        <f t="shared" si="143"/>
        <v>71 Sales occupations</v>
      </c>
      <c r="AT65" s="18">
        <f t="shared" ref="AT65:AX70" si="161">AT28/AT$35*100</f>
        <v>5.9002052229604685</v>
      </c>
      <c r="AU65" s="18">
        <f t="shared" si="161"/>
        <v>5.5516489048057549</v>
      </c>
      <c r="AV65" s="18">
        <f t="shared" si="161"/>
        <v>5.5815590335401533</v>
      </c>
      <c r="AW65" s="18">
        <f t="shared" si="161"/>
        <v>5.3180230463131331</v>
      </c>
      <c r="AX65" s="18">
        <f t="shared" si="161"/>
        <v>5.8540622497635315</v>
      </c>
      <c r="AZ65" s="68">
        <f t="shared" si="121"/>
        <v>27.144086337926836</v>
      </c>
      <c r="BA65" s="69">
        <f t="shared" si="122"/>
        <v>57.801426012082679</v>
      </c>
      <c r="BB65" s="69">
        <f t="shared" si="123"/>
        <v>84.945512350009494</v>
      </c>
      <c r="BD65" t="str">
        <f t="shared" si="144"/>
        <v>71 Sales occupations</v>
      </c>
      <c r="BE65" s="18">
        <f t="shared" ref="BE65:BI70" si="162">BE28/BE$35*100</f>
        <v>10.812700998969659</v>
      </c>
      <c r="BF65" s="18">
        <f t="shared" si="162"/>
        <v>10.419754421667751</v>
      </c>
      <c r="BG65" s="18">
        <f t="shared" si="162"/>
        <v>10.508757371282412</v>
      </c>
      <c r="BH65" s="18">
        <f t="shared" si="162"/>
        <v>10.823066009287139</v>
      </c>
      <c r="BI65" s="18">
        <f t="shared" si="162"/>
        <v>11.966515953234195</v>
      </c>
      <c r="BK65" s="68">
        <f t="shared" si="125"/>
        <v>13.883496488028834</v>
      </c>
      <c r="BL65" s="69">
        <f t="shared" si="126"/>
        <v>53.696379059388541</v>
      </c>
      <c r="BM65" s="69">
        <f t="shared" si="127"/>
        <v>67.579875547417373</v>
      </c>
      <c r="BO65" t="str">
        <f t="shared" si="145"/>
        <v>71 Sales occupations</v>
      </c>
      <c r="BP65" s="18">
        <f t="shared" ref="BP65:BT70" si="163">BP28/BP$35*100</f>
        <v>11.724825735344799</v>
      </c>
      <c r="BQ65" s="18">
        <f t="shared" si="163"/>
        <v>10.548511712055699</v>
      </c>
      <c r="BR65" s="18">
        <f t="shared" si="163"/>
        <v>11.057918873449132</v>
      </c>
      <c r="BS65" s="18">
        <f t="shared" si="163"/>
        <v>9.8990466740024772</v>
      </c>
      <c r="BT65" s="18">
        <f t="shared" si="163"/>
        <v>8.2678074060350042</v>
      </c>
      <c r="BV65" s="68">
        <f t="shared" si="129"/>
        <v>-35.272437181723703</v>
      </c>
      <c r="BW65" s="69">
        <f t="shared" si="130"/>
        <v>38.680111267987414</v>
      </c>
      <c r="BX65" s="69">
        <f t="shared" si="131"/>
        <v>3.4076740862637158</v>
      </c>
      <c r="BZ65" t="str">
        <f t="shared" si="146"/>
        <v>71 Sales occupations</v>
      </c>
      <c r="CA65" s="18">
        <f t="shared" ref="CA65:CE70" si="164">CA28/CA$35*100</f>
        <v>13.42899647136865</v>
      </c>
      <c r="CB65" s="18">
        <f t="shared" si="164"/>
        <v>10.956892914373908</v>
      </c>
      <c r="CC65" s="18">
        <f t="shared" si="164"/>
        <v>12.615780513749636</v>
      </c>
      <c r="CD65" s="18">
        <f t="shared" si="164"/>
        <v>11.399965819235716</v>
      </c>
      <c r="CE65" s="18">
        <f t="shared" si="164"/>
        <v>8.1217617810645439</v>
      </c>
      <c r="CG65" s="68">
        <f t="shared" si="133"/>
        <v>-62.487597678515115</v>
      </c>
      <c r="CH65" s="69">
        <f t="shared" si="134"/>
        <v>27.524427857781969</v>
      </c>
      <c r="CI65" s="69">
        <f t="shared" si="135"/>
        <v>-34.96316982073315</v>
      </c>
      <c r="CK65" t="str">
        <f t="shared" si="147"/>
        <v>71 Sales occupations</v>
      </c>
      <c r="CL65" s="18">
        <f t="shared" ref="CL65:CP70" si="165">CL28/CL$35*100</f>
        <v>16.347237880564666</v>
      </c>
      <c r="CM65" s="18">
        <f t="shared" si="165"/>
        <v>14.445435570424902</v>
      </c>
      <c r="CN65" s="18">
        <f t="shared" si="165"/>
        <v>12.820492725922161</v>
      </c>
      <c r="CO65" s="18">
        <f t="shared" si="165"/>
        <v>11.996153793157172</v>
      </c>
      <c r="CP65" s="18">
        <f t="shared" si="165"/>
        <v>8.4346256254949168</v>
      </c>
      <c r="CR65" s="68">
        <f t="shared" si="137"/>
        <v>-61.293493801297124</v>
      </c>
      <c r="CS65" s="69">
        <f t="shared" si="138"/>
        <v>21.407961928161903</v>
      </c>
      <c r="CT65" s="69">
        <f t="shared" si="139"/>
        <v>-39.885531873135221</v>
      </c>
    </row>
    <row r="66" spans="1:98" x14ac:dyDescent="0.2">
      <c r="A66" t="str">
        <f t="shared" si="103"/>
        <v>72 Customer service occupations</v>
      </c>
      <c r="B66" s="18">
        <f t="shared" si="157"/>
        <v>0.40382916964234816</v>
      </c>
      <c r="C66" s="18">
        <f t="shared" si="157"/>
        <v>0.41130653540999002</v>
      </c>
      <c r="D66" s="18">
        <f t="shared" si="157"/>
        <v>0.41596138616038236</v>
      </c>
      <c r="E66" s="18">
        <f t="shared" si="157"/>
        <v>0.52811894590270592</v>
      </c>
      <c r="F66" s="18">
        <f t="shared" si="157"/>
        <v>0.59617001953617788</v>
      </c>
      <c r="H66" s="68">
        <f t="shared" si="105"/>
        <v>119.2655213183734</v>
      </c>
      <c r="I66" s="69">
        <f t="shared" si="106"/>
        <v>83.051063112452695</v>
      </c>
      <c r="J66" s="69">
        <f t="shared" si="107"/>
        <v>202.31658443082611</v>
      </c>
      <c r="L66" t="str">
        <f t="shared" si="140"/>
        <v>72 Customer service occupations</v>
      </c>
      <c r="M66" s="18">
        <f t="shared" si="158"/>
        <v>0.73483536440810127</v>
      </c>
      <c r="N66" s="18">
        <f t="shared" si="158"/>
        <v>0.77684218078228384</v>
      </c>
      <c r="O66" s="18">
        <f t="shared" si="158"/>
        <v>0.68523324999398505</v>
      </c>
      <c r="P66" s="18">
        <f t="shared" si="158"/>
        <v>0.88984210209394532</v>
      </c>
      <c r="Q66" s="18">
        <f t="shared" si="158"/>
        <v>1.0230484413331626</v>
      </c>
      <c r="S66" s="68">
        <f t="shared" si="109"/>
        <v>116.04186228176441</v>
      </c>
      <c r="T66" s="69">
        <f t="shared" si="110"/>
        <v>94.4659112224262</v>
      </c>
      <c r="U66" s="69">
        <f t="shared" si="111"/>
        <v>210.5077735041906</v>
      </c>
      <c r="W66" t="str">
        <f t="shared" si="141"/>
        <v>72 Customer service occupations</v>
      </c>
      <c r="X66" s="18">
        <f t="shared" si="159"/>
        <v>1.4952751490519318</v>
      </c>
      <c r="Y66" s="18">
        <f t="shared" si="159"/>
        <v>1.5682539722716156</v>
      </c>
      <c r="Z66" s="18">
        <f t="shared" si="159"/>
        <v>1.5975601887668383</v>
      </c>
      <c r="AA66" s="18">
        <f t="shared" si="159"/>
        <v>2.0071335636542278</v>
      </c>
      <c r="AB66" s="18">
        <f t="shared" si="159"/>
        <v>2.2488075868406696</v>
      </c>
      <c r="AD66" s="68">
        <f t="shared" si="113"/>
        <v>92.424215662437049</v>
      </c>
      <c r="AE66" s="69">
        <f t="shared" si="114"/>
        <v>82.569573027353513</v>
      </c>
      <c r="AF66" s="69">
        <f t="shared" si="115"/>
        <v>174.99378868979056</v>
      </c>
      <c r="AH66" t="str">
        <f t="shared" si="142"/>
        <v>72 Customer service occupations</v>
      </c>
      <c r="AI66" s="18">
        <f t="shared" si="160"/>
        <v>1.2687694736262296</v>
      </c>
      <c r="AJ66" s="18">
        <f t="shared" si="160"/>
        <v>1.5823133841128996</v>
      </c>
      <c r="AK66" s="18">
        <f t="shared" si="160"/>
        <v>1.6625236705409232</v>
      </c>
      <c r="AL66" s="18">
        <f t="shared" si="160"/>
        <v>2.3963155935107552</v>
      </c>
      <c r="AM66" s="18">
        <f t="shared" si="160"/>
        <v>3.0136521743978841</v>
      </c>
      <c r="AO66" s="68">
        <f t="shared" si="117"/>
        <v>95.105884184803941</v>
      </c>
      <c r="AP66" s="69">
        <f t="shared" si="118"/>
        <v>85.073246530570998</v>
      </c>
      <c r="AQ66" s="69">
        <f t="shared" si="119"/>
        <v>180.17913071537495</v>
      </c>
      <c r="AS66" t="str">
        <f t="shared" si="143"/>
        <v>72 Customer service occupations</v>
      </c>
      <c r="AT66" s="18">
        <f t="shared" si="161"/>
        <v>2.1494495217152543</v>
      </c>
      <c r="AU66" s="18">
        <f t="shared" si="161"/>
        <v>2.2535519095142988</v>
      </c>
      <c r="AV66" s="18">
        <f t="shared" si="161"/>
        <v>2.3336101897710964</v>
      </c>
      <c r="AW66" s="18">
        <f t="shared" si="161"/>
        <v>2.9637849297392167</v>
      </c>
      <c r="AX66" s="18">
        <f t="shared" si="161"/>
        <v>3.1989623355207768</v>
      </c>
      <c r="AZ66" s="68">
        <f t="shared" si="121"/>
        <v>66.178626745450202</v>
      </c>
      <c r="BA66" s="69">
        <f t="shared" si="122"/>
        <v>70.567988150851505</v>
      </c>
      <c r="BB66" s="69">
        <f t="shared" si="123"/>
        <v>136.74661489630168</v>
      </c>
      <c r="BD66" t="str">
        <f t="shared" si="144"/>
        <v>72 Customer service occupations</v>
      </c>
      <c r="BE66" s="18">
        <f t="shared" si="162"/>
        <v>1.9066834104083588</v>
      </c>
      <c r="BF66" s="18">
        <f t="shared" si="162"/>
        <v>2.0021275098486826</v>
      </c>
      <c r="BG66" s="18">
        <f t="shared" si="162"/>
        <v>2.0548444791518703</v>
      </c>
      <c r="BH66" s="18">
        <f t="shared" si="162"/>
        <v>2.6258704938309179</v>
      </c>
      <c r="BI66" s="18">
        <f t="shared" si="162"/>
        <v>2.9839028988182386</v>
      </c>
      <c r="BK66" s="68">
        <f t="shared" si="125"/>
        <v>45.227934923604849</v>
      </c>
      <c r="BL66" s="69">
        <f t="shared" si="126"/>
        <v>57.329850898695078</v>
      </c>
      <c r="BM66" s="69">
        <f t="shared" si="127"/>
        <v>102.55778582229993</v>
      </c>
      <c r="BO66" t="str">
        <f t="shared" si="145"/>
        <v>72 Customer service occupations</v>
      </c>
      <c r="BP66" s="18">
        <f t="shared" si="163"/>
        <v>2.0836738925275329</v>
      </c>
      <c r="BQ66" s="18">
        <f t="shared" si="163"/>
        <v>2.2003755207821194</v>
      </c>
      <c r="BR66" s="18">
        <f t="shared" si="163"/>
        <v>2.3429653808647819</v>
      </c>
      <c r="BS66" s="18">
        <f t="shared" si="163"/>
        <v>2.9330991011174241</v>
      </c>
      <c r="BT66" s="18">
        <f t="shared" si="163"/>
        <v>3.2494204299216158</v>
      </c>
      <c r="BV66" s="68">
        <f t="shared" si="129"/>
        <v>20.063870032296709</v>
      </c>
      <c r="BW66" s="69">
        <f t="shared" si="130"/>
        <v>52.762290414392652</v>
      </c>
      <c r="BX66" s="69">
        <f t="shared" si="131"/>
        <v>72.826160446689357</v>
      </c>
      <c r="BZ66" t="str">
        <f t="shared" si="146"/>
        <v>72 Customer service occupations</v>
      </c>
      <c r="CA66" s="18">
        <f t="shared" si="164"/>
        <v>1.6494037170888363</v>
      </c>
      <c r="CB66" s="18">
        <f t="shared" si="164"/>
        <v>1.5472827347763745</v>
      </c>
      <c r="CC66" s="18">
        <f t="shared" si="164"/>
        <v>1.7798815606197564</v>
      </c>
      <c r="CD66" s="18">
        <f t="shared" si="164"/>
        <v>2.2040278331898433</v>
      </c>
      <c r="CE66" s="18">
        <f t="shared" si="164"/>
        <v>3.3645755134847528</v>
      </c>
      <c r="CG66" s="68">
        <f t="shared" si="133"/>
        <v>10.148333597679139</v>
      </c>
      <c r="CH66" s="69">
        <f t="shared" si="134"/>
        <v>37.494622680671618</v>
      </c>
      <c r="CI66" s="69">
        <f t="shared" si="135"/>
        <v>47.642956278350759</v>
      </c>
      <c r="CK66" t="str">
        <f t="shared" si="147"/>
        <v>72 Customer service occupations</v>
      </c>
      <c r="CL66" s="18">
        <f t="shared" si="165"/>
        <v>1.298839433973805</v>
      </c>
      <c r="CM66" s="18">
        <f t="shared" si="165"/>
        <v>1.7532283407133138</v>
      </c>
      <c r="CN66" s="18">
        <f t="shared" si="165"/>
        <v>1.7720799549114135</v>
      </c>
      <c r="CO66" s="18">
        <f t="shared" si="165"/>
        <v>3.097732239161715</v>
      </c>
      <c r="CP66" s="18">
        <f t="shared" si="165"/>
        <v>4.9274475192965097</v>
      </c>
      <c r="CR66" s="68">
        <f t="shared" si="137"/>
        <v>63.591815443336721</v>
      </c>
      <c r="CS66" s="69">
        <f t="shared" si="138"/>
        <v>58.178092308656439</v>
      </c>
      <c r="CT66" s="69">
        <f t="shared" si="139"/>
        <v>121.76990775199317</v>
      </c>
    </row>
    <row r="67" spans="1:98" x14ac:dyDescent="0.2">
      <c r="A67" t="str">
        <f t="shared" si="103"/>
        <v>81 Process, plant and machine operatives</v>
      </c>
      <c r="B67" s="18">
        <f t="shared" si="157"/>
        <v>0.36295805007584164</v>
      </c>
      <c r="C67" s="18">
        <f t="shared" si="157"/>
        <v>0.49168454569622855</v>
      </c>
      <c r="D67" s="18">
        <f t="shared" si="157"/>
        <v>0.39422886153527492</v>
      </c>
      <c r="E67" s="18">
        <f t="shared" si="157"/>
        <v>0.50541366281183953</v>
      </c>
      <c r="F67" s="18">
        <f t="shared" si="157"/>
        <v>0.61988221338939697</v>
      </c>
      <c r="H67" s="68">
        <f t="shared" si="105"/>
        <v>140.55477920683344</v>
      </c>
      <c r="I67" s="69">
        <f t="shared" si="106"/>
        <v>81.757941787247361</v>
      </c>
      <c r="J67" s="69">
        <f t="shared" si="107"/>
        <v>222.31272099408082</v>
      </c>
      <c r="L67" t="str">
        <f t="shared" si="140"/>
        <v>81 Process, plant and machine operatives</v>
      </c>
      <c r="M67" s="18">
        <f t="shared" si="158"/>
        <v>0.42132413182727807</v>
      </c>
      <c r="N67" s="18">
        <f t="shared" si="158"/>
        <v>0.46271023466473865</v>
      </c>
      <c r="O67" s="18">
        <f t="shared" si="158"/>
        <v>0.36821607284155655</v>
      </c>
      <c r="P67" s="18">
        <f t="shared" si="158"/>
        <v>0.49581724017975692</v>
      </c>
      <c r="Q67" s="18">
        <f t="shared" si="158"/>
        <v>0.61747824482573122</v>
      </c>
      <c r="S67" s="68">
        <f t="shared" si="109"/>
        <v>142.66048527916664</v>
      </c>
      <c r="T67" s="69">
        <f t="shared" si="110"/>
        <v>96.662817366998411</v>
      </c>
      <c r="U67" s="69">
        <f t="shared" si="111"/>
        <v>239.32330264616502</v>
      </c>
      <c r="W67" t="str">
        <f t="shared" si="141"/>
        <v>81 Process, plant and machine operatives</v>
      </c>
      <c r="X67" s="18">
        <f t="shared" si="159"/>
        <v>0.73203999467327896</v>
      </c>
      <c r="Y67" s="18">
        <f t="shared" si="159"/>
        <v>0.65538312086970907</v>
      </c>
      <c r="Z67" s="18">
        <f t="shared" si="159"/>
        <v>0.53525152718455404</v>
      </c>
      <c r="AA67" s="18">
        <f t="shared" si="159"/>
        <v>0.74169005830776469</v>
      </c>
      <c r="AB67" s="18">
        <f t="shared" si="159"/>
        <v>0.92796659429875106</v>
      </c>
      <c r="AD67" s="68">
        <f t="shared" si="113"/>
        <v>136.99494560621474</v>
      </c>
      <c r="AE67" s="69">
        <f t="shared" si="114"/>
        <v>91.237790522079393</v>
      </c>
      <c r="AF67" s="69">
        <f t="shared" si="115"/>
        <v>228.23273612829414</v>
      </c>
      <c r="AH67" t="str">
        <f t="shared" si="142"/>
        <v>81 Process, plant and machine operatives</v>
      </c>
      <c r="AI67" s="18">
        <f t="shared" si="160"/>
        <v>1.1291591047806069</v>
      </c>
      <c r="AJ67" s="18">
        <f t="shared" si="160"/>
        <v>1.1826523070082138</v>
      </c>
      <c r="AK67" s="18">
        <f t="shared" si="160"/>
        <v>1.0174823048886756</v>
      </c>
      <c r="AL67" s="18">
        <f t="shared" si="160"/>
        <v>1.5350436582491842</v>
      </c>
      <c r="AM67" s="18">
        <f t="shared" si="160"/>
        <v>1.8193814923696638</v>
      </c>
      <c r="AO67" s="68">
        <f t="shared" si="117"/>
        <v>92.460666834255321</v>
      </c>
      <c r="AP67" s="69">
        <f t="shared" si="118"/>
        <v>74.893015318981881</v>
      </c>
      <c r="AQ67" s="69">
        <f t="shared" si="119"/>
        <v>167.3536821532372</v>
      </c>
      <c r="AS67" t="str">
        <f t="shared" si="143"/>
        <v>81 Process, plant and machine operatives</v>
      </c>
      <c r="AT67" s="18">
        <f t="shared" si="161"/>
        <v>2.6549598039412428</v>
      </c>
      <c r="AU67" s="18">
        <f t="shared" si="161"/>
        <v>2.2197404092121116</v>
      </c>
      <c r="AV67" s="18">
        <f t="shared" si="161"/>
        <v>1.8986324217193793</v>
      </c>
      <c r="AW67" s="18">
        <f t="shared" si="161"/>
        <v>2.5629201158389492</v>
      </c>
      <c r="AX67" s="18">
        <f t="shared" si="161"/>
        <v>2.5106897125633441</v>
      </c>
      <c r="AZ67" s="68">
        <f t="shared" si="121"/>
        <v>60.304790842590748</v>
      </c>
      <c r="BA67" s="69">
        <f t="shared" si="122"/>
        <v>63.908958147125958</v>
      </c>
      <c r="BB67" s="69">
        <f t="shared" si="123"/>
        <v>124.21374898971671</v>
      </c>
      <c r="BD67" t="str">
        <f t="shared" si="144"/>
        <v>81 Process, plant and machine operatives</v>
      </c>
      <c r="BE67" s="18">
        <f t="shared" si="162"/>
        <v>4.9738044192421853</v>
      </c>
      <c r="BF67" s="18">
        <f t="shared" si="162"/>
        <v>4.4877003357445906</v>
      </c>
      <c r="BG67" s="18">
        <f t="shared" si="162"/>
        <v>4.3897301671598905</v>
      </c>
      <c r="BH67" s="18">
        <f t="shared" si="162"/>
        <v>5.2960997257139741</v>
      </c>
      <c r="BI67" s="18">
        <f t="shared" si="162"/>
        <v>5.5749457083895217</v>
      </c>
      <c r="BK67" s="68">
        <f t="shared" si="125"/>
        <v>27.012729896389093</v>
      </c>
      <c r="BL67" s="69">
        <f t="shared" si="126"/>
        <v>43.837714848605401</v>
      </c>
      <c r="BM67" s="69">
        <f t="shared" si="127"/>
        <v>70.850444744994491</v>
      </c>
      <c r="BO67" t="str">
        <f t="shared" si="145"/>
        <v>81 Process, plant and machine operatives</v>
      </c>
      <c r="BP67" s="18">
        <f t="shared" si="163"/>
        <v>5.6876809580110539</v>
      </c>
      <c r="BQ67" s="18">
        <f t="shared" si="163"/>
        <v>5.5199832663614039</v>
      </c>
      <c r="BR67" s="18">
        <f t="shared" si="163"/>
        <v>5.0228158155429821</v>
      </c>
      <c r="BS67" s="18">
        <f t="shared" si="163"/>
        <v>6.7162692179989856</v>
      </c>
      <c r="BT67" s="18">
        <f t="shared" si="163"/>
        <v>7.5717510950484197</v>
      </c>
      <c r="BV67" s="68">
        <f t="shared" si="129"/>
        <v>30.503265481981735</v>
      </c>
      <c r="BW67" s="69">
        <f t="shared" si="130"/>
        <v>47.449065170174741</v>
      </c>
      <c r="BX67" s="69">
        <f t="shared" si="131"/>
        <v>77.952330652156462</v>
      </c>
      <c r="BZ67" t="str">
        <f t="shared" si="146"/>
        <v>81 Process, plant and machine operatives</v>
      </c>
      <c r="CA67" s="18">
        <f t="shared" si="164"/>
        <v>6.2566298725840683</v>
      </c>
      <c r="CB67" s="18">
        <f t="shared" si="164"/>
        <v>6.5960893641458576</v>
      </c>
      <c r="CC67" s="18">
        <f t="shared" si="164"/>
        <v>5.5541546596843503</v>
      </c>
      <c r="CD67" s="18">
        <f t="shared" si="164"/>
        <v>6.5950090078370289</v>
      </c>
      <c r="CE67" s="18">
        <f t="shared" si="164"/>
        <v>4.4074077087444419</v>
      </c>
      <c r="CG67" s="68">
        <f t="shared" si="133"/>
        <v>-53.761470581824312</v>
      </c>
      <c r="CH67" s="69">
        <f t="shared" si="134"/>
        <v>29.823378182054817</v>
      </c>
      <c r="CI67" s="69">
        <f t="shared" si="135"/>
        <v>-23.938092399769499</v>
      </c>
      <c r="CK67" t="str">
        <f t="shared" si="147"/>
        <v>81 Process, plant and machine operatives</v>
      </c>
      <c r="CL67" s="18">
        <f t="shared" si="165"/>
        <v>8.6988004615557912</v>
      </c>
      <c r="CM67" s="18">
        <f t="shared" si="165"/>
        <v>7.9579944198629837</v>
      </c>
      <c r="CN67" s="18">
        <f t="shared" si="165"/>
        <v>7.664401135083458</v>
      </c>
      <c r="CO67" s="18">
        <f t="shared" si="165"/>
        <v>5.1837235361687188</v>
      </c>
      <c r="CP67" s="18">
        <f t="shared" si="165"/>
        <v>2.9091716102383405</v>
      </c>
      <c r="CR67" s="68">
        <f t="shared" si="137"/>
        <v>-77.668700726658386</v>
      </c>
      <c r="CS67" s="69">
        <f t="shared" si="138"/>
        <v>13.895712005260949</v>
      </c>
      <c r="CT67" s="69">
        <f t="shared" si="139"/>
        <v>-63.772988721397439</v>
      </c>
    </row>
    <row r="68" spans="1:98" x14ac:dyDescent="0.2">
      <c r="A68" t="str">
        <f t="shared" si="103"/>
        <v>82 Transport and mobile machine drivers and operatives</v>
      </c>
      <c r="B68" s="18">
        <f t="shared" si="157"/>
        <v>0.41621780820460902</v>
      </c>
      <c r="C68" s="18">
        <f t="shared" si="157"/>
        <v>0.61387755968279156</v>
      </c>
      <c r="D68" s="18">
        <f t="shared" si="157"/>
        <v>0.53040700636040383</v>
      </c>
      <c r="E68" s="18">
        <f t="shared" si="157"/>
        <v>0.64292798005245033</v>
      </c>
      <c r="F68" s="18">
        <f t="shared" si="157"/>
        <v>0.82025881302649262</v>
      </c>
      <c r="H68" s="68">
        <f t="shared" si="105"/>
        <v>136.58918239549334</v>
      </c>
      <c r="I68" s="69">
        <f t="shared" si="106"/>
        <v>118.67507848776626</v>
      </c>
      <c r="J68" s="69">
        <f t="shared" si="107"/>
        <v>255.2642608832596</v>
      </c>
      <c r="L68" t="str">
        <f t="shared" si="140"/>
        <v>82 Transport and mobile machine drivers and operatives</v>
      </c>
      <c r="M68" s="18">
        <f t="shared" si="158"/>
        <v>0.37470039171277042</v>
      </c>
      <c r="N68" s="18">
        <f t="shared" si="158"/>
        <v>0.5118976545026912</v>
      </c>
      <c r="O68" s="18">
        <f t="shared" si="158"/>
        <v>0.45587295603126676</v>
      </c>
      <c r="P68" s="18">
        <f t="shared" si="158"/>
        <v>0.526997695060754</v>
      </c>
      <c r="Q68" s="18">
        <f t="shared" si="158"/>
        <v>0.68436716693779243</v>
      </c>
      <c r="S68" s="68">
        <f t="shared" si="109"/>
        <v>117.2328395933695</v>
      </c>
      <c r="T68" s="69">
        <f t="shared" si="110"/>
        <v>107.94419283612228</v>
      </c>
      <c r="U68" s="69">
        <f t="shared" si="111"/>
        <v>225.17703242949182</v>
      </c>
      <c r="W68" t="str">
        <f t="shared" si="141"/>
        <v>82 Transport and mobile machine drivers and operatives</v>
      </c>
      <c r="X68" s="18">
        <f t="shared" si="159"/>
        <v>0.77703489353222677</v>
      </c>
      <c r="Y68" s="18">
        <f t="shared" si="159"/>
        <v>0.93435827286954209</v>
      </c>
      <c r="Z68" s="18">
        <f t="shared" si="159"/>
        <v>0.8324546239083771</v>
      </c>
      <c r="AA68" s="18">
        <f t="shared" si="159"/>
        <v>0.89510836153389917</v>
      </c>
      <c r="AB68" s="18">
        <f t="shared" si="159"/>
        <v>0.93004139620665505</v>
      </c>
      <c r="AD68" s="68">
        <f t="shared" si="113"/>
        <v>52.723675045654709</v>
      </c>
      <c r="AE68" s="69">
        <f t="shared" si="114"/>
        <v>86.315573049665517</v>
      </c>
      <c r="AF68" s="69">
        <f t="shared" si="115"/>
        <v>139.03924809532023</v>
      </c>
      <c r="AH68" t="str">
        <f t="shared" si="142"/>
        <v>82 Transport and mobile machine drivers and operatives</v>
      </c>
      <c r="AI68" s="18">
        <f t="shared" si="160"/>
        <v>1.1869808224339566</v>
      </c>
      <c r="AJ68" s="18">
        <f t="shared" si="160"/>
        <v>1.4013220702137925</v>
      </c>
      <c r="AK68" s="18">
        <f t="shared" si="160"/>
        <v>1.3140808489839213</v>
      </c>
      <c r="AL68" s="18">
        <f t="shared" si="160"/>
        <v>1.5522448376409423</v>
      </c>
      <c r="AM68" s="18">
        <f t="shared" si="160"/>
        <v>1.5250901382234348</v>
      </c>
      <c r="AO68" s="68">
        <f t="shared" si="117"/>
        <v>24.916125542212033</v>
      </c>
      <c r="AP68" s="69">
        <f t="shared" si="118"/>
        <v>72.255255068162711</v>
      </c>
      <c r="AQ68" s="69">
        <f t="shared" si="119"/>
        <v>97.17138061037474</v>
      </c>
      <c r="AS68" t="str">
        <f t="shared" si="143"/>
        <v>82 Transport and mobile machine drivers and operatives</v>
      </c>
      <c r="AT68" s="18">
        <f t="shared" si="161"/>
        <v>2.1961684190158568</v>
      </c>
      <c r="AU68" s="18">
        <f t="shared" si="161"/>
        <v>2.4613307441480519</v>
      </c>
      <c r="AV68" s="18">
        <f t="shared" si="161"/>
        <v>2.3119961704563505</v>
      </c>
      <c r="AW68" s="18">
        <f t="shared" si="161"/>
        <v>2.5640779753756067</v>
      </c>
      <c r="AX68" s="18">
        <f t="shared" si="161"/>
        <v>2.4378346028147577</v>
      </c>
      <c r="AZ68" s="68">
        <f t="shared" si="121"/>
        <v>27.823727585755805</v>
      </c>
      <c r="BA68" s="69">
        <f t="shared" si="122"/>
        <v>80.247082016353403</v>
      </c>
      <c r="BB68" s="69">
        <f t="shared" si="123"/>
        <v>108.07080960210919</v>
      </c>
      <c r="BD68" t="str">
        <f t="shared" si="144"/>
        <v>82 Transport and mobile machine drivers and operatives</v>
      </c>
      <c r="BE68" s="18">
        <f t="shared" si="162"/>
        <v>3.5442678989875067</v>
      </c>
      <c r="BF68" s="18">
        <f t="shared" si="162"/>
        <v>3.8951275092135229</v>
      </c>
      <c r="BG68" s="18">
        <f t="shared" si="162"/>
        <v>4.0765603645522734</v>
      </c>
      <c r="BH68" s="18">
        <f t="shared" si="162"/>
        <v>3.8656483072463028</v>
      </c>
      <c r="BI68" s="18">
        <f t="shared" si="162"/>
        <v>3.8067134308537485</v>
      </c>
      <c r="BK68" s="68">
        <f t="shared" si="125"/>
        <v>-6.6099215492677974</v>
      </c>
      <c r="BL68" s="69">
        <f t="shared" si="126"/>
        <v>47.255332712744334</v>
      </c>
      <c r="BM68" s="69">
        <f t="shared" si="127"/>
        <v>40.645411163476538</v>
      </c>
      <c r="BO68" t="str">
        <f t="shared" si="145"/>
        <v>82 Transport and mobile machine drivers and operatives</v>
      </c>
      <c r="BP68" s="18">
        <f t="shared" si="163"/>
        <v>5.4290718930506552</v>
      </c>
      <c r="BQ68" s="18">
        <f t="shared" si="163"/>
        <v>6.4342243509789983</v>
      </c>
      <c r="BR68" s="18">
        <f t="shared" si="163"/>
        <v>6.1110295619713266</v>
      </c>
      <c r="BS68" s="18">
        <f t="shared" si="163"/>
        <v>6.9108757009335529</v>
      </c>
      <c r="BT68" s="18">
        <f t="shared" si="163"/>
        <v>8.1449853638307133</v>
      </c>
      <c r="BV68" s="68">
        <f t="shared" si="129"/>
        <v>15.384700330688469</v>
      </c>
      <c r="BW68" s="69">
        <f t="shared" si="130"/>
        <v>56.953523293642029</v>
      </c>
      <c r="BX68" s="69">
        <f t="shared" si="131"/>
        <v>72.338223624330496</v>
      </c>
      <c r="BZ68" t="str">
        <f t="shared" si="146"/>
        <v>82 Transport and mobile machine drivers and operatives</v>
      </c>
      <c r="CA68" s="18">
        <f t="shared" si="164"/>
        <v>6.0766738056568848</v>
      </c>
      <c r="CB68" s="18">
        <f t="shared" si="164"/>
        <v>8.9312233124410252</v>
      </c>
      <c r="CC68" s="18">
        <f t="shared" si="164"/>
        <v>7.1783352339330611</v>
      </c>
      <c r="CD68" s="18">
        <f t="shared" si="164"/>
        <v>7.6976712571514421</v>
      </c>
      <c r="CE68" s="18">
        <f t="shared" si="164"/>
        <v>8.1418873267639071</v>
      </c>
      <c r="CG68" s="68">
        <f t="shared" si="133"/>
        <v>-33.90933727572564</v>
      </c>
      <c r="CH68" s="69">
        <f t="shared" si="134"/>
        <v>41.200548916827813</v>
      </c>
      <c r="CI68" s="69">
        <f t="shared" si="135"/>
        <v>7.2912116411021772</v>
      </c>
      <c r="CK68" t="str">
        <f t="shared" si="147"/>
        <v>82 Transport and mobile machine drivers and operatives</v>
      </c>
      <c r="CL68" s="18">
        <f t="shared" si="165"/>
        <v>6.7023913382034896</v>
      </c>
      <c r="CM68" s="18">
        <f t="shared" si="165"/>
        <v>8.5703894195477659</v>
      </c>
      <c r="CN68" s="18">
        <f t="shared" si="165"/>
        <v>10.166938348536364</v>
      </c>
      <c r="CO68" s="18">
        <f t="shared" si="165"/>
        <v>8.773109479086262</v>
      </c>
      <c r="CP68" s="18">
        <f t="shared" si="165"/>
        <v>4.5677974190760731</v>
      </c>
      <c r="CR68" s="68">
        <f t="shared" si="137"/>
        <v>-73.567422007879316</v>
      </c>
      <c r="CS68" s="69">
        <f t="shared" si="138"/>
        <v>24.004390677139455</v>
      </c>
      <c r="CT68" s="69">
        <f t="shared" si="139"/>
        <v>-49.563031330739861</v>
      </c>
    </row>
    <row r="69" spans="1:98" x14ac:dyDescent="0.2">
      <c r="A69" t="str">
        <f t="shared" si="103"/>
        <v>91 Elementary trades and related occupations</v>
      </c>
      <c r="B69" s="18">
        <f t="shared" si="157"/>
        <v>5.7035362952423995E-3</v>
      </c>
      <c r="C69" s="18">
        <f t="shared" si="157"/>
        <v>4.8863585227111222E-3</v>
      </c>
      <c r="D69" s="18">
        <f t="shared" si="157"/>
        <v>4.4923232433606488E-3</v>
      </c>
      <c r="E69" s="18">
        <f t="shared" si="157"/>
        <v>3.5292606996493205E-3</v>
      </c>
      <c r="F69" s="18">
        <f t="shared" si="157"/>
        <v>3.4764571488454473E-3</v>
      </c>
      <c r="H69" s="68">
        <f t="shared" si="105"/>
        <v>18.391115562311221</v>
      </c>
      <c r="I69" s="69">
        <f t="shared" si="106"/>
        <v>66.246726198915269</v>
      </c>
      <c r="J69" s="69">
        <f t="shared" si="107"/>
        <v>84.637841761226483</v>
      </c>
      <c r="L69" t="str">
        <f t="shared" si="140"/>
        <v>91 Elementary trades and related occupations</v>
      </c>
      <c r="M69" s="18">
        <f t="shared" si="158"/>
        <v>0.14801862227870019</v>
      </c>
      <c r="N69" s="18">
        <f t="shared" si="158"/>
        <v>0.18412123830873442</v>
      </c>
      <c r="O69" s="18">
        <f t="shared" si="158"/>
        <v>0.10699517618476941</v>
      </c>
      <c r="P69" s="18">
        <f t="shared" si="158"/>
        <v>0.10624263404236416</v>
      </c>
      <c r="Q69" s="18">
        <f t="shared" si="158"/>
        <v>0.13288213061533694</v>
      </c>
      <c r="S69" s="68">
        <f t="shared" si="109"/>
        <v>79.714255160614201</v>
      </c>
      <c r="T69" s="69">
        <f t="shared" si="110"/>
        <v>69.008700350747475</v>
      </c>
      <c r="U69" s="69">
        <f t="shared" si="111"/>
        <v>148.72295551136168</v>
      </c>
      <c r="W69" t="str">
        <f t="shared" si="141"/>
        <v>91 Elementary trades and related occupations</v>
      </c>
      <c r="X69" s="18">
        <f t="shared" si="159"/>
        <v>0.36602957725025564</v>
      </c>
      <c r="Y69" s="18">
        <f t="shared" si="159"/>
        <v>0.30259557483416699</v>
      </c>
      <c r="Z69" s="18">
        <f t="shared" si="159"/>
        <v>0.24854130649842088</v>
      </c>
      <c r="AA69" s="18">
        <f t="shared" si="159"/>
        <v>0.20822185686638742</v>
      </c>
      <c r="AB69" s="18">
        <f t="shared" si="159"/>
        <v>0.19219471723911255</v>
      </c>
      <c r="AD69" s="68">
        <f t="shared" si="113"/>
        <v>5.7079196467976061</v>
      </c>
      <c r="AE69" s="69">
        <f t="shared" si="114"/>
        <v>58.708062847608488</v>
      </c>
      <c r="AF69" s="69">
        <f t="shared" si="115"/>
        <v>64.415982494406094</v>
      </c>
      <c r="AH69" t="str">
        <f t="shared" si="142"/>
        <v>91 Elementary trades and related occupations</v>
      </c>
      <c r="AI69" s="18">
        <f t="shared" si="160"/>
        <v>0.73667608896665504</v>
      </c>
      <c r="AJ69" s="18">
        <f t="shared" si="160"/>
        <v>0.7760093668197201</v>
      </c>
      <c r="AK69" s="18">
        <f t="shared" si="160"/>
        <v>0.58963847110908685</v>
      </c>
      <c r="AL69" s="18">
        <f t="shared" si="160"/>
        <v>0.62556508092340601</v>
      </c>
      <c r="AM69" s="18">
        <f t="shared" si="160"/>
        <v>0.77328493075854177</v>
      </c>
      <c r="AO69" s="68">
        <f t="shared" si="117"/>
        <v>41.155828161259507</v>
      </c>
      <c r="AP69" s="69">
        <f t="shared" si="118"/>
        <v>69.968446812603929</v>
      </c>
      <c r="AQ69" s="69">
        <f t="shared" si="119"/>
        <v>111.12427497386344</v>
      </c>
      <c r="AS69" t="str">
        <f t="shared" si="143"/>
        <v>91 Elementary trades and related occupations</v>
      </c>
      <c r="AT69" s="18">
        <f t="shared" si="161"/>
        <v>0.95371998962559512</v>
      </c>
      <c r="AU69" s="18">
        <f t="shared" si="161"/>
        <v>0.79126501450389375</v>
      </c>
      <c r="AV69" s="18">
        <f t="shared" si="161"/>
        <v>0.71400334211286609</v>
      </c>
      <c r="AW69" s="18">
        <f t="shared" si="161"/>
        <v>0.61923341073140981</v>
      </c>
      <c r="AX69" s="18">
        <f t="shared" si="161"/>
        <v>0.60135974048149943</v>
      </c>
      <c r="AZ69" s="68">
        <f t="shared" si="121"/>
        <v>2.1006381852899954</v>
      </c>
      <c r="BA69" s="69">
        <f t="shared" si="122"/>
        <v>50.420771886688406</v>
      </c>
      <c r="BB69" s="69">
        <f t="shared" si="123"/>
        <v>52.521410071978401</v>
      </c>
      <c r="BD69" t="str">
        <f t="shared" si="144"/>
        <v>91 Elementary trades and related occupations</v>
      </c>
      <c r="BE69" s="18">
        <f t="shared" si="162"/>
        <v>1.2777717486213382</v>
      </c>
      <c r="BF69" s="18">
        <f t="shared" si="162"/>
        <v>1.0288711003650153</v>
      </c>
      <c r="BG69" s="18">
        <f t="shared" si="162"/>
        <v>1.0341334391491035</v>
      </c>
      <c r="BH69" s="18">
        <f t="shared" si="162"/>
        <v>0.78922864541801063</v>
      </c>
      <c r="BI69" s="18">
        <f t="shared" si="162"/>
        <v>0.78326954383987413</v>
      </c>
      <c r="BK69" s="68">
        <f t="shared" si="125"/>
        <v>-24.250618342401047</v>
      </c>
      <c r="BL69" s="69">
        <f t="shared" si="126"/>
        <v>28.515473824379139</v>
      </c>
      <c r="BM69" s="69">
        <f t="shared" si="127"/>
        <v>4.2648554819780928</v>
      </c>
      <c r="BO69" t="str">
        <f t="shared" si="145"/>
        <v>91 Elementary trades and related occupations</v>
      </c>
      <c r="BP69" s="18">
        <f t="shared" si="163"/>
        <v>2.3259621692714409</v>
      </c>
      <c r="BQ69" s="18">
        <f t="shared" si="163"/>
        <v>1.9987946486230539</v>
      </c>
      <c r="BR69" s="18">
        <f t="shared" si="163"/>
        <v>1.9815119378648918</v>
      </c>
      <c r="BS69" s="18">
        <f t="shared" si="163"/>
        <v>1.7403264548896205</v>
      </c>
      <c r="BT69" s="18">
        <f t="shared" si="163"/>
        <v>1.9655467164950253</v>
      </c>
      <c r="BV69" s="68">
        <f t="shared" si="129"/>
        <v>-14.126536363583867</v>
      </c>
      <c r="BW69" s="69">
        <f t="shared" si="130"/>
        <v>30.902402442569354</v>
      </c>
      <c r="BX69" s="69">
        <f t="shared" si="131"/>
        <v>16.775866078985491</v>
      </c>
      <c r="BZ69" t="str">
        <f t="shared" si="146"/>
        <v>91 Elementary trades and related occupations</v>
      </c>
      <c r="CA69" s="18">
        <f t="shared" si="164"/>
        <v>3.8049890014622356</v>
      </c>
      <c r="CB69" s="18">
        <f t="shared" si="164"/>
        <v>3.6985089241386033</v>
      </c>
      <c r="CC69" s="18">
        <f t="shared" si="164"/>
        <v>3.4549066070315209</v>
      </c>
      <c r="CD69" s="18">
        <f t="shared" si="164"/>
        <v>2.978601804362953</v>
      </c>
      <c r="CE69" s="18">
        <f t="shared" si="164"/>
        <v>3.4419015776151274</v>
      </c>
      <c r="CG69" s="68">
        <f t="shared" si="133"/>
        <v>-41.950178255245085</v>
      </c>
      <c r="CH69" s="69">
        <f t="shared" si="134"/>
        <v>27.319764966290546</v>
      </c>
      <c r="CI69" s="69">
        <f t="shared" si="135"/>
        <v>-14.630413288954545</v>
      </c>
      <c r="CK69" t="str">
        <f t="shared" si="147"/>
        <v>91 Elementary trades and related occupations</v>
      </c>
      <c r="CL69" s="18">
        <f t="shared" si="165"/>
        <v>4.5718455083426006</v>
      </c>
      <c r="CM69" s="18">
        <f t="shared" si="165"/>
        <v>4.5531835359976602</v>
      </c>
      <c r="CN69" s="18">
        <f t="shared" si="165"/>
        <v>4.7245810220929938</v>
      </c>
      <c r="CO69" s="18">
        <f t="shared" si="165"/>
        <v>3.6804565251263988</v>
      </c>
      <c r="CP69" s="18">
        <f t="shared" si="165"/>
        <v>3.1586006207594379</v>
      </c>
      <c r="CR69" s="68">
        <f t="shared" si="137"/>
        <v>-60.667251712508182</v>
      </c>
      <c r="CS69" s="69">
        <f t="shared" si="138"/>
        <v>18.207116783992362</v>
      </c>
      <c r="CT69" s="69">
        <f t="shared" si="139"/>
        <v>-42.460134928515828</v>
      </c>
    </row>
    <row r="70" spans="1:98" x14ac:dyDescent="0.2">
      <c r="A70" t="str">
        <f t="shared" si="103"/>
        <v>92 Elementary administration and service occupations</v>
      </c>
      <c r="B70" s="18">
        <f t="shared" si="157"/>
        <v>0.52129139310928985</v>
      </c>
      <c r="C70" s="18">
        <f t="shared" si="157"/>
        <v>0.60736100161002937</v>
      </c>
      <c r="D70" s="18">
        <f t="shared" si="157"/>
        <v>0.56381077415285341</v>
      </c>
      <c r="E70" s="18">
        <f t="shared" si="157"/>
        <v>0.60260211938243657</v>
      </c>
      <c r="F70" s="18">
        <f t="shared" si="157"/>
        <v>0.65991063931644167</v>
      </c>
      <c r="H70" s="68">
        <f t="shared" si="105"/>
        <v>79.062642763243147</v>
      </c>
      <c r="I70" s="69">
        <f t="shared" si="106"/>
        <v>86.485483907888963</v>
      </c>
      <c r="J70" s="69">
        <f t="shared" si="107"/>
        <v>165.54812667113211</v>
      </c>
      <c r="L70" t="str">
        <f t="shared" ref="L70" si="166">A70</f>
        <v>92 Elementary administration and service occupations</v>
      </c>
      <c r="M70" s="18">
        <f t="shared" si="158"/>
        <v>1.8927719020653309</v>
      </c>
      <c r="N70" s="18">
        <f t="shared" si="158"/>
        <v>2.1335848003288671</v>
      </c>
      <c r="O70" s="18">
        <f t="shared" si="158"/>
        <v>2.0789673141204319</v>
      </c>
      <c r="P70" s="18">
        <f t="shared" si="158"/>
        <v>2.3579615806282277</v>
      </c>
      <c r="Q70" s="18">
        <f t="shared" si="158"/>
        <v>2.9430466486772051</v>
      </c>
      <c r="S70" s="68">
        <f t="shared" si="109"/>
        <v>104.84700900135002</v>
      </c>
      <c r="T70" s="69">
        <f t="shared" si="110"/>
        <v>93.619566004136999</v>
      </c>
      <c r="U70" s="69">
        <f t="shared" si="111"/>
        <v>198.46657500548704</v>
      </c>
      <c r="W70" t="str">
        <f t="shared" ref="W70" si="167">A70</f>
        <v>92 Elementary administration and service occupations</v>
      </c>
      <c r="X70" s="18">
        <f t="shared" si="159"/>
        <v>3.5540160528476838</v>
      </c>
      <c r="Y70" s="18">
        <f t="shared" si="159"/>
        <v>3.6862826881686059</v>
      </c>
      <c r="Z70" s="18">
        <f t="shared" si="159"/>
        <v>3.6034995379479282</v>
      </c>
      <c r="AA70" s="18">
        <f t="shared" si="159"/>
        <v>3.947982698993302</v>
      </c>
      <c r="AB70" s="18">
        <f t="shared" si="159"/>
        <v>4.394445712825009</v>
      </c>
      <c r="AD70" s="68">
        <f t="shared" si="113"/>
        <v>66.703335535917404</v>
      </c>
      <c r="AE70" s="69">
        <f t="shared" si="114"/>
        <v>88.593813798316546</v>
      </c>
      <c r="AF70" s="69">
        <f t="shared" si="115"/>
        <v>155.29714933423395</v>
      </c>
      <c r="AH70" t="str">
        <f t="shared" ref="AH70" si="168">L70</f>
        <v>92 Elementary administration and service occupations</v>
      </c>
      <c r="AI70" s="18">
        <f t="shared" si="160"/>
        <v>4.8456640793756476</v>
      </c>
      <c r="AJ70" s="18">
        <f t="shared" si="160"/>
        <v>5.867658919903687</v>
      </c>
      <c r="AK70" s="18">
        <f t="shared" si="160"/>
        <v>5.9297921626189254</v>
      </c>
      <c r="AL70" s="18">
        <f t="shared" si="160"/>
        <v>7.1782005696171964</v>
      </c>
      <c r="AM70" s="18">
        <f t="shared" si="160"/>
        <v>9.0501440016118906</v>
      </c>
      <c r="AO70" s="68">
        <f t="shared" si="117"/>
        <v>64.271074006229568</v>
      </c>
      <c r="AP70" s="69">
        <f t="shared" si="118"/>
        <v>80.441975633230783</v>
      </c>
      <c r="AQ70" s="69">
        <f t="shared" si="119"/>
        <v>144.71304963946037</v>
      </c>
      <c r="AS70" t="str">
        <f t="shared" ref="AS70" si="169">W70</f>
        <v>92 Elementary administration and service occupations</v>
      </c>
      <c r="AT70" s="18">
        <f t="shared" si="161"/>
        <v>5.4314284165659759</v>
      </c>
      <c r="AU70" s="18">
        <f t="shared" si="161"/>
        <v>5.752372251169442</v>
      </c>
      <c r="AV70" s="18">
        <f t="shared" si="161"/>
        <v>5.6875564095835882</v>
      </c>
      <c r="AW70" s="18">
        <f t="shared" si="161"/>
        <v>6.2083373959896377</v>
      </c>
      <c r="AX70" s="18">
        <f t="shared" si="161"/>
        <v>7.2996205120703692</v>
      </c>
      <c r="AZ70" s="68">
        <f t="shared" si="121"/>
        <v>55.585427435169734</v>
      </c>
      <c r="BA70" s="69">
        <f t="shared" si="122"/>
        <v>80.000053276625835</v>
      </c>
      <c r="BB70" s="69">
        <f t="shared" si="123"/>
        <v>135.58548071179558</v>
      </c>
      <c r="BD70" t="str">
        <f t="shared" ref="BD70" si="170">AH70</f>
        <v>92 Elementary administration and service occupations</v>
      </c>
      <c r="BE70" s="18">
        <f t="shared" si="162"/>
        <v>8.504032650877134</v>
      </c>
      <c r="BF70" s="18">
        <f t="shared" si="162"/>
        <v>7.6600253750742295</v>
      </c>
      <c r="BG70" s="18">
        <f t="shared" si="162"/>
        <v>7.8220941923694829</v>
      </c>
      <c r="BH70" s="18">
        <f t="shared" si="162"/>
        <v>7.51011016293858</v>
      </c>
      <c r="BI70" s="18">
        <f t="shared" si="162"/>
        <v>7.3003679672687758</v>
      </c>
      <c r="BK70" s="68">
        <f t="shared" si="125"/>
        <v>-6.6603554005487826</v>
      </c>
      <c r="BL70" s="69">
        <f t="shared" si="126"/>
        <v>46.504379215621874</v>
      </c>
      <c r="BM70" s="69">
        <f t="shared" si="127"/>
        <v>39.844023815073093</v>
      </c>
      <c r="BO70" t="str">
        <f t="shared" ref="BO70" si="171">AS70</f>
        <v>92 Elementary administration and service occupations</v>
      </c>
      <c r="BP70" s="18">
        <f t="shared" si="163"/>
        <v>13.996914537284169</v>
      </c>
      <c r="BQ70" s="18">
        <f t="shared" si="163"/>
        <v>14.188590981565245</v>
      </c>
      <c r="BR70" s="18">
        <f t="shared" si="163"/>
        <v>14.43836660098912</v>
      </c>
      <c r="BS70" s="18">
        <f t="shared" si="163"/>
        <v>15.117805819325774</v>
      </c>
      <c r="BT70" s="18">
        <f t="shared" si="163"/>
        <v>16.512156425745196</v>
      </c>
      <c r="BV70" s="68">
        <f t="shared" si="129"/>
        <v>-0.99479385744484694</v>
      </c>
      <c r="BW70" s="69">
        <f t="shared" si="130"/>
        <v>45.893572531693152</v>
      </c>
      <c r="BX70" s="69">
        <f t="shared" si="131"/>
        <v>44.898778674248305</v>
      </c>
      <c r="BZ70" t="str">
        <f t="shared" ref="BZ70" si="172">BD70</f>
        <v>92 Elementary administration and service occupations</v>
      </c>
      <c r="CA70" s="18">
        <f t="shared" si="164"/>
        <v>19.187668458501157</v>
      </c>
      <c r="CB70" s="18">
        <f t="shared" si="164"/>
        <v>19.457109975178728</v>
      </c>
      <c r="CC70" s="18">
        <f t="shared" si="164"/>
        <v>20.040063492784483</v>
      </c>
      <c r="CD70" s="18">
        <f t="shared" si="164"/>
        <v>21.26929623233913</v>
      </c>
      <c r="CE70" s="18">
        <f t="shared" si="164"/>
        <v>24.610095645306775</v>
      </c>
      <c r="CG70" s="68">
        <f t="shared" si="133"/>
        <v>-28.442861780388899</v>
      </c>
      <c r="CH70" s="69">
        <f t="shared" si="134"/>
        <v>36.016190565371836</v>
      </c>
      <c r="CI70" s="69">
        <f t="shared" si="135"/>
        <v>7.5733287849829374</v>
      </c>
      <c r="CK70" t="str">
        <f t="shared" ref="CK70" si="173">BO70</f>
        <v>92 Elementary administration and service occupations</v>
      </c>
      <c r="CL70" s="18">
        <f t="shared" si="165"/>
        <v>25.035677199132454</v>
      </c>
      <c r="CM70" s="18">
        <f t="shared" si="165"/>
        <v>21.154141992252395</v>
      </c>
      <c r="CN70" s="18">
        <f t="shared" si="165"/>
        <v>19.485067055651101</v>
      </c>
      <c r="CO70" s="18">
        <f t="shared" si="165"/>
        <v>17.905223465882056</v>
      </c>
      <c r="CP70" s="18">
        <f t="shared" si="165"/>
        <v>15.153936189452628</v>
      </c>
      <c r="CR70" s="68">
        <f t="shared" si="137"/>
        <v>-54.24417112961121</v>
      </c>
      <c r="CS70" s="69">
        <f t="shared" si="138"/>
        <v>20.135654776168312</v>
      </c>
      <c r="CT70" s="69">
        <f t="shared" si="139"/>
        <v>-34.108516353442894</v>
      </c>
    </row>
    <row r="71" spans="1:98" x14ac:dyDescent="0.2">
      <c r="B71" s="18"/>
      <c r="C71" s="18"/>
      <c r="D71" s="18"/>
      <c r="E71" s="18"/>
      <c r="F71" s="18"/>
      <c r="H71" s="68"/>
      <c r="I71" s="69"/>
      <c r="J71" s="69"/>
      <c r="M71" s="18"/>
      <c r="N71" s="18"/>
      <c r="O71" s="18"/>
      <c r="P71" s="18"/>
      <c r="Q71" s="18"/>
      <c r="S71" s="68"/>
      <c r="T71" s="69"/>
      <c r="U71" s="69"/>
      <c r="X71" s="18"/>
      <c r="Y71" s="18"/>
      <c r="Z71" s="18"/>
      <c r="AA71" s="18"/>
      <c r="AB71" s="18"/>
      <c r="AD71" s="68"/>
      <c r="AE71" s="69"/>
      <c r="AF71" s="69"/>
      <c r="AI71" s="18"/>
      <c r="AJ71" s="18"/>
      <c r="AK71" s="18"/>
      <c r="AL71" s="18"/>
      <c r="AM71" s="18"/>
      <c r="AO71" s="68"/>
      <c r="AP71" s="69"/>
      <c r="AQ71" s="69"/>
      <c r="AT71" s="18"/>
      <c r="AU71" s="18"/>
      <c r="AV71" s="18"/>
      <c r="AW71" s="18"/>
      <c r="AX71" s="18"/>
      <c r="AZ71" s="68"/>
      <c r="BA71" s="69"/>
      <c r="BB71" s="69"/>
      <c r="BE71" s="18"/>
      <c r="BF71" s="18"/>
      <c r="BG71" s="18"/>
      <c r="BH71" s="18"/>
      <c r="BI71" s="18"/>
      <c r="BK71" s="68"/>
      <c r="BL71" s="69"/>
      <c r="BM71" s="69"/>
      <c r="BP71" s="18"/>
      <c r="BQ71" s="18"/>
      <c r="BR71" s="18"/>
      <c r="BS71" s="18"/>
      <c r="BT71" s="18"/>
      <c r="BV71" s="68"/>
      <c r="BW71" s="69"/>
      <c r="BX71" s="69"/>
      <c r="CA71" s="18"/>
      <c r="CB71" s="18"/>
      <c r="CC71" s="18"/>
      <c r="CD71" s="18"/>
      <c r="CE71" s="18"/>
      <c r="CG71" s="68"/>
      <c r="CH71" s="69"/>
      <c r="CI71" s="69"/>
      <c r="CL71" s="18"/>
      <c r="CM71" s="18"/>
      <c r="CN71" s="18"/>
      <c r="CO71" s="18"/>
      <c r="CP71" s="18"/>
      <c r="CR71" s="68"/>
      <c r="CS71" s="69"/>
      <c r="CT71" s="69"/>
    </row>
    <row r="72" spans="1:98" x14ac:dyDescent="0.2">
      <c r="A72" s="24" t="str">
        <f>A35</f>
        <v>All occupations</v>
      </c>
      <c r="B72" s="26">
        <f>B35/B$35*100</f>
        <v>100</v>
      </c>
      <c r="C72" s="26">
        <f>C35/C$35*100</f>
        <v>100</v>
      </c>
      <c r="D72" s="26">
        <f>D35/D$35*100</f>
        <v>100</v>
      </c>
      <c r="E72" s="26">
        <f>E35/E$35*100</f>
        <v>100</v>
      </c>
      <c r="F72" s="26">
        <f>F35/F$35*100</f>
        <v>100</v>
      </c>
      <c r="H72" s="70">
        <f t="shared" ref="H72" si="174">IF(D35&gt;0,(H35/D35)*100,0)</f>
        <v>52.986542757933378</v>
      </c>
      <c r="I72" s="67">
        <f>IF(D35&gt;0,I35/D35*100,0)</f>
        <v>66.670950026304922</v>
      </c>
      <c r="J72" s="67">
        <f t="shared" ref="J72" si="175">IF(D35&gt;0,(J35/D35)*100,0)</f>
        <v>119.6574927842383</v>
      </c>
      <c r="L72" s="24" t="str">
        <f>L35</f>
        <v>All occupations</v>
      </c>
      <c r="M72" s="26">
        <f>M35/M$35*100</f>
        <v>100</v>
      </c>
      <c r="N72" s="26">
        <f>N35/N$35*100</f>
        <v>100</v>
      </c>
      <c r="O72" s="26">
        <f>O35/O$35*100</f>
        <v>100</v>
      </c>
      <c r="P72" s="26">
        <f>P35/P$35*100</f>
        <v>100</v>
      </c>
      <c r="Q72" s="26">
        <f>Q35/Q$35*100</f>
        <v>100</v>
      </c>
      <c r="S72" s="70">
        <f t="shared" ref="S72" si="176">IF(O35&gt;0,(S35/O35)*100,0)</f>
        <v>44.703868795472232</v>
      </c>
      <c r="T72" s="67">
        <f t="shared" ref="T72" si="177">IF(O35&gt;0,T35/O35*100,0)</f>
        <v>68.604737151746463</v>
      </c>
      <c r="U72" s="67">
        <f t="shared" ref="U72" si="178">IF(O35&gt;0,(U35/O35)*100,0)</f>
        <v>113.30860594721869</v>
      </c>
      <c r="W72" s="24" t="str">
        <f>W35</f>
        <v>All occupations</v>
      </c>
      <c r="X72" s="26">
        <f>X35/X$35*100</f>
        <v>100</v>
      </c>
      <c r="Y72" s="26">
        <f>Y35/Y$35*100</f>
        <v>100</v>
      </c>
      <c r="Z72" s="26">
        <f>Z35/Z$35*100</f>
        <v>100</v>
      </c>
      <c r="AA72" s="26">
        <f>AA35/AA$35*100</f>
        <v>100</v>
      </c>
      <c r="AB72" s="26">
        <f>AB35/AB$35*100</f>
        <v>100</v>
      </c>
      <c r="AD72" s="70">
        <f t="shared" ref="AD72" si="179">IF(Z35&gt;0,(AD35/Z35)*100,0)</f>
        <v>36.698785656833508</v>
      </c>
      <c r="AE72" s="67">
        <f t="shared" ref="AE72" si="180">IF(Z35&gt;0,AE35/Z35*100,0)</f>
        <v>66.860831006862881</v>
      </c>
      <c r="AF72" s="67">
        <f t="shared" ref="AF72" si="181">IF(Z35&gt;0,(AF35/Z35)*100,0)</f>
        <v>103.55961666369637</v>
      </c>
      <c r="AH72" s="24" t="str">
        <f>AH35</f>
        <v>All occupations</v>
      </c>
      <c r="AI72" s="26">
        <f>AI35/AI$35*100</f>
        <v>100</v>
      </c>
      <c r="AJ72" s="26">
        <f>AJ35/AJ$35*100</f>
        <v>100</v>
      </c>
      <c r="AK72" s="26">
        <f>AK35/AK$35*100</f>
        <v>100</v>
      </c>
      <c r="AL72" s="26">
        <f>AL35/AL$35*100</f>
        <v>100</v>
      </c>
      <c r="AM72" s="26">
        <f>AM35/AM$35*100</f>
        <v>100</v>
      </c>
      <c r="AO72" s="70">
        <f t="shared" ref="AO72" si="182">IF(AK35&gt;0,(AO35/AK35)*100,0)</f>
        <v>7.6329091574278891</v>
      </c>
      <c r="AP72" s="67">
        <f t="shared" ref="AP72" si="183">IF(AK35&gt;0,AP35/AK35*100,0)</f>
        <v>55.385325202558825</v>
      </c>
      <c r="AQ72" s="67">
        <f t="shared" ref="AQ72" si="184">IF(AK35&gt;0,(AQ35/AK35)*100,0)</f>
        <v>63.018234359986714</v>
      </c>
      <c r="AS72" s="24" t="str">
        <f>AS35</f>
        <v>All occupations</v>
      </c>
      <c r="AT72" s="26">
        <f>AT35/AT$35*100</f>
        <v>100</v>
      </c>
      <c r="AU72" s="26">
        <f>AU35/AU$35*100</f>
        <v>100</v>
      </c>
      <c r="AV72" s="26">
        <f>AV35/AV$35*100</f>
        <v>100</v>
      </c>
      <c r="AW72" s="26">
        <f>AW35/AW$35*100</f>
        <v>100</v>
      </c>
      <c r="AX72" s="26">
        <f>AX35/AX$35*100</f>
        <v>100</v>
      </c>
      <c r="AZ72" s="70">
        <f t="shared" ref="AZ72" si="185">IF(AV35&gt;0,(AZ35/AV35)*100,0)</f>
        <v>21.225602561594002</v>
      </c>
      <c r="BA72" s="67">
        <f t="shared" ref="BA72" si="186">IF(AV35&gt;0,BA35/AV35*100,0)</f>
        <v>58.237434969794755</v>
      </c>
      <c r="BB72" s="67">
        <f t="shared" ref="BB72" si="187">IF(AV35&gt;0,(BB35/AV35)*100,0)</f>
        <v>79.46303753138875</v>
      </c>
      <c r="BD72" s="24" t="str">
        <f>BD35</f>
        <v>All occupations</v>
      </c>
      <c r="BE72" s="26">
        <f>BE35/BE$35*100</f>
        <v>100</v>
      </c>
      <c r="BF72" s="26">
        <f>BF35/BF$35*100</f>
        <v>100</v>
      </c>
      <c r="BG72" s="26">
        <f>BG35/BG$35*100</f>
        <v>100</v>
      </c>
      <c r="BH72" s="26">
        <f>BH35/BH$35*100</f>
        <v>100</v>
      </c>
      <c r="BI72" s="26">
        <f>BI35/BI$35*100</f>
        <v>100</v>
      </c>
      <c r="BK72" s="70">
        <f t="shared" ref="BK72" si="188">IF(BG35&gt;0,(BK35/BG35)*100,0)</f>
        <v>1.0231705121745186E-2</v>
      </c>
      <c r="BL72" s="67">
        <f t="shared" ref="BL72" si="189">IF(BG35&gt;0,BL35/BG35*100,0)</f>
        <v>45.347789610691997</v>
      </c>
      <c r="BM72" s="67">
        <f t="shared" ref="BM72" si="190">IF(BG35&gt;0,(BM35/BG35)*100,0)</f>
        <v>45.358021315813744</v>
      </c>
      <c r="BO72" s="24" t="str">
        <f>BO35</f>
        <v>All occupations</v>
      </c>
      <c r="BP72" s="26">
        <f>BP35/BP$35*100</f>
        <v>100</v>
      </c>
      <c r="BQ72" s="26">
        <f>BQ35/BQ$35*100</f>
        <v>100</v>
      </c>
      <c r="BR72" s="26">
        <f>BR35/BR$35*100</f>
        <v>100</v>
      </c>
      <c r="BS72" s="26">
        <f>BS35/BS$35*100</f>
        <v>100</v>
      </c>
      <c r="BT72" s="26">
        <f>BT35/BT$35*100</f>
        <v>100</v>
      </c>
      <c r="BV72" s="70">
        <f t="shared" ref="BV72" si="191">IF(BR35&gt;0,(BV35/BR35)*100,0)</f>
        <v>-13.42902617710644</v>
      </c>
      <c r="BW72" s="67">
        <f t="shared" ref="BW72" si="192">IF(BR35&gt;0,BW35/BR35*100,0)</f>
        <v>40.650587263020974</v>
      </c>
      <c r="BX72" s="67">
        <f t="shared" ref="BX72" si="193">IF(BR35&gt;0,(BX35/BR35)*100,0)</f>
        <v>27.22156108591453</v>
      </c>
      <c r="BZ72" s="24" t="str">
        <f>BZ35</f>
        <v>All occupations</v>
      </c>
      <c r="CA72" s="26">
        <f>CA35/CA$35*100</f>
        <v>100</v>
      </c>
      <c r="CB72" s="26">
        <f>CB35/CB$35*100</f>
        <v>100</v>
      </c>
      <c r="CC72" s="26">
        <f>CC35/CC$35*100</f>
        <v>100</v>
      </c>
      <c r="CD72" s="26">
        <f>CD35/CD$35*100</f>
        <v>100</v>
      </c>
      <c r="CE72" s="26">
        <f>CE35/CE$35*100</f>
        <v>100</v>
      </c>
      <c r="CG72" s="70">
        <f t="shared" ref="CG72" si="194">IF(CC35&gt;0,(CG35/CC35)*100,0)</f>
        <v>-41.730840304294716</v>
      </c>
      <c r="CH72" s="67">
        <f t="shared" ref="CH72" si="195">IF(CC35&gt;0,CH35/CC35*100,0)</f>
        <v>32.132193734039468</v>
      </c>
      <c r="CI72" s="67">
        <f t="shared" ref="CI72" si="196">IF(CC35&gt;0,(CI35/CC35)*100,0)</f>
        <v>-9.5986465702552533</v>
      </c>
      <c r="CK72" s="24" t="str">
        <f>CK35</f>
        <v>All occupations</v>
      </c>
      <c r="CL72" s="26">
        <f>CL35/CL$35*100</f>
        <v>100</v>
      </c>
      <c r="CM72" s="26">
        <f>CM35/CM$35*100</f>
        <v>100</v>
      </c>
      <c r="CN72" s="26">
        <f>CN35/CN$35*100</f>
        <v>100</v>
      </c>
      <c r="CO72" s="26">
        <f>CO35/CO$35*100</f>
        <v>100</v>
      </c>
      <c r="CP72" s="26">
        <f>CP35/CP$35*100</f>
        <v>100</v>
      </c>
      <c r="CR72" s="70">
        <f t="shared" ref="CR72" si="197">IF(CN35&gt;0,(CR35/CN35)*100,0)</f>
        <v>-41.166744891867857</v>
      </c>
      <c r="CS72" s="67">
        <f t="shared" ref="CS72" si="198">IF(CN35&gt;0,CS35/CN35*100,0)</f>
        <v>26.458726130538</v>
      </c>
      <c r="CT72" s="67">
        <f t="shared" ref="CT72" si="199">IF(CN35&gt;0,(CT35/CN35)*100,0)</f>
        <v>-14.708018761329855</v>
      </c>
    </row>
    <row r="75" spans="1:98" ht="51" customHeight="1" x14ac:dyDescent="0.2">
      <c r="A75" s="381" t="str">
        <f>CONCATENATE(A$1," (Continued)")</f>
        <v>Basic Table 2  Employment Change by Occupation and Replacement Demand, RQF8 Doctorate, 2015-2035, North East (Continued)</v>
      </c>
      <c r="B75" s="381"/>
      <c r="C75" s="381"/>
      <c r="D75" s="381"/>
      <c r="E75" s="381"/>
      <c r="F75" s="381"/>
      <c r="G75" s="381"/>
      <c r="H75" s="381"/>
      <c r="I75" s="381"/>
      <c r="J75" s="381"/>
      <c r="L75" s="381" t="str">
        <f>CONCATENATE(L$1," (Continued)")</f>
        <v>Basic Table 2.1  Employment Change by Occupation and Replacement Demand, RQF7 Other higher degree, 2015-2035, North East (Continued)</v>
      </c>
      <c r="M75" s="381"/>
      <c r="N75" s="381"/>
      <c r="O75" s="381"/>
      <c r="P75" s="381"/>
      <c r="Q75" s="381"/>
      <c r="R75" s="381"/>
      <c r="S75" s="381"/>
      <c r="T75" s="381"/>
      <c r="U75" s="381"/>
      <c r="W75" s="381" t="str">
        <f>CONCATENATE(W$1," (Continued)")</f>
        <v>Basic Table 2.2  Employment Change by Occupation and Replacement Demand, RQF6 First degree, 2015-2035, North East (Continued)</v>
      </c>
      <c r="X75" s="381"/>
      <c r="Y75" s="381"/>
      <c r="Z75" s="381"/>
      <c r="AA75" s="381"/>
      <c r="AB75" s="381"/>
      <c r="AC75" s="381"/>
      <c r="AD75" s="381"/>
      <c r="AE75" s="381"/>
      <c r="AF75" s="381"/>
      <c r="AH75" s="381" t="str">
        <f>CONCATENATE(AH$1," (Continued)")</f>
        <v>Basic Table 2.3  Employment Change by Occupation and Replacement Demand, RQF5 Foundation degree;Nursing;Teaching, 2015-2035, North East (Continued)</v>
      </c>
      <c r="AI75" s="381"/>
      <c r="AJ75" s="381"/>
      <c r="AK75" s="381"/>
      <c r="AL75" s="381"/>
      <c r="AM75" s="381"/>
      <c r="AN75" s="381"/>
      <c r="AO75" s="381"/>
      <c r="AP75" s="381"/>
      <c r="AQ75" s="381"/>
      <c r="AS75" s="381" t="str">
        <f>CONCATENATE(AS$1," (Continued)")</f>
        <v>Basic Table 2.4  Employment Change by Occupation and Replacement Demand, RQF4 HE below degree level, 2015-2035, North East (Continued)</v>
      </c>
      <c r="AT75" s="381"/>
      <c r="AU75" s="381"/>
      <c r="AV75" s="381"/>
      <c r="AW75" s="381"/>
      <c r="AX75" s="381"/>
      <c r="AY75" s="381"/>
      <c r="AZ75" s="381"/>
      <c r="BA75" s="381"/>
      <c r="BB75" s="381"/>
      <c r="BD75" s="381" t="str">
        <f>CONCATENATE(BD$1," (Continued)")</f>
        <v>Basic Table 2.5  Employment Change by Occupation and Replacement Demand, RQF3 A level &amp; equivalent, 2015-2035, North East (Continued)</v>
      </c>
      <c r="BE75" s="381"/>
      <c r="BF75" s="381"/>
      <c r="BG75" s="381"/>
      <c r="BH75" s="381"/>
      <c r="BI75" s="381"/>
      <c r="BJ75" s="381"/>
      <c r="BK75" s="381"/>
      <c r="BL75" s="381"/>
      <c r="BM75" s="381"/>
      <c r="BO75" s="381" t="str">
        <f>CONCATENATE(BO$1," (Continued)")</f>
        <v>Basic Table 2.6  Employment Change by Occupation and Replacement Demand, RQF2 GCSE(A-C) &amp; equivalent, 2015-2035, North East (Continued)</v>
      </c>
      <c r="BP75" s="381"/>
      <c r="BQ75" s="381"/>
      <c r="BR75" s="381"/>
      <c r="BS75" s="381"/>
      <c r="BT75" s="381"/>
      <c r="BU75" s="381"/>
      <c r="BV75" s="381"/>
      <c r="BW75" s="381"/>
      <c r="BX75" s="381"/>
      <c r="BZ75" s="381" t="str">
        <f>CONCATENATE(BZ$1," (Continued)")</f>
        <v>Basic Table 2.7  Employment Change by Occupation and Replacement Demand, RQF1 GCSE(below grade C) &amp; equivalent, 2015-2035, North East (Continued)</v>
      </c>
      <c r="CA75" s="381"/>
      <c r="CB75" s="381"/>
      <c r="CC75" s="381"/>
      <c r="CD75" s="381"/>
      <c r="CE75" s="381"/>
      <c r="CF75" s="381"/>
      <c r="CG75" s="381"/>
      <c r="CH75" s="381"/>
      <c r="CI75" s="381"/>
      <c r="CK75" s="381" t="str">
        <f>CONCATENATE(CK$1," (Continued)")</f>
        <v>Basic Table 2.8  Employment Change by Occupation and Replacement Demand, No Qualification, 2015-2035, North East (Continued)</v>
      </c>
      <c r="CL75" s="381"/>
      <c r="CM75" s="381"/>
      <c r="CN75" s="381"/>
      <c r="CO75" s="381"/>
      <c r="CP75" s="381"/>
      <c r="CQ75" s="381"/>
      <c r="CR75" s="381"/>
      <c r="CS75" s="381"/>
      <c r="CT75" s="381"/>
    </row>
    <row r="77" spans="1:98" x14ac:dyDescent="0.2">
      <c r="F77" s="16" t="s">
        <v>38</v>
      </c>
      <c r="J77" s="16" t="s">
        <v>38</v>
      </c>
      <c r="Q77" s="16" t="s">
        <v>38</v>
      </c>
      <c r="U77" s="16" t="s">
        <v>38</v>
      </c>
      <c r="AB77" s="16" t="s">
        <v>38</v>
      </c>
      <c r="AF77" s="16" t="s">
        <v>38</v>
      </c>
      <c r="AM77" s="16" t="s">
        <v>38</v>
      </c>
      <c r="AQ77" s="16" t="s">
        <v>38</v>
      </c>
      <c r="AX77" s="16" t="s">
        <v>38</v>
      </c>
      <c r="BB77" s="16" t="s">
        <v>38</v>
      </c>
      <c r="BI77" s="16" t="s">
        <v>38</v>
      </c>
      <c r="BM77" s="16" t="s">
        <v>38</v>
      </c>
      <c r="BT77" s="16" t="s">
        <v>38</v>
      </c>
      <c r="BX77" s="16" t="s">
        <v>38</v>
      </c>
      <c r="CE77" s="16" t="s">
        <v>38</v>
      </c>
      <c r="CI77" s="16" t="s">
        <v>38</v>
      </c>
      <c r="CP77" s="16" t="s">
        <v>38</v>
      </c>
      <c r="CT77" s="16" t="s">
        <v>38</v>
      </c>
    </row>
    <row r="78" spans="1:98" x14ac:dyDescent="0.2">
      <c r="A78" s="36"/>
      <c r="B78" s="36"/>
      <c r="C78" s="36"/>
      <c r="D78" s="36"/>
      <c r="E78" s="36"/>
      <c r="F78" s="36"/>
      <c r="H78" s="28" t="str">
        <f>$H$4</f>
        <v>2020-2035</v>
      </c>
      <c r="I78" s="36"/>
      <c r="J78" s="36"/>
      <c r="L78" s="36"/>
      <c r="M78" s="36"/>
      <c r="N78" s="36"/>
      <c r="O78" s="36"/>
      <c r="P78" s="36"/>
      <c r="Q78" s="36"/>
      <c r="S78" s="28" t="str">
        <f>$H$4</f>
        <v>2020-2035</v>
      </c>
      <c r="T78" s="36"/>
      <c r="U78" s="36"/>
      <c r="W78" s="36"/>
      <c r="X78" s="36"/>
      <c r="Y78" s="36"/>
      <c r="Z78" s="36"/>
      <c r="AA78" s="36"/>
      <c r="AB78" s="36"/>
      <c r="AD78" s="28" t="str">
        <f>$H$4</f>
        <v>2020-2035</v>
      </c>
      <c r="AE78" s="36"/>
      <c r="AF78" s="36"/>
      <c r="AH78" s="36"/>
      <c r="AI78" s="36"/>
      <c r="AJ78" s="36"/>
      <c r="AK78" s="36"/>
      <c r="AL78" s="36"/>
      <c r="AM78" s="36"/>
      <c r="AO78" s="28" t="str">
        <f>$H$4</f>
        <v>2020-2035</v>
      </c>
      <c r="AP78" s="36"/>
      <c r="AQ78" s="36"/>
      <c r="AS78" s="36"/>
      <c r="AT78" s="36"/>
      <c r="AU78" s="36"/>
      <c r="AV78" s="36"/>
      <c r="AW78" s="36"/>
      <c r="AX78" s="36"/>
      <c r="AZ78" s="28" t="str">
        <f>$H$4</f>
        <v>2020-2035</v>
      </c>
      <c r="BA78" s="36"/>
      <c r="BB78" s="36"/>
      <c r="BD78" s="36"/>
      <c r="BE78" s="36"/>
      <c r="BF78" s="36"/>
      <c r="BG78" s="36"/>
      <c r="BH78" s="36"/>
      <c r="BI78" s="36"/>
      <c r="BK78" s="28" t="str">
        <f>$H$4</f>
        <v>2020-2035</v>
      </c>
      <c r="BL78" s="36"/>
      <c r="BM78" s="36"/>
      <c r="BO78" s="36"/>
      <c r="BP78" s="36"/>
      <c r="BQ78" s="36"/>
      <c r="BR78" s="36"/>
      <c r="BS78" s="36"/>
      <c r="BT78" s="36"/>
      <c r="BV78" s="28" t="str">
        <f>$H$4</f>
        <v>2020-2035</v>
      </c>
      <c r="BW78" s="36"/>
      <c r="BX78" s="36"/>
      <c r="BZ78" s="36"/>
      <c r="CA78" s="36"/>
      <c r="CB78" s="36"/>
      <c r="CC78" s="36"/>
      <c r="CD78" s="36"/>
      <c r="CE78" s="36"/>
      <c r="CG78" s="28" t="str">
        <f>$H$4</f>
        <v>2020-2035</v>
      </c>
      <c r="CH78" s="36"/>
      <c r="CI78" s="36"/>
      <c r="CK78" s="36"/>
      <c r="CL78" s="36"/>
      <c r="CM78" s="36"/>
      <c r="CN78" s="36"/>
      <c r="CO78" s="36"/>
      <c r="CP78" s="36"/>
      <c r="CR78" s="28" t="str">
        <f>$H$4</f>
        <v>2020-2035</v>
      </c>
      <c r="CS78" s="36"/>
      <c r="CT78" s="36"/>
    </row>
    <row r="79" spans="1:98" x14ac:dyDescent="0.2">
      <c r="H79" s="16" t="str">
        <f t="shared" ref="H79:J80" si="200">H42</f>
        <v>Net</v>
      </c>
      <c r="I79" s="16" t="str">
        <f t="shared" si="200"/>
        <v>Replacement</v>
      </c>
      <c r="J79" s="16" t="str">
        <f t="shared" si="200"/>
        <v>Total</v>
      </c>
      <c r="S79" s="16" t="str">
        <f t="shared" ref="S79:U80" si="201">S42</f>
        <v>Net</v>
      </c>
      <c r="T79" s="16" t="str">
        <f t="shared" si="201"/>
        <v>Replacement</v>
      </c>
      <c r="U79" s="16" t="str">
        <f t="shared" si="201"/>
        <v>Total</v>
      </c>
      <c r="AD79" s="16" t="str">
        <f t="shared" ref="AD79:AF80" si="202">AD42</f>
        <v>Net</v>
      </c>
      <c r="AE79" s="16" t="str">
        <f t="shared" si="202"/>
        <v>Replacement</v>
      </c>
      <c r="AF79" s="16" t="str">
        <f t="shared" si="202"/>
        <v>Total</v>
      </c>
      <c r="AO79" s="16" t="str">
        <f t="shared" ref="AO79:AQ80" si="203">AO42</f>
        <v>Net</v>
      </c>
      <c r="AP79" s="16" t="str">
        <f t="shared" si="203"/>
        <v>Replacement</v>
      </c>
      <c r="AQ79" s="16" t="str">
        <f t="shared" si="203"/>
        <v>Total</v>
      </c>
      <c r="AZ79" s="16" t="str">
        <f t="shared" ref="AZ79:BB80" si="204">AZ42</f>
        <v>Net</v>
      </c>
      <c r="BA79" s="16" t="str">
        <f t="shared" si="204"/>
        <v>Replacement</v>
      </c>
      <c r="BB79" s="16" t="str">
        <f t="shared" si="204"/>
        <v>Total</v>
      </c>
      <c r="BK79" s="16" t="str">
        <f t="shared" ref="BK79:BM80" si="205">BK42</f>
        <v>Net</v>
      </c>
      <c r="BL79" s="16" t="str">
        <f t="shared" si="205"/>
        <v>Replacement</v>
      </c>
      <c r="BM79" s="16" t="str">
        <f t="shared" si="205"/>
        <v>Total</v>
      </c>
      <c r="BV79" s="16" t="str">
        <f t="shared" ref="BV79:BX80" si="206">BV42</f>
        <v>Net</v>
      </c>
      <c r="BW79" s="16" t="str">
        <f t="shared" si="206"/>
        <v>Replacement</v>
      </c>
      <c r="BX79" s="16" t="str">
        <f t="shared" si="206"/>
        <v>Total</v>
      </c>
      <c r="CG79" s="16" t="str">
        <f t="shared" ref="CG79:CI80" si="207">CG42</f>
        <v>Net</v>
      </c>
      <c r="CH79" s="16" t="str">
        <f t="shared" si="207"/>
        <v>Replacement</v>
      </c>
      <c r="CI79" s="16" t="str">
        <f t="shared" si="207"/>
        <v>Total</v>
      </c>
      <c r="CR79" s="16" t="str">
        <f t="shared" ref="CR79:CT80" si="208">CR42</f>
        <v>Net</v>
      </c>
      <c r="CS79" s="16" t="str">
        <f t="shared" si="208"/>
        <v>Replacement</v>
      </c>
      <c r="CT79" s="16" t="str">
        <f t="shared" si="208"/>
        <v>Total</v>
      </c>
    </row>
    <row r="80" spans="1:98" x14ac:dyDescent="0.2">
      <c r="A80" s="41" t="s">
        <v>39</v>
      </c>
      <c r="B80" s="64" t="str">
        <f>CONCATENATE(B$6,"-",C$6)</f>
        <v>2015-2019</v>
      </c>
      <c r="C80" s="64" t="str">
        <f>CONCATENATE(C$6,"-",D$6)</f>
        <v>2019-2020</v>
      </c>
      <c r="D80" s="64" t="str">
        <f>CONCATENATE(D$6,"-",E$6)</f>
        <v>2020-2025</v>
      </c>
      <c r="E80" s="64" t="str">
        <f>CONCATENATE(E$6,"-",F$6)</f>
        <v>2025-2035</v>
      </c>
      <c r="F80" s="64" t="str">
        <f>CONCATENATE(C$6,"-",F$6)</f>
        <v>2019-2035</v>
      </c>
      <c r="H80" s="63" t="str">
        <f t="shared" si="200"/>
        <v>Change</v>
      </c>
      <c r="I80" s="63" t="str">
        <f t="shared" si="200"/>
        <v>Demand</v>
      </c>
      <c r="J80" s="63" t="str">
        <f t="shared" si="200"/>
        <v>Requirement</v>
      </c>
      <c r="L80" s="41" t="s">
        <v>39</v>
      </c>
      <c r="M80" s="64" t="str">
        <f>CONCATENATE(M$6,"-",N$6)</f>
        <v>2015-2019</v>
      </c>
      <c r="N80" s="64" t="str">
        <f>CONCATENATE(N$6,"-",O$6)</f>
        <v>2019-2020</v>
      </c>
      <c r="O80" s="64" t="str">
        <f>CONCATENATE(O$6,"-",P$6)</f>
        <v>2020-2025</v>
      </c>
      <c r="P80" s="64" t="str">
        <f>CONCATENATE(P$6,"-",Q$6)</f>
        <v>2025-2035</v>
      </c>
      <c r="Q80" s="64" t="str">
        <f>CONCATENATE(N$6,"-",Q$6)</f>
        <v>2019-2035</v>
      </c>
      <c r="S80" s="63" t="str">
        <f t="shared" si="201"/>
        <v>Change</v>
      </c>
      <c r="T80" s="63" t="str">
        <f t="shared" si="201"/>
        <v>Demand</v>
      </c>
      <c r="U80" s="63" t="str">
        <f t="shared" si="201"/>
        <v>Requirement</v>
      </c>
      <c r="W80" s="41" t="s">
        <v>39</v>
      </c>
      <c r="X80" s="64" t="str">
        <f>CONCATENATE(X$6,"-",Y$6)</f>
        <v>2015-2019</v>
      </c>
      <c r="Y80" s="64" t="str">
        <f>CONCATENATE(Y$6,"-",Z$6)</f>
        <v>2019-2020</v>
      </c>
      <c r="Z80" s="64" t="str">
        <f>CONCATENATE(Z$6,"-",AA$6)</f>
        <v>2020-2025</v>
      </c>
      <c r="AA80" s="64" t="str">
        <f>CONCATENATE(AA$6,"-",AB$6)</f>
        <v>2025-2035</v>
      </c>
      <c r="AB80" s="64" t="str">
        <f>CONCATENATE(Y$6,"-",AB$6)</f>
        <v>2019-2035</v>
      </c>
      <c r="AD80" s="63" t="str">
        <f t="shared" si="202"/>
        <v>Change</v>
      </c>
      <c r="AE80" s="63" t="str">
        <f t="shared" si="202"/>
        <v>Demand</v>
      </c>
      <c r="AF80" s="63" t="str">
        <f t="shared" si="202"/>
        <v>Requirement</v>
      </c>
      <c r="AH80" s="41" t="s">
        <v>39</v>
      </c>
      <c r="AI80" s="64" t="str">
        <f>CONCATENATE(AI$6,"-",AJ$6)</f>
        <v>2015-2019</v>
      </c>
      <c r="AJ80" s="64" t="str">
        <f>CONCATENATE(AJ$6,"-",AK$6)</f>
        <v>2019-2020</v>
      </c>
      <c r="AK80" s="64" t="str">
        <f>CONCATENATE(AK$6,"-",AL$6)</f>
        <v>2020-2025</v>
      </c>
      <c r="AL80" s="64" t="str">
        <f>CONCATENATE(AL$6,"-",AM$6)</f>
        <v>2025-2035</v>
      </c>
      <c r="AM80" s="64" t="str">
        <f>CONCATENATE(AJ$6,"-",AM$6)</f>
        <v>2019-2035</v>
      </c>
      <c r="AO80" s="63" t="str">
        <f t="shared" si="203"/>
        <v>Change</v>
      </c>
      <c r="AP80" s="63" t="str">
        <f t="shared" si="203"/>
        <v>Demand</v>
      </c>
      <c r="AQ80" s="63" t="str">
        <f t="shared" si="203"/>
        <v>Requirement</v>
      </c>
      <c r="AS80" s="41" t="s">
        <v>39</v>
      </c>
      <c r="AT80" s="64" t="str">
        <f>CONCATENATE(AT$6,"-",AU$6)</f>
        <v>2015-2019</v>
      </c>
      <c r="AU80" s="64" t="str">
        <f>CONCATENATE(AU$6,"-",AV$6)</f>
        <v>2019-2020</v>
      </c>
      <c r="AV80" s="64" t="str">
        <f>CONCATENATE(AV$6,"-",AW$6)</f>
        <v>2020-2025</v>
      </c>
      <c r="AW80" s="64" t="str">
        <f>CONCATENATE(AW$6,"-",AX$6)</f>
        <v>2025-2035</v>
      </c>
      <c r="AX80" s="64" t="str">
        <f>CONCATENATE(AU$6,"-",AX$6)</f>
        <v>2019-2035</v>
      </c>
      <c r="AZ80" s="63" t="str">
        <f t="shared" si="204"/>
        <v>Change</v>
      </c>
      <c r="BA80" s="63" t="str">
        <f t="shared" si="204"/>
        <v>Demand</v>
      </c>
      <c r="BB80" s="63" t="str">
        <f t="shared" si="204"/>
        <v>Requirement</v>
      </c>
      <c r="BD80" s="41" t="s">
        <v>39</v>
      </c>
      <c r="BE80" s="64" t="str">
        <f>CONCATENATE(BE$6,"-",BF$6)</f>
        <v>2015-2019</v>
      </c>
      <c r="BF80" s="64" t="str">
        <f>CONCATENATE(BF$6,"-",BG$6)</f>
        <v>2019-2020</v>
      </c>
      <c r="BG80" s="64" t="str">
        <f>CONCATENATE(BG$6,"-",BH$6)</f>
        <v>2020-2025</v>
      </c>
      <c r="BH80" s="64" t="str">
        <f>CONCATENATE(BH$6,"-",BI$6)</f>
        <v>2025-2035</v>
      </c>
      <c r="BI80" s="64" t="str">
        <f>CONCATENATE(BF$6,"-",BI$6)</f>
        <v>2019-2035</v>
      </c>
      <c r="BK80" s="63" t="str">
        <f t="shared" si="205"/>
        <v>Change</v>
      </c>
      <c r="BL80" s="63" t="str">
        <f t="shared" si="205"/>
        <v>Demand</v>
      </c>
      <c r="BM80" s="63" t="str">
        <f t="shared" si="205"/>
        <v>Requirement</v>
      </c>
      <c r="BO80" s="41" t="s">
        <v>39</v>
      </c>
      <c r="BP80" s="64" t="str">
        <f>CONCATENATE(BP$6,"-",BQ$6)</f>
        <v>2015-2019</v>
      </c>
      <c r="BQ80" s="64" t="str">
        <f>CONCATENATE(BQ$6,"-",BR$6)</f>
        <v>2019-2020</v>
      </c>
      <c r="BR80" s="64" t="str">
        <f>CONCATENATE(BR$6,"-",BS$6)</f>
        <v>2020-2025</v>
      </c>
      <c r="BS80" s="64" t="str">
        <f>CONCATENATE(BS$6,"-",BT$6)</f>
        <v>2025-2035</v>
      </c>
      <c r="BT80" s="64" t="str">
        <f>CONCATENATE(BQ$6,"-",BT$6)</f>
        <v>2019-2035</v>
      </c>
      <c r="BV80" s="63" t="str">
        <f t="shared" si="206"/>
        <v>Change</v>
      </c>
      <c r="BW80" s="63" t="str">
        <f t="shared" si="206"/>
        <v>Demand</v>
      </c>
      <c r="BX80" s="63" t="str">
        <f t="shared" si="206"/>
        <v>Requirement</v>
      </c>
      <c r="BZ80" s="41" t="s">
        <v>39</v>
      </c>
      <c r="CA80" s="64" t="str">
        <f>CONCATENATE(CA$6,"-",CB$6)</f>
        <v>2015-2019</v>
      </c>
      <c r="CB80" s="64" t="str">
        <f>CONCATENATE(CB$6,"-",CC$6)</f>
        <v>2019-2020</v>
      </c>
      <c r="CC80" s="64" t="str">
        <f>CONCATENATE(CC$6,"-",CD$6)</f>
        <v>2020-2025</v>
      </c>
      <c r="CD80" s="64" t="str">
        <f>CONCATENATE(CD$6,"-",CE$6)</f>
        <v>2025-2035</v>
      </c>
      <c r="CE80" s="64" t="str">
        <f>CONCATENATE(CB$6,"-",CE$6)</f>
        <v>2019-2035</v>
      </c>
      <c r="CG80" s="63" t="str">
        <f t="shared" si="207"/>
        <v>Change</v>
      </c>
      <c r="CH80" s="63" t="str">
        <f t="shared" si="207"/>
        <v>Demand</v>
      </c>
      <c r="CI80" s="63" t="str">
        <f t="shared" si="207"/>
        <v>Requirement</v>
      </c>
      <c r="CK80" s="41" t="s">
        <v>39</v>
      </c>
      <c r="CL80" s="64" t="str">
        <f>CONCATENATE(CL$6,"-",CM$6)</f>
        <v>2015-2019</v>
      </c>
      <c r="CM80" s="64" t="str">
        <f>CONCATENATE(CM$6,"-",CN$6)</f>
        <v>2019-2020</v>
      </c>
      <c r="CN80" s="64" t="str">
        <f>CONCATENATE(CN$6,"-",CO$6)</f>
        <v>2020-2025</v>
      </c>
      <c r="CO80" s="64" t="str">
        <f>CONCATENATE(CO$6,"-",CP$6)</f>
        <v>2025-2035</v>
      </c>
      <c r="CP80" s="64" t="str">
        <f>CONCATENATE(CM$6,"-",CP$6)</f>
        <v>2019-2035</v>
      </c>
      <c r="CR80" s="63" t="str">
        <f t="shared" si="208"/>
        <v>Change</v>
      </c>
      <c r="CS80" s="63" t="str">
        <f t="shared" si="208"/>
        <v>Demand</v>
      </c>
      <c r="CT80" s="63" t="str">
        <f t="shared" si="208"/>
        <v>Requirement</v>
      </c>
    </row>
    <row r="82" spans="1:98" x14ac:dyDescent="0.2">
      <c r="A82" t="str">
        <f t="shared" ref="A82:A107" si="209">A8</f>
        <v>11 Corporate managers and directors</v>
      </c>
      <c r="B82" s="18">
        <f t="shared" ref="B82:E107" si="210">IF(AND(C$6-B$6 &lt;&gt; 0,B8&lt;&gt;0,C8&lt;&gt;0),(EXP(LN(C8/B8)/(C$6-B$6))-1)*100,0)</f>
        <v>10.22181432998015</v>
      </c>
      <c r="C82" s="18">
        <f t="shared" si="210"/>
        <v>-16.344644145128495</v>
      </c>
      <c r="D82" s="18">
        <f t="shared" si="210"/>
        <v>2.0504416632003419</v>
      </c>
      <c r="E82" s="18">
        <f t="shared" si="210"/>
        <v>2.6446107846073375</v>
      </c>
      <c r="F82" s="18">
        <f t="shared" ref="F82:F107" si="211">IF(AND(F$6-C$6 &lt;&gt; 0,C8&lt;&gt;0,F8&lt;&gt;0),(EXP(LN(F8/C8)/(F$6-C$6))-1)*100,0)</f>
        <v>1.1569222623809106</v>
      </c>
      <c r="H82" s="18">
        <f t="shared" ref="H82:H107" si="212">IF($F$6-$D$6 &lt;&gt; 0,(EXP(LN(1+(H45/100))/($F$6-$D$6))-1)*100,0)</f>
        <v>2.446171020353094</v>
      </c>
      <c r="I82" s="18">
        <f t="shared" ref="I82:I107" si="213">IF(D8&gt;0,((1+(I8/D8))^(1/($F$6-$D$6))-1)*100,0)</f>
        <v>3.527116697455801</v>
      </c>
      <c r="J82" s="18">
        <f t="shared" ref="J82:J107" si="214">IF($F$6-$D$6 &lt;&gt; 0,(EXP(LN(1+(J45/100))/($F$6-$D$6))-1)*100,0)</f>
        <v>5.1333180978015536</v>
      </c>
      <c r="L82" t="str">
        <f>A82</f>
        <v>11 Corporate managers and directors</v>
      </c>
      <c r="M82" s="18">
        <f t="shared" ref="M82:P107" si="215">IF(AND(N$6-M$6 &lt;&gt; 0,M8&lt;&gt;0,N8&lt;&gt;0),(EXP(LN(N8/M8)/(N$6-M$6))-1)*100,0)</f>
        <v>11.366832045778462</v>
      </c>
      <c r="N82" s="18">
        <f t="shared" si="215"/>
        <v>-16.467676294649113</v>
      </c>
      <c r="O82" s="18">
        <f t="shared" si="215"/>
        <v>1.360682647590461</v>
      </c>
      <c r="P82" s="18">
        <f t="shared" si="215"/>
        <v>2.1366575721543768</v>
      </c>
      <c r="Q82" s="18">
        <f t="shared" ref="Q82:Q107" si="216">IF(AND(Q$6-N$6 &lt;&gt; 0,N8&lt;&gt;0,Q8&lt;&gt;0),(EXP(LN(Q8/N8)/(Q$6-N$6))-1)*100,0)</f>
        <v>0.62100788747316837</v>
      </c>
      <c r="S82" s="18">
        <f t="shared" ref="S82:S107" si="217">IF($F$6-$D$6 &lt;&gt; 0,(EXP(LN(1+(S45/100))/($F$6-$D$6))-1)*100,0)</f>
        <v>1.8773414399451571</v>
      </c>
      <c r="T82" s="18">
        <f t="shared" ref="T82:T107" si="218">IF(O8&gt;0,((1+(T8/O8))^(1/($F$6-$D$6))-1)*100,0)</f>
        <v>3.4710380160547949</v>
      </c>
      <c r="U82" s="18">
        <f t="shared" ref="U82:U107" si="219">IF($F$6-$D$6 &lt;&gt; 0,(EXP(LN(1+(U45/100))/($F$6-$D$6))-1)*100,0)</f>
        <v>4.6948603080263052</v>
      </c>
      <c r="W82" t="str">
        <f>A82</f>
        <v>11 Corporate managers and directors</v>
      </c>
      <c r="X82" s="18">
        <f t="shared" ref="X82:AA107" si="220">IF(AND(Y$6-X$6 &lt;&gt; 0,X8&lt;&gt;0,Y8&lt;&gt;0),(EXP(LN(Y8/X8)/(Y$6-X$6))-1)*100,0)</f>
        <v>1.2275337466901126</v>
      </c>
      <c r="Y82" s="18">
        <f t="shared" si="220"/>
        <v>6.77241015292116</v>
      </c>
      <c r="Z82" s="18">
        <f t="shared" si="220"/>
        <v>6.7846439465046871E-2</v>
      </c>
      <c r="AA82" s="18">
        <f t="shared" si="220"/>
        <v>1.8866797120916434</v>
      </c>
      <c r="AB82" s="18">
        <f t="shared" ref="AB82:AB107" si="221">IF(AND(AB$6-Y$6 &lt;&gt; 0,Y8&lt;&gt;0,AB8&lt;&gt;0),(EXP(LN(AB8/Y8)/(AB$6-Y$6))-1)*100,0)</f>
        <v>1.6117940650970386</v>
      </c>
      <c r="AD82" s="18">
        <f t="shared" ref="AD82:AD107" si="222">IF($F$6-$D$6 &lt;&gt; 0,(EXP(LN(1+(AD45/100))/($F$6-$D$6))-1)*100,0)</f>
        <v>1.2767580818739299</v>
      </c>
      <c r="AE82" s="18">
        <f t="shared" ref="AE82:AE107" si="223">IF(Z8&gt;0,((1+(AE8/Z8))^(1/($F$6-$D$6))-1)*100,0)</f>
        <v>3.3153796510782874</v>
      </c>
      <c r="AF82" s="18">
        <f t="shared" ref="AF82:AF107" si="224">IF($F$6-$D$6 &lt;&gt; 0,(EXP(LN(1+(AF45/100))/($F$6-$D$6))-1)*100,0)</f>
        <v>4.1514703702814071</v>
      </c>
      <c r="AH82" t="str">
        <f>L82</f>
        <v>11 Corporate managers and directors</v>
      </c>
      <c r="AI82" s="18">
        <f t="shared" ref="AI82:AL107" si="225">IF(AND(AJ$6-AI$6 &lt;&gt; 0,AI8&lt;&gt;0,AJ8&lt;&gt;0),(EXP(LN(AJ8/AI8)/(AJ$6-AI$6))-1)*100,0)</f>
        <v>-0.81883638572411988</v>
      </c>
      <c r="AJ82" s="18">
        <f t="shared" si="225"/>
        <v>16.026281885842586</v>
      </c>
      <c r="AK82" s="18">
        <f t="shared" si="225"/>
        <v>-1.3307221591168816</v>
      </c>
      <c r="AL82" s="18">
        <f t="shared" si="225"/>
        <v>1.2518598194573904</v>
      </c>
      <c r="AM82" s="18">
        <f t="shared" ref="AM82:AM107" si="226">IF(AND(AM$6-AJ$6 &lt;&gt; 0,AJ8&lt;&gt;0,AM8&lt;&gt;0),(EXP(LN(AM8/AJ8)/(AM$6-AJ$6))-1)*100,0)</f>
        <v>1.2962839216595468</v>
      </c>
      <c r="AO82" s="18">
        <f t="shared" ref="AO82:AO107" si="227">IF($F$6-$D$6 &lt;&gt; 0,(EXP(LN(1+(AO45/100))/($F$6-$D$6))-1)*100,0)</f>
        <v>0.38357446291603647</v>
      </c>
      <c r="AP82" s="18">
        <f t="shared" ref="AP82:AP107" si="228">IF(AK8&gt;0,((1+(AP8/AK8))^(1/($F$6-$D$6))-1)*100,0)</f>
        <v>2.8815350481894653</v>
      </c>
      <c r="AQ82" s="18">
        <f t="shared" ref="AQ82:AQ107" si="229">IF($F$6-$D$6 &lt;&gt; 0,(EXP(LN(1+(AQ45/100))/($F$6-$D$6))-1)*100,0)</f>
        <v>3.1416240800701045</v>
      </c>
      <c r="AS82" t="str">
        <f>W82</f>
        <v>11 Corporate managers and directors</v>
      </c>
      <c r="AT82" s="18">
        <f t="shared" ref="AT82:AW107" si="230">IF(AND(AU$6-AT$6 &lt;&gt; 0,AT8&lt;&gt;0,AU8&lt;&gt;0),(EXP(LN(AU8/AT8)/(AU$6-AT$6))-1)*100,0)</f>
        <v>-1.1447568451155243</v>
      </c>
      <c r="AU82" s="18">
        <f t="shared" si="230"/>
        <v>7.7307274096524381</v>
      </c>
      <c r="AV82" s="18">
        <f t="shared" si="230"/>
        <v>-1.686778393541255</v>
      </c>
      <c r="AW82" s="18">
        <f t="shared" si="230"/>
        <v>0.78528991450266261</v>
      </c>
      <c r="AX82" s="18">
        <f t="shared" ref="AX82:AX107" si="231">IF(AND(AX$6-AU$6 &lt;&gt; 0,AU8&lt;&gt;0,AX8&lt;&gt;0),(EXP(LN(AX8/AU8)/(AX$6-AU$6))-1)*100,0)</f>
        <v>0.42357325145083724</v>
      </c>
      <c r="AZ82" s="18">
        <f t="shared" ref="AZ82:AZ107" si="232">IF($F$6-$D$6 &lt;&gt; 0,(EXP(LN(1+(AZ45/100))/($F$6-$D$6))-1)*100,0)</f>
        <v>-4.5563418277438927E-2</v>
      </c>
      <c r="BA82" s="18">
        <f t="shared" ref="BA82:BA107" si="233">IF(AV8&gt;0,((1+(BA8/AV8))^(1/($F$6-$D$6))-1)*100,0)</f>
        <v>2.7793191864718958</v>
      </c>
      <c r="BB82" s="18">
        <f t="shared" ref="BB82:BB107" si="234">IF($F$6-$D$6 &lt;&gt; 0,(EXP(LN(1+(BB45/100))/($F$6-$D$6))-1)*100,0)</f>
        <v>2.7483115770030819</v>
      </c>
      <c r="BD82" t="str">
        <f>AH82</f>
        <v>11 Corporate managers and directors</v>
      </c>
      <c r="BE82" s="18">
        <f t="shared" ref="BE82:BH107" si="235">IF(AND(BF$6-BE$6 &lt;&gt; 0,BE8&lt;&gt;0,BF8&lt;&gt;0),(EXP(LN(BF8/BE8)/(BF$6-BE$6))-1)*100,0)</f>
        <v>2.2177012086151082</v>
      </c>
      <c r="BF82" s="18">
        <f t="shared" si="235"/>
        <v>22.433061371535381</v>
      </c>
      <c r="BG82" s="18">
        <f t="shared" si="235"/>
        <v>-4.6376005265177493</v>
      </c>
      <c r="BH82" s="18">
        <f t="shared" si="235"/>
        <v>0.86607145126622598</v>
      </c>
      <c r="BI82" s="18">
        <f t="shared" ref="BI82:BI107" si="236">IF(AND(BI$6-BF$6 &lt;&gt; 0,BF8&lt;&gt;0,BI8&lt;&gt;0),(EXP(LN(BI8/BF8)/(BI$6-BF$6))-1)*100,0)</f>
        <v>0.32050884681553704</v>
      </c>
      <c r="BK82" s="18">
        <f t="shared" ref="BK82:BK107" si="237">IF($F$6-$D$6 &lt;&gt; 0,(EXP(LN(1+(BK45/100))/($F$6-$D$6))-1)*100,0)</f>
        <v>-1.0029026976954958</v>
      </c>
      <c r="BL82" s="18">
        <f t="shared" ref="BL82:BL107" si="238">IF(BG8&gt;0,((1+(BL8/BG8))^(1/($F$6-$D$6))-1)*100,0)</f>
        <v>2.1105673508587941</v>
      </c>
      <c r="BM82" s="18">
        <f t="shared" ref="BM82:BM107" si="239">IF($F$6-$D$6 &lt;&gt; 0,(EXP(LN(1+(BM45/100))/($F$6-$D$6))-1)*100,0)</f>
        <v>1.3764555209911933</v>
      </c>
      <c r="BO82" t="str">
        <f>AS82</f>
        <v>11 Corporate managers and directors</v>
      </c>
      <c r="BP82" s="18">
        <f t="shared" ref="BP82:BS107" si="240">IF(AND(BQ$6-BP$6 &lt;&gt; 0,BP8&lt;&gt;0,BQ8&lt;&gt;0),(EXP(LN(BQ8/BP8)/(BQ$6-BP$6))-1)*100,0)</f>
        <v>2.0298917270539896</v>
      </c>
      <c r="BQ82" s="18">
        <f t="shared" si="240"/>
        <v>1.8695323589296153</v>
      </c>
      <c r="BR82" s="18">
        <f t="shared" si="240"/>
        <v>-3.3497927651825909</v>
      </c>
      <c r="BS82" s="18">
        <f t="shared" si="240"/>
        <v>-0.77673575845880194</v>
      </c>
      <c r="BT82" s="18">
        <f t="shared" ref="BT82:BT107" si="241">IF(AND(BT$6-BQ$6 &lt;&gt; 0,BQ8&lt;&gt;0,BT8&lt;&gt;0),(EXP(LN(BT8/BQ8)/(BT$6-BQ$6))-1)*100,0)</f>
        <v>-1.4260669050166097</v>
      </c>
      <c r="BV82" s="18">
        <f t="shared" ref="BV82:BV107" si="242">IF($F$6-$D$6 &lt;&gt; 0,(EXP(LN(1+(BV45/100))/($F$6-$D$6))-1)*100,0)</f>
        <v>-1.641943951261271</v>
      </c>
      <c r="BW82" s="18">
        <f t="shared" ref="BW82:BW107" si="243">IF(BR8&gt;0,((1+(BW8/BR8))^(1/($F$6-$D$6))-1)*100,0)</f>
        <v>2.1048274406659573</v>
      </c>
      <c r="BX82" s="18">
        <f t="shared" ref="BX82:BX107" si="244">IF($F$6-$D$6 &lt;&gt; 0,(EXP(LN(1+(BX45/100))/($F$6-$D$6))-1)*100,0)</f>
        <v>0.91772549721969021</v>
      </c>
      <c r="BZ82" t="str">
        <f>BD82</f>
        <v>11 Corporate managers and directors</v>
      </c>
      <c r="CA82" s="18">
        <f t="shared" ref="CA82:CD107" si="245">IF(AND(CB$6-CA$6 &lt;&gt; 0,CA8&lt;&gt;0,CB8&lt;&gt;0),(EXP(LN(CB8/CA8)/(CB$6-CA$6))-1)*100,0)</f>
        <v>9.3041021908870434</v>
      </c>
      <c r="CB82" s="18">
        <f t="shared" si="245"/>
        <v>-20.483349882261681</v>
      </c>
      <c r="CC82" s="18">
        <f t="shared" si="245"/>
        <v>-1.6832592253549938</v>
      </c>
      <c r="CD82" s="18">
        <f t="shared" si="245"/>
        <v>-3.4451724760601876</v>
      </c>
      <c r="CE82" s="18">
        <f t="shared" ref="CE82:CE107" si="246">IF(AND(CE$6-CB$6 &lt;&gt; 0,CB8&lt;&gt;0,CE8&lt;&gt;0),(EXP(LN(CE8/CB8)/(CE$6-CB$6))-1)*100,0)</f>
        <v>-4.069112940980335</v>
      </c>
      <c r="CG82" s="18">
        <f t="shared" ref="CG82:CG107" si="247">IF($F$6-$D$6 &lt;&gt; 0,(EXP(LN(1+(CG45/100))/($F$6-$D$6))-1)*100,0)</f>
        <v>-2.8614046167232732</v>
      </c>
      <c r="CH82" s="18">
        <f t="shared" ref="CH82:CH107" si="248">IF(CC8&gt;0,((1+(CH8/CC8))^(1/($F$6-$D$6))-1)*100,0)</f>
        <v>2.0603582400161358</v>
      </c>
      <c r="CI82" s="18">
        <f t="shared" ref="CI82:CI107" si="249">IF($F$6-$D$6 &lt;&gt; 0,(EXP(LN(1+(CI45/100))/($F$6-$D$6))-1)*100,0)</f>
        <v>3.2087512001943708E-2</v>
      </c>
      <c r="CK82" t="str">
        <f>BO82</f>
        <v>11 Corporate managers and directors</v>
      </c>
      <c r="CL82" s="18">
        <f t="shared" ref="CL82:CO107" si="250">IF(AND(CM$6-CL$6 &lt;&gt; 0,CL8&lt;&gt;0,CM8&lt;&gt;0),(EXP(LN(CM8/CL8)/(CM$6-CL$6))-1)*100,0)</f>
        <v>4.2820735000789423</v>
      </c>
      <c r="CM82" s="18">
        <f t="shared" si="250"/>
        <v>-21.207574450350709</v>
      </c>
      <c r="CN82" s="18">
        <f t="shared" si="250"/>
        <v>-3.3636880291547766</v>
      </c>
      <c r="CO82" s="18">
        <f t="shared" si="250"/>
        <v>1.1284608725094181</v>
      </c>
      <c r="CP82" s="18">
        <f t="shared" ref="CP82:CP107" si="251">IF(AND(CP$6-CM$6 &lt;&gt; 0,CM8&lt;&gt;0,CP8&lt;&gt;0),(EXP(LN(CP8/CM8)/(CP$6-CM$6))-1)*100,0)</f>
        <v>-1.8404607197879841</v>
      </c>
      <c r="CR82" s="18">
        <f t="shared" ref="CR82:CR107" si="252">IF($F$6-$D$6 &lt;&gt; 0,(EXP(LN(1+(CR45/100))/($F$6-$D$6))-1)*100,0)</f>
        <v>-0.39165734930349805</v>
      </c>
      <c r="CS82" s="18">
        <f t="shared" ref="CS82:CS107" si="253">IF(CN8&gt;0,((1+(CS8/CN8))^(1/($F$6-$D$6))-1)*100,0)</f>
        <v>1.9909942949574821</v>
      </c>
      <c r="CT82" s="18">
        <f t="shared" ref="CT82:CT107" si="254">IF($F$6-$D$6 &lt;&gt; 0,(EXP(LN(1+(CT45/100))/($F$6-$D$6))-1)*100,0)</f>
        <v>1.6959090381732267</v>
      </c>
    </row>
    <row r="83" spans="1:98" x14ac:dyDescent="0.2">
      <c r="A83" t="str">
        <f t="shared" si="209"/>
        <v>12 Other managers and proprietors</v>
      </c>
      <c r="B83" s="18">
        <f t="shared" si="210"/>
        <v>12.774304957122794</v>
      </c>
      <c r="C83" s="18">
        <f t="shared" si="210"/>
        <v>-25.183308103581648</v>
      </c>
      <c r="D83" s="18">
        <f t="shared" si="210"/>
        <v>8.1934952987980694</v>
      </c>
      <c r="E83" s="18">
        <f t="shared" si="210"/>
        <v>4.2869592065827744</v>
      </c>
      <c r="F83" s="18">
        <f t="shared" si="211"/>
        <v>3.3252628955761532</v>
      </c>
      <c r="H83" s="18">
        <f t="shared" si="212"/>
        <v>5.5732084069371357</v>
      </c>
      <c r="I83" s="18">
        <f t="shared" si="213"/>
        <v>5.0627772840215357</v>
      </c>
      <c r="J83" s="18">
        <f t="shared" si="214"/>
        <v>8.4009349556452673</v>
      </c>
      <c r="L83" t="str">
        <f t="shared" ref="L83:L106" si="255">A83</f>
        <v>12 Other managers and proprietors</v>
      </c>
      <c r="M83" s="18">
        <f t="shared" si="215"/>
        <v>10.483624182285123</v>
      </c>
      <c r="N83" s="18">
        <f t="shared" si="215"/>
        <v>-14.67848249557936</v>
      </c>
      <c r="O83" s="18">
        <f t="shared" si="215"/>
        <v>7.6251731752587038</v>
      </c>
      <c r="P83" s="18">
        <f t="shared" si="215"/>
        <v>4.1354676154367498</v>
      </c>
      <c r="Q83" s="18">
        <f t="shared" si="216"/>
        <v>3.9114518161733391</v>
      </c>
      <c r="S83" s="18">
        <f t="shared" si="217"/>
        <v>5.2859456307793096</v>
      </c>
      <c r="T83" s="18">
        <f t="shared" si="218"/>
        <v>4.9787559540926507</v>
      </c>
      <c r="U83" s="18">
        <f t="shared" si="219"/>
        <v>8.1482517353426367</v>
      </c>
      <c r="W83" t="str">
        <f t="shared" ref="W83:W106" si="256">A83</f>
        <v>12 Other managers and proprietors</v>
      </c>
      <c r="X83" s="18">
        <f t="shared" si="220"/>
        <v>1.3615021170553909</v>
      </c>
      <c r="Y83" s="18">
        <f t="shared" si="220"/>
        <v>2.7726471574198497</v>
      </c>
      <c r="Z83" s="18">
        <f t="shared" si="220"/>
        <v>5.9061628975326963</v>
      </c>
      <c r="AA83" s="18">
        <f t="shared" si="220"/>
        <v>2.4725815576846166</v>
      </c>
      <c r="AB83" s="18">
        <f t="shared" si="221"/>
        <v>3.5523669449401218</v>
      </c>
      <c r="AD83" s="18">
        <f t="shared" si="222"/>
        <v>3.6045581022778883</v>
      </c>
      <c r="AE83" s="18">
        <f t="shared" si="223"/>
        <v>4.5951000640055417</v>
      </c>
      <c r="AF83" s="18">
        <f t="shared" si="224"/>
        <v>6.7470170160752962</v>
      </c>
      <c r="AH83" t="str">
        <f t="shared" ref="AH83:AH106" si="257">L83</f>
        <v>12 Other managers and proprietors</v>
      </c>
      <c r="AI83" s="18">
        <f t="shared" si="225"/>
        <v>0.7197181398511443</v>
      </c>
      <c r="AJ83" s="18">
        <f t="shared" si="225"/>
        <v>15.499968729655755</v>
      </c>
      <c r="AK83" s="18">
        <f t="shared" si="225"/>
        <v>3.8268608877872756</v>
      </c>
      <c r="AL83" s="18">
        <f t="shared" si="225"/>
        <v>2.684154453479537</v>
      </c>
      <c r="AM83" s="18">
        <f t="shared" si="226"/>
        <v>3.8001066851097942</v>
      </c>
      <c r="AO83" s="18">
        <f t="shared" si="227"/>
        <v>3.0636523303784191</v>
      </c>
      <c r="AP83" s="18">
        <f t="shared" si="228"/>
        <v>4.221875908039685</v>
      </c>
      <c r="AQ83" s="18">
        <f t="shared" si="229"/>
        <v>6.1035499488733214</v>
      </c>
      <c r="AS83" t="str">
        <f t="shared" ref="AS83:AS106" si="258">W83</f>
        <v>12 Other managers and proprietors</v>
      </c>
      <c r="AT83" s="18">
        <f t="shared" si="230"/>
        <v>9.5642811783225312E-2</v>
      </c>
      <c r="AU83" s="18">
        <f t="shared" si="230"/>
        <v>-1.4955207044754726</v>
      </c>
      <c r="AV83" s="18">
        <f t="shared" si="230"/>
        <v>4.5871446350859379</v>
      </c>
      <c r="AW83" s="18">
        <f t="shared" si="230"/>
        <v>1.4499100210137339</v>
      </c>
      <c r="AX83" s="18">
        <f t="shared" si="231"/>
        <v>2.2316242338280556</v>
      </c>
      <c r="AZ83" s="18">
        <f t="shared" si="232"/>
        <v>2.4850568213071744</v>
      </c>
      <c r="BA83" s="18">
        <f t="shared" si="233"/>
        <v>3.9538380185736743</v>
      </c>
      <c r="BB83" s="18">
        <f t="shared" si="234"/>
        <v>5.5051895554945052</v>
      </c>
      <c r="BD83" t="str">
        <f t="shared" ref="BD83:BD106" si="259">AH83</f>
        <v>12 Other managers and proprietors</v>
      </c>
      <c r="BE83" s="18">
        <f t="shared" si="235"/>
        <v>-2.2398489435559665</v>
      </c>
      <c r="BF83" s="18">
        <f t="shared" si="235"/>
        <v>12.601417785786428</v>
      </c>
      <c r="BG83" s="18">
        <f t="shared" si="235"/>
        <v>0.49085836843409947</v>
      </c>
      <c r="BH83" s="18">
        <f t="shared" si="235"/>
        <v>1.2938321653926721</v>
      </c>
      <c r="BI83" s="18">
        <f t="shared" si="236"/>
        <v>1.7127545721731252</v>
      </c>
      <c r="BK83" s="18">
        <f t="shared" si="237"/>
        <v>1.0254638447975806</v>
      </c>
      <c r="BL83" s="18">
        <f t="shared" si="238"/>
        <v>2.80037562100377</v>
      </c>
      <c r="BM83" s="18">
        <f t="shared" si="239"/>
        <v>3.5135897159315421</v>
      </c>
      <c r="BO83" t="str">
        <f t="shared" ref="BO83:BO106" si="260">AS83</f>
        <v>12 Other managers and proprietors</v>
      </c>
      <c r="BP83" s="18">
        <f t="shared" si="240"/>
        <v>1.2943832381539178</v>
      </c>
      <c r="BQ83" s="18">
        <f t="shared" si="240"/>
        <v>-2.3730464409843832</v>
      </c>
      <c r="BR83" s="18">
        <f t="shared" si="240"/>
        <v>2.6899488522052373</v>
      </c>
      <c r="BS83" s="18">
        <f t="shared" si="240"/>
        <v>0.59212429429262858</v>
      </c>
      <c r="BT83" s="18">
        <f t="shared" si="241"/>
        <v>1.0538993771302962</v>
      </c>
      <c r="BV83" s="18">
        <f t="shared" si="242"/>
        <v>1.2865936263064093</v>
      </c>
      <c r="BW83" s="18">
        <f t="shared" si="243"/>
        <v>3.1556143591970232</v>
      </c>
      <c r="BX83" s="18">
        <f t="shared" si="244"/>
        <v>4.0157073169705404</v>
      </c>
      <c r="BZ83" t="str">
        <f t="shared" ref="BZ83:BZ106" si="261">BD83</f>
        <v>12 Other managers and proprietors</v>
      </c>
      <c r="CA83" s="18">
        <f t="shared" si="245"/>
        <v>6.5005120406570027</v>
      </c>
      <c r="CB83" s="18">
        <f t="shared" si="245"/>
        <v>-24.703344800881876</v>
      </c>
      <c r="CC83" s="18">
        <f t="shared" si="245"/>
        <v>2.430729747656013</v>
      </c>
      <c r="CD83" s="18">
        <f t="shared" si="245"/>
        <v>-2.6985064122107771</v>
      </c>
      <c r="CE83" s="18">
        <f t="shared" si="246"/>
        <v>-2.6955660895109701</v>
      </c>
      <c r="CG83" s="18">
        <f t="shared" si="247"/>
        <v>-1.0179539623212053</v>
      </c>
      <c r="CH83" s="18">
        <f t="shared" si="248"/>
        <v>2.6579398049415337</v>
      </c>
      <c r="CI83" s="18">
        <f t="shared" si="249"/>
        <v>1.9695697054308958</v>
      </c>
      <c r="CK83" t="str">
        <f t="shared" ref="CK83:CK106" si="262">BO83</f>
        <v>12 Other managers and proprietors</v>
      </c>
      <c r="CL83" s="18">
        <f t="shared" si="250"/>
        <v>-2.4398733472012823</v>
      </c>
      <c r="CM83" s="18">
        <f t="shared" si="250"/>
        <v>-20.850343780609958</v>
      </c>
      <c r="CN83" s="18">
        <f t="shared" si="250"/>
        <v>3.1926054416245853</v>
      </c>
      <c r="CO83" s="18">
        <f t="shared" si="250"/>
        <v>-0.42553039858420627</v>
      </c>
      <c r="CP83" s="18">
        <f t="shared" si="251"/>
        <v>-0.74309107222144677</v>
      </c>
      <c r="CR83" s="18">
        <f t="shared" si="252"/>
        <v>0.7661951902769637</v>
      </c>
      <c r="CS83" s="18">
        <f t="shared" si="253"/>
        <v>2.3194267559853099</v>
      </c>
      <c r="CT83" s="18">
        <f t="shared" si="254"/>
        <v>2.8837435275572254</v>
      </c>
    </row>
    <row r="84" spans="1:98" x14ac:dyDescent="0.2">
      <c r="A84" t="str">
        <f t="shared" si="209"/>
        <v>21 Science, research, engineering and technology professionals</v>
      </c>
      <c r="B84" s="18">
        <f t="shared" si="210"/>
        <v>9.0486694316245231</v>
      </c>
      <c r="C84" s="18">
        <f t="shared" si="210"/>
        <v>-13.323036752104533</v>
      </c>
      <c r="D84" s="18">
        <f t="shared" si="210"/>
        <v>4.4708691252123733</v>
      </c>
      <c r="E84" s="18">
        <f t="shared" si="210"/>
        <v>2.8667551705569894</v>
      </c>
      <c r="F84" s="18">
        <f t="shared" si="211"/>
        <v>2.2649671756442835</v>
      </c>
      <c r="H84" s="18">
        <f t="shared" si="212"/>
        <v>3.3987042420111635</v>
      </c>
      <c r="I84" s="18">
        <f t="shared" si="213"/>
        <v>2.8861657743112668</v>
      </c>
      <c r="J84" s="18">
        <f t="shared" si="214"/>
        <v>5.3433276479483816</v>
      </c>
      <c r="L84" t="str">
        <f t="shared" si="255"/>
        <v>21 Science, research, engineering and technology professionals</v>
      </c>
      <c r="M84" s="18">
        <f t="shared" si="215"/>
        <v>10.066962538373447</v>
      </c>
      <c r="N84" s="18">
        <f t="shared" si="215"/>
        <v>-11.574613939184031</v>
      </c>
      <c r="O84" s="18">
        <f t="shared" si="215"/>
        <v>5.0321587427166303</v>
      </c>
      <c r="P84" s="18">
        <f t="shared" si="215"/>
        <v>3.1541614197182266</v>
      </c>
      <c r="Q84" s="18">
        <f t="shared" si="216"/>
        <v>2.7432967630594884</v>
      </c>
      <c r="S84" s="18">
        <f t="shared" si="217"/>
        <v>3.7763995660113459</v>
      </c>
      <c r="T84" s="18">
        <f t="shared" si="218"/>
        <v>3.1702534946560945</v>
      </c>
      <c r="U84" s="18">
        <f t="shared" si="219"/>
        <v>5.833700023348265</v>
      </c>
      <c r="W84" t="str">
        <f t="shared" si="256"/>
        <v>21 Science, research, engineering and technology professionals</v>
      </c>
      <c r="X84" s="18">
        <f t="shared" si="220"/>
        <v>-3.2287780660148035</v>
      </c>
      <c r="Y84" s="18">
        <f t="shared" si="220"/>
        <v>8.2083892254374291</v>
      </c>
      <c r="Z84" s="18">
        <f t="shared" si="220"/>
        <v>1.3927836331167898</v>
      </c>
      <c r="AA84" s="18">
        <f t="shared" si="220"/>
        <v>0.67047331596847837</v>
      </c>
      <c r="AB84" s="18">
        <f t="shared" si="221"/>
        <v>1.3520014406032344</v>
      </c>
      <c r="AD84" s="18">
        <f t="shared" si="222"/>
        <v>0.91066986455601295</v>
      </c>
      <c r="AE84" s="18">
        <f t="shared" si="223"/>
        <v>2.4063821387002138</v>
      </c>
      <c r="AF84" s="18">
        <f t="shared" si="224"/>
        <v>3.0713914223476024</v>
      </c>
      <c r="AH84" t="str">
        <f t="shared" si="257"/>
        <v>21 Science, research, engineering and technology professionals</v>
      </c>
      <c r="AI84" s="18">
        <f t="shared" si="225"/>
        <v>-3.217562054505918</v>
      </c>
      <c r="AJ84" s="18">
        <f t="shared" si="225"/>
        <v>14.509203333021903</v>
      </c>
      <c r="AK84" s="18">
        <f t="shared" si="225"/>
        <v>1.1144662114257686</v>
      </c>
      <c r="AL84" s="18">
        <f t="shared" si="225"/>
        <v>1.1055562292887844</v>
      </c>
      <c r="AM84" s="18">
        <f t="shared" si="226"/>
        <v>1.8980957422647826</v>
      </c>
      <c r="AO84" s="18">
        <f t="shared" si="227"/>
        <v>1.1085261360946008</v>
      </c>
      <c r="AP84" s="18">
        <f t="shared" si="228"/>
        <v>2.3589939584304886</v>
      </c>
      <c r="AQ84" s="18">
        <f t="shared" si="229"/>
        <v>3.1766030940469925</v>
      </c>
      <c r="AS84" t="str">
        <f t="shared" si="258"/>
        <v>21 Science, research, engineering and technology professionals</v>
      </c>
      <c r="AT84" s="18">
        <f t="shared" si="230"/>
        <v>-3.2992979862723315</v>
      </c>
      <c r="AU84" s="18">
        <f t="shared" si="230"/>
        <v>6.828486278841539</v>
      </c>
      <c r="AV84" s="18">
        <f t="shared" si="230"/>
        <v>-0.20474223693250915</v>
      </c>
      <c r="AW84" s="18">
        <f t="shared" si="230"/>
        <v>-0.28199837565612285</v>
      </c>
      <c r="AX84" s="18">
        <f t="shared" si="231"/>
        <v>0.17244320254534706</v>
      </c>
      <c r="AZ84" s="18">
        <f t="shared" si="232"/>
        <v>-0.25625297698692595</v>
      </c>
      <c r="BA84" s="18">
        <f t="shared" si="233"/>
        <v>1.9559427404632679</v>
      </c>
      <c r="BB84" s="18">
        <f t="shared" si="234"/>
        <v>1.7614471111666141</v>
      </c>
      <c r="BD84" t="str">
        <f t="shared" si="259"/>
        <v>21 Science, research, engineering and technology professionals</v>
      </c>
      <c r="BE84" s="18">
        <f t="shared" si="235"/>
        <v>-0.39657741605464425</v>
      </c>
      <c r="BF84" s="18">
        <f t="shared" si="235"/>
        <v>30.717330395585595</v>
      </c>
      <c r="BG84" s="18">
        <f t="shared" si="235"/>
        <v>-4.0167156271753708</v>
      </c>
      <c r="BH84" s="18">
        <f t="shared" si="235"/>
        <v>-0.47709725489359922</v>
      </c>
      <c r="BI84" s="18">
        <f t="shared" si="236"/>
        <v>9.4184756885673515E-2</v>
      </c>
      <c r="BK84" s="18">
        <f t="shared" si="237"/>
        <v>-1.671240888742842</v>
      </c>
      <c r="BL84" s="18">
        <f t="shared" si="238"/>
        <v>1.4191471489818142</v>
      </c>
      <c r="BM84" s="18">
        <f t="shared" si="239"/>
        <v>7.9529647202791764E-2</v>
      </c>
      <c r="BO84" t="str">
        <f t="shared" si="260"/>
        <v>21 Science, research, engineering and technology professionals</v>
      </c>
      <c r="BP84" s="18">
        <f t="shared" si="240"/>
        <v>0.10117322690277319</v>
      </c>
      <c r="BQ84" s="18">
        <f t="shared" si="240"/>
        <v>10.221014161373553</v>
      </c>
      <c r="BR84" s="18">
        <f t="shared" si="240"/>
        <v>-1.0666281659171828</v>
      </c>
      <c r="BS84" s="18">
        <f t="shared" si="240"/>
        <v>-0.22456422098066087</v>
      </c>
      <c r="BT84" s="18">
        <f t="shared" si="241"/>
        <v>0.13269945662413019</v>
      </c>
      <c r="BV84" s="18">
        <f t="shared" si="242"/>
        <v>-0.50604555655626715</v>
      </c>
      <c r="BW84" s="18">
        <f t="shared" si="243"/>
        <v>1.733911105597663</v>
      </c>
      <c r="BX84" s="18">
        <f t="shared" si="244"/>
        <v>1.3393609043372612</v>
      </c>
      <c r="BZ84" t="str">
        <f t="shared" si="261"/>
        <v>21 Science, research, engineering and technology professionals</v>
      </c>
      <c r="CA84" s="18">
        <f t="shared" si="245"/>
        <v>10.560060588958908</v>
      </c>
      <c r="CB84" s="18">
        <f t="shared" si="245"/>
        <v>-23.575172195894933</v>
      </c>
      <c r="CC84" s="18">
        <f t="shared" si="245"/>
        <v>1.3111498931289045</v>
      </c>
      <c r="CD84" s="18">
        <f t="shared" si="245"/>
        <v>-1.9377751022935374</v>
      </c>
      <c r="CE84" s="18">
        <f t="shared" si="246"/>
        <v>-2.4654168098618201</v>
      </c>
      <c r="CG84" s="18">
        <f t="shared" si="247"/>
        <v>-0.86654481867783906</v>
      </c>
      <c r="CH84" s="18">
        <f t="shared" si="248"/>
        <v>1.7331786622497125</v>
      </c>
      <c r="CI84" s="18">
        <f t="shared" si="249"/>
        <v>1.0615618494530743</v>
      </c>
      <c r="CK84" t="str">
        <f t="shared" si="262"/>
        <v>21 Science, research, engineering and technology professionals</v>
      </c>
      <c r="CL84" s="18">
        <f t="shared" si="250"/>
        <v>2.6797504009903106</v>
      </c>
      <c r="CM84" s="18">
        <f t="shared" si="250"/>
        <v>-7.2236490046499906</v>
      </c>
      <c r="CN84" s="18">
        <f t="shared" si="250"/>
        <v>2.2678952276210751</v>
      </c>
      <c r="CO84" s="18">
        <f t="shared" si="250"/>
        <v>-0.66040725106724096</v>
      </c>
      <c r="CP84" s="18">
        <f t="shared" si="251"/>
        <v>-0.1817729398475576</v>
      </c>
      <c r="CR84" s="18">
        <f t="shared" si="252"/>
        <v>0.30625655349920677</v>
      </c>
      <c r="CS84" s="18">
        <f t="shared" si="253"/>
        <v>2.0469106918000302</v>
      </c>
      <c r="CT84" s="18">
        <f t="shared" si="254"/>
        <v>2.2788102192219606</v>
      </c>
    </row>
    <row r="85" spans="1:98" x14ac:dyDescent="0.2">
      <c r="A85" t="str">
        <f t="shared" si="209"/>
        <v>22 Health professionals</v>
      </c>
      <c r="B85" s="18">
        <f t="shared" si="210"/>
        <v>7.3719274111790689</v>
      </c>
      <c r="C85" s="18">
        <f t="shared" si="210"/>
        <v>-10.90996580582334</v>
      </c>
      <c r="D85" s="18">
        <f t="shared" si="210"/>
        <v>4.779377570473553</v>
      </c>
      <c r="E85" s="18">
        <f t="shared" si="210"/>
        <v>2.121150267538563</v>
      </c>
      <c r="F85" s="18">
        <f t="shared" si="211"/>
        <v>2.0699315486292447</v>
      </c>
      <c r="H85" s="18">
        <f t="shared" si="212"/>
        <v>2.9996470988711055</v>
      </c>
      <c r="I85" s="18">
        <f t="shared" si="213"/>
        <v>3.6656887530742921</v>
      </c>
      <c r="J85" s="18">
        <f t="shared" si="214"/>
        <v>5.6294486366288643</v>
      </c>
      <c r="L85" t="str">
        <f t="shared" si="255"/>
        <v>22 Health professionals</v>
      </c>
      <c r="M85" s="18">
        <f t="shared" si="215"/>
        <v>6.3507128745120323</v>
      </c>
      <c r="N85" s="18">
        <f t="shared" si="215"/>
        <v>-11.742873653835318</v>
      </c>
      <c r="O85" s="18">
        <f t="shared" si="215"/>
        <v>3.3866097672824669</v>
      </c>
      <c r="P85" s="18">
        <f t="shared" si="215"/>
        <v>1.0408463641076615</v>
      </c>
      <c r="Q85" s="18">
        <f t="shared" si="216"/>
        <v>0.91136086723346832</v>
      </c>
      <c r="S85" s="18">
        <f t="shared" si="217"/>
        <v>1.8167933307854156</v>
      </c>
      <c r="T85" s="18">
        <f t="shared" si="218"/>
        <v>3.5123900888990089</v>
      </c>
      <c r="U85" s="18">
        <f t="shared" si="219"/>
        <v>4.6888765127891308</v>
      </c>
      <c r="W85" t="str">
        <f t="shared" si="256"/>
        <v>22 Health professionals</v>
      </c>
      <c r="X85" s="18">
        <f t="shared" si="220"/>
        <v>9.0843648091443185E-2</v>
      </c>
      <c r="Y85" s="18">
        <f t="shared" si="220"/>
        <v>12.169837076273126</v>
      </c>
      <c r="Z85" s="18">
        <f t="shared" si="220"/>
        <v>3.4453228403524605</v>
      </c>
      <c r="AA85" s="18">
        <f t="shared" si="220"/>
        <v>2.2243078595381549</v>
      </c>
      <c r="AB85" s="18">
        <f t="shared" si="221"/>
        <v>3.2014408629719382</v>
      </c>
      <c r="AD85" s="18">
        <f t="shared" si="222"/>
        <v>2.6297030354551554</v>
      </c>
      <c r="AE85" s="18">
        <f t="shared" si="223"/>
        <v>3.7827038861175222</v>
      </c>
      <c r="AF85" s="18">
        <f t="shared" si="224"/>
        <v>5.4648698920357397</v>
      </c>
      <c r="AH85" t="str">
        <f t="shared" si="257"/>
        <v>22 Health professionals</v>
      </c>
      <c r="AI85" s="18">
        <f t="shared" si="225"/>
        <v>-9.8780665416967839</v>
      </c>
      <c r="AJ85" s="18">
        <f t="shared" si="225"/>
        <v>2.6019712550586327</v>
      </c>
      <c r="AK85" s="18">
        <f t="shared" si="225"/>
        <v>-9.9261353175656435</v>
      </c>
      <c r="AL85" s="18">
        <f t="shared" si="225"/>
        <v>-11.591098457722692</v>
      </c>
      <c r="AM85" s="18">
        <f t="shared" si="226"/>
        <v>-10.242788425118054</v>
      </c>
      <c r="AO85" s="18">
        <f t="shared" si="227"/>
        <v>-11.039558685570782</v>
      </c>
      <c r="AP85" s="18">
        <f t="shared" si="228"/>
        <v>1.1919566772895518</v>
      </c>
      <c r="AQ85" s="18">
        <f t="shared" si="229"/>
        <v>-6.4561852825762873</v>
      </c>
      <c r="AS85" t="str">
        <f t="shared" si="258"/>
        <v>22 Health professionals</v>
      </c>
      <c r="AT85" s="18">
        <f t="shared" si="230"/>
        <v>0.1410419183362821</v>
      </c>
      <c r="AU85" s="18">
        <f t="shared" si="230"/>
        <v>25.765866424129435</v>
      </c>
      <c r="AV85" s="18">
        <f t="shared" si="230"/>
        <v>2.230077676641562</v>
      </c>
      <c r="AW85" s="18">
        <f t="shared" si="230"/>
        <v>1.6041617354108473</v>
      </c>
      <c r="AX85" s="18">
        <f t="shared" si="231"/>
        <v>3.1657882429900752</v>
      </c>
      <c r="AZ85" s="18">
        <f t="shared" si="232"/>
        <v>1.8123734145800485</v>
      </c>
      <c r="BA85" s="18">
        <f t="shared" si="233"/>
        <v>3.1601925186471425</v>
      </c>
      <c r="BB85" s="18">
        <f t="shared" si="234"/>
        <v>4.3862341786121473</v>
      </c>
      <c r="BD85" t="str">
        <f t="shared" si="259"/>
        <v>22 Health professionals</v>
      </c>
      <c r="BE85" s="18">
        <f t="shared" si="235"/>
        <v>3.5222418017255785</v>
      </c>
      <c r="BF85" s="18">
        <f t="shared" si="235"/>
        <v>13.692968522915372</v>
      </c>
      <c r="BG85" s="18">
        <f t="shared" si="235"/>
        <v>3.0887550358947857</v>
      </c>
      <c r="BH85" s="18">
        <f t="shared" si="235"/>
        <v>1.527768465460122</v>
      </c>
      <c r="BI85" s="18">
        <f t="shared" si="236"/>
        <v>2.7371243392845912</v>
      </c>
      <c r="BK85" s="18">
        <f t="shared" si="237"/>
        <v>2.0454531887656557</v>
      </c>
      <c r="BL85" s="18">
        <f t="shared" si="238"/>
        <v>3.5048394895030199</v>
      </c>
      <c r="BM85" s="18">
        <f t="shared" si="239"/>
        <v>4.8382921066615125</v>
      </c>
      <c r="BO85" t="str">
        <f t="shared" si="260"/>
        <v>22 Health professionals</v>
      </c>
      <c r="BP85" s="18">
        <f t="shared" si="240"/>
        <v>1.5521725881584958</v>
      </c>
      <c r="BQ85" s="18">
        <f t="shared" si="240"/>
        <v>7.986768283636736</v>
      </c>
      <c r="BR85" s="18">
        <f t="shared" si="240"/>
        <v>3.2197513328968697E-2</v>
      </c>
      <c r="BS85" s="18">
        <f t="shared" si="240"/>
        <v>-1.3796939622534587</v>
      </c>
      <c r="BT85" s="18">
        <f t="shared" si="241"/>
        <v>-0.37729822024437087</v>
      </c>
      <c r="BV85" s="18">
        <f t="shared" si="242"/>
        <v>-0.91129169342224481</v>
      </c>
      <c r="BW85" s="18">
        <f t="shared" si="243"/>
        <v>2.3682755117916621</v>
      </c>
      <c r="BX85" s="18">
        <f t="shared" si="244"/>
        <v>1.7242925701391965</v>
      </c>
      <c r="BZ85" t="str">
        <f t="shared" si="261"/>
        <v>22 Health professionals</v>
      </c>
      <c r="CA85" s="18">
        <f t="shared" si="245"/>
        <v>-2.3717027492933473</v>
      </c>
      <c r="CB85" s="18">
        <f t="shared" si="245"/>
        <v>-4.8412445597021954</v>
      </c>
      <c r="CC85" s="18">
        <f t="shared" si="245"/>
        <v>-1.8746124975955514</v>
      </c>
      <c r="CD85" s="18">
        <f t="shared" si="245"/>
        <v>-6.9168960192354634</v>
      </c>
      <c r="CE85" s="18">
        <f t="shared" si="246"/>
        <v>-5.239135209119528</v>
      </c>
      <c r="CG85" s="18">
        <f t="shared" si="247"/>
        <v>-5.2656020210254395</v>
      </c>
      <c r="CH85" s="18">
        <f t="shared" si="248"/>
        <v>1.7439992704845864</v>
      </c>
      <c r="CI85" s="18">
        <f t="shared" si="249"/>
        <v>-1.9845415284579171</v>
      </c>
      <c r="CK85" t="str">
        <f t="shared" si="262"/>
        <v>22 Health professionals</v>
      </c>
      <c r="CL85" s="18">
        <f t="shared" si="250"/>
        <v>3.2926993221297218</v>
      </c>
      <c r="CM85" s="18">
        <f t="shared" si="250"/>
        <v>-12.381535396739373</v>
      </c>
      <c r="CN85" s="18">
        <f t="shared" si="250"/>
        <v>3.0528081911988414</v>
      </c>
      <c r="CO85" s="18">
        <f t="shared" si="250"/>
        <v>0.84805283496349748</v>
      </c>
      <c r="CP85" s="18">
        <f t="shared" si="251"/>
        <v>0.64347482618420937</v>
      </c>
      <c r="CR85" s="18">
        <f t="shared" si="252"/>
        <v>1.5776797688009436</v>
      </c>
      <c r="CS85" s="18">
        <f t="shared" si="253"/>
        <v>2.5123013757317292</v>
      </c>
      <c r="CT85" s="18">
        <f t="shared" si="254"/>
        <v>3.6638216893372766</v>
      </c>
    </row>
    <row r="86" spans="1:98" x14ac:dyDescent="0.2">
      <c r="A86" t="str">
        <f t="shared" si="209"/>
        <v>23 Teaching and other educational professionals</v>
      </c>
      <c r="B86" s="18">
        <f t="shared" si="210"/>
        <v>3.2834447866378236</v>
      </c>
      <c r="C86" s="18">
        <f t="shared" si="210"/>
        <v>-6.093105725266545</v>
      </c>
      <c r="D86" s="18">
        <f t="shared" si="210"/>
        <v>3.7049715096878044</v>
      </c>
      <c r="E86" s="18">
        <f t="shared" si="210"/>
        <v>1.1815799382302039</v>
      </c>
      <c r="F86" s="18">
        <f t="shared" si="211"/>
        <v>1.4890927915531593</v>
      </c>
      <c r="H86" s="18">
        <f t="shared" si="212"/>
        <v>2.0158133756563945</v>
      </c>
      <c r="I86" s="18">
        <f t="shared" si="213"/>
        <v>3.2858787827645397</v>
      </c>
      <c r="J86" s="18">
        <f t="shared" si="214"/>
        <v>4.6349352088200346</v>
      </c>
      <c r="L86" t="str">
        <f t="shared" si="255"/>
        <v>23 Teaching and other educational professionals</v>
      </c>
      <c r="M86" s="18">
        <f t="shared" si="215"/>
        <v>4.750804302734779</v>
      </c>
      <c r="N86" s="18">
        <f t="shared" si="215"/>
        <v>-5.4433803242795893</v>
      </c>
      <c r="O86" s="18">
        <f t="shared" si="215"/>
        <v>3.3795832437535589</v>
      </c>
      <c r="P86" s="18">
        <f t="shared" si="215"/>
        <v>1.0050598500854546</v>
      </c>
      <c r="Q86" s="18">
        <f t="shared" si="216"/>
        <v>1.3225404810867092</v>
      </c>
      <c r="S86" s="18">
        <f t="shared" si="217"/>
        <v>1.7904449008594447</v>
      </c>
      <c r="T86" s="18">
        <f t="shared" si="218"/>
        <v>3.3282945702362898</v>
      </c>
      <c r="U86" s="18">
        <f t="shared" si="219"/>
        <v>4.5138115466037521</v>
      </c>
      <c r="W86" t="str">
        <f t="shared" si="256"/>
        <v>23 Teaching and other educational professionals</v>
      </c>
      <c r="X86" s="18">
        <f t="shared" si="220"/>
        <v>-5.790891119186437</v>
      </c>
      <c r="Y86" s="18">
        <f t="shared" si="220"/>
        <v>24.884065623280538</v>
      </c>
      <c r="Z86" s="18">
        <f t="shared" si="220"/>
        <v>-0.50135591882251029</v>
      </c>
      <c r="AA86" s="18">
        <f t="shared" si="220"/>
        <v>0.40544234039379123</v>
      </c>
      <c r="AB86" s="18">
        <f t="shared" si="221"/>
        <v>1.4957451051704096</v>
      </c>
      <c r="AD86" s="18">
        <f t="shared" si="222"/>
        <v>0.10226170215392738</v>
      </c>
      <c r="AE86" s="18">
        <f t="shared" si="223"/>
        <v>2.6575552204481934</v>
      </c>
      <c r="AF86" s="18">
        <f t="shared" si="224"/>
        <v>2.7285535141993611</v>
      </c>
      <c r="AH86" t="str">
        <f t="shared" si="257"/>
        <v>23 Teaching and other educational professionals</v>
      </c>
      <c r="AI86" s="18">
        <f t="shared" si="225"/>
        <v>-20.548087521516667</v>
      </c>
      <c r="AJ86" s="18">
        <f t="shared" si="225"/>
        <v>-2.5223584384621689</v>
      </c>
      <c r="AK86" s="18">
        <f t="shared" si="225"/>
        <v>-11.681056997185646</v>
      </c>
      <c r="AL86" s="18">
        <f t="shared" si="225"/>
        <v>-6.9956055823050534E-3</v>
      </c>
      <c r="AM86" s="18">
        <f t="shared" si="226"/>
        <v>-3.9650297182877381</v>
      </c>
      <c r="AO86" s="18">
        <f t="shared" si="227"/>
        <v>-4.0604451160020876</v>
      </c>
      <c r="AP86" s="18">
        <f t="shared" si="228"/>
        <v>0.95411473068580666</v>
      </c>
      <c r="AQ86" s="18">
        <f t="shared" si="229"/>
        <v>-2.4427364025819132</v>
      </c>
      <c r="AS86" t="str">
        <f t="shared" si="258"/>
        <v>23 Teaching and other educational professionals</v>
      </c>
      <c r="AT86" s="18">
        <f t="shared" si="230"/>
        <v>-10.88259513822697</v>
      </c>
      <c r="AU86" s="18">
        <f t="shared" si="230"/>
        <v>12.338470111860289</v>
      </c>
      <c r="AV86" s="18">
        <f t="shared" si="230"/>
        <v>-3.359479779629293</v>
      </c>
      <c r="AW86" s="18">
        <f t="shared" si="230"/>
        <v>-2.1231586915474887</v>
      </c>
      <c r="AX86" s="18">
        <f t="shared" si="231"/>
        <v>-1.6679109316553142</v>
      </c>
      <c r="AZ86" s="18">
        <f t="shared" si="232"/>
        <v>-2.5370131630898518</v>
      </c>
      <c r="BA86" s="18">
        <f t="shared" si="233"/>
        <v>1.8630969552158705</v>
      </c>
      <c r="BB86" s="18">
        <f t="shared" si="234"/>
        <v>-5.5934001077284634E-3</v>
      </c>
      <c r="BD86" t="str">
        <f t="shared" si="259"/>
        <v>23 Teaching and other educational professionals</v>
      </c>
      <c r="BE86" s="18">
        <f t="shared" si="235"/>
        <v>-3.8491976378913662</v>
      </c>
      <c r="BF86" s="18">
        <f t="shared" si="235"/>
        <v>41.618167959296336</v>
      </c>
      <c r="BG86" s="18">
        <f t="shared" si="235"/>
        <v>0.5730291780423391</v>
      </c>
      <c r="BH86" s="18">
        <f t="shared" si="235"/>
        <v>1.1205854341223676</v>
      </c>
      <c r="BI86" s="18">
        <f t="shared" si="236"/>
        <v>3.0967912606397086</v>
      </c>
      <c r="BK86" s="18">
        <f t="shared" si="237"/>
        <v>0.93773624816220202</v>
      </c>
      <c r="BL86" s="18">
        <f t="shared" si="238"/>
        <v>2.3750486495700329</v>
      </c>
      <c r="BM86" s="18">
        <f t="shared" si="239"/>
        <v>3.0629861702341055</v>
      </c>
      <c r="BO86" t="str">
        <f t="shared" si="260"/>
        <v>23 Teaching and other educational professionals</v>
      </c>
      <c r="BP86" s="18">
        <f t="shared" si="240"/>
        <v>-2.8735119319502678</v>
      </c>
      <c r="BQ86" s="18">
        <f t="shared" si="240"/>
        <v>24.327683946761102</v>
      </c>
      <c r="BR86" s="18">
        <f t="shared" si="240"/>
        <v>-1.1744122270877289</v>
      </c>
      <c r="BS86" s="18">
        <f t="shared" si="240"/>
        <v>-1.5780229482078023</v>
      </c>
      <c r="BT86" s="18">
        <f t="shared" si="241"/>
        <v>-2.3641468606561133E-3</v>
      </c>
      <c r="BV86" s="18">
        <f t="shared" si="242"/>
        <v>-1.4436695271723421</v>
      </c>
      <c r="BW86" s="18">
        <f t="shared" si="243"/>
        <v>2.2610337030654959</v>
      </c>
      <c r="BX86" s="18">
        <f t="shared" si="244"/>
        <v>1.2368849702933282</v>
      </c>
      <c r="BZ86" t="str">
        <f t="shared" si="261"/>
        <v>23 Teaching and other educational professionals</v>
      </c>
      <c r="CA86" s="18">
        <f t="shared" si="245"/>
        <v>-1.6747645294100444</v>
      </c>
      <c r="CB86" s="18">
        <f t="shared" si="245"/>
        <v>1.9769142480372093</v>
      </c>
      <c r="CC86" s="18">
        <f t="shared" si="245"/>
        <v>-0.69700583543597094</v>
      </c>
      <c r="CD86" s="18">
        <f t="shared" si="245"/>
        <v>-3.6970794833085185</v>
      </c>
      <c r="CE86" s="18">
        <f t="shared" si="246"/>
        <v>-2.4209107872073754</v>
      </c>
      <c r="CG86" s="18">
        <f t="shared" si="247"/>
        <v>-2.7072632719695622</v>
      </c>
      <c r="CH86" s="18">
        <f t="shared" si="248"/>
        <v>2.0151820619478844</v>
      </c>
      <c r="CI86" s="18">
        <f t="shared" si="249"/>
        <v>7.564792327652281E-2</v>
      </c>
      <c r="CK86" t="str">
        <f t="shared" si="262"/>
        <v>23 Teaching and other educational professionals</v>
      </c>
      <c r="CL86" s="18">
        <f t="shared" si="250"/>
        <v>2.2186334088834414</v>
      </c>
      <c r="CM86" s="18">
        <f t="shared" si="250"/>
        <v>-3.7310949557562201</v>
      </c>
      <c r="CN86" s="18">
        <f t="shared" si="250"/>
        <v>3.5219261743727692</v>
      </c>
      <c r="CO86" s="18">
        <f t="shared" si="250"/>
        <v>0.51700297830574726</v>
      </c>
      <c r="CP86" s="18">
        <f t="shared" si="251"/>
        <v>1.1731312839274199</v>
      </c>
      <c r="CR86" s="18">
        <f t="shared" si="252"/>
        <v>1.5088253358225501</v>
      </c>
      <c r="CS86" s="18">
        <f t="shared" si="253"/>
        <v>2.5566629093441984</v>
      </c>
      <c r="CT86" s="18">
        <f t="shared" si="254"/>
        <v>3.6503092117834424</v>
      </c>
    </row>
    <row r="87" spans="1:98" x14ac:dyDescent="0.2">
      <c r="A87" t="str">
        <f t="shared" si="209"/>
        <v>24 Business, media and public service professionals</v>
      </c>
      <c r="B87" s="18">
        <f t="shared" si="210"/>
        <v>9.6310082465672409</v>
      </c>
      <c r="C87" s="18">
        <f t="shared" si="210"/>
        <v>-7.5521585580830441</v>
      </c>
      <c r="D87" s="18">
        <f t="shared" si="210"/>
        <v>5.2349925496788074</v>
      </c>
      <c r="E87" s="18">
        <f t="shared" si="210"/>
        <v>3.097464093555824</v>
      </c>
      <c r="F87" s="18">
        <f t="shared" si="211"/>
        <v>3.0560737029179386</v>
      </c>
      <c r="H87" s="18">
        <f t="shared" si="212"/>
        <v>3.8051053520225642</v>
      </c>
      <c r="I87" s="18">
        <f t="shared" si="213"/>
        <v>3.8653245535351655</v>
      </c>
      <c r="J87" s="18">
        <f t="shared" si="214"/>
        <v>6.3477921001557913</v>
      </c>
      <c r="L87" t="str">
        <f t="shared" si="255"/>
        <v>24 Business, media and public service professionals</v>
      </c>
      <c r="M87" s="18">
        <f t="shared" si="215"/>
        <v>8.2205793256384219</v>
      </c>
      <c r="N87" s="18">
        <f t="shared" si="215"/>
        <v>-7.5067154544991688</v>
      </c>
      <c r="O87" s="18">
        <f t="shared" si="215"/>
        <v>3.6576180722883045</v>
      </c>
      <c r="P87" s="18">
        <f t="shared" si="215"/>
        <v>1.8535554414165212</v>
      </c>
      <c r="Q87" s="18">
        <f t="shared" si="216"/>
        <v>1.7987373972103926</v>
      </c>
      <c r="S87" s="18">
        <f t="shared" si="217"/>
        <v>2.4513937224602156</v>
      </c>
      <c r="T87" s="18">
        <f t="shared" si="218"/>
        <v>3.5482493058158759</v>
      </c>
      <c r="U87" s="18">
        <f t="shared" si="219"/>
        <v>5.1539851436685824</v>
      </c>
      <c r="W87" t="str">
        <f t="shared" si="256"/>
        <v>24 Business, media and public service professionals</v>
      </c>
      <c r="X87" s="18">
        <f t="shared" si="220"/>
        <v>-0.43222349193376974</v>
      </c>
      <c r="Y87" s="18">
        <f t="shared" si="220"/>
        <v>23.042476427815849</v>
      </c>
      <c r="Z87" s="18">
        <f t="shared" si="220"/>
        <v>2.3562763035602563</v>
      </c>
      <c r="AA87" s="18">
        <f t="shared" si="220"/>
        <v>1.9170729518213969</v>
      </c>
      <c r="AB87" s="18">
        <f t="shared" si="221"/>
        <v>3.2627186501375416</v>
      </c>
      <c r="AD87" s="18">
        <f t="shared" si="222"/>
        <v>2.0632642698694248</v>
      </c>
      <c r="AE87" s="18">
        <f t="shared" si="223"/>
        <v>3.3239083058305141</v>
      </c>
      <c r="AF87" s="18">
        <f t="shared" si="224"/>
        <v>4.6998296891172631</v>
      </c>
      <c r="AH87" t="str">
        <f t="shared" si="257"/>
        <v>24 Business, media and public service professionals</v>
      </c>
      <c r="AI87" s="18">
        <f t="shared" si="225"/>
        <v>-4.5394678527674204</v>
      </c>
      <c r="AJ87" s="18">
        <f t="shared" si="225"/>
        <v>18.942279539195873</v>
      </c>
      <c r="AK87" s="18">
        <f t="shared" si="225"/>
        <v>-1.2088788124016259</v>
      </c>
      <c r="AL87" s="18">
        <f t="shared" si="225"/>
        <v>1.0358933817258498</v>
      </c>
      <c r="AM87" s="18">
        <f t="shared" si="226"/>
        <v>1.3573314896623723</v>
      </c>
      <c r="AO87" s="18">
        <f t="shared" si="227"/>
        <v>0.28202506723506993</v>
      </c>
      <c r="AP87" s="18">
        <f t="shared" si="228"/>
        <v>2.1445505209020554</v>
      </c>
      <c r="AQ87" s="18">
        <f t="shared" si="229"/>
        <v>2.3552134568304517</v>
      </c>
      <c r="AS87" t="str">
        <f t="shared" si="258"/>
        <v>24 Business, media and public service professionals</v>
      </c>
      <c r="AT87" s="18">
        <f t="shared" si="230"/>
        <v>-2.5187368685652745</v>
      </c>
      <c r="AU87" s="18">
        <f t="shared" si="230"/>
        <v>18.48859150883748</v>
      </c>
      <c r="AV87" s="18">
        <f t="shared" si="230"/>
        <v>2.3115717513216838</v>
      </c>
      <c r="AW87" s="18">
        <f t="shared" si="230"/>
        <v>1.5232550030842118</v>
      </c>
      <c r="AX87" s="18">
        <f t="shared" si="231"/>
        <v>2.7566005861007881</v>
      </c>
      <c r="AZ87" s="18">
        <f t="shared" si="232"/>
        <v>1.7853500389683141</v>
      </c>
      <c r="BA87" s="18">
        <f t="shared" si="233"/>
        <v>3.014043113654985</v>
      </c>
      <c r="BB87" s="18">
        <f t="shared" si="234"/>
        <v>4.2432058793691718</v>
      </c>
      <c r="BD87" t="str">
        <f t="shared" si="259"/>
        <v>24 Business, media and public service professionals</v>
      </c>
      <c r="BE87" s="18">
        <f t="shared" si="235"/>
        <v>1.0636275182541954</v>
      </c>
      <c r="BF87" s="18">
        <f t="shared" si="235"/>
        <v>33.665661949918892</v>
      </c>
      <c r="BG87" s="18">
        <f t="shared" si="235"/>
        <v>-0.324433274038749</v>
      </c>
      <c r="BH87" s="18">
        <f t="shared" si="235"/>
        <v>1.0284479852689099</v>
      </c>
      <c r="BI87" s="18">
        <f t="shared" si="236"/>
        <v>2.3793845990206508</v>
      </c>
      <c r="BK87" s="18">
        <f t="shared" si="237"/>
        <v>0.57545950429362946</v>
      </c>
      <c r="BL87" s="18">
        <f t="shared" si="238"/>
        <v>2.4297620062133651</v>
      </c>
      <c r="BM87" s="18">
        <f t="shared" si="239"/>
        <v>2.8458966217260739</v>
      </c>
      <c r="BO87" t="str">
        <f t="shared" si="260"/>
        <v>24 Business, media and public service professionals</v>
      </c>
      <c r="BP87" s="18">
        <f t="shared" si="240"/>
        <v>-0.24099138584390278</v>
      </c>
      <c r="BQ87" s="18">
        <f t="shared" si="240"/>
        <v>15.601013965468713</v>
      </c>
      <c r="BR87" s="18">
        <f t="shared" si="240"/>
        <v>-0.19637201569010498</v>
      </c>
      <c r="BS87" s="18">
        <f t="shared" si="240"/>
        <v>-0.4804237106251219</v>
      </c>
      <c r="BT87" s="18">
        <f t="shared" si="241"/>
        <v>0.54515648771120695</v>
      </c>
      <c r="BV87" s="18">
        <f t="shared" si="242"/>
        <v>-0.38582975292829058</v>
      </c>
      <c r="BW87" s="18">
        <f t="shared" si="243"/>
        <v>2.2192155475747599</v>
      </c>
      <c r="BX87" s="18">
        <f t="shared" si="244"/>
        <v>1.9376343605825408</v>
      </c>
      <c r="BZ87" t="str">
        <f t="shared" si="261"/>
        <v>24 Business, media and public service professionals</v>
      </c>
      <c r="CA87" s="18">
        <f t="shared" si="245"/>
        <v>5.8336934404070506</v>
      </c>
      <c r="CB87" s="18">
        <f t="shared" si="245"/>
        <v>-8.7832930546219536</v>
      </c>
      <c r="CC87" s="18">
        <f t="shared" si="245"/>
        <v>0.21456564520765387</v>
      </c>
      <c r="CD87" s="18">
        <f t="shared" si="245"/>
        <v>-4.4992028015082619</v>
      </c>
      <c r="CE87" s="18">
        <f t="shared" si="246"/>
        <v>-3.328176081484302</v>
      </c>
      <c r="CG87" s="18">
        <f t="shared" si="247"/>
        <v>-2.9531118544178669</v>
      </c>
      <c r="CH87" s="18">
        <f t="shared" si="248"/>
        <v>1.9414542292311099</v>
      </c>
      <c r="CI87" s="18">
        <f t="shared" si="249"/>
        <v>-0.18788029498026937</v>
      </c>
      <c r="CK87" t="str">
        <f t="shared" si="262"/>
        <v>24 Business, media and public service professionals</v>
      </c>
      <c r="CL87" s="18">
        <f t="shared" si="250"/>
        <v>3.9465427359044458</v>
      </c>
      <c r="CM87" s="18">
        <f t="shared" si="250"/>
        <v>-7.0611089580191688</v>
      </c>
      <c r="CN87" s="18">
        <f t="shared" si="250"/>
        <v>1.9357354528531046</v>
      </c>
      <c r="CO87" s="18">
        <f t="shared" si="250"/>
        <v>1.1301644118663745</v>
      </c>
      <c r="CP87" s="18">
        <f t="shared" si="251"/>
        <v>0.84742362125944659</v>
      </c>
      <c r="CR87" s="18">
        <f t="shared" si="252"/>
        <v>1.3979782391056572</v>
      </c>
      <c r="CS87" s="18">
        <f t="shared" si="253"/>
        <v>2.4651371053730164</v>
      </c>
      <c r="CT87" s="18">
        <f t="shared" si="254"/>
        <v>3.4880139028626855</v>
      </c>
    </row>
    <row r="88" spans="1:98" x14ac:dyDescent="0.2">
      <c r="A88" t="str">
        <f t="shared" si="209"/>
        <v>31 Science, engineering and technology associate professionals</v>
      </c>
      <c r="B88" s="18">
        <f t="shared" si="210"/>
        <v>10.656873831948865</v>
      </c>
      <c r="C88" s="18">
        <f t="shared" si="210"/>
        <v>-12.111127796410937</v>
      </c>
      <c r="D88" s="18">
        <f t="shared" si="210"/>
        <v>2.9373703119315087</v>
      </c>
      <c r="E88" s="18">
        <f t="shared" si="210"/>
        <v>3.7252591962293025</v>
      </c>
      <c r="F88" s="18">
        <f t="shared" si="211"/>
        <v>2.412456374673555</v>
      </c>
      <c r="H88" s="18">
        <f t="shared" si="212"/>
        <v>3.461961776379785</v>
      </c>
      <c r="I88" s="18">
        <f t="shared" si="213"/>
        <v>3.4017959561327693</v>
      </c>
      <c r="J88" s="18">
        <f t="shared" si="214"/>
        <v>5.7641257016726621</v>
      </c>
      <c r="L88" t="str">
        <f t="shared" si="255"/>
        <v>31 Science, engineering and technology associate professionals</v>
      </c>
      <c r="M88" s="18">
        <f t="shared" si="215"/>
        <v>10.161283939773536</v>
      </c>
      <c r="N88" s="18">
        <f t="shared" si="215"/>
        <v>-8.5677264259781065</v>
      </c>
      <c r="O88" s="18">
        <f t="shared" si="215"/>
        <v>1.2374352549251455</v>
      </c>
      <c r="P88" s="18">
        <f t="shared" si="215"/>
        <v>3.054678779630482</v>
      </c>
      <c r="Q88" s="18">
        <f t="shared" si="216"/>
        <v>1.7197175565554668</v>
      </c>
      <c r="S88" s="18">
        <f t="shared" si="217"/>
        <v>2.4453351002541979</v>
      </c>
      <c r="T88" s="18">
        <f t="shared" si="218"/>
        <v>2.9861699645008954</v>
      </c>
      <c r="U88" s="18">
        <f t="shared" si="219"/>
        <v>4.6999876491343073</v>
      </c>
      <c r="W88" t="str">
        <f t="shared" si="256"/>
        <v>31 Science, engineering and technology associate professionals</v>
      </c>
      <c r="X88" s="18">
        <f t="shared" si="220"/>
        <v>-1.3553733996722217</v>
      </c>
      <c r="Y88" s="18">
        <f t="shared" si="220"/>
        <v>11.432904338458517</v>
      </c>
      <c r="Z88" s="18">
        <f t="shared" si="220"/>
        <v>-1.1509579557346883</v>
      </c>
      <c r="AA88" s="18">
        <f t="shared" si="220"/>
        <v>0.95083458908735707</v>
      </c>
      <c r="AB88" s="18">
        <f t="shared" si="221"/>
        <v>0.91040099773704863</v>
      </c>
      <c r="AD88" s="18">
        <f t="shared" si="222"/>
        <v>0.24531790492530181</v>
      </c>
      <c r="AE88" s="18">
        <f t="shared" si="223"/>
        <v>2.4523132498083244</v>
      </c>
      <c r="AF88" s="18">
        <f t="shared" si="224"/>
        <v>2.6279751850452948</v>
      </c>
      <c r="AH88" t="str">
        <f t="shared" si="257"/>
        <v>31 Science, engineering and technology associate professionals</v>
      </c>
      <c r="AI88" s="18">
        <f t="shared" si="225"/>
        <v>0.16290906636846625</v>
      </c>
      <c r="AJ88" s="18">
        <f t="shared" si="225"/>
        <v>15.647059986593659</v>
      </c>
      <c r="AK88" s="18">
        <f t="shared" si="225"/>
        <v>0.34976425737220929</v>
      </c>
      <c r="AL88" s="18">
        <f t="shared" si="225"/>
        <v>2.4990887384605642</v>
      </c>
      <c r="AM88" s="18">
        <f t="shared" si="226"/>
        <v>2.5934835353963903</v>
      </c>
      <c r="AO88" s="18">
        <f t="shared" si="227"/>
        <v>1.7775803422000136</v>
      </c>
      <c r="AP88" s="18">
        <f t="shared" si="228"/>
        <v>2.8165507528620459</v>
      </c>
      <c r="AQ88" s="18">
        <f t="shared" si="229"/>
        <v>4.070610533011898</v>
      </c>
      <c r="AS88" t="str">
        <f t="shared" si="258"/>
        <v>31 Science, engineering and technology associate professionals</v>
      </c>
      <c r="AT88" s="18">
        <f t="shared" si="230"/>
        <v>-3.9622844092808251</v>
      </c>
      <c r="AU88" s="18">
        <f t="shared" si="230"/>
        <v>8.141870428584209</v>
      </c>
      <c r="AV88" s="18">
        <f t="shared" si="230"/>
        <v>-3.5700220228378265</v>
      </c>
      <c r="AW88" s="18">
        <f t="shared" si="230"/>
        <v>-0.47440256002151404</v>
      </c>
      <c r="AX88" s="18">
        <f t="shared" si="231"/>
        <v>-0.93958701720667781</v>
      </c>
      <c r="AZ88" s="18">
        <f t="shared" si="232"/>
        <v>-1.5171628791436076</v>
      </c>
      <c r="BA88" s="18">
        <f t="shared" si="233"/>
        <v>1.8442345307465802</v>
      </c>
      <c r="BB88" s="18">
        <f t="shared" si="234"/>
        <v>0.70082991329145639</v>
      </c>
      <c r="BD88" t="str">
        <f t="shared" si="259"/>
        <v>31 Science, engineering and technology associate professionals</v>
      </c>
      <c r="BE88" s="18">
        <f t="shared" si="235"/>
        <v>1.29048907662761</v>
      </c>
      <c r="BF88" s="18">
        <f t="shared" si="235"/>
        <v>28.04410786683016</v>
      </c>
      <c r="BG88" s="18">
        <f t="shared" si="235"/>
        <v>-6.975110756905833</v>
      </c>
      <c r="BH88" s="18">
        <f t="shared" si="235"/>
        <v>-1.3358047797382255</v>
      </c>
      <c r="BI88" s="18">
        <f t="shared" si="236"/>
        <v>-1.5429205567893844</v>
      </c>
      <c r="BK88" s="18">
        <f t="shared" si="237"/>
        <v>-3.2525695915102903</v>
      </c>
      <c r="BL88" s="18">
        <f t="shared" si="238"/>
        <v>1.4025473189968718</v>
      </c>
      <c r="BM88" s="18">
        <f t="shared" si="239"/>
        <v>-1.1453508134491308</v>
      </c>
      <c r="BO88" t="str">
        <f t="shared" si="260"/>
        <v>31 Science, engineering and technology associate professionals</v>
      </c>
      <c r="BP88" s="18">
        <f t="shared" si="240"/>
        <v>1.6507724934343049</v>
      </c>
      <c r="BQ88" s="18">
        <f t="shared" si="240"/>
        <v>11.481902138134359</v>
      </c>
      <c r="BR88" s="18">
        <f t="shared" si="240"/>
        <v>-3.9747441998137623</v>
      </c>
      <c r="BS88" s="18">
        <f t="shared" si="240"/>
        <v>-0.29186813099914</v>
      </c>
      <c r="BT88" s="18">
        <f t="shared" si="241"/>
        <v>-0.76786269262927309</v>
      </c>
      <c r="BV88" s="18">
        <f t="shared" si="242"/>
        <v>-1.5349262526034857</v>
      </c>
      <c r="BW88" s="18">
        <f t="shared" si="243"/>
        <v>1.675019428145319</v>
      </c>
      <c r="BX88" s="18">
        <f t="shared" si="244"/>
        <v>0.48884211724911086</v>
      </c>
      <c r="BZ88" t="str">
        <f t="shared" si="261"/>
        <v>31 Science, engineering and technology associate professionals</v>
      </c>
      <c r="CA88" s="18">
        <f t="shared" si="245"/>
        <v>11.870098575921784</v>
      </c>
      <c r="CB88" s="18">
        <f t="shared" si="245"/>
        <v>-20.040268024306506</v>
      </c>
      <c r="CC88" s="18">
        <f t="shared" si="245"/>
        <v>-2.1502097667865705</v>
      </c>
      <c r="CD88" s="18">
        <f t="shared" si="245"/>
        <v>-1.8533875537485645</v>
      </c>
      <c r="CE88" s="18">
        <f t="shared" si="246"/>
        <v>-3.1941733096675362</v>
      </c>
      <c r="CG88" s="18">
        <f t="shared" si="247"/>
        <v>-1.9524282006354032</v>
      </c>
      <c r="CH88" s="18">
        <f t="shared" si="248"/>
        <v>1.7421878657595924</v>
      </c>
      <c r="CI88" s="18">
        <f t="shared" si="249"/>
        <v>0.25988469195474817</v>
      </c>
      <c r="CK88" t="str">
        <f t="shared" si="262"/>
        <v>31 Science, engineering and technology associate professionals</v>
      </c>
      <c r="CL88" s="18">
        <f t="shared" si="250"/>
        <v>5.1168091164900398</v>
      </c>
      <c r="CM88" s="18">
        <f t="shared" si="250"/>
        <v>-5.9475016452921743</v>
      </c>
      <c r="CN88" s="18">
        <f t="shared" si="250"/>
        <v>-0.43925310133962059</v>
      </c>
      <c r="CO88" s="18">
        <f t="shared" si="250"/>
        <v>1.2247956449183084</v>
      </c>
      <c r="CP88" s="18">
        <f t="shared" si="251"/>
        <v>0.2403350426939399</v>
      </c>
      <c r="CR88" s="18">
        <f t="shared" si="252"/>
        <v>0.66704515854865143</v>
      </c>
      <c r="CS88" s="18">
        <f t="shared" si="253"/>
        <v>2.2391941315994979</v>
      </c>
      <c r="CT88" s="18">
        <f t="shared" si="254"/>
        <v>2.7347662613111723</v>
      </c>
    </row>
    <row r="89" spans="1:98" x14ac:dyDescent="0.2">
      <c r="A89" t="str">
        <f t="shared" si="209"/>
        <v>32 Health and social care associate professionals</v>
      </c>
      <c r="B89" s="18">
        <f t="shared" si="210"/>
        <v>12.109094649662211</v>
      </c>
      <c r="C89" s="18">
        <f t="shared" si="210"/>
        <v>-29.028296451713686</v>
      </c>
      <c r="D89" s="18">
        <f t="shared" si="210"/>
        <v>3.3167956847613533</v>
      </c>
      <c r="E89" s="18">
        <f t="shared" si="210"/>
        <v>2.1632257201791294</v>
      </c>
      <c r="F89" s="18">
        <f t="shared" si="211"/>
        <v>0.21445409625260314</v>
      </c>
      <c r="H89" s="18">
        <f t="shared" si="212"/>
        <v>2.5463107786646733</v>
      </c>
      <c r="I89" s="18">
        <f t="shared" si="213"/>
        <v>4.1342026961560752</v>
      </c>
      <c r="J89" s="18">
        <f t="shared" si="214"/>
        <v>5.6921894859204958</v>
      </c>
      <c r="L89" t="str">
        <f t="shared" si="255"/>
        <v>32 Health and social care associate professionals</v>
      </c>
      <c r="M89" s="18">
        <f t="shared" si="215"/>
        <v>7.4802116403313912</v>
      </c>
      <c r="N89" s="18">
        <f t="shared" si="215"/>
        <v>-15.043995057216497</v>
      </c>
      <c r="O89" s="18">
        <f t="shared" si="215"/>
        <v>2.4591978967954953</v>
      </c>
      <c r="P89" s="18">
        <f t="shared" si="215"/>
        <v>1.5044973889598801</v>
      </c>
      <c r="Q89" s="18">
        <f t="shared" si="216"/>
        <v>0.67580378887377446</v>
      </c>
      <c r="S89" s="18">
        <f t="shared" si="217"/>
        <v>1.8217383574187895</v>
      </c>
      <c r="T89" s="18">
        <f t="shared" si="218"/>
        <v>3.8359183848725165</v>
      </c>
      <c r="U89" s="18">
        <f t="shared" si="219"/>
        <v>4.9692194447058968</v>
      </c>
      <c r="W89" t="str">
        <f t="shared" si="256"/>
        <v>32 Health and social care associate professionals</v>
      </c>
      <c r="X89" s="18">
        <f t="shared" si="220"/>
        <v>0.97541449067668484</v>
      </c>
      <c r="Y89" s="18">
        <f t="shared" si="220"/>
        <v>12.419308177642584</v>
      </c>
      <c r="Z89" s="18">
        <f t="shared" si="220"/>
        <v>2.6355642053867756</v>
      </c>
      <c r="AA89" s="18">
        <f t="shared" si="220"/>
        <v>2.6591753217992453</v>
      </c>
      <c r="AB89" s="18">
        <f t="shared" si="221"/>
        <v>3.2361379787377853</v>
      </c>
      <c r="AD89" s="18">
        <f t="shared" si="222"/>
        <v>2.6513043462020658</v>
      </c>
      <c r="AE89" s="18">
        <f t="shared" si="223"/>
        <v>3.9961719095657156</v>
      </c>
      <c r="AF89" s="18">
        <f t="shared" si="224"/>
        <v>5.6502596774930858</v>
      </c>
      <c r="AH89" t="str">
        <f t="shared" si="257"/>
        <v>32 Health and social care associate professionals</v>
      </c>
      <c r="AI89" s="18">
        <f t="shared" si="225"/>
        <v>-7.3417182224111528</v>
      </c>
      <c r="AJ89" s="18">
        <f t="shared" si="225"/>
        <v>7.3596593874234228</v>
      </c>
      <c r="AK89" s="18">
        <f t="shared" si="225"/>
        <v>-5.9864537575517023</v>
      </c>
      <c r="AL89" s="18">
        <f t="shared" si="225"/>
        <v>-5.994119249541896</v>
      </c>
      <c r="AM89" s="18">
        <f t="shared" si="226"/>
        <v>-5.208047161992635</v>
      </c>
      <c r="AO89" s="18">
        <f t="shared" si="227"/>
        <v>-5.9915641549936671</v>
      </c>
      <c r="AP89" s="18">
        <f t="shared" si="228"/>
        <v>1.7077905399610405</v>
      </c>
      <c r="AQ89" s="18">
        <f t="shared" si="229"/>
        <v>-2.4906670959349175</v>
      </c>
      <c r="AS89" t="str">
        <f t="shared" si="258"/>
        <v>32 Health and social care associate professionals</v>
      </c>
      <c r="AT89" s="18">
        <f t="shared" si="230"/>
        <v>0.74689936445504479</v>
      </c>
      <c r="AU89" s="18">
        <f t="shared" si="230"/>
        <v>19.18289461799958</v>
      </c>
      <c r="AV89" s="18">
        <f t="shared" si="230"/>
        <v>-0.46393048387559643</v>
      </c>
      <c r="AW89" s="18">
        <f t="shared" si="230"/>
        <v>1.1869042306637212</v>
      </c>
      <c r="AX89" s="18">
        <f t="shared" si="231"/>
        <v>1.7032815385184197</v>
      </c>
      <c r="AZ89" s="18">
        <f t="shared" si="232"/>
        <v>0.63360602753435025</v>
      </c>
      <c r="BA89" s="18">
        <f t="shared" si="233"/>
        <v>3.1154201073937626</v>
      </c>
      <c r="BB89" s="18">
        <f t="shared" si="234"/>
        <v>3.5344604051339434</v>
      </c>
      <c r="BD89" t="str">
        <f t="shared" si="259"/>
        <v>32 Health and social care associate professionals</v>
      </c>
      <c r="BE89" s="18">
        <f t="shared" si="235"/>
        <v>3.5441009238765364</v>
      </c>
      <c r="BF89" s="18">
        <f t="shared" si="235"/>
        <v>13.453308461008696</v>
      </c>
      <c r="BG89" s="18">
        <f t="shared" si="235"/>
        <v>1.1699068446387351</v>
      </c>
      <c r="BH89" s="18">
        <f t="shared" si="235"/>
        <v>1.5412789953988648</v>
      </c>
      <c r="BI89" s="18">
        <f t="shared" si="236"/>
        <v>2.1306893095275115</v>
      </c>
      <c r="BK89" s="18">
        <f t="shared" si="237"/>
        <v>1.4173370557011511</v>
      </c>
      <c r="BL89" s="18">
        <f t="shared" si="238"/>
        <v>3.4319748183712084</v>
      </c>
      <c r="BM89" s="18">
        <f t="shared" si="239"/>
        <v>4.349720051228867</v>
      </c>
      <c r="BO89" t="str">
        <f t="shared" si="260"/>
        <v>32 Health and social care associate professionals</v>
      </c>
      <c r="BP89" s="18">
        <f t="shared" si="240"/>
        <v>0.9015536489951792</v>
      </c>
      <c r="BQ89" s="18">
        <f t="shared" si="240"/>
        <v>6.791019564221723</v>
      </c>
      <c r="BR89" s="18">
        <f t="shared" si="240"/>
        <v>-2.3977836783237172</v>
      </c>
      <c r="BS89" s="18">
        <f t="shared" si="240"/>
        <v>-2.0771208080756276</v>
      </c>
      <c r="BT89" s="18">
        <f t="shared" si="241"/>
        <v>-1.6459654498458876</v>
      </c>
      <c r="BV89" s="18">
        <f t="shared" si="242"/>
        <v>-2.184125317294705</v>
      </c>
      <c r="BW89" s="18">
        <f t="shared" si="243"/>
        <v>2.3363348985810495</v>
      </c>
      <c r="BX89" s="18">
        <f t="shared" si="244"/>
        <v>0.83012337666137359</v>
      </c>
      <c r="BZ89" t="str">
        <f t="shared" si="261"/>
        <v>32 Health and social care associate professionals</v>
      </c>
      <c r="CA89" s="18">
        <f t="shared" si="245"/>
        <v>-4.9576778227404583</v>
      </c>
      <c r="CB89" s="18">
        <f t="shared" si="245"/>
        <v>-6.4868112572822323</v>
      </c>
      <c r="CC89" s="18">
        <f t="shared" si="245"/>
        <v>-4.5042919549640459</v>
      </c>
      <c r="CD89" s="18">
        <f t="shared" si="245"/>
        <v>-6.8800650825735499</v>
      </c>
      <c r="CE89" s="18">
        <f t="shared" si="246"/>
        <v>-6.119331571348285</v>
      </c>
      <c r="CG89" s="18">
        <f t="shared" si="247"/>
        <v>-6.0947816429054775</v>
      </c>
      <c r="CH89" s="18">
        <f t="shared" si="248"/>
        <v>1.6351778741546363</v>
      </c>
      <c r="CI89" s="18">
        <f t="shared" si="249"/>
        <v>-2.6851128361434551</v>
      </c>
      <c r="CK89" t="str">
        <f t="shared" si="262"/>
        <v>32 Health and social care associate professionals</v>
      </c>
      <c r="CL89" s="18">
        <f t="shared" si="250"/>
        <v>0.38201638493569057</v>
      </c>
      <c r="CM89" s="18">
        <f t="shared" si="250"/>
        <v>-12.931408154823421</v>
      </c>
      <c r="CN89" s="18">
        <f t="shared" si="250"/>
        <v>0.73607938534814288</v>
      </c>
      <c r="CO89" s="18">
        <f t="shared" si="250"/>
        <v>0.64839306947181985</v>
      </c>
      <c r="CP89" s="18">
        <f t="shared" si="251"/>
        <v>-0.23207269674059283</v>
      </c>
      <c r="CR89" s="18">
        <f t="shared" si="252"/>
        <v>0.67761335736218342</v>
      </c>
      <c r="CS89" s="18">
        <f t="shared" si="253"/>
        <v>2.3781649706778207</v>
      </c>
      <c r="CT89" s="18">
        <f t="shared" si="254"/>
        <v>2.8725388688618292</v>
      </c>
    </row>
    <row r="90" spans="1:98" x14ac:dyDescent="0.2">
      <c r="A90" t="str">
        <f t="shared" si="209"/>
        <v>33 Protective service occupations</v>
      </c>
      <c r="B90" s="18">
        <f t="shared" si="210"/>
        <v>13.741539354284216</v>
      </c>
      <c r="C90" s="18">
        <f t="shared" si="210"/>
        <v>-20.040908709109683</v>
      </c>
      <c r="D90" s="18">
        <f t="shared" si="210"/>
        <v>8.818581517909152</v>
      </c>
      <c r="E90" s="18">
        <f t="shared" si="210"/>
        <v>4.2722381728785841</v>
      </c>
      <c r="F90" s="18">
        <f t="shared" si="211"/>
        <v>3.9332198145142883</v>
      </c>
      <c r="H90" s="18">
        <f t="shared" si="212"/>
        <v>5.766179561565532</v>
      </c>
      <c r="I90" s="18">
        <f t="shared" si="213"/>
        <v>3.6362696139268236</v>
      </c>
      <c r="J90" s="18">
        <f t="shared" si="214"/>
        <v>7.6637656071562255</v>
      </c>
      <c r="L90" t="str">
        <f t="shared" si="255"/>
        <v>33 Protective service occupations</v>
      </c>
      <c r="M90" s="18">
        <f t="shared" si="215"/>
        <v>13.129981470164154</v>
      </c>
      <c r="N90" s="18">
        <f t="shared" si="215"/>
        <v>-17.043703114145892</v>
      </c>
      <c r="O90" s="18">
        <f t="shared" si="215"/>
        <v>8.3999184120376214</v>
      </c>
      <c r="P90" s="18">
        <f t="shared" si="215"/>
        <v>4.9564195116553522</v>
      </c>
      <c r="Q90" s="18">
        <f t="shared" si="216"/>
        <v>4.4732878729990766</v>
      </c>
      <c r="S90" s="18">
        <f t="shared" si="217"/>
        <v>6.0919233723526922</v>
      </c>
      <c r="T90" s="18">
        <f t="shared" si="218"/>
        <v>3.3417270137849675</v>
      </c>
      <c r="U90" s="18">
        <f t="shared" si="219"/>
        <v>7.7534210463203079</v>
      </c>
      <c r="W90" t="str">
        <f t="shared" si="256"/>
        <v>33 Protective service occupations</v>
      </c>
      <c r="X90" s="18">
        <f t="shared" si="220"/>
        <v>2.0979939167789396</v>
      </c>
      <c r="Y90" s="18">
        <f t="shared" si="220"/>
        <v>10.758022975785874</v>
      </c>
      <c r="Z90" s="18">
        <f t="shared" si="220"/>
        <v>5.6317063879649742</v>
      </c>
      <c r="AA90" s="18">
        <f t="shared" si="220"/>
        <v>4.0028168580335421</v>
      </c>
      <c r="AB90" s="18">
        <f t="shared" si="221"/>
        <v>4.9209842098420831</v>
      </c>
      <c r="AD90" s="18">
        <f t="shared" si="222"/>
        <v>4.542969819167042</v>
      </c>
      <c r="AE90" s="18">
        <f t="shared" si="223"/>
        <v>3.5569994583271924</v>
      </c>
      <c r="AF90" s="18">
        <f t="shared" si="224"/>
        <v>6.6764290443162899</v>
      </c>
      <c r="AH90" t="str">
        <f t="shared" si="257"/>
        <v>33 Protective service occupations</v>
      </c>
      <c r="AI90" s="18">
        <f t="shared" si="225"/>
        <v>1.1815221830584477</v>
      </c>
      <c r="AJ90" s="18">
        <f t="shared" si="225"/>
        <v>10.429708006207527</v>
      </c>
      <c r="AK90" s="18">
        <f t="shared" si="225"/>
        <v>5.2061365111729652</v>
      </c>
      <c r="AL90" s="18">
        <f t="shared" si="225"/>
        <v>3.2261354613309923</v>
      </c>
      <c r="AM90" s="18">
        <f t="shared" si="226"/>
        <v>4.2795739840815417</v>
      </c>
      <c r="AO90" s="18">
        <f t="shared" si="227"/>
        <v>3.8819603460261254</v>
      </c>
      <c r="AP90" s="18">
        <f t="shared" si="228"/>
        <v>3.0556069139441755</v>
      </c>
      <c r="AQ90" s="18">
        <f t="shared" si="229"/>
        <v>5.8348501062086555</v>
      </c>
      <c r="AS90" t="str">
        <f t="shared" si="258"/>
        <v>33 Protective service occupations</v>
      </c>
      <c r="AT90" s="18">
        <f t="shared" si="230"/>
        <v>-1.442653206222122</v>
      </c>
      <c r="AU90" s="18">
        <f t="shared" si="230"/>
        <v>7.102693169608254</v>
      </c>
      <c r="AV90" s="18">
        <f t="shared" si="230"/>
        <v>2.3254234818979036</v>
      </c>
      <c r="AW90" s="18">
        <f t="shared" si="230"/>
        <v>1.9761385586231306</v>
      </c>
      <c r="AX90" s="18">
        <f t="shared" si="231"/>
        <v>2.3985921937703214</v>
      </c>
      <c r="AZ90" s="18">
        <f t="shared" si="232"/>
        <v>2.0924341900969257</v>
      </c>
      <c r="BA90" s="18">
        <f t="shared" si="233"/>
        <v>2.8601286985897367</v>
      </c>
      <c r="BB90" s="18">
        <f t="shared" si="234"/>
        <v>4.3381709124807655</v>
      </c>
      <c r="BD90" t="str">
        <f t="shared" si="259"/>
        <v>33 Protective service occupations</v>
      </c>
      <c r="BE90" s="18">
        <f t="shared" si="235"/>
        <v>-1.7342319331469347</v>
      </c>
      <c r="BF90" s="18">
        <f t="shared" si="235"/>
        <v>23.543975388548688</v>
      </c>
      <c r="BG90" s="18">
        <f t="shared" si="235"/>
        <v>-1.311819343063747</v>
      </c>
      <c r="BH90" s="18">
        <f t="shared" si="235"/>
        <v>-0.15565216827154726</v>
      </c>
      <c r="BI90" s="18">
        <f t="shared" si="236"/>
        <v>0.81470489833688209</v>
      </c>
      <c r="BK90" s="18">
        <f t="shared" si="237"/>
        <v>-0.54253843346615538</v>
      </c>
      <c r="BL90" s="18">
        <f t="shared" si="238"/>
        <v>1.4327722857184089</v>
      </c>
      <c r="BM90" s="18">
        <f t="shared" si="239"/>
        <v>0.99151411033207015</v>
      </c>
      <c r="BO90" t="str">
        <f t="shared" si="260"/>
        <v>33 Protective service occupations</v>
      </c>
      <c r="BP90" s="18">
        <f t="shared" si="240"/>
        <v>0.49482837956944525</v>
      </c>
      <c r="BQ90" s="18">
        <f t="shared" si="240"/>
        <v>1.1332474661518654</v>
      </c>
      <c r="BR90" s="18">
        <f t="shared" si="240"/>
        <v>1.7100547983356584</v>
      </c>
      <c r="BS90" s="18">
        <f t="shared" si="240"/>
        <v>-0.56265938171641272</v>
      </c>
      <c r="BT90" s="18">
        <f t="shared" si="241"/>
        <v>0.2479557346525274</v>
      </c>
      <c r="BV90" s="18">
        <f t="shared" si="242"/>
        <v>0.18921258054429568</v>
      </c>
      <c r="BW90" s="18">
        <f t="shared" si="243"/>
        <v>1.7885510769860336</v>
      </c>
      <c r="BX90" s="18">
        <f t="shared" si="244"/>
        <v>1.9366316856059829</v>
      </c>
      <c r="BZ90" t="str">
        <f t="shared" si="261"/>
        <v>33 Protective service occupations</v>
      </c>
      <c r="CA90" s="18">
        <f t="shared" si="245"/>
        <v>5.8938796658016157</v>
      </c>
      <c r="CB90" s="18">
        <f t="shared" si="245"/>
        <v>-16.63515492499814</v>
      </c>
      <c r="CC90" s="18">
        <f t="shared" si="245"/>
        <v>2.8957824107939789</v>
      </c>
      <c r="CD90" s="18">
        <f t="shared" si="245"/>
        <v>-5.29890690469853</v>
      </c>
      <c r="CE90" s="18">
        <f t="shared" si="246"/>
        <v>-3.5821271397718735</v>
      </c>
      <c r="CG90" s="18">
        <f t="shared" si="247"/>
        <v>-2.6425509807864067</v>
      </c>
      <c r="CH90" s="18">
        <f t="shared" si="248"/>
        <v>2.0331389817979106</v>
      </c>
      <c r="CI90" s="18">
        <f t="shared" si="249"/>
        <v>0.14266146903514354</v>
      </c>
      <c r="CK90" t="str">
        <f t="shared" si="262"/>
        <v>33 Protective service occupations</v>
      </c>
      <c r="CL90" s="18">
        <f t="shared" si="250"/>
        <v>-2.5069405695093971</v>
      </c>
      <c r="CM90" s="18">
        <f t="shared" si="250"/>
        <v>-14.974757992808597</v>
      </c>
      <c r="CN90" s="18">
        <f t="shared" si="250"/>
        <v>-3.5926243053483131</v>
      </c>
      <c r="CO90" s="18">
        <f t="shared" si="250"/>
        <v>-0.86976079799158112</v>
      </c>
      <c r="CP90" s="18">
        <f t="shared" si="251"/>
        <v>-2.6670143871310947</v>
      </c>
      <c r="CR90" s="18">
        <f t="shared" si="252"/>
        <v>-1.7858211853875039</v>
      </c>
      <c r="CS90" s="18">
        <f t="shared" si="253"/>
        <v>1.2468136956943043</v>
      </c>
      <c r="CT90" s="18">
        <f t="shared" si="254"/>
        <v>-0.220602652086066</v>
      </c>
    </row>
    <row r="91" spans="1:98" x14ac:dyDescent="0.2">
      <c r="A91" t="str">
        <f t="shared" si="209"/>
        <v>34 Culture, media and sports occupations</v>
      </c>
      <c r="B91" s="18">
        <f t="shared" si="210"/>
        <v>9.3673254101960914</v>
      </c>
      <c r="C91" s="18">
        <f t="shared" si="210"/>
        <v>2.9817377581306426</v>
      </c>
      <c r="D91" s="18">
        <f t="shared" si="210"/>
        <v>-0.19827102375082895</v>
      </c>
      <c r="E91" s="18">
        <f t="shared" si="210"/>
        <v>1.6035950204121407</v>
      </c>
      <c r="F91" s="18">
        <f t="shared" si="211"/>
        <v>1.1221583440036653</v>
      </c>
      <c r="H91" s="18">
        <f t="shared" si="212"/>
        <v>0.99938707359641388</v>
      </c>
      <c r="I91" s="18">
        <f t="shared" si="213"/>
        <v>3.3058179369183094</v>
      </c>
      <c r="J91" s="18">
        <f t="shared" si="214"/>
        <v>3.9565029006529251</v>
      </c>
      <c r="L91" t="str">
        <f t="shared" si="255"/>
        <v>34 Culture, media and sports occupations</v>
      </c>
      <c r="M91" s="18">
        <f t="shared" si="215"/>
        <v>5.7289015159103007</v>
      </c>
      <c r="N91" s="18">
        <f t="shared" si="215"/>
        <v>-16.848519120597892</v>
      </c>
      <c r="O91" s="18">
        <f t="shared" si="215"/>
        <v>0.13398904518651111</v>
      </c>
      <c r="P91" s="18">
        <f t="shared" si="215"/>
        <v>1.3670700443609851</v>
      </c>
      <c r="Q91" s="18">
        <f t="shared" si="216"/>
        <v>-0.26234407902755441</v>
      </c>
      <c r="S91" s="18">
        <f t="shared" si="217"/>
        <v>0.95436504145880452</v>
      </c>
      <c r="T91" s="18">
        <f t="shared" si="218"/>
        <v>3.3036306354900846</v>
      </c>
      <c r="U91" s="18">
        <f t="shared" si="219"/>
        <v>3.9244662716530154</v>
      </c>
      <c r="W91" t="str">
        <f t="shared" si="256"/>
        <v>34 Culture, media and sports occupations</v>
      </c>
      <c r="X91" s="18">
        <f t="shared" si="220"/>
        <v>-0.28976537547719117</v>
      </c>
      <c r="Y91" s="18">
        <f t="shared" si="220"/>
        <v>-2.8962998131235596</v>
      </c>
      <c r="Z91" s="18">
        <f t="shared" si="220"/>
        <v>-0.8882187878797243</v>
      </c>
      <c r="AA91" s="18">
        <f t="shared" si="220"/>
        <v>1.349891768341327</v>
      </c>
      <c r="AB91" s="18">
        <f t="shared" si="221"/>
        <v>0.37624438729826348</v>
      </c>
      <c r="AD91" s="18">
        <f t="shared" si="222"/>
        <v>0.59829495604346583</v>
      </c>
      <c r="AE91" s="18">
        <f t="shared" si="223"/>
        <v>2.7967869160999692</v>
      </c>
      <c r="AF91" s="18">
        <f t="shared" si="224"/>
        <v>3.2091176535453458</v>
      </c>
      <c r="AH91" t="str">
        <f t="shared" si="257"/>
        <v>34 Culture, media and sports occupations</v>
      </c>
      <c r="AI91" s="18">
        <f t="shared" si="225"/>
        <v>-3.6608419505175238</v>
      </c>
      <c r="AJ91" s="18">
        <f t="shared" si="225"/>
        <v>43.193561617082075</v>
      </c>
      <c r="AK91" s="18">
        <f t="shared" si="225"/>
        <v>-0.26792788261138512</v>
      </c>
      <c r="AL91" s="18">
        <f t="shared" si="225"/>
        <v>2.9118533373643452</v>
      </c>
      <c r="AM91" s="18">
        <f t="shared" si="226"/>
        <v>4.0332056990966425</v>
      </c>
      <c r="AO91" s="18">
        <f t="shared" si="227"/>
        <v>1.8408183454151406</v>
      </c>
      <c r="AP91" s="18">
        <f t="shared" si="228"/>
        <v>2.9622733233221954</v>
      </c>
      <c r="AQ91" s="18">
        <f t="shared" si="229"/>
        <v>4.2393782876561037</v>
      </c>
      <c r="AS91" t="str">
        <f t="shared" si="258"/>
        <v>34 Culture, media and sports occupations</v>
      </c>
      <c r="AT91" s="18">
        <f t="shared" si="230"/>
        <v>-1.6104025867024419</v>
      </c>
      <c r="AU91" s="18">
        <f t="shared" si="230"/>
        <v>3.0837788576691061</v>
      </c>
      <c r="AV91" s="18">
        <f t="shared" si="230"/>
        <v>-0.89109899950058358</v>
      </c>
      <c r="AW91" s="18">
        <f t="shared" si="230"/>
        <v>1.7082720213034586</v>
      </c>
      <c r="AX91" s="18">
        <f t="shared" si="231"/>
        <v>0.97346842267296285</v>
      </c>
      <c r="AZ91" s="18">
        <f t="shared" si="232"/>
        <v>0.83432700737013921</v>
      </c>
      <c r="BA91" s="18">
        <f t="shared" si="233"/>
        <v>2.7400661584139341</v>
      </c>
      <c r="BB91" s="18">
        <f t="shared" si="234"/>
        <v>3.3224427025958292</v>
      </c>
      <c r="BD91" t="str">
        <f t="shared" si="259"/>
        <v>34 Culture, media and sports occupations</v>
      </c>
      <c r="BE91" s="18">
        <f t="shared" si="235"/>
        <v>0.6753604182912154</v>
      </c>
      <c r="BF91" s="18">
        <f t="shared" si="235"/>
        <v>1.9153954246364124</v>
      </c>
      <c r="BG91" s="18">
        <f t="shared" si="235"/>
        <v>-2.5259198674749905</v>
      </c>
      <c r="BH91" s="18">
        <f t="shared" si="235"/>
        <v>1.8786522173702691</v>
      </c>
      <c r="BI91" s="18">
        <f t="shared" si="236"/>
        <v>0.48351979651262145</v>
      </c>
      <c r="BK91" s="18">
        <f t="shared" si="237"/>
        <v>0.38877985282064209</v>
      </c>
      <c r="BL91" s="18">
        <f t="shared" si="238"/>
        <v>2.2265759496576498</v>
      </c>
      <c r="BM91" s="18">
        <f t="shared" si="239"/>
        <v>2.5143746993318672</v>
      </c>
      <c r="BO91" t="str">
        <f t="shared" si="260"/>
        <v>34 Culture, media and sports occupations</v>
      </c>
      <c r="BP91" s="18">
        <f t="shared" si="240"/>
        <v>-3.3264063298604651</v>
      </c>
      <c r="BQ91" s="18">
        <f t="shared" si="240"/>
        <v>-21.429033462072944</v>
      </c>
      <c r="BR91" s="18">
        <f t="shared" si="240"/>
        <v>-4.9989373813808307</v>
      </c>
      <c r="BS91" s="18">
        <f t="shared" si="240"/>
        <v>-3.9600290970897789</v>
      </c>
      <c r="BT91" s="18">
        <f t="shared" si="241"/>
        <v>-5.479385142685878</v>
      </c>
      <c r="BV91" s="18">
        <f t="shared" si="242"/>
        <v>-4.3075881225244084</v>
      </c>
      <c r="BW91" s="18">
        <f t="shared" si="243"/>
        <v>1.5962717400391346</v>
      </c>
      <c r="BX91" s="18">
        <f t="shared" si="244"/>
        <v>-1.6029661840346598</v>
      </c>
      <c r="BZ91" t="str">
        <f t="shared" si="261"/>
        <v>34 Culture, media and sports occupations</v>
      </c>
      <c r="CA91" s="18">
        <f t="shared" si="245"/>
        <v>2.0536072142330219</v>
      </c>
      <c r="CB91" s="18">
        <f t="shared" si="245"/>
        <v>-24.821813782330281</v>
      </c>
      <c r="CC91" s="18">
        <f t="shared" si="245"/>
        <v>-5.0569445139027618</v>
      </c>
      <c r="CD91" s="18">
        <f t="shared" si="245"/>
        <v>-6.3567600059466045</v>
      </c>
      <c r="CE91" s="18">
        <f t="shared" si="246"/>
        <v>-7.2346555998848538</v>
      </c>
      <c r="CG91" s="18">
        <f t="shared" si="247"/>
        <v>-5.9254775353421829</v>
      </c>
      <c r="CH91" s="18">
        <f t="shared" si="248"/>
        <v>1.3937224603285614</v>
      </c>
      <c r="CI91" s="18">
        <f t="shared" si="249"/>
        <v>-3.0255081722876054</v>
      </c>
      <c r="CK91" t="str">
        <f t="shared" si="262"/>
        <v>34 Culture, media and sports occupations</v>
      </c>
      <c r="CL91" s="18">
        <f t="shared" si="250"/>
        <v>6.4323352955505841</v>
      </c>
      <c r="CM91" s="18">
        <f t="shared" si="250"/>
        <v>-18.180377722091322</v>
      </c>
      <c r="CN91" s="18">
        <f t="shared" si="250"/>
        <v>0.63515115217265272</v>
      </c>
      <c r="CO91" s="18">
        <f t="shared" si="250"/>
        <v>4.2871179842648877</v>
      </c>
      <c r="CP91" s="18">
        <f t="shared" si="251"/>
        <v>1.5797267472871912</v>
      </c>
      <c r="CR91" s="18">
        <f t="shared" si="252"/>
        <v>3.0553030858680774</v>
      </c>
      <c r="CS91" s="18">
        <f t="shared" si="253"/>
        <v>2.3894300752712372</v>
      </c>
      <c r="CT91" s="18">
        <f t="shared" si="254"/>
        <v>4.7140423264529385</v>
      </c>
    </row>
    <row r="92" spans="1:98" x14ac:dyDescent="0.2">
      <c r="A92" t="str">
        <f t="shared" si="209"/>
        <v>35 Business and public service associate professionals</v>
      </c>
      <c r="B92" s="18">
        <f t="shared" si="210"/>
        <v>8.2405993556008426</v>
      </c>
      <c r="C92" s="18">
        <f t="shared" si="210"/>
        <v>-18.444374122243346</v>
      </c>
      <c r="D92" s="18">
        <f t="shared" si="210"/>
        <v>2.8118738410038535</v>
      </c>
      <c r="E92" s="18">
        <f t="shared" si="210"/>
        <v>2.6080568390052239</v>
      </c>
      <c r="F92" s="18">
        <f t="shared" si="211"/>
        <v>1.2086910533754214</v>
      </c>
      <c r="H92" s="18">
        <f t="shared" si="212"/>
        <v>2.6759509053739805</v>
      </c>
      <c r="I92" s="18">
        <f t="shared" si="213"/>
        <v>3.3885986447644179</v>
      </c>
      <c r="J92" s="18">
        <f t="shared" si="214"/>
        <v>5.1849690494768064</v>
      </c>
      <c r="L92" t="str">
        <f t="shared" si="255"/>
        <v>35 Business and public service associate professionals</v>
      </c>
      <c r="M92" s="18">
        <f t="shared" si="215"/>
        <v>8.2065860137888968</v>
      </c>
      <c r="N92" s="18">
        <f t="shared" si="215"/>
        <v>-14.434183750946039</v>
      </c>
      <c r="O92" s="18">
        <f t="shared" si="215"/>
        <v>1.7071715281721467</v>
      </c>
      <c r="P92" s="18">
        <f t="shared" si="215"/>
        <v>1.6603603037463888</v>
      </c>
      <c r="Q92" s="18">
        <f t="shared" si="216"/>
        <v>0.58562393776222521</v>
      </c>
      <c r="S92" s="18">
        <f t="shared" si="217"/>
        <v>1.6759616508323028</v>
      </c>
      <c r="T92" s="18">
        <f t="shared" si="218"/>
        <v>3.2922145884873855</v>
      </c>
      <c r="U92" s="18">
        <f t="shared" si="219"/>
        <v>4.403840021520522</v>
      </c>
      <c r="W92" t="str">
        <f t="shared" si="256"/>
        <v>35 Business and public service associate professionals</v>
      </c>
      <c r="X92" s="18">
        <f t="shared" si="220"/>
        <v>-0.81185327780963767</v>
      </c>
      <c r="Y92" s="18">
        <f t="shared" si="220"/>
        <v>8.860022190224214</v>
      </c>
      <c r="Z92" s="18">
        <f t="shared" si="220"/>
        <v>7.018364807649391E-2</v>
      </c>
      <c r="AA92" s="18">
        <f t="shared" si="220"/>
        <v>1.2640009279077047</v>
      </c>
      <c r="AB92" s="18">
        <f t="shared" si="221"/>
        <v>1.3465386014148484</v>
      </c>
      <c r="AD92" s="18">
        <f t="shared" si="222"/>
        <v>0.86448772243234995</v>
      </c>
      <c r="AE92" s="18">
        <f t="shared" si="223"/>
        <v>2.9543783080592689</v>
      </c>
      <c r="AF92" s="18">
        <f t="shared" si="224"/>
        <v>3.5415689124830729</v>
      </c>
      <c r="AH92" t="str">
        <f t="shared" si="257"/>
        <v>35 Business and public service associate professionals</v>
      </c>
      <c r="AI92" s="18">
        <f t="shared" si="225"/>
        <v>-1.3173767930652724</v>
      </c>
      <c r="AJ92" s="18">
        <f t="shared" si="225"/>
        <v>12.894334238184801</v>
      </c>
      <c r="AK92" s="18">
        <f t="shared" si="225"/>
        <v>-0.2023448980565612</v>
      </c>
      <c r="AL92" s="18">
        <f t="shared" si="225"/>
        <v>1.2852394146030788</v>
      </c>
      <c r="AM92" s="18">
        <f t="shared" si="226"/>
        <v>1.5040717286724847</v>
      </c>
      <c r="AO92" s="18">
        <f t="shared" si="227"/>
        <v>0.78693038776742608</v>
      </c>
      <c r="AP92" s="18">
        <f t="shared" si="228"/>
        <v>2.7858590612686696</v>
      </c>
      <c r="AQ92" s="18">
        <f t="shared" si="229"/>
        <v>3.3312960753399734</v>
      </c>
      <c r="AS92" t="str">
        <f t="shared" si="258"/>
        <v>35 Business and public service associate professionals</v>
      </c>
      <c r="AT92" s="18">
        <f t="shared" si="230"/>
        <v>-1.7398306645847628</v>
      </c>
      <c r="AU92" s="18">
        <f t="shared" si="230"/>
        <v>12.564692660463205</v>
      </c>
      <c r="AV92" s="18">
        <f t="shared" si="230"/>
        <v>-0.26502500846520283</v>
      </c>
      <c r="AW92" s="18">
        <f t="shared" si="230"/>
        <v>1.4316287376220149</v>
      </c>
      <c r="AX92" s="18">
        <f t="shared" si="231"/>
        <v>1.557230698512635</v>
      </c>
      <c r="AZ92" s="18">
        <f t="shared" si="232"/>
        <v>0.86289451664780525</v>
      </c>
      <c r="BA92" s="18">
        <f t="shared" si="233"/>
        <v>2.7798303962552229</v>
      </c>
      <c r="BB92" s="18">
        <f t="shared" si="234"/>
        <v>3.3794090453000303</v>
      </c>
      <c r="BD92" t="str">
        <f t="shared" si="259"/>
        <v>35 Business and public service associate professionals</v>
      </c>
      <c r="BE92" s="18">
        <f t="shared" si="235"/>
        <v>-0.57921002312750769</v>
      </c>
      <c r="BF92" s="18">
        <f t="shared" si="235"/>
        <v>21.356615697835203</v>
      </c>
      <c r="BG92" s="18">
        <f t="shared" si="235"/>
        <v>-2.7984214091459236</v>
      </c>
      <c r="BH92" s="18">
        <f t="shared" si="235"/>
        <v>0.21906946745204881</v>
      </c>
      <c r="BI92" s="18">
        <f t="shared" si="236"/>
        <v>0.46062059879850015</v>
      </c>
      <c r="BK92" s="18">
        <f t="shared" si="237"/>
        <v>-0.79702798008294273</v>
      </c>
      <c r="BL92" s="18">
        <f t="shared" si="238"/>
        <v>2.1742214149941042</v>
      </c>
      <c r="BM92" s="18">
        <f t="shared" si="239"/>
        <v>1.5937010487809378</v>
      </c>
      <c r="BO92" t="str">
        <f t="shared" si="260"/>
        <v>35 Business and public service associate professionals</v>
      </c>
      <c r="BP92" s="18">
        <f t="shared" si="240"/>
        <v>-0.92418770451347942</v>
      </c>
      <c r="BQ92" s="18">
        <f t="shared" si="240"/>
        <v>6.8992818054455896</v>
      </c>
      <c r="BR92" s="18">
        <f t="shared" si="240"/>
        <v>-2.7137234749775252</v>
      </c>
      <c r="BS92" s="18">
        <f t="shared" si="240"/>
        <v>-0.91785219788796946</v>
      </c>
      <c r="BT92" s="18">
        <f t="shared" si="241"/>
        <v>-1.0139085380150514</v>
      </c>
      <c r="BV92" s="18">
        <f t="shared" si="242"/>
        <v>-1.5201295212250887</v>
      </c>
      <c r="BW92" s="18">
        <f t="shared" si="243"/>
        <v>1.8994544355960707</v>
      </c>
      <c r="BX92" s="18">
        <f t="shared" si="244"/>
        <v>0.763308401959506</v>
      </c>
      <c r="BZ92" t="str">
        <f t="shared" si="261"/>
        <v>35 Business and public service associate professionals</v>
      </c>
      <c r="CA92" s="18">
        <f t="shared" si="245"/>
        <v>3.1773688280237966</v>
      </c>
      <c r="CB92" s="18">
        <f t="shared" si="245"/>
        <v>-15.696480848082706</v>
      </c>
      <c r="CC92" s="18">
        <f t="shared" si="245"/>
        <v>-3.3487675269610717</v>
      </c>
      <c r="CD92" s="18">
        <f t="shared" si="245"/>
        <v>-5.1311457073036308</v>
      </c>
      <c r="CE92" s="18">
        <f t="shared" si="246"/>
        <v>-5.2792882576629507</v>
      </c>
      <c r="CG92" s="18">
        <f t="shared" si="247"/>
        <v>-4.5407020669713134</v>
      </c>
      <c r="CH92" s="18">
        <f t="shared" si="248"/>
        <v>1.5594169967609872</v>
      </c>
      <c r="CI92" s="18">
        <f t="shared" si="249"/>
        <v>-1.818924263539623</v>
      </c>
      <c r="CK92" t="str">
        <f t="shared" si="262"/>
        <v>35 Business and public service associate professionals</v>
      </c>
      <c r="CL92" s="18">
        <f t="shared" si="250"/>
        <v>0.42291568801906543</v>
      </c>
      <c r="CM92" s="18">
        <f t="shared" si="250"/>
        <v>-21.591878312729818</v>
      </c>
      <c r="CN92" s="18">
        <f t="shared" si="250"/>
        <v>-1.2404031399268711</v>
      </c>
      <c r="CO92" s="18">
        <f t="shared" si="250"/>
        <v>1.2816341883423066</v>
      </c>
      <c r="CP92" s="18">
        <f t="shared" si="251"/>
        <v>-1.1081988081912963</v>
      </c>
      <c r="CR92" s="18">
        <f t="shared" si="252"/>
        <v>0.43387893157325053</v>
      </c>
      <c r="CS92" s="18">
        <f t="shared" si="253"/>
        <v>2.0748639182981421</v>
      </c>
      <c r="CT92" s="18">
        <f t="shared" si="254"/>
        <v>2.4029187524958084</v>
      </c>
    </row>
    <row r="93" spans="1:98" x14ac:dyDescent="0.2">
      <c r="A93" t="str">
        <f t="shared" si="209"/>
        <v>41 Administrative occupations</v>
      </c>
      <c r="B93" s="18">
        <f t="shared" si="210"/>
        <v>5.2216139143927975</v>
      </c>
      <c r="C93" s="18">
        <f t="shared" si="210"/>
        <v>-16.257055746062065</v>
      </c>
      <c r="D93" s="18">
        <f t="shared" si="210"/>
        <v>2.035960154577543</v>
      </c>
      <c r="E93" s="18">
        <f t="shared" si="210"/>
        <v>1.9798629699114612</v>
      </c>
      <c r="F93" s="18">
        <f t="shared" si="211"/>
        <v>0.7490991350399101</v>
      </c>
      <c r="H93" s="18">
        <f t="shared" si="212"/>
        <v>1.9985586038480996</v>
      </c>
      <c r="I93" s="18">
        <f t="shared" si="213"/>
        <v>3.4015340588271048</v>
      </c>
      <c r="J93" s="18">
        <f t="shared" si="214"/>
        <v>4.7195700873340574</v>
      </c>
      <c r="L93" t="str">
        <f t="shared" si="255"/>
        <v>41 Administrative occupations</v>
      </c>
      <c r="M93" s="18">
        <f t="shared" si="215"/>
        <v>6.407763155380608</v>
      </c>
      <c r="N93" s="18">
        <f t="shared" si="215"/>
        <v>-15.888317598340029</v>
      </c>
      <c r="O93" s="18">
        <f t="shared" si="215"/>
        <v>2.1711079317630277</v>
      </c>
      <c r="P93" s="18">
        <f t="shared" si="215"/>
        <v>1.7487734269369781</v>
      </c>
      <c r="Q93" s="18">
        <f t="shared" si="216"/>
        <v>0.67561498699169054</v>
      </c>
      <c r="S93" s="18">
        <f t="shared" si="217"/>
        <v>1.8893572644396173</v>
      </c>
      <c r="T93" s="18">
        <f t="shared" si="218"/>
        <v>3.5752663240117277</v>
      </c>
      <c r="U93" s="18">
        <f t="shared" si="219"/>
        <v>4.7914763917521475</v>
      </c>
      <c r="W93" t="str">
        <f t="shared" si="256"/>
        <v>41 Administrative occupations</v>
      </c>
      <c r="X93" s="18">
        <f t="shared" si="220"/>
        <v>-1.269085633072764</v>
      </c>
      <c r="Y93" s="18">
        <f t="shared" si="220"/>
        <v>11.555537897613588</v>
      </c>
      <c r="Z93" s="18">
        <f t="shared" si="220"/>
        <v>0.81166191720889458</v>
      </c>
      <c r="AA93" s="18">
        <f t="shared" si="220"/>
        <v>1.5851991699842971</v>
      </c>
      <c r="AB93" s="18">
        <f t="shared" si="221"/>
        <v>1.9375838569142267</v>
      </c>
      <c r="AD93" s="18">
        <f t="shared" si="222"/>
        <v>1.3266961666118737</v>
      </c>
      <c r="AE93" s="18">
        <f t="shared" si="223"/>
        <v>3.3475035508081286</v>
      </c>
      <c r="AF93" s="18">
        <f t="shared" si="224"/>
        <v>4.2138320554127251</v>
      </c>
      <c r="AH93" t="str">
        <f t="shared" si="257"/>
        <v>41 Administrative occupations</v>
      </c>
      <c r="AI93" s="18">
        <f t="shared" si="225"/>
        <v>0.11042058319503667</v>
      </c>
      <c r="AJ93" s="18">
        <f t="shared" si="225"/>
        <v>11.303085624847764</v>
      </c>
      <c r="AK93" s="18">
        <f t="shared" si="225"/>
        <v>5.6549789212190227E-2</v>
      </c>
      <c r="AL93" s="18">
        <f t="shared" si="225"/>
        <v>1.5008953180867035</v>
      </c>
      <c r="AM93" s="18">
        <f t="shared" si="226"/>
        <v>1.6312101685683977</v>
      </c>
      <c r="AO93" s="18">
        <f t="shared" si="227"/>
        <v>1.0171449305524716</v>
      </c>
      <c r="AP93" s="18">
        <f t="shared" si="228"/>
        <v>3.351093145995554</v>
      </c>
      <c r="AQ93" s="18">
        <f t="shared" si="229"/>
        <v>4.009774441202163</v>
      </c>
      <c r="AS93" t="str">
        <f t="shared" si="258"/>
        <v>41 Administrative occupations</v>
      </c>
      <c r="AT93" s="18">
        <f t="shared" si="230"/>
        <v>-1.3122663867943807</v>
      </c>
      <c r="AU93" s="18">
        <f t="shared" si="230"/>
        <v>13.530815860752575</v>
      </c>
      <c r="AV93" s="18">
        <f t="shared" si="230"/>
        <v>-0.1122100409722937</v>
      </c>
      <c r="AW93" s="18">
        <f t="shared" si="230"/>
        <v>1.5195915027198525</v>
      </c>
      <c r="AX93" s="18">
        <f t="shared" si="231"/>
        <v>1.7152099286759315</v>
      </c>
      <c r="AZ93" s="18">
        <f t="shared" si="232"/>
        <v>0.97271699379057885</v>
      </c>
      <c r="BA93" s="18">
        <f t="shared" si="233"/>
        <v>3.2139807298350531</v>
      </c>
      <c r="BB93" s="18">
        <f t="shared" si="234"/>
        <v>3.8544439158278099</v>
      </c>
      <c r="BD93" t="str">
        <f t="shared" si="259"/>
        <v>41 Administrative occupations</v>
      </c>
      <c r="BE93" s="18">
        <f t="shared" si="235"/>
        <v>-1.6780251077506025</v>
      </c>
      <c r="BF93" s="18">
        <f t="shared" si="235"/>
        <v>13.946728107288076</v>
      </c>
      <c r="BG93" s="18">
        <f t="shared" si="235"/>
        <v>-2.5553950349846977</v>
      </c>
      <c r="BH93" s="18">
        <f t="shared" si="235"/>
        <v>-0.96031682707340416</v>
      </c>
      <c r="BI93" s="18">
        <f t="shared" si="236"/>
        <v>-0.59426175526353653</v>
      </c>
      <c r="BK93" s="18">
        <f t="shared" si="237"/>
        <v>-1.4948897628164981</v>
      </c>
      <c r="BL93" s="18">
        <f t="shared" si="238"/>
        <v>2.3570215499649771</v>
      </c>
      <c r="BM93" s="18">
        <f t="shared" si="239"/>
        <v>1.3126780248222891</v>
      </c>
      <c r="BO93" t="str">
        <f t="shared" si="260"/>
        <v>41 Administrative occupations</v>
      </c>
      <c r="BP93" s="18">
        <f t="shared" si="240"/>
        <v>-2.7634980346959326</v>
      </c>
      <c r="BQ93" s="18">
        <f t="shared" si="240"/>
        <v>4.0808055523445574</v>
      </c>
      <c r="BR93" s="18">
        <f t="shared" si="240"/>
        <v>-3.9718586864168626</v>
      </c>
      <c r="BS93" s="18">
        <f t="shared" si="240"/>
        <v>-2.9299350559380932</v>
      </c>
      <c r="BT93" s="18">
        <f t="shared" si="241"/>
        <v>-2.8341780504856806</v>
      </c>
      <c r="BV93" s="18">
        <f t="shared" si="242"/>
        <v>-3.2784930323172423</v>
      </c>
      <c r="BW93" s="18">
        <f t="shared" si="243"/>
        <v>1.8322340088133604</v>
      </c>
      <c r="BX93" s="18">
        <f t="shared" si="244"/>
        <v>-0.55747542564507091</v>
      </c>
      <c r="BZ93" t="str">
        <f t="shared" si="261"/>
        <v>41 Administrative occupations</v>
      </c>
      <c r="CA93" s="18">
        <f t="shared" si="245"/>
        <v>-6.0069176995980804</v>
      </c>
      <c r="CB93" s="18">
        <f t="shared" si="245"/>
        <v>-9.85942149805431</v>
      </c>
      <c r="CC93" s="18">
        <f t="shared" si="245"/>
        <v>-6.9274995950734493</v>
      </c>
      <c r="CD93" s="18">
        <f t="shared" si="245"/>
        <v>-9.6473874316539305</v>
      </c>
      <c r="CE93" s="18">
        <f t="shared" si="246"/>
        <v>-8.8194621275910166</v>
      </c>
      <c r="CG93" s="18">
        <f t="shared" si="247"/>
        <v>-8.7497064265716791</v>
      </c>
      <c r="CH93" s="18">
        <f t="shared" si="248"/>
        <v>1.2450578577174021</v>
      </c>
      <c r="CI93" s="18">
        <f t="shared" si="249"/>
        <v>-5.0841066893348881</v>
      </c>
      <c r="CK93" t="str">
        <f t="shared" si="262"/>
        <v>41 Administrative occupations</v>
      </c>
      <c r="CL93" s="18">
        <f t="shared" si="250"/>
        <v>-5.3666136177692341</v>
      </c>
      <c r="CM93" s="18">
        <f t="shared" si="250"/>
        <v>-20.447782452098316</v>
      </c>
      <c r="CN93" s="18">
        <f t="shared" si="250"/>
        <v>-0.71694538735412872</v>
      </c>
      <c r="CO93" s="18">
        <f t="shared" si="250"/>
        <v>-0.38545216627702272</v>
      </c>
      <c r="CP93" s="18">
        <f t="shared" si="251"/>
        <v>-1.8780938422290783</v>
      </c>
      <c r="CR93" s="18">
        <f t="shared" si="252"/>
        <v>-0.49607270369661505</v>
      </c>
      <c r="CS93" s="18">
        <f t="shared" si="253"/>
        <v>1.957705859908665</v>
      </c>
      <c r="CT93" s="18">
        <f t="shared" si="254"/>
        <v>1.5829166983925891</v>
      </c>
    </row>
    <row r="94" spans="1:98" x14ac:dyDescent="0.2">
      <c r="A94" t="str">
        <f t="shared" si="209"/>
        <v>42 Secretarial and related occupations</v>
      </c>
      <c r="B94" s="18">
        <f t="shared" si="210"/>
        <v>7.0027056700165069</v>
      </c>
      <c r="C94" s="18">
        <f t="shared" si="210"/>
        <v>-11.480764574044876</v>
      </c>
      <c r="D94" s="18">
        <f t="shared" si="210"/>
        <v>8.8179436489653753</v>
      </c>
      <c r="E94" s="18">
        <f t="shared" si="210"/>
        <v>4.0511441512557589</v>
      </c>
      <c r="F94" s="18">
        <f t="shared" si="211"/>
        <v>4.4571209883667695</v>
      </c>
      <c r="H94" s="18">
        <f t="shared" si="212"/>
        <v>5.6164125060025327</v>
      </c>
      <c r="I94" s="18">
        <f t="shared" si="213"/>
        <v>5.2818748972373042</v>
      </c>
      <c r="J94" s="18">
        <f t="shared" si="214"/>
        <v>8.5724355247291726</v>
      </c>
      <c r="L94" t="str">
        <f t="shared" si="255"/>
        <v>42 Secretarial and related occupations</v>
      </c>
      <c r="M94" s="18">
        <f t="shared" si="215"/>
        <v>4.7025598830990223</v>
      </c>
      <c r="N94" s="18">
        <f t="shared" si="215"/>
        <v>-16.823934855249068</v>
      </c>
      <c r="O94" s="18">
        <f t="shared" si="215"/>
        <v>7.5401502925981578</v>
      </c>
      <c r="P94" s="18">
        <f t="shared" si="215"/>
        <v>1.5430136019439988</v>
      </c>
      <c r="Q94" s="18">
        <f t="shared" si="216"/>
        <v>2.0991209881256578</v>
      </c>
      <c r="S94" s="18">
        <f t="shared" si="217"/>
        <v>3.5039471132925604</v>
      </c>
      <c r="T94" s="18">
        <f t="shared" si="218"/>
        <v>4.5871906217792802</v>
      </c>
      <c r="U94" s="18">
        <f t="shared" si="219"/>
        <v>6.6749646686994568</v>
      </c>
      <c r="W94" t="str">
        <f t="shared" si="256"/>
        <v>42 Secretarial and related occupations</v>
      </c>
      <c r="X94" s="18">
        <f t="shared" si="220"/>
        <v>-0.55329376450869994</v>
      </c>
      <c r="Y94" s="18">
        <f t="shared" si="220"/>
        <v>9.9128695134322875</v>
      </c>
      <c r="Z94" s="18">
        <f t="shared" si="220"/>
        <v>7.3052677133310429</v>
      </c>
      <c r="AA94" s="18">
        <f t="shared" si="220"/>
        <v>5.4741748687861858</v>
      </c>
      <c r="AB94" s="18">
        <f t="shared" si="221"/>
        <v>6.3165671463540685</v>
      </c>
      <c r="AD94" s="18">
        <f t="shared" si="222"/>
        <v>6.0810407345560868</v>
      </c>
      <c r="AE94" s="18">
        <f t="shared" si="223"/>
        <v>4.8489622174509917</v>
      </c>
      <c r="AF94" s="18">
        <f t="shared" si="224"/>
        <v>8.6244547462837939</v>
      </c>
      <c r="AH94" t="str">
        <f t="shared" si="257"/>
        <v>42 Secretarial and related occupations</v>
      </c>
      <c r="AI94" s="18">
        <f t="shared" si="225"/>
        <v>-1.3710230665737289</v>
      </c>
      <c r="AJ94" s="18">
        <f t="shared" si="225"/>
        <v>12.411397233600251</v>
      </c>
      <c r="AK94" s="18">
        <f t="shared" si="225"/>
        <v>4.7188323019867084</v>
      </c>
      <c r="AL94" s="18">
        <f t="shared" si="225"/>
        <v>0.40992220502120702</v>
      </c>
      <c r="AM94" s="18">
        <f t="shared" si="226"/>
        <v>2.4575078224091662</v>
      </c>
      <c r="AO94" s="18">
        <f t="shared" si="227"/>
        <v>1.8261563483427112</v>
      </c>
      <c r="AP94" s="18">
        <f t="shared" si="228"/>
        <v>3.9437608878803987</v>
      </c>
      <c r="AQ94" s="18">
        <f t="shared" si="229"/>
        <v>5.0648079211725872</v>
      </c>
      <c r="AS94" t="str">
        <f t="shared" si="258"/>
        <v>42 Secretarial and related occupations</v>
      </c>
      <c r="AT94" s="18">
        <f t="shared" si="230"/>
        <v>-2.0089981131845791</v>
      </c>
      <c r="AU94" s="18">
        <f t="shared" si="230"/>
        <v>9.946748115623949</v>
      </c>
      <c r="AV94" s="18">
        <f t="shared" si="230"/>
        <v>4.6847838852313251</v>
      </c>
      <c r="AW94" s="18">
        <f t="shared" si="230"/>
        <v>2.9943766667291705</v>
      </c>
      <c r="AX94" s="18">
        <f t="shared" si="231"/>
        <v>3.9431701110589579</v>
      </c>
      <c r="AZ94" s="18">
        <f t="shared" si="232"/>
        <v>3.5547908765072522</v>
      </c>
      <c r="BA94" s="18">
        <f t="shared" si="233"/>
        <v>3.9063416147662178</v>
      </c>
      <c r="BB94" s="18">
        <f t="shared" si="234"/>
        <v>6.2005213861167974</v>
      </c>
      <c r="BD94" t="str">
        <f t="shared" si="259"/>
        <v>42 Secretarial and related occupations</v>
      </c>
      <c r="BE94" s="18">
        <f t="shared" si="235"/>
        <v>-1.5429096962622291</v>
      </c>
      <c r="BF94" s="18">
        <f t="shared" si="235"/>
        <v>2.7806229775936497</v>
      </c>
      <c r="BG94" s="18">
        <f t="shared" si="235"/>
        <v>5.2670365356067395</v>
      </c>
      <c r="BH94" s="18">
        <f t="shared" si="235"/>
        <v>-3.6446451827460091</v>
      </c>
      <c r="BI94" s="18">
        <f t="shared" si="236"/>
        <v>-0.54348523771372559</v>
      </c>
      <c r="BK94" s="18">
        <f t="shared" si="237"/>
        <v>-0.7612308861920658</v>
      </c>
      <c r="BL94" s="18">
        <f t="shared" si="238"/>
        <v>3.2518512415496748</v>
      </c>
      <c r="BM94" s="18">
        <f t="shared" si="239"/>
        <v>2.7755039052698605</v>
      </c>
      <c r="BO94" t="str">
        <f t="shared" si="260"/>
        <v>42 Secretarial and related occupations</v>
      </c>
      <c r="BP94" s="18">
        <f t="shared" si="240"/>
        <v>-6.4416828426452692</v>
      </c>
      <c r="BQ94" s="18">
        <f t="shared" si="240"/>
        <v>0.43538039094874748</v>
      </c>
      <c r="BR94" s="18">
        <f t="shared" si="240"/>
        <v>-5.4671096317673413</v>
      </c>
      <c r="BS94" s="18">
        <f t="shared" si="240"/>
        <v>-12.451162300054097</v>
      </c>
      <c r="BT94" s="18">
        <f t="shared" si="241"/>
        <v>-9.5530182722916699</v>
      </c>
      <c r="BV94" s="18">
        <f t="shared" si="242"/>
        <v>-10.182443585936063</v>
      </c>
      <c r="BW94" s="18">
        <f t="shared" si="243"/>
        <v>1.5282802628984404</v>
      </c>
      <c r="BX94" s="18">
        <f t="shared" si="244"/>
        <v>-5.111715443895215</v>
      </c>
      <c r="BZ94" t="str">
        <f t="shared" si="261"/>
        <v>42 Secretarial and related occupations</v>
      </c>
      <c r="CA94" s="18">
        <f t="shared" si="245"/>
        <v>-8.0301309056527881</v>
      </c>
      <c r="CB94" s="18">
        <f t="shared" si="245"/>
        <v>1.1586832405566572</v>
      </c>
      <c r="CC94" s="18">
        <f t="shared" si="245"/>
        <v>-7.0735912391556077</v>
      </c>
      <c r="CD94" s="18">
        <f t="shared" si="245"/>
        <v>-14.532694335412966</v>
      </c>
      <c r="CE94" s="18">
        <f t="shared" si="246"/>
        <v>-11.339292675463453</v>
      </c>
      <c r="CG94" s="18">
        <f t="shared" si="247"/>
        <v>-12.115343421209346</v>
      </c>
      <c r="CH94" s="18">
        <f t="shared" si="248"/>
        <v>1.3318082746627047</v>
      </c>
      <c r="CI94" s="18">
        <f t="shared" si="249"/>
        <v>-6.5218219906138959</v>
      </c>
      <c r="CK94" t="str">
        <f t="shared" si="262"/>
        <v>42 Secretarial and related occupations</v>
      </c>
      <c r="CL94" s="18">
        <f t="shared" si="250"/>
        <v>-2.7647251987613752</v>
      </c>
      <c r="CM94" s="18">
        <f t="shared" si="250"/>
        <v>-27.039911767386904</v>
      </c>
      <c r="CN94" s="18">
        <f t="shared" si="250"/>
        <v>7.0580563745367586</v>
      </c>
      <c r="CO94" s="18">
        <f t="shared" si="250"/>
        <v>-1.5776905196526969</v>
      </c>
      <c r="CP94" s="18">
        <f t="shared" si="251"/>
        <v>-0.82953435592333369</v>
      </c>
      <c r="CR94" s="18">
        <f t="shared" si="252"/>
        <v>1.2205794639734924</v>
      </c>
      <c r="CS94" s="18">
        <f t="shared" si="253"/>
        <v>3.1881214134540592</v>
      </c>
      <c r="CT94" s="18">
        <f t="shared" si="254"/>
        <v>3.9994032932850088</v>
      </c>
    </row>
    <row r="95" spans="1:98" x14ac:dyDescent="0.2">
      <c r="A95" t="str">
        <f t="shared" si="209"/>
        <v>51 Skilled agricultural and related trades</v>
      </c>
      <c r="B95" s="18">
        <f t="shared" si="210"/>
        <v>20.673970993709357</v>
      </c>
      <c r="C95" s="18">
        <f t="shared" si="210"/>
        <v>53.241155619723045</v>
      </c>
      <c r="D95" s="18">
        <f t="shared" si="210"/>
        <v>1.467618688101302</v>
      </c>
      <c r="E95" s="18">
        <f t="shared" si="210"/>
        <v>2.0189888226999964</v>
      </c>
      <c r="F95" s="18">
        <f t="shared" si="211"/>
        <v>4.469359390010208</v>
      </c>
      <c r="H95" s="18">
        <f t="shared" si="212"/>
        <v>1.8348666772099342</v>
      </c>
      <c r="I95" s="18">
        <f t="shared" si="213"/>
        <v>3.9484720267679796</v>
      </c>
      <c r="J95" s="18">
        <f t="shared" si="214"/>
        <v>5.0744795700728984</v>
      </c>
      <c r="L95" t="str">
        <f t="shared" si="255"/>
        <v>51 Skilled agricultural and related trades</v>
      </c>
      <c r="M95" s="18">
        <f t="shared" si="215"/>
        <v>1.2321732689463794</v>
      </c>
      <c r="N95" s="18">
        <f t="shared" si="215"/>
        <v>-3.402192182670194</v>
      </c>
      <c r="O95" s="18">
        <f t="shared" si="215"/>
        <v>1.4924895477780975</v>
      </c>
      <c r="P95" s="18">
        <f t="shared" si="215"/>
        <v>3.0028922316907236</v>
      </c>
      <c r="Q95" s="18">
        <f t="shared" si="216"/>
        <v>2.1179145575329628</v>
      </c>
      <c r="S95" s="18">
        <f t="shared" si="217"/>
        <v>2.496943526834472</v>
      </c>
      <c r="T95" s="18">
        <f t="shared" si="218"/>
        <v>3.6538871334335976</v>
      </c>
      <c r="U95" s="18">
        <f t="shared" si="219"/>
        <v>5.2705852263226216</v>
      </c>
      <c r="W95" t="str">
        <f t="shared" si="256"/>
        <v>51 Skilled agricultural and related trades</v>
      </c>
      <c r="X95" s="18">
        <f t="shared" si="220"/>
        <v>-6.9030179129408236</v>
      </c>
      <c r="Y95" s="18">
        <f t="shared" si="220"/>
        <v>24.764739421235472</v>
      </c>
      <c r="Z95" s="18">
        <f t="shared" si="220"/>
        <v>3.0807234969401076</v>
      </c>
      <c r="AA95" s="18">
        <f t="shared" si="220"/>
        <v>3.021053967148557</v>
      </c>
      <c r="AB95" s="18">
        <f t="shared" si="221"/>
        <v>4.2803403765031112</v>
      </c>
      <c r="AD95" s="18">
        <f t="shared" si="222"/>
        <v>3.0409399715988661</v>
      </c>
      <c r="AE95" s="18">
        <f t="shared" si="223"/>
        <v>4.3819714127657505</v>
      </c>
      <c r="AF95" s="18">
        <f t="shared" si="224"/>
        <v>6.213619526990799</v>
      </c>
      <c r="AH95" t="str">
        <f t="shared" si="257"/>
        <v>51 Skilled agricultural and related trades</v>
      </c>
      <c r="AI95" s="18">
        <f t="shared" si="225"/>
        <v>-3.2976798320651701</v>
      </c>
      <c r="AJ95" s="18">
        <f t="shared" si="225"/>
        <v>11.323035109242152</v>
      </c>
      <c r="AK95" s="18">
        <f t="shared" si="225"/>
        <v>2.531621837109399</v>
      </c>
      <c r="AL95" s="18">
        <f t="shared" si="225"/>
        <v>1.9353726747544542</v>
      </c>
      <c r="AM95" s="18">
        <f t="shared" si="226"/>
        <v>2.6851655825375298</v>
      </c>
      <c r="AO95" s="18">
        <f t="shared" si="227"/>
        <v>2.1337361352565809</v>
      </c>
      <c r="AP95" s="18">
        <f t="shared" si="228"/>
        <v>4.1976310961884922</v>
      </c>
      <c r="AQ95" s="18">
        <f t="shared" si="229"/>
        <v>5.4781433624343512</v>
      </c>
      <c r="AS95" t="str">
        <f t="shared" si="258"/>
        <v>51 Skilled agricultural and related trades</v>
      </c>
      <c r="AT95" s="18">
        <f t="shared" si="230"/>
        <v>-5.4429313158292469</v>
      </c>
      <c r="AU95" s="18">
        <f t="shared" si="230"/>
        <v>22.371598445885542</v>
      </c>
      <c r="AV95" s="18">
        <f t="shared" si="230"/>
        <v>1.9430327462299779</v>
      </c>
      <c r="AW95" s="18">
        <f t="shared" si="230"/>
        <v>2.7778993388051454</v>
      </c>
      <c r="AX95" s="18">
        <f t="shared" si="231"/>
        <v>3.6404068940477652</v>
      </c>
      <c r="AZ95" s="18">
        <f t="shared" si="232"/>
        <v>2.4988535406052392</v>
      </c>
      <c r="BA95" s="18">
        <f t="shared" si="233"/>
        <v>3.9465933323970637</v>
      </c>
      <c r="BB95" s="18">
        <f t="shared" si="234"/>
        <v>5.5084999006697721</v>
      </c>
      <c r="BD95" t="str">
        <f t="shared" si="259"/>
        <v>51 Skilled agricultural and related trades</v>
      </c>
      <c r="BE95" s="18">
        <f t="shared" si="235"/>
        <v>-7.9774380054105531</v>
      </c>
      <c r="BF95" s="18">
        <f t="shared" si="235"/>
        <v>18.289326769369161</v>
      </c>
      <c r="BG95" s="18">
        <f t="shared" si="235"/>
        <v>-2.4432858900579002</v>
      </c>
      <c r="BH95" s="18">
        <f t="shared" si="235"/>
        <v>0.91998890983984172</v>
      </c>
      <c r="BI95" s="18">
        <f t="shared" si="236"/>
        <v>0.85274135428858866</v>
      </c>
      <c r="BK95" s="18">
        <f t="shared" si="237"/>
        <v>-0.21379240875081251</v>
      </c>
      <c r="BL95" s="18">
        <f t="shared" si="238"/>
        <v>2.7221167949596614</v>
      </c>
      <c r="BM95" s="18">
        <f t="shared" si="239"/>
        <v>2.5760584106439888</v>
      </c>
      <c r="BO95" t="str">
        <f t="shared" si="260"/>
        <v>51 Skilled agricultural and related trades</v>
      </c>
      <c r="BP95" s="18">
        <f t="shared" si="240"/>
        <v>-4.2208889010496016</v>
      </c>
      <c r="BQ95" s="18">
        <f t="shared" si="240"/>
        <v>-3.9675589181235482</v>
      </c>
      <c r="BR95" s="18">
        <f t="shared" si="240"/>
        <v>0.33517961666023055</v>
      </c>
      <c r="BS95" s="18">
        <f t="shared" si="240"/>
        <v>1.0737352779663922</v>
      </c>
      <c r="BT95" s="18">
        <f t="shared" si="241"/>
        <v>0.52039940409285279</v>
      </c>
      <c r="BV95" s="18">
        <f t="shared" si="242"/>
        <v>0.82694797824416355</v>
      </c>
      <c r="BW95" s="18">
        <f t="shared" si="243"/>
        <v>2.9908259653042002</v>
      </c>
      <c r="BX95" s="18">
        <f t="shared" si="244"/>
        <v>3.5493593715512528</v>
      </c>
      <c r="BZ95" t="str">
        <f t="shared" si="261"/>
        <v>51 Skilled agricultural and related trades</v>
      </c>
      <c r="CA95" s="18">
        <f t="shared" si="245"/>
        <v>3.9662478256853317</v>
      </c>
      <c r="CB95" s="18">
        <f t="shared" si="245"/>
        <v>-25.652935137057664</v>
      </c>
      <c r="CC95" s="18">
        <f t="shared" si="245"/>
        <v>0.86976294838219115</v>
      </c>
      <c r="CD95" s="18">
        <f t="shared" si="245"/>
        <v>1.3848152941298375</v>
      </c>
      <c r="CE95" s="18">
        <f t="shared" si="246"/>
        <v>-0.71986175635921912</v>
      </c>
      <c r="CG95" s="18">
        <f t="shared" si="247"/>
        <v>1.2128396272592878</v>
      </c>
      <c r="CH95" s="18">
        <f t="shared" si="248"/>
        <v>2.8058718666732041</v>
      </c>
      <c r="CI95" s="18">
        <f t="shared" si="249"/>
        <v>3.6523017613874442</v>
      </c>
      <c r="CK95" t="str">
        <f t="shared" si="262"/>
        <v>51 Skilled agricultural and related trades</v>
      </c>
      <c r="CL95" s="18">
        <f t="shared" si="250"/>
        <v>-8.1939721000876542</v>
      </c>
      <c r="CM95" s="18">
        <f t="shared" si="250"/>
        <v>-3.4186672342481406</v>
      </c>
      <c r="CN95" s="18">
        <f t="shared" si="250"/>
        <v>-2.650421135586345</v>
      </c>
      <c r="CO95" s="18">
        <f t="shared" si="250"/>
        <v>-6.3675586548624263</v>
      </c>
      <c r="CP95" s="18">
        <f t="shared" si="251"/>
        <v>-5.0375981094814897</v>
      </c>
      <c r="CR95" s="18">
        <f t="shared" si="252"/>
        <v>-5.1445568869192275</v>
      </c>
      <c r="CS95" s="18">
        <f t="shared" si="253"/>
        <v>1.7650360222473349</v>
      </c>
      <c r="CT95" s="18">
        <f t="shared" si="254"/>
        <v>-1.8740603472523487</v>
      </c>
    </row>
    <row r="96" spans="1:98" x14ac:dyDescent="0.2">
      <c r="A96" t="str">
        <f t="shared" si="209"/>
        <v>52 Skilled metal, electrical and electronic trades</v>
      </c>
      <c r="B96" s="18">
        <f t="shared" si="210"/>
        <v>10.732003789620826</v>
      </c>
      <c r="C96" s="18">
        <f t="shared" si="210"/>
        <v>-28.788367048978792</v>
      </c>
      <c r="D96" s="18">
        <f t="shared" si="210"/>
        <v>4.4479114971426759</v>
      </c>
      <c r="E96" s="18">
        <f t="shared" si="210"/>
        <v>3.4478429210478279</v>
      </c>
      <c r="F96" s="18">
        <f t="shared" si="211"/>
        <v>1.3658131715973632</v>
      </c>
      <c r="H96" s="18">
        <f t="shared" si="212"/>
        <v>3.7801306196818985</v>
      </c>
      <c r="I96" s="18">
        <f t="shared" si="213"/>
        <v>3.558015734228781</v>
      </c>
      <c r="J96" s="18">
        <f t="shared" si="214"/>
        <v>6.1100726067758071</v>
      </c>
      <c r="L96" t="str">
        <f t="shared" si="255"/>
        <v>52 Skilled metal, electrical and electronic trades</v>
      </c>
      <c r="M96" s="18">
        <f t="shared" si="215"/>
        <v>13.506918582605042</v>
      </c>
      <c r="N96" s="18">
        <f t="shared" si="215"/>
        <v>-36.552983319016242</v>
      </c>
      <c r="O96" s="18">
        <f t="shared" si="215"/>
        <v>8.5149534136543572</v>
      </c>
      <c r="P96" s="18">
        <f t="shared" si="215"/>
        <v>3.6469245488544244</v>
      </c>
      <c r="Q96" s="18">
        <f t="shared" si="216"/>
        <v>1.968013649080258</v>
      </c>
      <c r="S96" s="18">
        <f t="shared" si="217"/>
        <v>5.2448393386282266</v>
      </c>
      <c r="T96" s="18">
        <f t="shared" si="218"/>
        <v>4.1992868165448449</v>
      </c>
      <c r="U96" s="18">
        <f t="shared" si="219"/>
        <v>7.6138937514480975</v>
      </c>
      <c r="W96" t="str">
        <f t="shared" si="256"/>
        <v>52 Skilled metal, electrical and electronic trades</v>
      </c>
      <c r="X96" s="18">
        <f t="shared" si="220"/>
        <v>-2.6584144712547997</v>
      </c>
      <c r="Y96" s="18">
        <f t="shared" si="220"/>
        <v>-23.350941080846631</v>
      </c>
      <c r="Z96" s="18">
        <f t="shared" si="220"/>
        <v>4.5899671818741439</v>
      </c>
      <c r="AA96" s="18">
        <f t="shared" si="220"/>
        <v>1.4033551953595902</v>
      </c>
      <c r="AB96" s="18">
        <f t="shared" si="221"/>
        <v>0.613211867634611</v>
      </c>
      <c r="AD96" s="18">
        <f t="shared" si="222"/>
        <v>2.4546228386872482</v>
      </c>
      <c r="AE96" s="18">
        <f t="shared" si="223"/>
        <v>3.3180613625356958</v>
      </c>
      <c r="AF96" s="18">
        <f t="shared" si="224"/>
        <v>4.9713080103955587</v>
      </c>
      <c r="AH96" t="str">
        <f t="shared" si="257"/>
        <v>52 Skilled metal, electrical and electronic trades</v>
      </c>
      <c r="AI96" s="18">
        <f t="shared" si="225"/>
        <v>-3.8541414871828161</v>
      </c>
      <c r="AJ96" s="18">
        <f t="shared" si="225"/>
        <v>-15.682131231896346</v>
      </c>
      <c r="AK96" s="18">
        <f t="shared" si="225"/>
        <v>2.8682100926140652</v>
      </c>
      <c r="AL96" s="18">
        <f t="shared" si="225"/>
        <v>1.8254862310432163</v>
      </c>
      <c r="AM96" s="18">
        <f t="shared" si="226"/>
        <v>0.9527500171950809</v>
      </c>
      <c r="AO96" s="18">
        <f t="shared" si="227"/>
        <v>2.1718811322842368</v>
      </c>
      <c r="AP96" s="18">
        <f t="shared" si="228"/>
        <v>2.9997770592733897</v>
      </c>
      <c r="AQ96" s="18">
        <f t="shared" si="229"/>
        <v>4.5105255776801911</v>
      </c>
      <c r="AS96" t="str">
        <f t="shared" si="258"/>
        <v>52 Skilled metal, electrical and electronic trades</v>
      </c>
      <c r="AT96" s="18">
        <f t="shared" si="230"/>
        <v>-3.7252332792570342</v>
      </c>
      <c r="AU96" s="18">
        <f t="shared" si="230"/>
        <v>-19.590461019079985</v>
      </c>
      <c r="AV96" s="18">
        <f t="shared" si="230"/>
        <v>1.8715862904278291</v>
      </c>
      <c r="AW96" s="18">
        <f t="shared" si="230"/>
        <v>1.0107318144569888E-2</v>
      </c>
      <c r="AX96" s="18">
        <f t="shared" si="231"/>
        <v>-0.77394147400888791</v>
      </c>
      <c r="AZ96" s="18">
        <f t="shared" si="232"/>
        <v>0.62678990329094741</v>
      </c>
      <c r="BA96" s="18">
        <f t="shared" si="233"/>
        <v>2.6443073366936964</v>
      </c>
      <c r="BB96" s="18">
        <f t="shared" si="234"/>
        <v>3.0853477520096151</v>
      </c>
      <c r="BD96" t="str">
        <f t="shared" si="259"/>
        <v>52 Skilled metal, electrical and electronic trades</v>
      </c>
      <c r="BE96" s="18">
        <f t="shared" si="235"/>
        <v>-1.5958162140495946</v>
      </c>
      <c r="BF96" s="18">
        <f t="shared" si="235"/>
        <v>0.47524528147244727</v>
      </c>
      <c r="BG96" s="18">
        <f t="shared" si="235"/>
        <v>-2.779733129957429</v>
      </c>
      <c r="BH96" s="18">
        <f t="shared" si="235"/>
        <v>-0.88495892189275338</v>
      </c>
      <c r="BI96" s="18">
        <f t="shared" si="236"/>
        <v>-1.3970466093772616</v>
      </c>
      <c r="BK96" s="18">
        <f t="shared" si="237"/>
        <v>-1.5206183152838837</v>
      </c>
      <c r="BL96" s="18">
        <f t="shared" si="238"/>
        <v>1.773100057585375</v>
      </c>
      <c r="BM96" s="18">
        <f t="shared" si="239"/>
        <v>0.6148793508663708</v>
      </c>
      <c r="BO96" t="str">
        <f t="shared" si="260"/>
        <v>52 Skilled metal, electrical and electronic trades</v>
      </c>
      <c r="BP96" s="18">
        <f t="shared" si="240"/>
        <v>-0.92324409249525674</v>
      </c>
      <c r="BQ96" s="18">
        <f t="shared" si="240"/>
        <v>-19.982413839673285</v>
      </c>
      <c r="BR96" s="18">
        <f t="shared" si="240"/>
        <v>-0.38885116665188235</v>
      </c>
      <c r="BS96" s="18">
        <f t="shared" si="240"/>
        <v>-1.3021350955928712</v>
      </c>
      <c r="BT96" s="18">
        <f t="shared" si="241"/>
        <v>-2.3071739387548806</v>
      </c>
      <c r="BV96" s="18">
        <f t="shared" si="242"/>
        <v>-0.99864131260668509</v>
      </c>
      <c r="BW96" s="18">
        <f t="shared" si="243"/>
        <v>1.9390622183095507</v>
      </c>
      <c r="BX96" s="18">
        <f t="shared" si="244"/>
        <v>1.1896003344648687</v>
      </c>
      <c r="BZ96" t="str">
        <f t="shared" si="261"/>
        <v>52 Skilled metal, electrical and electronic trades</v>
      </c>
      <c r="CA96" s="18">
        <f t="shared" si="245"/>
        <v>8.2115709312532417</v>
      </c>
      <c r="CB96" s="18">
        <f t="shared" si="245"/>
        <v>-45.799382835150062</v>
      </c>
      <c r="CC96" s="18">
        <f t="shared" si="245"/>
        <v>0.32919383586635931</v>
      </c>
      <c r="CD96" s="18">
        <f t="shared" si="245"/>
        <v>-6.6568261291991231</v>
      </c>
      <c r="CE96" s="18">
        <f t="shared" si="246"/>
        <v>-7.7167448582744598</v>
      </c>
      <c r="CG96" s="18">
        <f t="shared" si="247"/>
        <v>-4.3839460051321328</v>
      </c>
      <c r="CH96" s="18">
        <f t="shared" si="248"/>
        <v>1.7830613890642111</v>
      </c>
      <c r="CI96" s="18">
        <f t="shared" si="249"/>
        <v>-1.362391763399895</v>
      </c>
      <c r="CK96" t="str">
        <f t="shared" si="262"/>
        <v>52 Skilled metal, electrical and electronic trades</v>
      </c>
      <c r="CL96" s="18">
        <f t="shared" si="250"/>
        <v>-3.4428993707116939</v>
      </c>
      <c r="CM96" s="18">
        <f t="shared" si="250"/>
        <v>-28.226396649115959</v>
      </c>
      <c r="CN96" s="18">
        <f t="shared" si="250"/>
        <v>-4.4713683054234732</v>
      </c>
      <c r="CO96" s="18">
        <f t="shared" si="250"/>
        <v>-3.4031749895412688</v>
      </c>
      <c r="CP96" s="18">
        <f t="shared" si="251"/>
        <v>-5.5088105188685788</v>
      </c>
      <c r="CR96" s="18">
        <f t="shared" si="252"/>
        <v>-3.7605600363307623</v>
      </c>
      <c r="CS96" s="18">
        <f t="shared" si="253"/>
        <v>1.6478181144279347</v>
      </c>
      <c r="CT96" s="18">
        <f t="shared" si="254"/>
        <v>-1.151323140470617</v>
      </c>
    </row>
    <row r="97" spans="1:98" x14ac:dyDescent="0.2">
      <c r="A97" t="str">
        <f t="shared" si="209"/>
        <v>53 Skilled construction and building trades</v>
      </c>
      <c r="B97" s="18">
        <f t="shared" si="210"/>
        <v>2.7753199164552766</v>
      </c>
      <c r="C97" s="18">
        <f t="shared" si="210"/>
        <v>-41.302003747641045</v>
      </c>
      <c r="D97" s="18">
        <f t="shared" si="210"/>
        <v>10.687477118224088</v>
      </c>
      <c r="E97" s="18">
        <f t="shared" si="210"/>
        <v>1.0424287580691916</v>
      </c>
      <c r="F97" s="18">
        <f t="shared" si="211"/>
        <v>0.49271808656632388</v>
      </c>
      <c r="H97" s="18">
        <f t="shared" si="212"/>
        <v>4.1602501274969228</v>
      </c>
      <c r="I97" s="18">
        <f t="shared" si="213"/>
        <v>4.01035343270848</v>
      </c>
      <c r="J97" s="18">
        <f t="shared" si="214"/>
        <v>6.7037853773194822</v>
      </c>
      <c r="L97" t="str">
        <f t="shared" si="255"/>
        <v>53 Skilled construction and building trades</v>
      </c>
      <c r="M97" s="18">
        <f t="shared" si="215"/>
        <v>6.9988919352838463</v>
      </c>
      <c r="N97" s="18">
        <f t="shared" si="215"/>
        <v>-36.413631228761453</v>
      </c>
      <c r="O97" s="18">
        <f t="shared" si="215"/>
        <v>6.5677360563400233</v>
      </c>
      <c r="P97" s="18">
        <f t="shared" si="215"/>
        <v>2.8783027440543174</v>
      </c>
      <c r="Q97" s="18">
        <f t="shared" si="216"/>
        <v>0.93590107321892546</v>
      </c>
      <c r="S97" s="18">
        <f t="shared" si="217"/>
        <v>4.0936987144486459</v>
      </c>
      <c r="T97" s="18">
        <f t="shared" si="218"/>
        <v>4.0540416538031421</v>
      </c>
      <c r="U97" s="18">
        <f t="shared" si="219"/>
        <v>6.6871371036937299</v>
      </c>
      <c r="W97" t="str">
        <f t="shared" si="256"/>
        <v>53 Skilled construction and building trades</v>
      </c>
      <c r="X97" s="18">
        <f t="shared" si="220"/>
        <v>-2.4445720243885138</v>
      </c>
      <c r="Y97" s="18">
        <f t="shared" si="220"/>
        <v>-22.961639140292046</v>
      </c>
      <c r="Z97" s="18">
        <f t="shared" si="220"/>
        <v>4.3440191783912452</v>
      </c>
      <c r="AA97" s="18">
        <f t="shared" si="220"/>
        <v>0.17284210928403265</v>
      </c>
      <c r="AB97" s="18">
        <f t="shared" si="221"/>
        <v>-0.19344858337891901</v>
      </c>
      <c r="AD97" s="18">
        <f t="shared" si="222"/>
        <v>1.5443703238681827</v>
      </c>
      <c r="AE97" s="18">
        <f t="shared" si="223"/>
        <v>3.3341019768379887</v>
      </c>
      <c r="AF97" s="18">
        <f t="shared" si="224"/>
        <v>4.3497883226709222</v>
      </c>
      <c r="AH97" t="str">
        <f t="shared" si="257"/>
        <v>53 Skilled construction and building trades</v>
      </c>
      <c r="AI97" s="18">
        <f t="shared" si="225"/>
        <v>-0.53437872451479462</v>
      </c>
      <c r="AJ97" s="18">
        <f t="shared" si="225"/>
        <v>-17.446513007805542</v>
      </c>
      <c r="AK97" s="18">
        <f t="shared" si="225"/>
        <v>3.3191455157134619</v>
      </c>
      <c r="AL97" s="18">
        <f t="shared" si="225"/>
        <v>0.6868515014804899</v>
      </c>
      <c r="AM97" s="18">
        <f t="shared" si="226"/>
        <v>0.25024463026928068</v>
      </c>
      <c r="AO97" s="18">
        <f t="shared" si="227"/>
        <v>1.5567456579601568</v>
      </c>
      <c r="AP97" s="18">
        <f t="shared" si="228"/>
        <v>3.4023715109625208</v>
      </c>
      <c r="AQ97" s="18">
        <f t="shared" si="229"/>
        <v>4.4177437886591786</v>
      </c>
      <c r="AS97" t="str">
        <f t="shared" si="258"/>
        <v>53 Skilled construction and building trades</v>
      </c>
      <c r="AT97" s="18">
        <f t="shared" si="230"/>
        <v>-0.19084964454809672</v>
      </c>
      <c r="AU97" s="18">
        <f t="shared" si="230"/>
        <v>-17.562888169872558</v>
      </c>
      <c r="AV97" s="18">
        <f t="shared" si="230"/>
        <v>4.7360663005511006</v>
      </c>
      <c r="AW97" s="18">
        <f t="shared" si="230"/>
        <v>0.66629532759623356</v>
      </c>
      <c r="AX97" s="18">
        <f t="shared" si="231"/>
        <v>0.65614829344573522</v>
      </c>
      <c r="AZ97" s="18">
        <f t="shared" si="232"/>
        <v>2.0050039467233383</v>
      </c>
      <c r="BA97" s="18">
        <f t="shared" si="233"/>
        <v>3.5827012586961082</v>
      </c>
      <c r="BB97" s="18">
        <f t="shared" si="234"/>
        <v>4.8759879569822751</v>
      </c>
      <c r="BD97" t="str">
        <f t="shared" si="259"/>
        <v>53 Skilled construction and building trades</v>
      </c>
      <c r="BE97" s="18">
        <f t="shared" si="235"/>
        <v>-0.11390098300070317</v>
      </c>
      <c r="BF97" s="18">
        <f t="shared" si="235"/>
        <v>-3.0487184553802726</v>
      </c>
      <c r="BG97" s="18">
        <f t="shared" si="235"/>
        <v>-3.015408494290428</v>
      </c>
      <c r="BH97" s="18">
        <f t="shared" si="235"/>
        <v>-1.5460443610783803</v>
      </c>
      <c r="BI97" s="18">
        <f t="shared" si="236"/>
        <v>-2.1017486055435963</v>
      </c>
      <c r="BK97" s="18">
        <f t="shared" si="237"/>
        <v>-2.0382894054111311</v>
      </c>
      <c r="BL97" s="18">
        <f t="shared" si="238"/>
        <v>1.8739986421147714</v>
      </c>
      <c r="BM97" s="18">
        <f t="shared" si="239"/>
        <v>0.36009257684925799</v>
      </c>
      <c r="BO97" t="str">
        <f t="shared" si="260"/>
        <v>53 Skilled construction and building trades</v>
      </c>
      <c r="BP97" s="18">
        <f t="shared" si="240"/>
        <v>2.9035038209949793</v>
      </c>
      <c r="BQ97" s="18">
        <f t="shared" si="240"/>
        <v>-19.635140034425447</v>
      </c>
      <c r="BR97" s="18">
        <f t="shared" si="240"/>
        <v>2.2088209010320714</v>
      </c>
      <c r="BS97" s="18">
        <f t="shared" si="240"/>
        <v>0.28888328400336061</v>
      </c>
      <c r="BT97" s="18">
        <f t="shared" si="241"/>
        <v>-0.50190806984737879</v>
      </c>
      <c r="BV97" s="18">
        <f t="shared" si="242"/>
        <v>0.92482144206202932</v>
      </c>
      <c r="BW97" s="18">
        <f t="shared" si="243"/>
        <v>2.6443216163793304</v>
      </c>
      <c r="BX97" s="18">
        <f t="shared" si="244"/>
        <v>3.2992569501607116</v>
      </c>
      <c r="BZ97" t="str">
        <f t="shared" si="261"/>
        <v>53 Skilled construction and building trades</v>
      </c>
      <c r="CA97" s="18">
        <f t="shared" si="245"/>
        <v>10.706482690783737</v>
      </c>
      <c r="CB97" s="18">
        <f t="shared" si="245"/>
        <v>-46.731946968949622</v>
      </c>
      <c r="CC97" s="18">
        <f t="shared" si="245"/>
        <v>1.4814974195126007</v>
      </c>
      <c r="CD97" s="18">
        <f t="shared" si="245"/>
        <v>-3.4993688452279792</v>
      </c>
      <c r="CE97" s="18">
        <f t="shared" si="246"/>
        <v>-5.5435936639003476</v>
      </c>
      <c r="CG97" s="18">
        <f t="shared" si="247"/>
        <v>-1.8668533341930305</v>
      </c>
      <c r="CH97" s="18">
        <f t="shared" si="248"/>
        <v>2.1941213262805181</v>
      </c>
      <c r="CI97" s="18">
        <f t="shared" si="249"/>
        <v>0.8689078381848292</v>
      </c>
      <c r="CK97" t="str">
        <f t="shared" si="262"/>
        <v>53 Skilled construction and building trades</v>
      </c>
      <c r="CL97" s="18">
        <f t="shared" si="250"/>
        <v>-3.4922760673850028E-2</v>
      </c>
      <c r="CM97" s="18">
        <f t="shared" si="250"/>
        <v>-29.736176262593684</v>
      </c>
      <c r="CN97" s="18">
        <f t="shared" si="250"/>
        <v>-8.4176048103802632</v>
      </c>
      <c r="CO97" s="18">
        <f t="shared" si="250"/>
        <v>-15.250100835696124</v>
      </c>
      <c r="CP97" s="18">
        <f t="shared" si="251"/>
        <v>-14.182871358388427</v>
      </c>
      <c r="CR97" s="18">
        <f t="shared" si="252"/>
        <v>-13.031203683519099</v>
      </c>
      <c r="CS97" s="18">
        <f t="shared" si="253"/>
        <v>0.96507928870976922</v>
      </c>
      <c r="CT97" s="18">
        <f t="shared" si="254"/>
        <v>-8.1776204366544309</v>
      </c>
    </row>
    <row r="98" spans="1:98" x14ac:dyDescent="0.2">
      <c r="A98" t="str">
        <f t="shared" si="209"/>
        <v>54 Textiles, printing and other skilled trades</v>
      </c>
      <c r="B98" s="18">
        <f t="shared" si="210"/>
        <v>-1.9024135143447474</v>
      </c>
      <c r="C98" s="18">
        <f t="shared" si="210"/>
        <v>-28.695208406101692</v>
      </c>
      <c r="D98" s="18">
        <f t="shared" si="210"/>
        <v>4.3525063204945091</v>
      </c>
      <c r="E98" s="18">
        <f t="shared" si="210"/>
        <v>2.2457842455690713</v>
      </c>
      <c r="F98" s="18">
        <f t="shared" si="211"/>
        <v>0.60752205515273161</v>
      </c>
      <c r="H98" s="18">
        <f t="shared" si="212"/>
        <v>2.9432562964817111</v>
      </c>
      <c r="I98" s="18">
        <f t="shared" si="213"/>
        <v>3.9120930278388366</v>
      </c>
      <c r="J98" s="18">
        <f t="shared" si="214"/>
        <v>5.7811048488655592</v>
      </c>
      <c r="L98" t="str">
        <f t="shared" si="255"/>
        <v>54 Textiles, printing and other skilled trades</v>
      </c>
      <c r="M98" s="18">
        <f t="shared" si="215"/>
        <v>3.583248867068356</v>
      </c>
      <c r="N98" s="18">
        <f t="shared" si="215"/>
        <v>-1.8751583980239239</v>
      </c>
      <c r="O98" s="18">
        <f t="shared" si="215"/>
        <v>3.9776666593532406</v>
      </c>
      <c r="P98" s="18">
        <f t="shared" si="215"/>
        <v>2.6029557468225883</v>
      </c>
      <c r="Q98" s="18">
        <f t="shared" si="216"/>
        <v>2.7436231324082794</v>
      </c>
      <c r="S98" s="18">
        <f t="shared" si="217"/>
        <v>3.0591612757425279</v>
      </c>
      <c r="T98" s="18">
        <f t="shared" si="218"/>
        <v>4.0431600097193821</v>
      </c>
      <c r="U98" s="18">
        <f t="shared" si="219"/>
        <v>5.9617872437790487</v>
      </c>
      <c r="W98" t="str">
        <f t="shared" si="256"/>
        <v>54 Textiles, printing and other skilled trades</v>
      </c>
      <c r="X98" s="18">
        <f t="shared" si="220"/>
        <v>-2.6979246167569082</v>
      </c>
      <c r="Y98" s="18">
        <f t="shared" si="220"/>
        <v>-7.5534147308033761</v>
      </c>
      <c r="Z98" s="18">
        <f t="shared" si="220"/>
        <v>4.3176758846983798</v>
      </c>
      <c r="AA98" s="18">
        <f t="shared" si="220"/>
        <v>1.9417313978679074</v>
      </c>
      <c r="AB98" s="18">
        <f t="shared" si="221"/>
        <v>2.0528241557586258</v>
      </c>
      <c r="AD98" s="18">
        <f t="shared" si="222"/>
        <v>2.7276384708584178</v>
      </c>
      <c r="AE98" s="18">
        <f t="shared" si="223"/>
        <v>3.9830949086636869</v>
      </c>
      <c r="AF98" s="18">
        <f t="shared" si="224"/>
        <v>5.6909479489892112</v>
      </c>
      <c r="AH98" t="str">
        <f t="shared" si="257"/>
        <v>54 Textiles, printing and other skilled trades</v>
      </c>
      <c r="AI98" s="18">
        <f t="shared" si="225"/>
        <v>-3.5494690687589592</v>
      </c>
      <c r="AJ98" s="18">
        <f t="shared" si="225"/>
        <v>16.153977936321429</v>
      </c>
      <c r="AK98" s="18">
        <f t="shared" si="225"/>
        <v>2.4700517383240195</v>
      </c>
      <c r="AL98" s="18">
        <f t="shared" si="225"/>
        <v>3.0825424647899835</v>
      </c>
      <c r="AM98" s="18">
        <f t="shared" si="226"/>
        <v>3.6613546882601655</v>
      </c>
      <c r="AO98" s="18">
        <f t="shared" si="227"/>
        <v>2.8779731862052405</v>
      </c>
      <c r="AP98" s="18">
        <f t="shared" si="228"/>
        <v>3.9569994434346167</v>
      </c>
      <c r="AQ98" s="18">
        <f t="shared" si="229"/>
        <v>5.7717780750835113</v>
      </c>
      <c r="AS98" t="str">
        <f t="shared" si="258"/>
        <v>54 Textiles, printing and other skilled trades</v>
      </c>
      <c r="AT98" s="18">
        <f t="shared" si="230"/>
        <v>-5.4668861917325113</v>
      </c>
      <c r="AU98" s="18">
        <f t="shared" si="230"/>
        <v>1.7053081939789383</v>
      </c>
      <c r="AV98" s="18">
        <f t="shared" si="230"/>
        <v>2.4302333272111287</v>
      </c>
      <c r="AW98" s="18">
        <f t="shared" si="230"/>
        <v>0.41331154504806733</v>
      </c>
      <c r="AX98" s="18">
        <f t="shared" si="231"/>
        <v>1.120063374197855</v>
      </c>
      <c r="AZ98" s="18">
        <f t="shared" si="232"/>
        <v>1.0811670077711444</v>
      </c>
      <c r="BA98" s="18">
        <f t="shared" si="233"/>
        <v>3.4210625622854041</v>
      </c>
      <c r="BB98" s="18">
        <f t="shared" si="234"/>
        <v>4.1160616731501509</v>
      </c>
      <c r="BD98" t="str">
        <f t="shared" si="259"/>
        <v>54 Textiles, printing and other skilled trades</v>
      </c>
      <c r="BE98" s="18">
        <f t="shared" si="235"/>
        <v>-5.3657128600386406</v>
      </c>
      <c r="BF98" s="18">
        <f t="shared" si="235"/>
        <v>4.6562888003536029</v>
      </c>
      <c r="BG98" s="18">
        <f t="shared" si="235"/>
        <v>0.41959413601708739</v>
      </c>
      <c r="BH98" s="18">
        <f t="shared" si="235"/>
        <v>0.74277702357947728</v>
      </c>
      <c r="BI98" s="18">
        <f t="shared" si="236"/>
        <v>0.88167891395989351</v>
      </c>
      <c r="BK98" s="18">
        <f t="shared" si="237"/>
        <v>0.63493399187981581</v>
      </c>
      <c r="BL98" s="18">
        <f t="shared" si="238"/>
        <v>2.5361009632315357</v>
      </c>
      <c r="BM98" s="18">
        <f t="shared" si="239"/>
        <v>2.9893831501231594</v>
      </c>
      <c r="BO98" t="str">
        <f t="shared" si="260"/>
        <v>54 Textiles, printing and other skilled trades</v>
      </c>
      <c r="BP98" s="18">
        <f t="shared" si="240"/>
        <v>-5.2552741255024067</v>
      </c>
      <c r="BQ98" s="18">
        <f t="shared" si="240"/>
        <v>-2.0351225296153408</v>
      </c>
      <c r="BR98" s="18">
        <f t="shared" si="240"/>
        <v>-3.041276499349943</v>
      </c>
      <c r="BS98" s="18">
        <f t="shared" si="240"/>
        <v>-1.7904514837329244</v>
      </c>
      <c r="BT98" s="18">
        <f t="shared" si="241"/>
        <v>-2.1983066147433949</v>
      </c>
      <c r="BV98" s="18">
        <f t="shared" si="242"/>
        <v>-2.2091758839437592</v>
      </c>
      <c r="BW98" s="18">
        <f t="shared" si="243"/>
        <v>1.8750346238794569</v>
      </c>
      <c r="BX98" s="18">
        <f t="shared" si="244"/>
        <v>0.24004787161586716</v>
      </c>
      <c r="BZ98" t="str">
        <f t="shared" si="261"/>
        <v>54 Textiles, printing and other skilled trades</v>
      </c>
      <c r="CA98" s="18">
        <f t="shared" si="245"/>
        <v>-0.45723804463855267</v>
      </c>
      <c r="CB98" s="18">
        <f t="shared" si="245"/>
        <v>-21.387789083014475</v>
      </c>
      <c r="CC98" s="18">
        <f t="shared" si="245"/>
        <v>-0.5676361397447871</v>
      </c>
      <c r="CD98" s="18">
        <f t="shared" si="245"/>
        <v>-4.5684884093786788</v>
      </c>
      <c r="CE98" s="18">
        <f t="shared" si="246"/>
        <v>-4.5000973636182273</v>
      </c>
      <c r="CG98" s="18">
        <f t="shared" si="247"/>
        <v>-3.2530854608143311</v>
      </c>
      <c r="CH98" s="18">
        <f t="shared" si="248"/>
        <v>1.8316757448531451</v>
      </c>
      <c r="CI98" s="18">
        <f t="shared" si="249"/>
        <v>-0.54101157906539799</v>
      </c>
      <c r="CK98" t="str">
        <f t="shared" si="262"/>
        <v>54 Textiles, printing and other skilled trades</v>
      </c>
      <c r="CL98" s="18">
        <f t="shared" si="250"/>
        <v>-5.8764986187462291</v>
      </c>
      <c r="CM98" s="18">
        <f t="shared" si="250"/>
        <v>-19.709366667344351</v>
      </c>
      <c r="CN98" s="18">
        <f t="shared" si="250"/>
        <v>-3.6926015791549305</v>
      </c>
      <c r="CO98" s="18">
        <f t="shared" si="250"/>
        <v>-2.6583047247930813</v>
      </c>
      <c r="CP98" s="18">
        <f t="shared" si="251"/>
        <v>-4.1434018641951953</v>
      </c>
      <c r="CR98" s="18">
        <f t="shared" si="252"/>
        <v>-3.0042986962134921</v>
      </c>
      <c r="CS98" s="18">
        <f t="shared" si="253"/>
        <v>1.6211909309341355</v>
      </c>
      <c r="CT98" s="18">
        <f t="shared" si="254"/>
        <v>-0.65856174447423976</v>
      </c>
    </row>
    <row r="99" spans="1:98" x14ac:dyDescent="0.2">
      <c r="A99" t="str">
        <f t="shared" si="209"/>
        <v>61 Caring personal service occupations</v>
      </c>
      <c r="B99" s="18">
        <f t="shared" si="210"/>
        <v>4.3449445776262863</v>
      </c>
      <c r="C99" s="18">
        <f t="shared" si="210"/>
        <v>-19.868964745899596</v>
      </c>
      <c r="D99" s="18">
        <f t="shared" si="210"/>
        <v>4.5226549291956353</v>
      </c>
      <c r="E99" s="18">
        <f t="shared" si="210"/>
        <v>2.1559477754498513</v>
      </c>
      <c r="F99" s="18">
        <f t="shared" si="211"/>
        <v>1.3399284079611551</v>
      </c>
      <c r="H99" s="18">
        <f t="shared" si="212"/>
        <v>2.9388350602801649</v>
      </c>
      <c r="I99" s="18">
        <f t="shared" si="213"/>
        <v>4.0344253473574732</v>
      </c>
      <c r="J99" s="18">
        <f t="shared" si="214"/>
        <v>5.8736185840244426</v>
      </c>
      <c r="L99" t="str">
        <f t="shared" si="255"/>
        <v>61 Caring personal service occupations</v>
      </c>
      <c r="M99" s="18">
        <f t="shared" si="215"/>
        <v>6.9249781074569139</v>
      </c>
      <c r="N99" s="18">
        <f t="shared" si="215"/>
        <v>-19.260032442432419</v>
      </c>
      <c r="O99" s="18">
        <f t="shared" si="215"/>
        <v>4.0503817699994116</v>
      </c>
      <c r="P99" s="18">
        <f t="shared" si="215"/>
        <v>1.764314777894227</v>
      </c>
      <c r="Q99" s="18">
        <f t="shared" si="216"/>
        <v>1.0017457740461255</v>
      </c>
      <c r="S99" s="18">
        <f t="shared" si="217"/>
        <v>2.5207011659686085</v>
      </c>
      <c r="T99" s="18">
        <f t="shared" si="218"/>
        <v>4.0908381064880039</v>
      </c>
      <c r="U99" s="18">
        <f t="shared" si="219"/>
        <v>5.6401421610948965</v>
      </c>
      <c r="W99" t="str">
        <f t="shared" si="256"/>
        <v>61 Caring personal service occupations</v>
      </c>
      <c r="X99" s="18">
        <f t="shared" si="220"/>
        <v>1.4590618557214885</v>
      </c>
      <c r="Y99" s="18">
        <f t="shared" si="220"/>
        <v>3.1920675992338943</v>
      </c>
      <c r="Z99" s="18">
        <f t="shared" si="220"/>
        <v>3.3537628273457409</v>
      </c>
      <c r="AA99" s="18">
        <f t="shared" si="220"/>
        <v>2.3240676360998691</v>
      </c>
      <c r="AB99" s="18">
        <f t="shared" si="221"/>
        <v>2.6989453439237421</v>
      </c>
      <c r="AD99" s="18">
        <f t="shared" si="222"/>
        <v>2.6661544375445878</v>
      </c>
      <c r="AE99" s="18">
        <f t="shared" si="223"/>
        <v>4.1334803413333621</v>
      </c>
      <c r="AF99" s="18">
        <f t="shared" si="224"/>
        <v>5.7703469766468007</v>
      </c>
      <c r="AH99" t="str">
        <f t="shared" si="257"/>
        <v>61 Caring personal service occupations</v>
      </c>
      <c r="AI99" s="18">
        <f t="shared" si="225"/>
        <v>-2.58693767093503</v>
      </c>
      <c r="AJ99" s="18">
        <f t="shared" si="225"/>
        <v>9.1910548633113756</v>
      </c>
      <c r="AK99" s="18">
        <f t="shared" si="225"/>
        <v>0.5960233568615747</v>
      </c>
      <c r="AL99" s="18">
        <f t="shared" si="225"/>
        <v>0.82466078987524227</v>
      </c>
      <c r="AM99" s="18">
        <f t="shared" si="226"/>
        <v>1.2563868693374003</v>
      </c>
      <c r="AO99" s="18">
        <f t="shared" si="227"/>
        <v>0.74839063117393412</v>
      </c>
      <c r="AP99" s="18">
        <f t="shared" si="228"/>
        <v>3.2924049837018021</v>
      </c>
      <c r="AQ99" s="18">
        <f t="shared" si="229"/>
        <v>3.7773957151463255</v>
      </c>
      <c r="AS99" t="str">
        <f t="shared" si="258"/>
        <v>61 Caring personal service occupations</v>
      </c>
      <c r="AT99" s="18">
        <f t="shared" si="230"/>
        <v>-0.88384246925327092</v>
      </c>
      <c r="AU99" s="18">
        <f t="shared" si="230"/>
        <v>7.3527256711292122</v>
      </c>
      <c r="AV99" s="18">
        <f t="shared" si="230"/>
        <v>0.75649910371631268</v>
      </c>
      <c r="AW99" s="18">
        <f t="shared" si="230"/>
        <v>0.77136000745114952</v>
      </c>
      <c r="AX99" s="18">
        <f t="shared" si="231"/>
        <v>1.1659469863656735</v>
      </c>
      <c r="AZ99" s="18">
        <f t="shared" si="232"/>
        <v>0.76640612934628649</v>
      </c>
      <c r="BA99" s="18">
        <f t="shared" si="233"/>
        <v>3.4040731083302189</v>
      </c>
      <c r="BB99" s="18">
        <f t="shared" si="234"/>
        <v>3.8937675139548933</v>
      </c>
      <c r="BD99" t="str">
        <f t="shared" si="259"/>
        <v>61 Caring personal service occupations</v>
      </c>
      <c r="BE99" s="18">
        <f t="shared" si="235"/>
        <v>0.92217525789146659</v>
      </c>
      <c r="BF99" s="18">
        <f t="shared" si="235"/>
        <v>2.2419569822274221</v>
      </c>
      <c r="BG99" s="18">
        <f t="shared" si="235"/>
        <v>3.1220345733380395</v>
      </c>
      <c r="BH99" s="18">
        <f t="shared" si="235"/>
        <v>1.2191124119928176</v>
      </c>
      <c r="BI99" s="18">
        <f t="shared" si="236"/>
        <v>1.8739710546850308</v>
      </c>
      <c r="BK99" s="18">
        <f t="shared" si="237"/>
        <v>1.8494858036437245</v>
      </c>
      <c r="BL99" s="18">
        <f t="shared" si="238"/>
        <v>3.5908810907453903</v>
      </c>
      <c r="BM99" s="18">
        <f t="shared" si="239"/>
        <v>4.7779027990396461</v>
      </c>
      <c r="BO99" t="str">
        <f t="shared" si="260"/>
        <v>61 Caring personal service occupations</v>
      </c>
      <c r="BP99" s="18">
        <f t="shared" si="240"/>
        <v>-4.0354192919004772</v>
      </c>
      <c r="BQ99" s="18">
        <f t="shared" si="240"/>
        <v>1.3264568529907761</v>
      </c>
      <c r="BR99" s="18">
        <f t="shared" si="240"/>
        <v>-1.9480885814865845</v>
      </c>
      <c r="BS99" s="18">
        <f t="shared" si="240"/>
        <v>-3.2700104776486993</v>
      </c>
      <c r="BT99" s="18">
        <f t="shared" si="241"/>
        <v>-2.5765709442739038</v>
      </c>
      <c r="BV99" s="18">
        <f t="shared" si="242"/>
        <v>-2.8313620231650849</v>
      </c>
      <c r="BW99" s="18">
        <f t="shared" si="243"/>
        <v>2.2808814307130332</v>
      </c>
      <c r="BX99" s="18">
        <f t="shared" si="244"/>
        <v>0.3417872504495767</v>
      </c>
      <c r="BZ99" t="str">
        <f t="shared" si="261"/>
        <v>61 Caring personal service occupations</v>
      </c>
      <c r="CA99" s="18">
        <f t="shared" si="245"/>
        <v>-14.248393853119911</v>
      </c>
      <c r="CB99" s="18">
        <f t="shared" si="245"/>
        <v>-18.150771672864163</v>
      </c>
      <c r="CC99" s="18">
        <f t="shared" si="245"/>
        <v>-5.198639449086695</v>
      </c>
      <c r="CD99" s="18">
        <f t="shared" si="245"/>
        <v>-1.8558296629996862</v>
      </c>
      <c r="CE99" s="18">
        <f t="shared" si="246"/>
        <v>-4.0083885195124953</v>
      </c>
      <c r="CG99" s="18">
        <f t="shared" si="247"/>
        <v>-2.9829952995951148</v>
      </c>
      <c r="CH99" s="18">
        <f t="shared" si="248"/>
        <v>1.4883282630312245</v>
      </c>
      <c r="CI99" s="18">
        <f t="shared" si="249"/>
        <v>-0.82613477063719909</v>
      </c>
      <c r="CK99" t="str">
        <f t="shared" si="262"/>
        <v>61 Caring personal service occupations</v>
      </c>
      <c r="CL99" s="18">
        <f t="shared" si="250"/>
        <v>-1.4950457790092964</v>
      </c>
      <c r="CM99" s="18">
        <f t="shared" si="250"/>
        <v>-18.799876925111271</v>
      </c>
      <c r="CN99" s="18">
        <f t="shared" si="250"/>
        <v>2.2730857314161579</v>
      </c>
      <c r="CO99" s="18">
        <f t="shared" si="250"/>
        <v>-0.18612318775627079</v>
      </c>
      <c r="CP99" s="18">
        <f t="shared" si="251"/>
        <v>-0.71307844729810999</v>
      </c>
      <c r="CR99" s="18">
        <f t="shared" si="252"/>
        <v>0.62697157432252126</v>
      </c>
      <c r="CS99" s="18">
        <f t="shared" si="253"/>
        <v>1.9336267273669216</v>
      </c>
      <c r="CT99" s="18">
        <f t="shared" si="254"/>
        <v>2.4183015689718701</v>
      </c>
    </row>
    <row r="100" spans="1:98" x14ac:dyDescent="0.2">
      <c r="A100" t="str">
        <f t="shared" si="209"/>
        <v>62 Leisure, travel and related personal service occupations</v>
      </c>
      <c r="B100" s="18">
        <f t="shared" si="210"/>
        <v>-4.7760796321359988</v>
      </c>
      <c r="C100" s="18">
        <f t="shared" si="210"/>
        <v>29.41523992439885</v>
      </c>
      <c r="D100" s="18">
        <f t="shared" si="210"/>
        <v>4.7750286303446243</v>
      </c>
      <c r="E100" s="18">
        <f t="shared" si="210"/>
        <v>3.5084180535140508</v>
      </c>
      <c r="F100" s="18">
        <f t="shared" si="211"/>
        <v>5.3633188774376617</v>
      </c>
      <c r="H100" s="18">
        <f t="shared" si="212"/>
        <v>3.9289110535758676</v>
      </c>
      <c r="I100" s="18">
        <f t="shared" si="213"/>
        <v>4.138867389443357</v>
      </c>
      <c r="J100" s="18">
        <f t="shared" si="214"/>
        <v>6.6315853279607095</v>
      </c>
      <c r="L100" t="str">
        <f t="shared" si="255"/>
        <v>62 Leisure, travel and related personal service occupations</v>
      </c>
      <c r="M100" s="18">
        <f t="shared" si="215"/>
        <v>11.031103073276372</v>
      </c>
      <c r="N100" s="18">
        <f t="shared" si="215"/>
        <v>-25.942822002628297</v>
      </c>
      <c r="O100" s="18">
        <f t="shared" si="215"/>
        <v>3.3649639711058166</v>
      </c>
      <c r="P100" s="18">
        <f t="shared" si="215"/>
        <v>2.1035555523990279</v>
      </c>
      <c r="Q100" s="18">
        <f t="shared" si="216"/>
        <v>0.45930349890490607</v>
      </c>
      <c r="S100" s="18">
        <f t="shared" si="217"/>
        <v>2.5223052902685561</v>
      </c>
      <c r="T100" s="18">
        <f t="shared" si="218"/>
        <v>3.9341848170435512</v>
      </c>
      <c r="U100" s="18">
        <f t="shared" si="219"/>
        <v>5.5141003687970036</v>
      </c>
      <c r="W100" t="str">
        <f t="shared" si="256"/>
        <v>62 Leisure, travel and related personal service occupations</v>
      </c>
      <c r="X100" s="18">
        <f t="shared" si="220"/>
        <v>4.6293672642938377</v>
      </c>
      <c r="Y100" s="18">
        <f t="shared" si="220"/>
        <v>1.0728635003895537</v>
      </c>
      <c r="Z100" s="18">
        <f t="shared" si="220"/>
        <v>3.6783334500577469</v>
      </c>
      <c r="AA100" s="18">
        <f t="shared" si="220"/>
        <v>3.0633618147122288</v>
      </c>
      <c r="AB100" s="18">
        <f t="shared" si="221"/>
        <v>3.1293673007985356</v>
      </c>
      <c r="AD100" s="18">
        <f t="shared" si="222"/>
        <v>3.267945984795384</v>
      </c>
      <c r="AE100" s="18">
        <f t="shared" si="223"/>
        <v>4.1674615656450475</v>
      </c>
      <c r="AF100" s="18">
        <f t="shared" si="224"/>
        <v>6.1986443817582337</v>
      </c>
      <c r="AH100" t="str">
        <f t="shared" si="257"/>
        <v>62 Leisure, travel and related personal service occupations</v>
      </c>
      <c r="AI100" s="18">
        <f t="shared" si="225"/>
        <v>4.9729137301894433</v>
      </c>
      <c r="AJ100" s="18">
        <f t="shared" si="225"/>
        <v>5.4446147688088864</v>
      </c>
      <c r="AK100" s="18">
        <f t="shared" si="225"/>
        <v>2.6340270929862353</v>
      </c>
      <c r="AL100" s="18">
        <f t="shared" si="225"/>
        <v>3.6213742111373071</v>
      </c>
      <c r="AM100" s="18">
        <f t="shared" si="226"/>
        <v>3.424497752785105</v>
      </c>
      <c r="AO100" s="18">
        <f t="shared" si="227"/>
        <v>3.2912076195889206</v>
      </c>
      <c r="AP100" s="18">
        <f t="shared" si="228"/>
        <v>4.1204488091142411</v>
      </c>
      <c r="AQ100" s="18">
        <f t="shared" si="229"/>
        <v>6.1786016859877613</v>
      </c>
      <c r="AS100" t="str">
        <f t="shared" si="258"/>
        <v>62 Leisure, travel and related personal service occupations</v>
      </c>
      <c r="AT100" s="18">
        <f t="shared" si="230"/>
        <v>5.8717769863028568</v>
      </c>
      <c r="AU100" s="18">
        <f t="shared" si="230"/>
        <v>9.2417946842878749</v>
      </c>
      <c r="AV100" s="18">
        <f t="shared" si="230"/>
        <v>2.7182864023890696</v>
      </c>
      <c r="AW100" s="18">
        <f t="shared" si="230"/>
        <v>3.435338759112172</v>
      </c>
      <c r="AX100" s="18">
        <f t="shared" si="231"/>
        <v>3.5636424432658131</v>
      </c>
      <c r="AZ100" s="18">
        <f t="shared" si="232"/>
        <v>3.1957668504493553</v>
      </c>
      <c r="BA100" s="18">
        <f t="shared" si="233"/>
        <v>4.0282485923376576</v>
      </c>
      <c r="BB100" s="18">
        <f t="shared" si="234"/>
        <v>6.0432729095519999</v>
      </c>
      <c r="BD100" t="str">
        <f t="shared" si="259"/>
        <v>62 Leisure, travel and related personal service occupations</v>
      </c>
      <c r="BE100" s="18">
        <f t="shared" si="235"/>
        <v>2.0802860628679865</v>
      </c>
      <c r="BF100" s="18">
        <f t="shared" si="235"/>
        <v>-2.9509758338203573</v>
      </c>
      <c r="BG100" s="18">
        <f t="shared" si="235"/>
        <v>-0.18626187781163317</v>
      </c>
      <c r="BH100" s="18">
        <f t="shared" si="235"/>
        <v>0.55900847270859977</v>
      </c>
      <c r="BI100" s="18">
        <f t="shared" si="236"/>
        <v>0.10298719828401026</v>
      </c>
      <c r="BK100" s="18">
        <f t="shared" si="237"/>
        <v>0.30996877169520154</v>
      </c>
      <c r="BL100" s="18">
        <f t="shared" si="238"/>
        <v>2.6234616728284532</v>
      </c>
      <c r="BM100" s="18">
        <f t="shared" si="239"/>
        <v>2.8406650423271174</v>
      </c>
      <c r="BO100" t="str">
        <f t="shared" si="260"/>
        <v>62 Leisure, travel and related personal service occupations</v>
      </c>
      <c r="BP100" s="18">
        <f t="shared" si="240"/>
        <v>0.35322730297335792</v>
      </c>
      <c r="BQ100" s="18">
        <f t="shared" si="240"/>
        <v>-7.6016412980743802</v>
      </c>
      <c r="BR100" s="18">
        <f t="shared" si="240"/>
        <v>-3.1041809555971467</v>
      </c>
      <c r="BS100" s="18">
        <f t="shared" si="240"/>
        <v>-2.38279019528439</v>
      </c>
      <c r="BT100" s="18">
        <f t="shared" si="241"/>
        <v>-2.942671269501651</v>
      </c>
      <c r="BV100" s="18">
        <f t="shared" si="242"/>
        <v>-2.6238485676155054</v>
      </c>
      <c r="BW100" s="18">
        <f t="shared" si="243"/>
        <v>2.1227618668554937</v>
      </c>
      <c r="BX100" s="18">
        <f t="shared" si="244"/>
        <v>0.27128218630645407</v>
      </c>
      <c r="BZ100" t="str">
        <f t="shared" si="261"/>
        <v>62 Leisure, travel and related personal service occupations</v>
      </c>
      <c r="CA100" s="18">
        <f t="shared" si="245"/>
        <v>1.0455783677970842</v>
      </c>
      <c r="CB100" s="18">
        <f t="shared" si="245"/>
        <v>-15.022007470738597</v>
      </c>
      <c r="CC100" s="18">
        <f t="shared" si="245"/>
        <v>-1.306334093434236</v>
      </c>
      <c r="CD100" s="18">
        <f t="shared" si="245"/>
        <v>-4.3327710551139598</v>
      </c>
      <c r="CE100" s="18">
        <f t="shared" si="246"/>
        <v>-4.1098382801420748</v>
      </c>
      <c r="CG100" s="18">
        <f t="shared" si="247"/>
        <v>-3.3344135668375907</v>
      </c>
      <c r="CH100" s="18">
        <f t="shared" si="248"/>
        <v>1.9806466157532787</v>
      </c>
      <c r="CI100" s="18">
        <f t="shared" si="249"/>
        <v>-0.38820607712500843</v>
      </c>
      <c r="CK100" t="str">
        <f t="shared" si="262"/>
        <v>62 Leisure, travel and related personal service occupations</v>
      </c>
      <c r="CL100" s="18">
        <f t="shared" si="250"/>
        <v>-6.1389535361928926</v>
      </c>
      <c r="CM100" s="18">
        <f t="shared" si="250"/>
        <v>-27.614265714368113</v>
      </c>
      <c r="CN100" s="18">
        <f t="shared" si="250"/>
        <v>-3.4415533870681192</v>
      </c>
      <c r="CO100" s="18">
        <f t="shared" si="250"/>
        <v>-2.6861963820915324</v>
      </c>
      <c r="CP100" s="18">
        <f t="shared" si="251"/>
        <v>-4.7018870811787679</v>
      </c>
      <c r="CR100" s="18">
        <f t="shared" si="252"/>
        <v>-2.9386363340185739</v>
      </c>
      <c r="CS100" s="18">
        <f t="shared" si="253"/>
        <v>1.5805902595207755</v>
      </c>
      <c r="CT100" s="18">
        <f t="shared" si="254"/>
        <v>-0.66697661389687468</v>
      </c>
    </row>
    <row r="101" spans="1:98" x14ac:dyDescent="0.2">
      <c r="A101" t="str">
        <f t="shared" si="209"/>
        <v>63 Community and civil enforcement occupations</v>
      </c>
      <c r="B101" s="18">
        <f t="shared" si="210"/>
        <v>11.524549529272399</v>
      </c>
      <c r="C101" s="18">
        <f t="shared" si="210"/>
        <v>-18.700028290706573</v>
      </c>
      <c r="D101" s="18">
        <f t="shared" si="210"/>
        <v>4.9343173519063699</v>
      </c>
      <c r="E101" s="18">
        <f t="shared" si="210"/>
        <v>3.2163654711926837</v>
      </c>
      <c r="F101" s="18">
        <f t="shared" si="211"/>
        <v>2.2139643958172472</v>
      </c>
      <c r="H101" s="18">
        <f t="shared" si="212"/>
        <v>3.7858680537015799</v>
      </c>
      <c r="I101" s="18">
        <f t="shared" si="213"/>
        <v>4.1489966534733247</v>
      </c>
      <c r="J101" s="18">
        <f t="shared" si="214"/>
        <v>6.5394087418133351</v>
      </c>
      <c r="L101" t="str">
        <f t="shared" si="255"/>
        <v>63 Community and civil enforcement occupations</v>
      </c>
      <c r="M101" s="18">
        <f t="shared" si="215"/>
        <v>6.8001496273550455</v>
      </c>
      <c r="N101" s="18">
        <f t="shared" si="215"/>
        <v>2.5099521637232947</v>
      </c>
      <c r="O101" s="18">
        <f t="shared" si="215"/>
        <v>0.47444446764592918</v>
      </c>
      <c r="P101" s="18">
        <f t="shared" si="215"/>
        <v>4.2440871220045695</v>
      </c>
      <c r="Q101" s="18">
        <f t="shared" si="216"/>
        <v>2.9431374339013772</v>
      </c>
      <c r="S101" s="18">
        <f t="shared" si="217"/>
        <v>2.9720814527019357</v>
      </c>
      <c r="T101" s="18">
        <f t="shared" si="218"/>
        <v>3.5612715213835466</v>
      </c>
      <c r="U101" s="18">
        <f t="shared" si="219"/>
        <v>5.529732528045872</v>
      </c>
      <c r="W101" t="str">
        <f t="shared" si="256"/>
        <v>63 Community and civil enforcement occupations</v>
      </c>
      <c r="X101" s="18">
        <f t="shared" si="220"/>
        <v>1.668097861680029</v>
      </c>
      <c r="Y101" s="18">
        <f t="shared" si="220"/>
        <v>3.2790953678287771</v>
      </c>
      <c r="Z101" s="18">
        <f t="shared" si="220"/>
        <v>3.7129975506584811</v>
      </c>
      <c r="AA101" s="18">
        <f t="shared" si="220"/>
        <v>2.4113194429423501</v>
      </c>
      <c r="AB101" s="18">
        <f t="shared" si="221"/>
        <v>2.8705645740217278</v>
      </c>
      <c r="AD101" s="18">
        <f t="shared" si="222"/>
        <v>2.8433867158360604</v>
      </c>
      <c r="AE101" s="18">
        <f t="shared" si="223"/>
        <v>4.2919236769993541</v>
      </c>
      <c r="AF101" s="18">
        <f t="shared" si="224"/>
        <v>6.0133472027652957</v>
      </c>
      <c r="AH101" t="str">
        <f t="shared" si="257"/>
        <v>63 Community and civil enforcement occupations</v>
      </c>
      <c r="AI101" s="18">
        <f t="shared" si="225"/>
        <v>-1.1731467074637347</v>
      </c>
      <c r="AJ101" s="18">
        <f t="shared" si="225"/>
        <v>19.723787139252714</v>
      </c>
      <c r="AK101" s="18">
        <f t="shared" si="225"/>
        <v>0.27649676048981942</v>
      </c>
      <c r="AL101" s="18">
        <f t="shared" si="225"/>
        <v>2.0094999859255669</v>
      </c>
      <c r="AM101" s="18">
        <f t="shared" si="226"/>
        <v>2.4852582909741017</v>
      </c>
      <c r="AO101" s="18">
        <f t="shared" si="227"/>
        <v>1.4285297512362405</v>
      </c>
      <c r="AP101" s="18">
        <f t="shared" si="228"/>
        <v>3.4485239901956843</v>
      </c>
      <c r="AQ101" s="18">
        <f t="shared" si="229"/>
        <v>4.3718431511143407</v>
      </c>
      <c r="AS101" t="str">
        <f t="shared" si="258"/>
        <v>63 Community and civil enforcement occupations</v>
      </c>
      <c r="AT101" s="18">
        <f t="shared" si="230"/>
        <v>-2.4813137298299703</v>
      </c>
      <c r="AU101" s="18">
        <f t="shared" si="230"/>
        <v>11.076305337543445</v>
      </c>
      <c r="AV101" s="18">
        <f t="shared" si="230"/>
        <v>-1.5365816859412296</v>
      </c>
      <c r="AW101" s="18">
        <f t="shared" si="230"/>
        <v>0.81466002141388216</v>
      </c>
      <c r="AX101" s="18">
        <f t="shared" si="231"/>
        <v>0.68205107242986784</v>
      </c>
      <c r="AZ101" s="18">
        <f t="shared" si="232"/>
        <v>2.473963051714545E-2</v>
      </c>
      <c r="BA101" s="18">
        <f t="shared" si="233"/>
        <v>3.2690736076712135</v>
      </c>
      <c r="BB101" s="18">
        <f t="shared" si="234"/>
        <v>3.2848532423457311</v>
      </c>
      <c r="BD101" t="str">
        <f t="shared" si="259"/>
        <v>63 Community and civil enforcement occupations</v>
      </c>
      <c r="BE101" s="18">
        <f t="shared" si="235"/>
        <v>-9.7148365045312879</v>
      </c>
      <c r="BF101" s="18">
        <f t="shared" si="235"/>
        <v>74.171336671818679</v>
      </c>
      <c r="BG101" s="18">
        <f t="shared" si="235"/>
        <v>-10.730315473242779</v>
      </c>
      <c r="BH101" s="18">
        <f t="shared" si="235"/>
        <v>0.28372223914525652</v>
      </c>
      <c r="BI101" s="18">
        <f t="shared" si="236"/>
        <v>9.7924160379636582E-2</v>
      </c>
      <c r="BK101" s="18">
        <f t="shared" si="237"/>
        <v>-3.5308844381369497</v>
      </c>
      <c r="BL101" s="18">
        <f t="shared" si="238"/>
        <v>1.3818411807388076</v>
      </c>
      <c r="BM101" s="18">
        <f t="shared" si="239"/>
        <v>-1.3804980091920771</v>
      </c>
      <c r="BO101" t="str">
        <f t="shared" si="260"/>
        <v>63 Community and civil enforcement occupations</v>
      </c>
      <c r="BP101" s="18">
        <f t="shared" si="240"/>
        <v>-3.9344769181759109</v>
      </c>
      <c r="BQ101" s="18">
        <f t="shared" si="240"/>
        <v>30.300075437874852</v>
      </c>
      <c r="BR101" s="18">
        <f t="shared" si="240"/>
        <v>-5.042698998618345</v>
      </c>
      <c r="BS101" s="18">
        <f t="shared" si="240"/>
        <v>0.59108578045778959</v>
      </c>
      <c r="BT101" s="18">
        <f t="shared" si="241"/>
        <v>0.40638699935258149</v>
      </c>
      <c r="BV101" s="18">
        <f t="shared" si="242"/>
        <v>-1.3230347301149914</v>
      </c>
      <c r="BW101" s="18">
        <f t="shared" si="243"/>
        <v>1.9430199274013793</v>
      </c>
      <c r="BX101" s="18">
        <f t="shared" si="244"/>
        <v>0.95681885729408389</v>
      </c>
      <c r="BZ101" t="str">
        <f t="shared" si="261"/>
        <v>63 Community and civil enforcement occupations</v>
      </c>
      <c r="CA101" s="18">
        <f t="shared" si="245"/>
        <v>3.4523702219316554</v>
      </c>
      <c r="CB101" s="18">
        <f t="shared" si="245"/>
        <v>-1.8499009362595853</v>
      </c>
      <c r="CC101" s="18">
        <f t="shared" si="245"/>
        <v>-1.912384568755876</v>
      </c>
      <c r="CD101" s="18">
        <f t="shared" si="245"/>
        <v>-2.8105726650892837</v>
      </c>
      <c r="CE101" s="18">
        <f t="shared" si="246"/>
        <v>-2.4708383496129693</v>
      </c>
      <c r="CG101" s="18">
        <f t="shared" si="247"/>
        <v>-2.5120942284448389</v>
      </c>
      <c r="CH101" s="18">
        <f t="shared" si="248"/>
        <v>1.9524817602853517</v>
      </c>
      <c r="CI101" s="18">
        <f t="shared" si="249"/>
        <v>0.12714949641470241</v>
      </c>
      <c r="CK101" t="str">
        <f t="shared" si="262"/>
        <v>63 Community and civil enforcement occupations</v>
      </c>
      <c r="CL101" s="18">
        <f t="shared" si="250"/>
        <v>-10.033842283050266</v>
      </c>
      <c r="CM101" s="18">
        <f t="shared" si="250"/>
        <v>24.247111745987972</v>
      </c>
      <c r="CN101" s="18">
        <f t="shared" si="250"/>
        <v>-12.687096776123653</v>
      </c>
      <c r="CO101" s="18">
        <f t="shared" si="250"/>
        <v>-4.1219412048515309</v>
      </c>
      <c r="CP101" s="18">
        <f t="shared" si="251"/>
        <v>-5.3644254282363413</v>
      </c>
      <c r="CR101" s="18">
        <f t="shared" si="252"/>
        <v>-7.0664990500992513</v>
      </c>
      <c r="CS101" s="18">
        <f t="shared" si="253"/>
        <v>0.86880666718003319</v>
      </c>
      <c r="CT101" s="18">
        <f t="shared" si="254"/>
        <v>-4.8865426181381562</v>
      </c>
    </row>
    <row r="102" spans="1:98" x14ac:dyDescent="0.2">
      <c r="A102" t="str">
        <f t="shared" si="209"/>
        <v>71 Sales occupations</v>
      </c>
      <c r="B102" s="18">
        <f t="shared" si="210"/>
        <v>3.9947547972266184</v>
      </c>
      <c r="C102" s="18">
        <f t="shared" si="210"/>
        <v>-31.959114009456911</v>
      </c>
      <c r="D102" s="18">
        <f t="shared" si="210"/>
        <v>2.6319620980425285</v>
      </c>
      <c r="E102" s="18">
        <f t="shared" si="210"/>
        <v>2.0921382508576558</v>
      </c>
      <c r="F102" s="18">
        <f t="shared" si="211"/>
        <v>-0.3002355219410946</v>
      </c>
      <c r="H102" s="18">
        <f t="shared" si="212"/>
        <v>2.2717633082750321</v>
      </c>
      <c r="I102" s="18">
        <f t="shared" si="213"/>
        <v>3.3735823707224721</v>
      </c>
      <c r="J102" s="18">
        <f t="shared" si="214"/>
        <v>4.8868846122683163</v>
      </c>
      <c r="L102" t="str">
        <f t="shared" si="255"/>
        <v>71 Sales occupations</v>
      </c>
      <c r="M102" s="18">
        <f t="shared" si="215"/>
        <v>5.9203008736864682</v>
      </c>
      <c r="N102" s="18">
        <f t="shared" si="215"/>
        <v>-18.361935750587321</v>
      </c>
      <c r="O102" s="18">
        <f t="shared" si="215"/>
        <v>3.3636274168751257</v>
      </c>
      <c r="P102" s="18">
        <f t="shared" si="215"/>
        <v>3.1272321201316844</v>
      </c>
      <c r="Q102" s="18">
        <f t="shared" si="216"/>
        <v>1.7048266832415448</v>
      </c>
      <c r="S102" s="18">
        <f t="shared" si="217"/>
        <v>3.2059704198852623</v>
      </c>
      <c r="T102" s="18">
        <f t="shared" si="218"/>
        <v>3.7414839722219595</v>
      </c>
      <c r="U102" s="18">
        <f t="shared" si="219"/>
        <v>5.8322951836647485</v>
      </c>
      <c r="W102" t="str">
        <f t="shared" si="256"/>
        <v>71 Sales occupations</v>
      </c>
      <c r="X102" s="18">
        <f t="shared" si="220"/>
        <v>-1.0908224571192005</v>
      </c>
      <c r="Y102" s="18">
        <f t="shared" si="220"/>
        <v>8.8269879548126937</v>
      </c>
      <c r="Z102" s="18">
        <f t="shared" si="220"/>
        <v>2.0662217498182756</v>
      </c>
      <c r="AA102" s="18">
        <f t="shared" si="220"/>
        <v>3.1253636051441935</v>
      </c>
      <c r="AB102" s="18">
        <f t="shared" si="221"/>
        <v>3.139520524174233</v>
      </c>
      <c r="AD102" s="18">
        <f t="shared" si="222"/>
        <v>2.7711007269806132</v>
      </c>
      <c r="AE102" s="18">
        <f t="shared" si="223"/>
        <v>3.780786872785824</v>
      </c>
      <c r="AF102" s="18">
        <f t="shared" si="224"/>
        <v>5.5602211836530691</v>
      </c>
      <c r="AH102" t="str">
        <f t="shared" si="257"/>
        <v>71 Sales occupations</v>
      </c>
      <c r="AI102" s="18">
        <f t="shared" si="225"/>
        <v>-1.3869673986239284</v>
      </c>
      <c r="AJ102" s="18">
        <f t="shared" si="225"/>
        <v>12.755395796847768</v>
      </c>
      <c r="AK102" s="18">
        <f t="shared" si="225"/>
        <v>1.2597156156097356</v>
      </c>
      <c r="AL102" s="18">
        <f t="shared" si="225"/>
        <v>3.2833021719999689</v>
      </c>
      <c r="AM102" s="18">
        <f t="shared" si="226"/>
        <v>3.2110924385596817</v>
      </c>
      <c r="AO102" s="18">
        <f t="shared" si="227"/>
        <v>2.6043194803285985</v>
      </c>
      <c r="AP102" s="18">
        <f t="shared" si="228"/>
        <v>3.7116324834789216</v>
      </c>
      <c r="AQ102" s="18">
        <f t="shared" si="229"/>
        <v>5.3907286739130589</v>
      </c>
      <c r="AS102" t="str">
        <f t="shared" si="258"/>
        <v>71 Sales occupations</v>
      </c>
      <c r="AT102" s="18">
        <f t="shared" si="230"/>
        <v>-3.3329976483196133</v>
      </c>
      <c r="AU102" s="18">
        <f t="shared" si="230"/>
        <v>7.0534065489222586</v>
      </c>
      <c r="AV102" s="18">
        <f t="shared" si="230"/>
        <v>0.17484194754533444</v>
      </c>
      <c r="AW102" s="18">
        <f t="shared" si="230"/>
        <v>2.3411478286133214</v>
      </c>
      <c r="AX102" s="18">
        <f t="shared" si="231"/>
        <v>1.9456128642539428</v>
      </c>
      <c r="AZ102" s="18">
        <f t="shared" si="232"/>
        <v>1.6138900630442654</v>
      </c>
      <c r="BA102" s="18">
        <f t="shared" si="233"/>
        <v>3.0878293076623597</v>
      </c>
      <c r="BB102" s="18">
        <f t="shared" si="234"/>
        <v>4.1844539495061062</v>
      </c>
      <c r="BD102" t="str">
        <f t="shared" si="259"/>
        <v>71 Sales occupations</v>
      </c>
      <c r="BE102" s="18">
        <f t="shared" si="235"/>
        <v>-1.7744238969929382</v>
      </c>
      <c r="BF102" s="18">
        <f t="shared" si="235"/>
        <v>12.572975217791459</v>
      </c>
      <c r="BG102" s="18">
        <f t="shared" si="235"/>
        <v>-0.19977430124543671</v>
      </c>
      <c r="BH102" s="18">
        <f t="shared" si="235"/>
        <v>1.4098913764853949</v>
      </c>
      <c r="BI102" s="18">
        <f t="shared" si="236"/>
        <v>1.5648504919844042</v>
      </c>
      <c r="BK102" s="18">
        <f t="shared" si="237"/>
        <v>0.87047195863674265</v>
      </c>
      <c r="BL102" s="18">
        <f t="shared" si="238"/>
        <v>2.9068400109451664</v>
      </c>
      <c r="BM102" s="18">
        <f t="shared" si="239"/>
        <v>3.5018528031415919</v>
      </c>
      <c r="BO102" t="str">
        <f t="shared" si="260"/>
        <v>71 Sales occupations</v>
      </c>
      <c r="BP102" s="18">
        <f t="shared" si="240"/>
        <v>-3.8867653924730683</v>
      </c>
      <c r="BQ102" s="18">
        <f t="shared" si="240"/>
        <v>3.5486984578063208</v>
      </c>
      <c r="BR102" s="18">
        <f t="shared" si="240"/>
        <v>-2.9489535051197557</v>
      </c>
      <c r="BS102" s="18">
        <f t="shared" si="240"/>
        <v>-2.8128572857043066</v>
      </c>
      <c r="BT102" s="18">
        <f t="shared" si="241"/>
        <v>-2.4696868368549896</v>
      </c>
      <c r="BV102" s="18">
        <f t="shared" si="242"/>
        <v>-2.8582438845131786</v>
      </c>
      <c r="BW102" s="18">
        <f t="shared" si="243"/>
        <v>2.2039338248517781</v>
      </c>
      <c r="BX102" s="18">
        <f t="shared" si="244"/>
        <v>0.2236429806857787</v>
      </c>
      <c r="BZ102" t="str">
        <f t="shared" si="261"/>
        <v>71 Sales occupations</v>
      </c>
      <c r="CA102" s="18">
        <f t="shared" si="245"/>
        <v>-3.3407788383589376</v>
      </c>
      <c r="CB102" s="18">
        <f t="shared" si="245"/>
        <v>-10.33298736342344</v>
      </c>
      <c r="CC102" s="18">
        <f t="shared" si="245"/>
        <v>-3.2388267259920389</v>
      </c>
      <c r="CD102" s="18">
        <f t="shared" si="245"/>
        <v>-7.8348095423807944</v>
      </c>
      <c r="CE102" s="18">
        <f t="shared" si="246"/>
        <v>-6.583095193604116</v>
      </c>
      <c r="CG102" s="18">
        <f t="shared" si="247"/>
        <v>-6.3275976310124609</v>
      </c>
      <c r="CH102" s="18">
        <f t="shared" si="248"/>
        <v>1.6341264912987485</v>
      </c>
      <c r="CI102" s="18">
        <f t="shared" si="249"/>
        <v>-2.8273698728655594</v>
      </c>
      <c r="CK102" t="str">
        <f t="shared" si="262"/>
        <v>71 Sales occupations</v>
      </c>
      <c r="CL102" s="18">
        <f t="shared" si="250"/>
        <v>-7.8761805847998971</v>
      </c>
      <c r="CM102" s="18">
        <f t="shared" si="250"/>
        <v>-32.429772270582149</v>
      </c>
      <c r="CN102" s="18">
        <f t="shared" si="250"/>
        <v>-4.9178316105718327</v>
      </c>
      <c r="CO102" s="18">
        <f t="shared" si="250"/>
        <v>-6.732817268399427</v>
      </c>
      <c r="CP102" s="18">
        <f t="shared" si="251"/>
        <v>-8.0405829206323549</v>
      </c>
      <c r="CR102" s="18">
        <f t="shared" si="252"/>
        <v>-6.1317045802748655</v>
      </c>
      <c r="CS102" s="18">
        <f t="shared" si="253"/>
        <v>1.3016403691807676</v>
      </c>
      <c r="CT102" s="18">
        <f t="shared" si="254"/>
        <v>-3.3358876457465048</v>
      </c>
    </row>
    <row r="103" spans="1:98" x14ac:dyDescent="0.2">
      <c r="A103" t="str">
        <f t="shared" si="209"/>
        <v>72 Customer service occupations</v>
      </c>
      <c r="B103" s="18">
        <f t="shared" si="210"/>
        <v>7.2649620479716903</v>
      </c>
      <c r="C103" s="18">
        <f t="shared" si="210"/>
        <v>-10.28787006805565</v>
      </c>
      <c r="D103" s="18">
        <f t="shared" si="210"/>
        <v>9.2866996210071875</v>
      </c>
      <c r="E103" s="18">
        <f t="shared" si="210"/>
        <v>3.4697451003643742</v>
      </c>
      <c r="F103" s="18">
        <f t="shared" si="211"/>
        <v>4.3191031271021529</v>
      </c>
      <c r="H103" s="18">
        <f t="shared" si="212"/>
        <v>5.3734880941102903</v>
      </c>
      <c r="I103" s="18">
        <f t="shared" si="213"/>
        <v>4.11296553822178</v>
      </c>
      <c r="J103" s="18">
        <f t="shared" si="214"/>
        <v>7.654155426139897</v>
      </c>
      <c r="L103" t="str">
        <f t="shared" si="255"/>
        <v>72 Customer service occupations</v>
      </c>
      <c r="M103" s="18">
        <f t="shared" si="215"/>
        <v>8.8397940505053452</v>
      </c>
      <c r="N103" s="18">
        <f t="shared" si="215"/>
        <v>-22.161712006051037</v>
      </c>
      <c r="O103" s="18">
        <f t="shared" si="215"/>
        <v>9.1037195068805588</v>
      </c>
      <c r="P103" s="18">
        <f t="shared" si="215"/>
        <v>3.403208079984732</v>
      </c>
      <c r="Q103" s="18">
        <f t="shared" si="216"/>
        <v>3.3018737841810086</v>
      </c>
      <c r="S103" s="18">
        <f t="shared" si="217"/>
        <v>5.2694920780429477</v>
      </c>
      <c r="T103" s="18">
        <f t="shared" si="218"/>
        <v>4.5336782295882117</v>
      </c>
      <c r="U103" s="18">
        <f t="shared" si="219"/>
        <v>7.8461961818074188</v>
      </c>
      <c r="W103" t="str">
        <f t="shared" si="256"/>
        <v>72 Customer service occupations</v>
      </c>
      <c r="X103" s="18">
        <f t="shared" si="220"/>
        <v>0.36975527685776388</v>
      </c>
      <c r="Y103" s="18">
        <f t="shared" si="220"/>
        <v>12.164059216103906</v>
      </c>
      <c r="Z103" s="18">
        <f t="shared" si="220"/>
        <v>6.9573057288446538</v>
      </c>
      <c r="AA103" s="18">
        <f t="shared" si="220"/>
        <v>3.2335222225125193</v>
      </c>
      <c r="AB103" s="18">
        <f t="shared" si="221"/>
        <v>4.9257519319183318</v>
      </c>
      <c r="AD103" s="18">
        <f t="shared" si="222"/>
        <v>4.4601507710858135</v>
      </c>
      <c r="AE103" s="18">
        <f t="shared" si="223"/>
        <v>4.0946861218536634</v>
      </c>
      <c r="AF103" s="18">
        <f t="shared" si="224"/>
        <v>6.9764525885772866</v>
      </c>
      <c r="AH103" t="str">
        <f t="shared" si="257"/>
        <v>72 Customer service occupations</v>
      </c>
      <c r="AI103" s="18">
        <f t="shared" si="225"/>
        <v>1.9357007276171512</v>
      </c>
      <c r="AJ103" s="18">
        <f t="shared" si="225"/>
        <v>14.692368631532759</v>
      </c>
      <c r="AK103" s="18">
        <f t="shared" si="225"/>
        <v>7.0538928138828672</v>
      </c>
      <c r="AL103" s="18">
        <f t="shared" si="225"/>
        <v>3.3298513545832575</v>
      </c>
      <c r="AM103" s="18">
        <f t="shared" si="226"/>
        <v>5.1629609640537311</v>
      </c>
      <c r="AO103" s="18">
        <f t="shared" si="227"/>
        <v>4.5565772572937036</v>
      </c>
      <c r="AP103" s="18">
        <f t="shared" si="228"/>
        <v>4.1892494622865817</v>
      </c>
      <c r="AQ103" s="18">
        <f t="shared" si="229"/>
        <v>7.1097614902520423</v>
      </c>
      <c r="AS103" t="str">
        <f t="shared" si="258"/>
        <v>72 Customer service occupations</v>
      </c>
      <c r="AT103" s="18">
        <f t="shared" si="230"/>
        <v>-0.68276700815036451</v>
      </c>
      <c r="AU103" s="18">
        <f t="shared" si="230"/>
        <v>10.262467767899874</v>
      </c>
      <c r="AV103" s="18">
        <f t="shared" si="230"/>
        <v>6.1019588611385789</v>
      </c>
      <c r="AW103" s="18">
        <f t="shared" si="230"/>
        <v>2.1399910822874402</v>
      </c>
      <c r="AX103" s="18">
        <f t="shared" si="231"/>
        <v>3.8574558375459977</v>
      </c>
      <c r="AZ103" s="18">
        <f t="shared" si="232"/>
        <v>3.4439298390334772</v>
      </c>
      <c r="BA103" s="18">
        <f t="shared" si="233"/>
        <v>3.6238765503007864</v>
      </c>
      <c r="BB103" s="18">
        <f t="shared" si="234"/>
        <v>5.913727283794934</v>
      </c>
      <c r="BD103" t="str">
        <f t="shared" si="259"/>
        <v>72 Customer service occupations</v>
      </c>
      <c r="BE103" s="18">
        <f t="shared" si="235"/>
        <v>0.35685631006106</v>
      </c>
      <c r="BF103" s="18">
        <f t="shared" si="235"/>
        <v>14.558544597953915</v>
      </c>
      <c r="BG103" s="18">
        <f t="shared" si="235"/>
        <v>4.2006922256626389</v>
      </c>
      <c r="BH103" s="18">
        <f t="shared" si="235"/>
        <v>1.6880019766952969</v>
      </c>
      <c r="BI103" s="18">
        <f t="shared" si="236"/>
        <v>3.2327158893725949</v>
      </c>
      <c r="BK103" s="18">
        <f t="shared" si="237"/>
        <v>2.5187598884169438</v>
      </c>
      <c r="BL103" s="18">
        <f t="shared" si="238"/>
        <v>3.0672627078015324</v>
      </c>
      <c r="BM103" s="18">
        <f t="shared" si="239"/>
        <v>4.8181755269735005</v>
      </c>
      <c r="BO103" t="str">
        <f t="shared" si="260"/>
        <v>72 Customer service occupations</v>
      </c>
      <c r="BP103" s="18">
        <f t="shared" si="240"/>
        <v>4.1169188524592393E-2</v>
      </c>
      <c r="BQ103" s="18">
        <f t="shared" si="240"/>
        <v>5.179596716837831</v>
      </c>
      <c r="BR103" s="18">
        <f t="shared" si="240"/>
        <v>3.7835211426763715</v>
      </c>
      <c r="BS103" s="18">
        <f t="shared" si="240"/>
        <v>-2.8310151726007593E-2</v>
      </c>
      <c r="BT103" s="18">
        <f t="shared" si="241"/>
        <v>1.469142433523829</v>
      </c>
      <c r="BV103" s="18">
        <f t="shared" si="242"/>
        <v>1.2264848231631875</v>
      </c>
      <c r="BW103" s="18">
        <f t="shared" si="243"/>
        <v>2.8650269213738033</v>
      </c>
      <c r="BX103" s="18">
        <f t="shared" si="244"/>
        <v>3.7147756180049951</v>
      </c>
      <c r="BZ103" t="str">
        <f t="shared" si="261"/>
        <v>72 Customer service occupations</v>
      </c>
      <c r="CA103" s="18">
        <f t="shared" si="245"/>
        <v>9.0533642900747502E-2</v>
      </c>
      <c r="CB103" s="18">
        <f t="shared" si="245"/>
        <v>-10.416625497601927</v>
      </c>
      <c r="CC103" s="18">
        <f t="shared" si="245"/>
        <v>3.0548498794029433</v>
      </c>
      <c r="CD103" s="18">
        <f t="shared" si="245"/>
        <v>-0.53653706410642377</v>
      </c>
      <c r="CE103" s="18">
        <f t="shared" si="246"/>
        <v>-8.3356969941794645E-2</v>
      </c>
      <c r="CG103" s="18">
        <f t="shared" si="247"/>
        <v>0.64646568495312362</v>
      </c>
      <c r="CH103" s="18">
        <f t="shared" si="248"/>
        <v>2.1454550624635749</v>
      </c>
      <c r="CI103" s="18">
        <f t="shared" si="249"/>
        <v>2.6315407648976663</v>
      </c>
      <c r="CK103" t="str">
        <f t="shared" si="262"/>
        <v>72 Customer service occupations</v>
      </c>
      <c r="CL103" s="18">
        <f t="shared" si="250"/>
        <v>2.4167817145072545</v>
      </c>
      <c r="CM103" s="18">
        <f t="shared" si="250"/>
        <v>-23.046896721340048</v>
      </c>
      <c r="CN103" s="18">
        <f t="shared" si="250"/>
        <v>7.7416763172490244</v>
      </c>
      <c r="CO103" s="18">
        <f t="shared" si="250"/>
        <v>1.2008809512954022</v>
      </c>
      <c r="CP103" s="18">
        <f t="shared" si="251"/>
        <v>1.4493413794055554</v>
      </c>
      <c r="CR103" s="18">
        <f t="shared" si="252"/>
        <v>3.335791777841246</v>
      </c>
      <c r="CS103" s="18">
        <f t="shared" si="253"/>
        <v>3.1042155238632629</v>
      </c>
      <c r="CT103" s="18">
        <f t="shared" si="254"/>
        <v>5.4532998828664914</v>
      </c>
    </row>
    <row r="104" spans="1:98" x14ac:dyDescent="0.2">
      <c r="A104" t="str">
        <f t="shared" si="209"/>
        <v>81 Process, plant and machine operatives</v>
      </c>
      <c r="B104" s="18">
        <f t="shared" si="210"/>
        <v>15.192295717421068</v>
      </c>
      <c r="C104" s="18">
        <f t="shared" si="210"/>
        <v>-28.874453066953631</v>
      </c>
      <c r="D104" s="18">
        <f t="shared" si="210"/>
        <v>9.4992833987508352</v>
      </c>
      <c r="E104" s="18">
        <f t="shared" si="210"/>
        <v>4.331574248879444</v>
      </c>
      <c r="F104" s="18">
        <f t="shared" si="211"/>
        <v>3.4135568133689453</v>
      </c>
      <c r="H104" s="18">
        <f t="shared" si="212"/>
        <v>6.0264610996167312</v>
      </c>
      <c r="I104" s="18">
        <f t="shared" si="213"/>
        <v>4.0637710471642441</v>
      </c>
      <c r="J104" s="18">
        <f t="shared" si="214"/>
        <v>8.1148034464451726</v>
      </c>
      <c r="L104" t="str">
        <f t="shared" si="255"/>
        <v>81 Process, plant and machine operatives</v>
      </c>
      <c r="M104" s="18">
        <f t="shared" si="215"/>
        <v>9.8816612360570488</v>
      </c>
      <c r="N104" s="18">
        <f t="shared" si="215"/>
        <v>-29.776692338371348</v>
      </c>
      <c r="O104" s="18">
        <f t="shared" si="215"/>
        <v>9.8976557742653561</v>
      </c>
      <c r="P104" s="18">
        <f t="shared" si="215"/>
        <v>4.2331090139736238</v>
      </c>
      <c r="Q104" s="18">
        <f t="shared" si="216"/>
        <v>3.3873780279984222</v>
      </c>
      <c r="S104" s="18">
        <f t="shared" si="217"/>
        <v>6.0880835595902294</v>
      </c>
      <c r="T104" s="18">
        <f t="shared" si="218"/>
        <v>4.611994853807766</v>
      </c>
      <c r="U104" s="18">
        <f t="shared" si="219"/>
        <v>8.4861371690678311</v>
      </c>
      <c r="W104" t="str">
        <f t="shared" si="256"/>
        <v>81 Process, plant and machine operatives</v>
      </c>
      <c r="X104" s="18">
        <f t="shared" si="220"/>
        <v>-3.5240295549208378</v>
      </c>
      <c r="Y104" s="18">
        <f t="shared" si="220"/>
        <v>-10.076014298759562</v>
      </c>
      <c r="Z104" s="18">
        <f t="shared" si="220"/>
        <v>9.0735765952800307</v>
      </c>
      <c r="AA104" s="18">
        <f t="shared" si="220"/>
        <v>4.379240223961256</v>
      </c>
      <c r="AB104" s="18">
        <f t="shared" si="221"/>
        <v>4.8427525646889569</v>
      </c>
      <c r="AD104" s="18">
        <f t="shared" si="222"/>
        <v>5.9211300690113822</v>
      </c>
      <c r="AE104" s="18">
        <f t="shared" si="223"/>
        <v>4.4170889109337974</v>
      </c>
      <c r="AF104" s="18">
        <f t="shared" si="224"/>
        <v>8.2460671232478688</v>
      </c>
      <c r="AH104" t="str">
        <f t="shared" si="257"/>
        <v>81 Process, plant and machine operatives</v>
      </c>
      <c r="AI104" s="18">
        <f t="shared" si="225"/>
        <v>-2.4169578302537187</v>
      </c>
      <c r="AJ104" s="18">
        <f t="shared" si="225"/>
        <v>-6.0862963731248669</v>
      </c>
      <c r="AK104" s="18">
        <f t="shared" si="225"/>
        <v>8.0353796065781644</v>
      </c>
      <c r="AL104" s="18">
        <f t="shared" si="225"/>
        <v>2.7190980914476581</v>
      </c>
      <c r="AM104" s="18">
        <f t="shared" si="226"/>
        <v>3.7688334810252577</v>
      </c>
      <c r="AO104" s="18">
        <f t="shared" si="227"/>
        <v>4.46146985604845</v>
      </c>
      <c r="AP104" s="18">
        <f t="shared" si="228"/>
        <v>3.7970070656486055</v>
      </c>
      <c r="AQ104" s="18">
        <f t="shared" si="229"/>
        <v>6.775696082745597</v>
      </c>
      <c r="AS104" t="str">
        <f t="shared" si="258"/>
        <v>81 Process, plant and machine operatives</v>
      </c>
      <c r="AT104" s="18">
        <f t="shared" si="230"/>
        <v>-6.1464742893575171</v>
      </c>
      <c r="AU104" s="18">
        <f t="shared" si="230"/>
        <v>-8.9236397015619584</v>
      </c>
      <c r="AV104" s="18">
        <f t="shared" si="230"/>
        <v>7.4035318152646079</v>
      </c>
      <c r="AW104" s="18">
        <f t="shared" si="230"/>
        <v>1.1545375136923663</v>
      </c>
      <c r="AX104" s="18">
        <f t="shared" si="231"/>
        <v>2.3934109438518147</v>
      </c>
      <c r="AZ104" s="18">
        <f t="shared" si="232"/>
        <v>3.1960561430100176</v>
      </c>
      <c r="BA104" s="18">
        <f t="shared" si="233"/>
        <v>3.3491349802982739</v>
      </c>
      <c r="BB104" s="18">
        <f t="shared" si="234"/>
        <v>5.5303753146671131</v>
      </c>
      <c r="BD104" t="str">
        <f t="shared" si="259"/>
        <v>81 Process, plant and machine operatives</v>
      </c>
      <c r="BE104" s="18">
        <f t="shared" si="235"/>
        <v>-3.3776605319902009</v>
      </c>
      <c r="BF104" s="18">
        <f t="shared" si="235"/>
        <v>9.1828027669925927</v>
      </c>
      <c r="BG104" s="18">
        <f t="shared" si="235"/>
        <v>3.0090544810016606</v>
      </c>
      <c r="BH104" s="18">
        <f t="shared" si="235"/>
        <v>0.91297846482898404</v>
      </c>
      <c r="BI104" s="18">
        <f t="shared" si="236"/>
        <v>2.0645894708661849</v>
      </c>
      <c r="BK104" s="18">
        <f t="shared" si="237"/>
        <v>1.6068879921670165</v>
      </c>
      <c r="BL104" s="18">
        <f t="shared" si="238"/>
        <v>2.4530405384457277</v>
      </c>
      <c r="BM104" s="18">
        <f t="shared" si="239"/>
        <v>3.6353076332819478</v>
      </c>
      <c r="BO104" t="str">
        <f t="shared" si="260"/>
        <v>81 Process, plant and machine operatives</v>
      </c>
      <c r="BP104" s="18">
        <f t="shared" si="240"/>
        <v>-2.0481532240110512</v>
      </c>
      <c r="BQ104" s="18">
        <f t="shared" si="240"/>
        <v>-10.118165811540415</v>
      </c>
      <c r="BR104" s="18">
        <f t="shared" si="240"/>
        <v>5.1604405539996456</v>
      </c>
      <c r="BS104" s="18">
        <f t="shared" si="240"/>
        <v>0.14653773321375851</v>
      </c>
      <c r="BT104" s="18">
        <f t="shared" si="241"/>
        <v>1.0021995379624782</v>
      </c>
      <c r="BV104" s="18">
        <f t="shared" si="242"/>
        <v>1.7906978825697362</v>
      </c>
      <c r="BW104" s="18">
        <f t="shared" si="243"/>
        <v>2.622549908733629</v>
      </c>
      <c r="BX104" s="18">
        <f t="shared" si="244"/>
        <v>3.9170745372912652</v>
      </c>
      <c r="BZ104" t="str">
        <f t="shared" si="261"/>
        <v>81 Process, plant and machine operatives</v>
      </c>
      <c r="CA104" s="18">
        <f t="shared" si="245"/>
        <v>3.0549468949732539</v>
      </c>
      <c r="CB104" s="18">
        <f t="shared" si="245"/>
        <v>-34.425131029964597</v>
      </c>
      <c r="CC104" s="18">
        <f t="shared" si="245"/>
        <v>2.1933711041124404</v>
      </c>
      <c r="CD104" s="18">
        <f t="shared" si="245"/>
        <v>-8.4224462174233174</v>
      </c>
      <c r="CE104" s="18">
        <f t="shared" si="246"/>
        <v>-7.1869936595571389</v>
      </c>
      <c r="CG104" s="18">
        <f t="shared" si="247"/>
        <v>-5.0123957384143765</v>
      </c>
      <c r="CH104" s="18">
        <f t="shared" si="248"/>
        <v>1.7552581437991099</v>
      </c>
      <c r="CI104" s="18">
        <f t="shared" si="249"/>
        <v>-1.8076137674193804</v>
      </c>
      <c r="CK104" t="str">
        <f t="shared" si="262"/>
        <v>81 Process, plant and machine operatives</v>
      </c>
      <c r="CL104" s="18">
        <f t="shared" si="250"/>
        <v>-7.0741727685163962</v>
      </c>
      <c r="CM104" s="18">
        <f t="shared" si="250"/>
        <v>-26.674352984636297</v>
      </c>
      <c r="CN104" s="18">
        <f t="shared" si="250"/>
        <v>-10.894535860657317</v>
      </c>
      <c r="CO104" s="18">
        <f t="shared" si="250"/>
        <v>-8.8116765942175093</v>
      </c>
      <c r="CP104" s="18">
        <f t="shared" si="251"/>
        <v>-10.692975800221149</v>
      </c>
      <c r="CR104" s="18">
        <f t="shared" si="252"/>
        <v>-9.5113172675209903</v>
      </c>
      <c r="CS104" s="18">
        <f t="shared" si="253"/>
        <v>0.87119323570332696</v>
      </c>
      <c r="CT104" s="18">
        <f t="shared" si="254"/>
        <v>-6.5450806387632792</v>
      </c>
    </row>
    <row r="105" spans="1:98" x14ac:dyDescent="0.2">
      <c r="A105" t="str">
        <f t="shared" si="209"/>
        <v>82 Transport and mobile machine drivers and operatives</v>
      </c>
      <c r="B105" s="18">
        <f t="shared" si="210"/>
        <v>17.667405442700247</v>
      </c>
      <c r="C105" s="18">
        <f t="shared" si="210"/>
        <v>-23.353689289287683</v>
      </c>
      <c r="D105" s="18">
        <f t="shared" si="210"/>
        <v>8.2784872012655608</v>
      </c>
      <c r="E105" s="18">
        <f t="shared" si="210"/>
        <v>4.7438176056471493</v>
      </c>
      <c r="F105" s="18">
        <f t="shared" si="211"/>
        <v>3.7899693440800908</v>
      </c>
      <c r="H105" s="18">
        <f t="shared" si="212"/>
        <v>5.9090304367375168</v>
      </c>
      <c r="I105" s="18">
        <f t="shared" si="213"/>
        <v>5.3545474839113316</v>
      </c>
      <c r="J105" s="18">
        <f t="shared" si="214"/>
        <v>8.8186752868525851</v>
      </c>
      <c r="L105" t="str">
        <f t="shared" si="255"/>
        <v>82 Transport and mobile machine drivers and operatives</v>
      </c>
      <c r="M105" s="18">
        <f t="shared" si="215"/>
        <v>16.045090611674052</v>
      </c>
      <c r="N105" s="18">
        <f t="shared" si="215"/>
        <v>-21.413429765707747</v>
      </c>
      <c r="O105" s="18">
        <f t="shared" si="215"/>
        <v>6.5951952793168456</v>
      </c>
      <c r="P105" s="18">
        <f t="shared" si="215"/>
        <v>4.6703636821063821</v>
      </c>
      <c r="Q105" s="18">
        <f t="shared" si="216"/>
        <v>3.3991844688923134</v>
      </c>
      <c r="S105" s="18">
        <f t="shared" si="217"/>
        <v>5.3080809516557137</v>
      </c>
      <c r="T105" s="18">
        <f t="shared" si="218"/>
        <v>5.0017296547417711</v>
      </c>
      <c r="U105" s="18">
        <f t="shared" si="219"/>
        <v>8.1785919121622808</v>
      </c>
      <c r="W105" t="str">
        <f t="shared" si="256"/>
        <v>82 Transport and mobile machine drivers and operatives</v>
      </c>
      <c r="X105" s="18">
        <f t="shared" si="220"/>
        <v>3.859750140448126</v>
      </c>
      <c r="Y105" s="18">
        <f t="shared" si="220"/>
        <v>-1.9020301629743219</v>
      </c>
      <c r="Z105" s="18">
        <f t="shared" si="220"/>
        <v>3.6787265974787209</v>
      </c>
      <c r="AA105" s="18">
        <f t="shared" si="220"/>
        <v>2.4579847277516498</v>
      </c>
      <c r="AB105" s="18">
        <f t="shared" si="221"/>
        <v>2.5587925404978895</v>
      </c>
      <c r="AD105" s="18">
        <f t="shared" si="222"/>
        <v>2.863293230166386</v>
      </c>
      <c r="AE105" s="18">
        <f t="shared" si="223"/>
        <v>4.2357295619424473</v>
      </c>
      <c r="AF105" s="18">
        <f t="shared" si="224"/>
        <v>5.9817974663198381</v>
      </c>
      <c r="AH105" t="str">
        <f t="shared" si="257"/>
        <v>82 Transport and mobile machine drivers and operatives</v>
      </c>
      <c r="AI105" s="18">
        <f t="shared" si="225"/>
        <v>0.54776755819396783</v>
      </c>
      <c r="AJ105" s="18">
        <f t="shared" si="225"/>
        <v>2.3630718203489165</v>
      </c>
      <c r="AK105" s="18">
        <f t="shared" si="225"/>
        <v>2.8761863722459813</v>
      </c>
      <c r="AL105" s="18">
        <f t="shared" si="225"/>
        <v>0.81018744709713264</v>
      </c>
      <c r="AM105" s="18">
        <f t="shared" si="226"/>
        <v>1.5482897387651962</v>
      </c>
      <c r="AO105" s="18">
        <f t="shared" si="227"/>
        <v>1.4942021000853734</v>
      </c>
      <c r="AP105" s="18">
        <f t="shared" si="228"/>
        <v>3.6918999160532096</v>
      </c>
      <c r="AQ105" s="18">
        <f t="shared" si="229"/>
        <v>4.6300079925091442</v>
      </c>
      <c r="AS105" t="str">
        <f t="shared" si="258"/>
        <v>82 Transport and mobile machine drivers and operatives</v>
      </c>
      <c r="AT105" s="18">
        <f t="shared" si="230"/>
        <v>0.98703376749889049</v>
      </c>
      <c r="AU105" s="18">
        <f t="shared" si="230"/>
        <v>1.9365670695070669E-2</v>
      </c>
      <c r="AV105" s="18">
        <f t="shared" si="230"/>
        <v>3.2639066044375609</v>
      </c>
      <c r="AW105" s="18">
        <f t="shared" si="230"/>
        <v>0.8525473945615758</v>
      </c>
      <c r="AX105" s="18">
        <f t="shared" si="231"/>
        <v>1.5473216916926047</v>
      </c>
      <c r="AZ105" s="18">
        <f t="shared" si="232"/>
        <v>1.6500114477472128</v>
      </c>
      <c r="BA105" s="18">
        <f t="shared" si="233"/>
        <v>4.0058775819398207</v>
      </c>
      <c r="BB105" s="18">
        <f t="shared" si="234"/>
        <v>5.0059907990206653</v>
      </c>
      <c r="BD105" t="str">
        <f t="shared" si="259"/>
        <v>82 Transport and mobile machine drivers and operatives</v>
      </c>
      <c r="BE105" s="18">
        <f t="shared" si="235"/>
        <v>1.5061946101653234</v>
      </c>
      <c r="BF105" s="18">
        <f t="shared" si="235"/>
        <v>16.818724802250994</v>
      </c>
      <c r="BG105" s="18">
        <f t="shared" si="235"/>
        <v>-1.8348289964278175</v>
      </c>
      <c r="BH105" s="18">
        <f t="shared" si="235"/>
        <v>0.24237791503627371</v>
      </c>
      <c r="BI105" s="18">
        <f t="shared" si="236"/>
        <v>0.5456590367570735</v>
      </c>
      <c r="BK105" s="18">
        <f t="shared" si="237"/>
        <v>-0.45486283677239614</v>
      </c>
      <c r="BL105" s="18">
        <f t="shared" si="238"/>
        <v>2.6135553815579193</v>
      </c>
      <c r="BM105" s="18">
        <f t="shared" si="239"/>
        <v>2.2998596304946384</v>
      </c>
      <c r="BO105" t="str">
        <f t="shared" si="260"/>
        <v>82 Transport and mobile machine drivers and operatives</v>
      </c>
      <c r="BP105" s="18">
        <f t="shared" si="240"/>
        <v>2.9685618167322403</v>
      </c>
      <c r="BQ105" s="18">
        <f t="shared" si="240"/>
        <v>-6.1831992226685557</v>
      </c>
      <c r="BR105" s="18">
        <f t="shared" si="240"/>
        <v>1.6950859360464587</v>
      </c>
      <c r="BS105" s="18">
        <f t="shared" si="240"/>
        <v>0.59232330203145001</v>
      </c>
      <c r="BT105" s="18">
        <f t="shared" si="241"/>
        <v>0.49670040307443486</v>
      </c>
      <c r="BV105" s="18">
        <f t="shared" si="242"/>
        <v>0.95857571864716995</v>
      </c>
      <c r="BW105" s="18">
        <f t="shared" si="243"/>
        <v>3.0508087762062708</v>
      </c>
      <c r="BX105" s="18">
        <f t="shared" si="244"/>
        <v>3.6952287875169798</v>
      </c>
      <c r="BZ105" t="str">
        <f t="shared" si="261"/>
        <v>82 Transport and mobile machine drivers and operatives</v>
      </c>
      <c r="CA105" s="18">
        <f t="shared" si="245"/>
        <v>11.980804475621355</v>
      </c>
      <c r="CB105" s="18">
        <f t="shared" si="245"/>
        <v>-37.408006822767092</v>
      </c>
      <c r="CC105" s="18">
        <f t="shared" si="245"/>
        <v>0.13141779357883632</v>
      </c>
      <c r="CD105" s="18">
        <f t="shared" si="245"/>
        <v>-4.1198228187060204</v>
      </c>
      <c r="CE105" s="18">
        <f t="shared" si="246"/>
        <v>-5.3673110624450686</v>
      </c>
      <c r="CG105" s="18">
        <f t="shared" si="247"/>
        <v>-2.7231854942856182</v>
      </c>
      <c r="CH105" s="18">
        <f t="shared" si="248"/>
        <v>2.3267291755941555</v>
      </c>
      <c r="CI105" s="18">
        <f t="shared" si="249"/>
        <v>0.47027939704888944</v>
      </c>
      <c r="CK105" t="str">
        <f t="shared" si="262"/>
        <v>82 Transport and mobile machine drivers and operatives</v>
      </c>
      <c r="CL105" s="18">
        <f t="shared" si="250"/>
        <v>1.0399363675901885</v>
      </c>
      <c r="CM105" s="18">
        <f t="shared" si="250"/>
        <v>-9.6827008689310148</v>
      </c>
      <c r="CN105" s="18">
        <f t="shared" si="250"/>
        <v>-6.4455849757214629</v>
      </c>
      <c r="CO105" s="18">
        <f t="shared" si="250"/>
        <v>-9.4930752940195475</v>
      </c>
      <c r="CP105" s="18">
        <f t="shared" si="251"/>
        <v>-8.5635399605206945</v>
      </c>
      <c r="CR105" s="18">
        <f t="shared" si="252"/>
        <v>-8.4884380381151203</v>
      </c>
      <c r="CS105" s="18">
        <f t="shared" si="253"/>
        <v>1.4446475270710746</v>
      </c>
      <c r="CT105" s="18">
        <f t="shared" si="254"/>
        <v>-4.4604337764603592</v>
      </c>
    </row>
    <row r="106" spans="1:98" x14ac:dyDescent="0.2">
      <c r="A106" t="str">
        <f t="shared" si="209"/>
        <v>91 Elementary trades and related occupations</v>
      </c>
      <c r="B106" s="18">
        <f t="shared" si="210"/>
        <v>2.7250076336549078</v>
      </c>
      <c r="C106" s="18">
        <f t="shared" si="210"/>
        <v>-18.445218131082164</v>
      </c>
      <c r="D106" s="18">
        <f t="shared" si="210"/>
        <v>-0.71717800853523528</v>
      </c>
      <c r="E106" s="18">
        <f t="shared" si="210"/>
        <v>2.0692338298684776</v>
      </c>
      <c r="F106" s="18">
        <f t="shared" si="211"/>
        <v>-0.21895821856334763</v>
      </c>
      <c r="H106" s="18">
        <f t="shared" si="212"/>
        <v>1.1318474413495538</v>
      </c>
      <c r="I106" s="18">
        <f t="shared" si="213"/>
        <v>3.4467553641547743</v>
      </c>
      <c r="J106" s="18">
        <f t="shared" si="214"/>
        <v>4.1728903981281151</v>
      </c>
      <c r="L106" t="str">
        <f t="shared" si="255"/>
        <v>91 Elementary trades and related occupations</v>
      </c>
      <c r="M106" s="18">
        <f t="shared" si="215"/>
        <v>13.357146809346499</v>
      </c>
      <c r="N106" s="18">
        <f t="shared" si="215"/>
        <v>-48.720007043157942</v>
      </c>
      <c r="O106" s="18">
        <f t="shared" si="215"/>
        <v>3.4026284495114911</v>
      </c>
      <c r="P106" s="18">
        <f t="shared" si="215"/>
        <v>4.277944886450058</v>
      </c>
      <c r="Q106" s="18">
        <f t="shared" si="216"/>
        <v>-0.50914679702050991</v>
      </c>
      <c r="S106" s="18">
        <f t="shared" si="217"/>
        <v>3.9853525269230694</v>
      </c>
      <c r="T106" s="18">
        <f t="shared" si="218"/>
        <v>3.5604520441599785</v>
      </c>
      <c r="U106" s="18">
        <f t="shared" si="219"/>
        <v>6.262751723740978</v>
      </c>
      <c r="W106" t="str">
        <f t="shared" si="256"/>
        <v>91 Elementary trades and related occupations</v>
      </c>
      <c r="X106" s="18">
        <f t="shared" si="220"/>
        <v>-5.4273315598045606</v>
      </c>
      <c r="Y106" s="18">
        <f t="shared" si="220"/>
        <v>-9.5624290358093837</v>
      </c>
      <c r="Z106" s="18">
        <f t="shared" si="220"/>
        <v>-1.3692823139963561</v>
      </c>
      <c r="AA106" s="18">
        <f t="shared" si="220"/>
        <v>1.2522437481300885</v>
      </c>
      <c r="AB106" s="18">
        <f t="shared" si="221"/>
        <v>-0.28085964384871875</v>
      </c>
      <c r="AD106" s="18">
        <f t="shared" si="222"/>
        <v>0.37074978155495764</v>
      </c>
      <c r="AE106" s="18">
        <f t="shared" si="223"/>
        <v>3.1272094138547368</v>
      </c>
      <c r="AF106" s="18">
        <f t="shared" si="224"/>
        <v>3.3704171342367806</v>
      </c>
      <c r="AH106" t="str">
        <f t="shared" si="257"/>
        <v>91 Elementary trades and related occupations</v>
      </c>
      <c r="AI106" s="18">
        <f t="shared" si="225"/>
        <v>-2.2770733415933053</v>
      </c>
      <c r="AJ106" s="18">
        <f t="shared" si="225"/>
        <v>-17.057325697837623</v>
      </c>
      <c r="AK106" s="18">
        <f t="shared" si="225"/>
        <v>0.68958857961600728</v>
      </c>
      <c r="AL106" s="18">
        <f t="shared" si="225"/>
        <v>3.1519870338414968</v>
      </c>
      <c r="AM106" s="18">
        <f t="shared" si="226"/>
        <v>0.99033272302879727</v>
      </c>
      <c r="AO106" s="18">
        <f t="shared" si="227"/>
        <v>2.3245682750516306</v>
      </c>
      <c r="AP106" s="18">
        <f t="shared" si="228"/>
        <v>3.5995543088619408</v>
      </c>
      <c r="AQ106" s="18">
        <f t="shared" si="229"/>
        <v>5.1080255784739848</v>
      </c>
      <c r="AS106" t="str">
        <f t="shared" si="258"/>
        <v>91 Elementary trades and related occupations</v>
      </c>
      <c r="AT106" s="18">
        <f t="shared" si="230"/>
        <v>-6.326919575582723</v>
      </c>
      <c r="AU106" s="18">
        <f t="shared" si="230"/>
        <v>-3.9172902622719441</v>
      </c>
      <c r="AV106" s="18">
        <f t="shared" si="230"/>
        <v>-1.6916165951602613</v>
      </c>
      <c r="AW106" s="18">
        <f t="shared" si="230"/>
        <v>1.0665796646688763</v>
      </c>
      <c r="AX106" s="18">
        <f t="shared" si="231"/>
        <v>-0.11975333794539411</v>
      </c>
      <c r="AZ106" s="18">
        <f t="shared" si="232"/>
        <v>0.13868801469023584</v>
      </c>
      <c r="BA106" s="18">
        <f t="shared" si="233"/>
        <v>2.7591541731518454</v>
      </c>
      <c r="BB106" s="18">
        <f t="shared" si="234"/>
        <v>2.8542055707584169</v>
      </c>
      <c r="BD106" t="str">
        <f t="shared" si="259"/>
        <v>91 Elementary trades and related occupations</v>
      </c>
      <c r="BE106" s="18">
        <f t="shared" si="235"/>
        <v>-6.088087713202361</v>
      </c>
      <c r="BF106" s="18">
        <f t="shared" si="235"/>
        <v>12.190446248556164</v>
      </c>
      <c r="BG106" s="18">
        <f t="shared" si="235"/>
        <v>-6.0066806897266289</v>
      </c>
      <c r="BH106" s="18">
        <f t="shared" si="235"/>
        <v>0.32043713052734013</v>
      </c>
      <c r="BI106" s="18">
        <f t="shared" si="236"/>
        <v>-1.0117980967466966</v>
      </c>
      <c r="BK106" s="18">
        <f t="shared" si="237"/>
        <v>-1.8345625758327433</v>
      </c>
      <c r="BL106" s="18">
        <f t="shared" si="238"/>
        <v>1.6865925793501324</v>
      </c>
      <c r="BM106" s="18">
        <f t="shared" si="239"/>
        <v>0.27881572450705328</v>
      </c>
      <c r="BO106" t="str">
        <f t="shared" si="260"/>
        <v>91 Elementary trades and related occupations</v>
      </c>
      <c r="BP106" s="18">
        <f t="shared" si="240"/>
        <v>-4.9825484936098281</v>
      </c>
      <c r="BQ106" s="18">
        <f t="shared" si="240"/>
        <v>-2.075593160320488</v>
      </c>
      <c r="BR106" s="18">
        <f t="shared" si="240"/>
        <v>-3.318576987071753</v>
      </c>
      <c r="BS106" s="18">
        <f t="shared" si="240"/>
        <v>0.16462767318301541</v>
      </c>
      <c r="BT106" s="18">
        <f t="shared" si="241"/>
        <v>-1.0770929253256623</v>
      </c>
      <c r="BV106" s="18">
        <f t="shared" si="242"/>
        <v>-1.0101653821693812</v>
      </c>
      <c r="BW106" s="18">
        <f t="shared" si="243"/>
        <v>1.8114230630249528</v>
      </c>
      <c r="BX106" s="18">
        <f t="shared" si="244"/>
        <v>1.0392715460409097</v>
      </c>
      <c r="BZ106" t="str">
        <f t="shared" si="261"/>
        <v>91 Elementary trades and related occupations</v>
      </c>
      <c r="CA106" s="18">
        <f t="shared" si="245"/>
        <v>0.98355220338384175</v>
      </c>
      <c r="CB106" s="18">
        <f t="shared" si="245"/>
        <v>-27.252908487922166</v>
      </c>
      <c r="CC106" s="18">
        <f t="shared" si="245"/>
        <v>-4.1441841143162623</v>
      </c>
      <c r="CD106" s="18">
        <f t="shared" si="245"/>
        <v>-3.2678468019963991</v>
      </c>
      <c r="CE106" s="18">
        <f t="shared" si="246"/>
        <v>-5.2452406833760072</v>
      </c>
      <c r="CG106" s="18">
        <f t="shared" si="247"/>
        <v>-3.5608458293621581</v>
      </c>
      <c r="CH106" s="18">
        <f t="shared" si="248"/>
        <v>1.6232442211949749</v>
      </c>
      <c r="CI106" s="18">
        <f t="shared" si="249"/>
        <v>-1.0489944454289302</v>
      </c>
      <c r="CK106" t="str">
        <f t="shared" si="262"/>
        <v>91 Elementary trades and related occupations</v>
      </c>
      <c r="CL106" s="18">
        <f t="shared" si="250"/>
        <v>-5.0803183078926395</v>
      </c>
      <c r="CM106" s="18">
        <f t="shared" si="250"/>
        <v>-20.999570592015193</v>
      </c>
      <c r="CN106" s="18">
        <f t="shared" si="250"/>
        <v>-8.3401179660835378</v>
      </c>
      <c r="CO106" s="18">
        <f t="shared" si="250"/>
        <v>-4.8550412214234839</v>
      </c>
      <c r="CP106" s="18">
        <f t="shared" si="251"/>
        <v>-7.0447369825556549</v>
      </c>
      <c r="CR106" s="18">
        <f t="shared" si="252"/>
        <v>-6.031213272987479</v>
      </c>
      <c r="CS106" s="18">
        <f t="shared" si="253"/>
        <v>1.1213614935172256</v>
      </c>
      <c r="CT106" s="18">
        <f t="shared" si="254"/>
        <v>-3.6175586712657859</v>
      </c>
    </row>
    <row r="107" spans="1:98" x14ac:dyDescent="0.2">
      <c r="A107" t="str">
        <f t="shared" si="209"/>
        <v>92 Elementary administration and service occupations</v>
      </c>
      <c r="B107" s="18">
        <f t="shared" si="210"/>
        <v>10.932165116050951</v>
      </c>
      <c r="C107" s="18">
        <f t="shared" si="210"/>
        <v>-17.652535938268123</v>
      </c>
      <c r="D107" s="18">
        <f t="shared" si="210"/>
        <v>5.5871387649385706</v>
      </c>
      <c r="E107" s="18">
        <f t="shared" si="210"/>
        <v>3.1561175289730681</v>
      </c>
      <c r="F107" s="18">
        <f t="shared" si="211"/>
        <v>2.4568386029545142</v>
      </c>
      <c r="H107" s="18">
        <f t="shared" si="212"/>
        <v>3.9601743855910421</v>
      </c>
      <c r="I107" s="18">
        <f t="shared" si="213"/>
        <v>4.2420640653129782</v>
      </c>
      <c r="J107" s="18">
        <f t="shared" si="214"/>
        <v>6.7274704027842525</v>
      </c>
      <c r="L107" t="str">
        <f t="shared" ref="L107" si="263">A107</f>
        <v>92 Elementary administration and service occupations</v>
      </c>
      <c r="M107" s="18">
        <f t="shared" si="215"/>
        <v>10.599950084633413</v>
      </c>
      <c r="N107" s="18">
        <f t="shared" si="215"/>
        <v>-14.01446489894621</v>
      </c>
      <c r="O107" s="18">
        <f t="shared" si="215"/>
        <v>6.189717364819125</v>
      </c>
      <c r="P107" s="18">
        <f t="shared" si="215"/>
        <v>4.2561613147662491</v>
      </c>
      <c r="Q107" s="18">
        <f t="shared" si="216"/>
        <v>3.6014751139219037</v>
      </c>
      <c r="S107" s="18">
        <f t="shared" si="217"/>
        <v>4.8967360926274406</v>
      </c>
      <c r="T107" s="18">
        <f t="shared" si="218"/>
        <v>4.5032866921022263</v>
      </c>
      <c r="U107" s="18">
        <f t="shared" si="219"/>
        <v>7.5622091821466286</v>
      </c>
      <c r="W107" t="str">
        <f t="shared" ref="W107" si="264">A107</f>
        <v>92 Elementary administration and service occupations</v>
      </c>
      <c r="X107" s="18">
        <f t="shared" si="220"/>
        <v>9.1306454270800863E-2</v>
      </c>
      <c r="Y107" s="18">
        <f t="shared" si="220"/>
        <v>7.6338113131971141</v>
      </c>
      <c r="Z107" s="18">
        <f t="shared" si="220"/>
        <v>4.0679020867948168</v>
      </c>
      <c r="AA107" s="18">
        <f t="shared" si="220"/>
        <v>3.1658662426802264</v>
      </c>
      <c r="AB107" s="18">
        <f t="shared" si="221"/>
        <v>3.7213863682455717</v>
      </c>
      <c r="AD107" s="18">
        <f t="shared" si="222"/>
        <v>3.4656727567704326</v>
      </c>
      <c r="AE107" s="18">
        <f t="shared" si="223"/>
        <v>4.3202204643788322</v>
      </c>
      <c r="AF107" s="18">
        <f t="shared" si="224"/>
        <v>6.4477283243314476</v>
      </c>
      <c r="AH107" t="str">
        <f t="shared" ref="AH107" si="265">L107</f>
        <v>92 Elementary administration and service occupations</v>
      </c>
      <c r="AI107" s="18">
        <f t="shared" si="225"/>
        <v>1.1874745389356622</v>
      </c>
      <c r="AJ107" s="18">
        <f t="shared" si="225"/>
        <v>10.31480382043175</v>
      </c>
      <c r="AK107" s="18">
        <f t="shared" si="225"/>
        <v>3.3814102967311577</v>
      </c>
      <c r="AL107" s="18">
        <f t="shared" si="225"/>
        <v>3.3558072798415495</v>
      </c>
      <c r="AM107" s="18">
        <f t="shared" si="226"/>
        <v>3.7856192280324663</v>
      </c>
      <c r="AO107" s="18">
        <f t="shared" si="227"/>
        <v>3.364340914200703</v>
      </c>
      <c r="AP107" s="18">
        <f t="shared" si="228"/>
        <v>4.0133709480944635</v>
      </c>
      <c r="AQ107" s="18">
        <f t="shared" si="229"/>
        <v>6.1476723665970789</v>
      </c>
      <c r="AS107" t="str">
        <f t="shared" ref="AS107" si="266">W107</f>
        <v>92 Elementary administration and service occupations</v>
      </c>
      <c r="AT107" s="18">
        <f t="shared" si="230"/>
        <v>-0.43131690518048993</v>
      </c>
      <c r="AU107" s="18">
        <f t="shared" si="230"/>
        <v>5.279956390196916</v>
      </c>
      <c r="AV107" s="18">
        <f t="shared" si="230"/>
        <v>2.936558935128053</v>
      </c>
      <c r="AW107" s="18">
        <f t="shared" si="230"/>
        <v>3.0177519923379803</v>
      </c>
      <c r="AX107" s="18">
        <f t="shared" si="231"/>
        <v>3.1322905251946587</v>
      </c>
      <c r="AZ107" s="18">
        <f t="shared" si="232"/>
        <v>2.9906805265969449</v>
      </c>
      <c r="BA107" s="18">
        <f t="shared" si="233"/>
        <v>3.9963688242428352</v>
      </c>
      <c r="BB107" s="18">
        <f t="shared" si="234"/>
        <v>5.8790172014717701</v>
      </c>
      <c r="BD107" t="str">
        <f t="shared" ref="BD107" si="267">AH107</f>
        <v>92 Elementary administration and service occupations</v>
      </c>
      <c r="BE107" s="18">
        <f t="shared" si="235"/>
        <v>-3.4182468179706937</v>
      </c>
      <c r="BF107" s="18">
        <f t="shared" si="235"/>
        <v>13.981166081399143</v>
      </c>
      <c r="BG107" s="18">
        <f t="shared" si="235"/>
        <v>-1.5906443380339197</v>
      </c>
      <c r="BH107" s="18">
        <f t="shared" si="235"/>
        <v>0.11252616178361041</v>
      </c>
      <c r="BI107" s="18">
        <f t="shared" si="236"/>
        <v>0.38786140479158959</v>
      </c>
      <c r="BK107" s="18">
        <f t="shared" si="237"/>
        <v>-0.4584475932403187</v>
      </c>
      <c r="BL107" s="18">
        <f t="shared" si="238"/>
        <v>2.5785857371255494</v>
      </c>
      <c r="BM107" s="18">
        <f t="shared" si="239"/>
        <v>2.2608961081019174</v>
      </c>
      <c r="BO107" t="str">
        <f t="shared" ref="BO107" si="268">AS107</f>
        <v>92 Elementary administration and service occupations</v>
      </c>
      <c r="BP107" s="18">
        <f t="shared" si="240"/>
        <v>-0.97639460437056735</v>
      </c>
      <c r="BQ107" s="18">
        <f t="shared" si="240"/>
        <v>0.51739612265455648</v>
      </c>
      <c r="BR107" s="18">
        <f t="shared" si="240"/>
        <v>0.14064119169014955</v>
      </c>
      <c r="BS107" s="18">
        <f t="shared" si="240"/>
        <v>-0.17010385079823109</v>
      </c>
      <c r="BT107" s="18">
        <f t="shared" si="241"/>
        <v>-3.0227478440170152E-2</v>
      </c>
      <c r="BV107" s="18">
        <f t="shared" si="242"/>
        <v>-6.6629458961897647E-2</v>
      </c>
      <c r="BW107" s="18">
        <f t="shared" si="243"/>
        <v>2.5500187098138616</v>
      </c>
      <c r="BX107" s="18">
        <f t="shared" si="244"/>
        <v>2.5032530305578282</v>
      </c>
      <c r="BZ107" t="str">
        <f t="shared" ref="BZ107" si="269">BD107</f>
        <v>92 Elementary administration and service occupations</v>
      </c>
      <c r="CA107" s="18">
        <f t="shared" si="245"/>
        <v>2.0578368480965947</v>
      </c>
      <c r="CB107" s="18">
        <f t="shared" si="245"/>
        <v>-19.790325665686392</v>
      </c>
      <c r="CC107" s="18">
        <f t="shared" si="245"/>
        <v>-7.5025477042867106E-2</v>
      </c>
      <c r="CD107" s="18">
        <f t="shared" si="245"/>
        <v>-3.2550569607758262</v>
      </c>
      <c r="CE107" s="18">
        <f t="shared" si="246"/>
        <v>-3.4104856866169375</v>
      </c>
      <c r="CG107" s="18">
        <f t="shared" si="247"/>
        <v>-2.2064531871066384</v>
      </c>
      <c r="CH107" s="18">
        <f t="shared" si="248"/>
        <v>2.0718627572576143</v>
      </c>
      <c r="CI107" s="18">
        <f t="shared" si="249"/>
        <v>0.48786994392828742</v>
      </c>
      <c r="CK107" t="str">
        <f t="shared" ref="CK107" si="270">BO107</f>
        <v>92 Elementary administration and service occupations</v>
      </c>
      <c r="CL107" s="18">
        <f t="shared" si="250"/>
        <v>-8.9018854515188313</v>
      </c>
      <c r="CM107" s="18">
        <f t="shared" si="250"/>
        <v>-29.872590376398954</v>
      </c>
      <c r="CN107" s="18">
        <f t="shared" si="250"/>
        <v>-5.2613517220081674</v>
      </c>
      <c r="CO107" s="18">
        <f t="shared" si="250"/>
        <v>-4.9874332341476091</v>
      </c>
      <c r="CP107" s="18">
        <f t="shared" si="251"/>
        <v>-6.8579292497261353</v>
      </c>
      <c r="CR107" s="18">
        <f t="shared" si="252"/>
        <v>-5.0788272819181524</v>
      </c>
      <c r="CS107" s="18">
        <f t="shared" si="253"/>
        <v>1.2305185043486544</v>
      </c>
      <c r="CT107" s="18">
        <f t="shared" si="254"/>
        <v>-2.7427574058044302</v>
      </c>
    </row>
    <row r="108" spans="1:98" x14ac:dyDescent="0.2">
      <c r="B108" s="18"/>
      <c r="C108" s="18"/>
      <c r="D108" s="18"/>
      <c r="E108" s="18"/>
      <c r="F108" s="18"/>
      <c r="H108" s="18"/>
      <c r="I108" s="18"/>
      <c r="J108" s="18"/>
      <c r="M108" s="18"/>
      <c r="N108" s="18"/>
      <c r="O108" s="18"/>
      <c r="P108" s="18"/>
      <c r="Q108" s="18"/>
      <c r="S108" s="18"/>
      <c r="T108" s="18"/>
      <c r="U108" s="18"/>
      <c r="X108" s="18"/>
      <c r="Y108" s="18"/>
      <c r="Z108" s="18"/>
      <c r="AA108" s="18"/>
      <c r="AB108" s="18"/>
      <c r="AD108" s="18"/>
      <c r="AE108" s="18"/>
      <c r="AF108" s="18"/>
      <c r="AI108" s="18"/>
      <c r="AJ108" s="18"/>
      <c r="AK108" s="18"/>
      <c r="AL108" s="18"/>
      <c r="AM108" s="18"/>
      <c r="AO108" s="18"/>
      <c r="AP108" s="18"/>
      <c r="AQ108" s="18"/>
      <c r="AT108" s="18"/>
      <c r="AU108" s="18"/>
      <c r="AV108" s="18"/>
      <c r="AW108" s="18"/>
      <c r="AX108" s="18"/>
      <c r="AZ108" s="18"/>
      <c r="BA108" s="18"/>
      <c r="BB108" s="18"/>
      <c r="BE108" s="18"/>
      <c r="BF108" s="18"/>
      <c r="BG108" s="18"/>
      <c r="BH108" s="18"/>
      <c r="BI108" s="18"/>
      <c r="BK108" s="18"/>
      <c r="BL108" s="18"/>
      <c r="BM108" s="18"/>
      <c r="BP108" s="18"/>
      <c r="BQ108" s="18"/>
      <c r="BR108" s="18"/>
      <c r="BS108" s="18"/>
      <c r="BT108" s="18"/>
      <c r="BV108" s="18"/>
      <c r="BW108" s="18"/>
      <c r="BX108" s="18"/>
      <c r="CA108" s="18"/>
      <c r="CB108" s="18"/>
      <c r="CC108" s="18"/>
      <c r="CD108" s="18"/>
      <c r="CE108" s="18"/>
      <c r="CG108" s="18"/>
      <c r="CH108" s="18"/>
      <c r="CI108" s="18"/>
      <c r="CL108" s="18"/>
      <c r="CM108" s="18"/>
      <c r="CN108" s="18"/>
      <c r="CO108" s="18"/>
      <c r="CP108" s="18"/>
      <c r="CR108" s="18"/>
      <c r="CS108" s="18"/>
      <c r="CT108" s="18"/>
    </row>
    <row r="109" spans="1:98" x14ac:dyDescent="0.2">
      <c r="A109" s="24" t="str">
        <f>A35</f>
        <v>All occupations</v>
      </c>
      <c r="B109" s="26">
        <f>IF(AND(C$6-B$6 &lt;&gt; 0,B35&lt;&gt;0,C35&lt;&gt;0),(EXP(LN(C35/B35)/(C$6-B$6))-1)*100,0)</f>
        <v>6.774095802817981</v>
      </c>
      <c r="C109" s="26">
        <f>IF(AND(D$6-C$6 &lt;&gt; 0,C35&lt;&gt;0,D35&lt;&gt;0),(EXP(LN(D35/C35)/(D$6-C$6))-1)*100,0)</f>
        <v>-11.291801176151306</v>
      </c>
      <c r="D109" s="26">
        <f>IF(AND(E$6-D$6 &lt;&gt; 0,D35&lt;&gt;0,E35&lt;&gt;0),(EXP(LN(E35/D35)/(E$6-D$6))-1)*100,0)</f>
        <v>4.1913258634666439</v>
      </c>
      <c r="E109" s="26">
        <f>IF(AND(F$6-E$6 &lt;&gt; 0,E35&lt;&gt;0,F35&lt;&gt;0),(EXP(LN(F35/E35)/(F$6-E$6))-1)*100,0)</f>
        <v>2.2232161802188122</v>
      </c>
      <c r="F109" s="26">
        <f>IF(AND(F$6-C$6 &lt;&gt; 0,C35&lt;&gt;0,F35&lt;&gt;0),(EXP(LN(F35/C35)/(F$6-C$6))-1)*100,0)</f>
        <v>1.9268404284008778</v>
      </c>
      <c r="H109" s="26">
        <f t="shared" ref="H109" si="271">IF($F$6-$D$6 &lt;&gt; 0,(EXP(LN(1+(H72/100))/($F$6-$D$6))-1)*100,0)</f>
        <v>2.875086967601459</v>
      </c>
      <c r="I109" s="26">
        <f t="shared" ref="I109" si="272">IF(D35&gt;0,((1+(I35/D35))^(1/($F$6-$D$6))-1)*100,0)</f>
        <v>3.4643326146760245</v>
      </c>
      <c r="J109" s="26">
        <f t="shared" ref="J109" si="273">IF($F$6-$D$6 &lt;&gt; 0,(EXP(LN(1+(J72/100))/($F$6-$D$6))-1)*100,0)</f>
        <v>5.3860357374266643</v>
      </c>
      <c r="L109" s="24" t="str">
        <f>L35</f>
        <v>All occupations</v>
      </c>
      <c r="M109" s="26">
        <f>IF(AND(N$6-M$6 &lt;&gt; 0,M35&lt;&gt;0,N35&lt;&gt;0),(EXP(LN(N35/M35)/(N$6-M$6))-1)*100,0)</f>
        <v>7.3376354247917996</v>
      </c>
      <c r="N109" s="26">
        <f>IF(AND(O$6-N$6 &lt;&gt; 0,N35&lt;&gt;0,O35&lt;&gt;0),(EXP(LN(O35/N35)/(O$6-N$6))-1)*100,0)</f>
        <v>-11.755500197765411</v>
      </c>
      <c r="O109" s="26">
        <f>IF(AND(P$6-O$6 &lt;&gt; 0,O35&lt;&gt;0,P35&lt;&gt;0),(EXP(LN(P35/O35)/(P$6-O$6))-1)*100,0)</f>
        <v>3.5487003087720126</v>
      </c>
      <c r="P109" s="26">
        <f>IF(AND(Q$6-P$6 &lt;&gt; 0,P35&lt;&gt;0,Q35&lt;&gt;0),(EXP(LN(Q35/P35)/(Q$6-P$6))-1)*100,0)</f>
        <v>1.970767509682636</v>
      </c>
      <c r="Q109" s="26">
        <f>IF(AND(Q$6-N$6 &lt;&gt; 0,N35&lt;&gt;0,Q35&lt;&gt;0),(EXP(LN(Q35/N35)/(Q$6-N$6))-1)*100,0)</f>
        <v>1.5396090092715253</v>
      </c>
      <c r="S109" s="26">
        <f t="shared" ref="S109" si="274">IF($F$6-$D$6 &lt;&gt; 0,(EXP(LN(1+(S72/100))/($F$6-$D$6))-1)*100,0)</f>
        <v>2.49405513893175</v>
      </c>
      <c r="T109" s="26">
        <f t="shared" ref="T109" si="275">IF(O35&gt;0,((1+(T35/O35))^(1/($F$6-$D$6))-1)*100,0)</f>
        <v>3.5439316533183218</v>
      </c>
      <c r="U109" s="26">
        <f t="shared" ref="U109" si="276">IF($F$6-$D$6 &lt;&gt; 0,(EXP(LN(1+(U72/100))/($F$6-$D$6))-1)*100,0)</f>
        <v>5.180175670103071</v>
      </c>
      <c r="W109" s="24" t="str">
        <f>W35</f>
        <v>All occupations</v>
      </c>
      <c r="X109" s="26">
        <f>IF(AND(Y$6-X$6 &lt;&gt; 0,X35&lt;&gt;0,Y35&lt;&gt;0),(EXP(LN(Y35/X35)/(Y$6-X$6))-1)*100,0)</f>
        <v>-0.81887158851676745</v>
      </c>
      <c r="Y109" s="26">
        <f>IF(AND(Z$6-Y$6 &lt;&gt; 0,Y35&lt;&gt;0,Z35&lt;&gt;0),(EXP(LN(Z35/Y35)/(Z$6-Y$6))-1)*100,0)</f>
        <v>10.106481526397303</v>
      </c>
      <c r="Z109" s="26">
        <f>IF(AND(AA$6-Z$6 &lt;&gt; 0,Z35&lt;&gt;0,AA35&lt;&gt;0),(EXP(LN(AA35/Z35)/(AA$6-Z$6))-1)*100,0)</f>
        <v>2.1848815038580938</v>
      </c>
      <c r="AA109" s="26">
        <f>IF(AND(AB$6-AA$6 &lt;&gt; 0,AA35&lt;&gt;0,AB35&lt;&gt;0),(EXP(LN(AB35/AA35)/(AB$6-AA$6))-1)*100,0)</f>
        <v>2.0664812833209867</v>
      </c>
      <c r="AB109" s="26">
        <f>IF(AND(AB$6-Y$6 &lt;&gt; 0,Y35&lt;&gt;0,AB35&lt;&gt;0),(EXP(LN(AB35/Y35)/(AB$6-Y$6))-1)*100,0)</f>
        <v>2.5884802821349862</v>
      </c>
      <c r="AD109" s="26">
        <f t="shared" ref="AD109" si="277">IF($F$6-$D$6 &lt;&gt; 0,(EXP(LN(1+(AD72/100))/($F$6-$D$6))-1)*100,0)</f>
        <v>2.1059327724547439</v>
      </c>
      <c r="AE109" s="26">
        <f t="shared" ref="AE109" si="278">IF(Z35&gt;0,((1+(AE35/Z35))^(1/($F$6-$D$6))-1)*100,0)</f>
        <v>3.4721866015407832</v>
      </c>
      <c r="AF109" s="26">
        <f t="shared" ref="AF109" si="279">IF($F$6-$D$6 &lt;&gt; 0,(EXP(LN(1+(AF72/100))/($F$6-$D$6))-1)*100,0)</f>
        <v>4.8526573672561746</v>
      </c>
      <c r="AH109" s="24" t="str">
        <f>AH35</f>
        <v>All occupations</v>
      </c>
      <c r="AI109" s="26">
        <f>IF(AND(AJ$6-AI$6 &lt;&gt; 0,AI35&lt;&gt;0,AJ35&lt;&gt;0),(EXP(LN(AJ35/AI35)/(AJ$6-AI$6))-1)*100,0)</f>
        <v>-3.5396424128241288</v>
      </c>
      <c r="AJ109" s="26">
        <f>IF(AND(AK$6-AJ$6 &lt;&gt; 0,AJ35&lt;&gt;0,AK35&lt;&gt;0),(EXP(LN(AK35/AJ35)/(AK$6-AJ$6))-1)*100,0)</f>
        <v>9.1589089268354194</v>
      </c>
      <c r="AK109" s="26">
        <f>IF(AND(AL$6-AK$6 &lt;&gt; 0,AK35&lt;&gt;0,AL35&lt;&gt;0),(EXP(LN(AL35/AK35)/(AL$6-AK$6))-1)*100,0)</f>
        <v>-0.49446732302043106</v>
      </c>
      <c r="AL109" s="26">
        <f>IF(AND(AM$6-AL$6 &lt;&gt; 0,AL35&lt;&gt;0,AM35&lt;&gt;0),(EXP(LN(AM35/AL35)/(AM$6-AL$6))-1)*100,0)</f>
        <v>0.9882609120382746</v>
      </c>
      <c r="AM109" s="26">
        <f>IF(AND(AM$6-AJ$6 &lt;&gt; 0,AJ35&lt;&gt;0,AM35&lt;&gt;0),(EXP(LN(AM35/AJ35)/(AM$6-AJ$6))-1)*100,0)</f>
        <v>1.0125341400251342</v>
      </c>
      <c r="AO109" s="26">
        <f t="shared" ref="AO109" si="280">IF($F$6-$D$6 &lt;&gt; 0,(EXP(LN(1+(AO72/100))/($F$6-$D$6))-1)*100,0)</f>
        <v>0.49157938744133212</v>
      </c>
      <c r="AP109" s="26">
        <f t="shared" ref="AP109" si="281">IF(AK35&gt;0,((1+(AP35/AK35))^(1/($F$6-$D$6))-1)*100,0)</f>
        <v>2.9818446328771175</v>
      </c>
      <c r="AQ109" s="26">
        <f t="shared" ref="AQ109" si="282">IF($F$6-$D$6 &lt;&gt; 0,(EXP(LN(1+(AQ72/100))/($F$6-$D$6))-1)*100,0)</f>
        <v>3.3115979611761048</v>
      </c>
      <c r="AS109" s="24" t="str">
        <f>AS35</f>
        <v>All occupations</v>
      </c>
      <c r="AT109" s="26">
        <f>IF(AND(AU$6-AT$6 &lt;&gt; 0,AT35&lt;&gt;0,AU35&lt;&gt;0),(EXP(LN(AU35/AT35)/(AU$6-AT$6))-1)*100,0)</f>
        <v>-1.8501743385010871</v>
      </c>
      <c r="AU109" s="26">
        <f>IF(AND(AV$6-AU$6 &lt;&gt; 0,AU35&lt;&gt;0,AV35&lt;&gt;0),(EXP(LN(AV35/AU35)/(AV$6-AU$6))-1)*100,0)</f>
        <v>6.4797350796977904</v>
      </c>
      <c r="AV109" s="26">
        <f>IF(AND(AW$6-AV$6 &lt;&gt; 0,AV35&lt;&gt;0,AW35&lt;&gt;0),(EXP(LN(AW35/AV35)/(AW$6-AV$6))-1)*100,0)</f>
        <v>1.14856536584651</v>
      </c>
      <c r="AW109" s="26">
        <f>IF(AND(AX$6-AW$6 &lt;&gt; 0,AW35&lt;&gt;0,AX35&lt;&gt;0),(EXP(LN(AX35/AW35)/(AX$6-AW$6))-1)*100,0)</f>
        <v>1.3630270186239635</v>
      </c>
      <c r="AX109" s="26">
        <f>IF(AND(AX$6-AU$6 &lt;&gt; 0,AU35&lt;&gt;0,AX35&lt;&gt;0),(EXP(LN(AX35/AU35)/(AX$6-AU$6))-1)*100,0)</f>
        <v>1.6082173669693001</v>
      </c>
      <c r="AZ109" s="26">
        <f t="shared" ref="AZ109" si="283">IF($F$6-$D$6 &lt;&gt; 0,(EXP(LN(1+(AZ72/100))/($F$6-$D$6))-1)*100,0)</f>
        <v>1.2914893246608328</v>
      </c>
      <c r="BA109" s="26">
        <f t="shared" ref="BA109" si="284">IF(AV35&gt;0,((1+(BA35/AV35))^(1/($F$6-$D$6))-1)*100,0)</f>
        <v>3.1067938023477737</v>
      </c>
      <c r="BB109" s="26">
        <f t="shared" ref="BB109" si="285">IF($F$6-$D$6 &lt;&gt; 0,(EXP(LN(1+(BB72/100))/($F$6-$D$6))-1)*100,0)</f>
        <v>3.9756556481597816</v>
      </c>
      <c r="BD109" s="24" t="str">
        <f>BD35</f>
        <v>All occupations</v>
      </c>
      <c r="BE109" s="26">
        <f>IF(AND(BF$6-BE$6 &lt;&gt; 0,BE35&lt;&gt;0,BF35&lt;&gt;0),(EXP(LN(BF35/BE35)/(BF$6-BE$6))-1)*100,0)</f>
        <v>-0.86117615527211422</v>
      </c>
      <c r="BF109" s="26">
        <f>IF(AND(BG$6-BF$6 &lt;&gt; 0,BF35&lt;&gt;0,BG35&lt;&gt;0),(EXP(LN(BG35/BF35)/(BG$6-BF$6))-1)*100,0)</f>
        <v>11.619548805201351</v>
      </c>
      <c r="BG109" s="26">
        <f>IF(AND(BH$6-BG$6 &lt;&gt; 0,BG35&lt;&gt;0,BH35&lt;&gt;0),(EXP(LN(BH35/BG35)/(BH$6-BG$6))-1)*100,0)</f>
        <v>-0.78627970504092648</v>
      </c>
      <c r="BH109" s="26">
        <f>IF(AND(BI$6-BH$6 &lt;&gt; 0,BH35&lt;&gt;0,BI35&lt;&gt;0),(EXP(LN(BI35/BH35)/(BI$6-BH$6))-1)*100,0)</f>
        <v>0.39650070234014123</v>
      </c>
      <c r="BI109" s="26">
        <f>IF(AND(BI$6-BF$6 &lt;&gt; 0,BF35&lt;&gt;0,BI35&lt;&gt;0),(EXP(LN(BI35/BF35)/(BI$6-BF$6))-1)*100,0)</f>
        <v>0.69004698391939012</v>
      </c>
      <c r="BK109" s="26">
        <f t="shared" ref="BK109" si="286">IF($F$6-$D$6 &lt;&gt; 0,(EXP(LN(1+(BK72/100))/($F$6-$D$6))-1)*100,0)</f>
        <v>6.8208110739487182E-4</v>
      </c>
      <c r="BL109" s="26">
        <f t="shared" ref="BL109" si="287">IF(BG35&gt;0,((1+(BL35/BG35))^(1/($F$6-$D$6))-1)*100,0)</f>
        <v>2.5243982086815331</v>
      </c>
      <c r="BM109" s="26">
        <f t="shared" ref="BM109" si="288">IF($F$6-$D$6 &lt;&gt; 0,(EXP(LN(1+(BM72/100))/($F$6-$D$6))-1)*100,0)</f>
        <v>2.5248793374069267</v>
      </c>
      <c r="BO109" s="24" t="str">
        <f>BO35</f>
        <v>All occupations</v>
      </c>
      <c r="BP109" s="26">
        <f>IF(AND(BQ$6-BP$6 &lt;&gt; 0,BP35&lt;&gt;0,BQ35&lt;&gt;0),(EXP(LN(BQ35/BP35)/(BQ$6-BP$6))-1)*100,0)</f>
        <v>-1.312534599495041</v>
      </c>
      <c r="BQ109" s="26">
        <f>IF(AND(BR$6-BQ$6 &lt;&gt; 0,BQ35&lt;&gt;0,BR35&lt;&gt;0),(EXP(LN(BR35/BQ35)/(BR$6-BQ$6))-1)*100,0)</f>
        <v>-1.2214982809334085</v>
      </c>
      <c r="BR109" s="26">
        <f>IF(AND(BS$6-BR$6 &lt;&gt; 0,BR35&lt;&gt;0,BS35&lt;&gt;0),(EXP(LN(BS35/BR35)/(BS$6-BR$6))-1)*100,0)</f>
        <v>-0.77611480318450221</v>
      </c>
      <c r="BS109" s="26">
        <f>IF(AND(BT$6-BS$6 &lt;&gt; 0,BS35&lt;&gt;0,BT35&lt;&gt;0),(EXP(LN(BT35/BS35)/(BT$6-BS$6))-1)*100,0)</f>
        <v>-1.0469656520595949</v>
      </c>
      <c r="BT109" s="26">
        <f>IF(AND(BT$6-BQ$6 &lt;&gt; 0,BQ35&lt;&gt;0,BT35&lt;&gt;0),(EXP(LN(BT35/BQ35)/(BT$6-BQ$6))-1)*100,0)</f>
        <v>-0.97333092590160541</v>
      </c>
      <c r="BV109" s="26">
        <f t="shared" ref="BV109" si="289">IF($F$6-$D$6 &lt;&gt; 0,(EXP(LN(1+(BV72/100))/($F$6-$D$6))-1)*100,0)</f>
        <v>-0.95676428447304396</v>
      </c>
      <c r="BW109" s="26">
        <f t="shared" ref="BW109" si="290">IF(BR35&gt;0,((1+(BW35/BR35))^(1/($F$6-$D$6))-1)*100,0)</f>
        <v>2.3001106187345188</v>
      </c>
      <c r="BX109" s="26">
        <f t="shared" ref="BX109" si="291">IF($F$6-$D$6 &lt;&gt; 0,(EXP(LN(1+(BX72/100))/($F$6-$D$6))-1)*100,0)</f>
        <v>1.6180167579309845</v>
      </c>
      <c r="BZ109" s="24" t="str">
        <f>BZ35</f>
        <v>All occupations</v>
      </c>
      <c r="CA109" s="26">
        <f>IF(AND(CB$6-CA$6 &lt;&gt; 0,CA35&lt;&gt;0,CB35&lt;&gt;0),(EXP(LN(CB35/CA35)/(CB$6-CA$6))-1)*100,0)</f>
        <v>1.7026635585372096</v>
      </c>
      <c r="CB109" s="26">
        <f>IF(AND(CC$6-CB$6 &lt;&gt; 0,CB35&lt;&gt;0,CC35&lt;&gt;0),(EXP(LN(CC35/CB35)/(CC$6-CB$6))-1)*100,0)</f>
        <v>-22.123577345055345</v>
      </c>
      <c r="CC109" s="26">
        <f>IF(AND(CD$6-CC$6 &lt;&gt; 0,CC35&lt;&gt;0,CD35&lt;&gt;0),(EXP(LN(CD35/CC35)/(CD$6-CC$6))-1)*100,0)</f>
        <v>-1.2576995837486948</v>
      </c>
      <c r="CD109" s="26">
        <f>IF(AND(CE$6-CD$6 &lt;&gt; 0,CD35&lt;&gt;0,CE35&lt;&gt;0),(EXP(LN(CE35/CD35)/(CE$6-CD$6))-1)*100,0)</f>
        <v>-4.6562443415747552</v>
      </c>
      <c r="CE109" s="26">
        <f>IF(AND(CE$6-CB$6 &lt;&gt; 0,CB35&lt;&gt;0,CE35&lt;&gt;0),(EXP(LN(CE35/CB35)/(CE$6-CB$6))-1)*100,0)</f>
        <v>-4.8184447561681054</v>
      </c>
      <c r="CG109" s="26">
        <f t="shared" ref="CG109" si="292">IF($F$6-$D$6 &lt;&gt; 0,(EXP(LN(1+(CG72/100))/($F$6-$D$6))-1)*100,0)</f>
        <v>-3.5365959025573046</v>
      </c>
      <c r="CH109" s="26">
        <f t="shared" ref="CH109" si="293">IF(CC35&gt;0,((1+(CH35/CC35))^(1/($F$6-$D$6))-1)*100,0)</f>
        <v>1.8749111619971393</v>
      </c>
      <c r="CI109" s="26">
        <f t="shared" ref="CI109" si="294">IF($F$6-$D$6 &lt;&gt; 0,(EXP(LN(1+(CI72/100))/($F$6-$D$6))-1)*100,0)</f>
        <v>-0.67048182033023762</v>
      </c>
      <c r="CK109" s="24" t="str">
        <f>CK35</f>
        <v>All occupations</v>
      </c>
      <c r="CL109" s="26">
        <f>IF(AND(CM$6-CL$6 &lt;&gt; 0,CL35&lt;&gt;0,CM35&lt;&gt;0),(EXP(LN(CM35/CL35)/(CM$6-CL$6))-1)*100,0)</f>
        <v>-4.9832064558660853</v>
      </c>
      <c r="CM109" s="26">
        <f>IF(AND(CN$6-CM$6 &lt;&gt; 0,CM35&lt;&gt;0,CN35&lt;&gt;0),(EXP(LN(CN35/CM35)/(CN$6-CM$6))-1)*100,0)</f>
        <v>-23.865533719256049</v>
      </c>
      <c r="CN109" s="26">
        <f>IF(AND(CO$6-CN$6 &lt;&gt; 0,CN35&lt;&gt;0,CO35&lt;&gt;0),(EXP(LN(CO35/CN35)/(CO$6-CN$6))-1)*100,0)</f>
        <v>-3.6455857136052816</v>
      </c>
      <c r="CO109" s="26">
        <f>IF(AND(CP$6-CO$6 &lt;&gt; 0,CO35&lt;&gt;0,CP35&lt;&gt;0),(EXP(LN(CP35/CO35)/(CP$6-CO$6))-1)*100,0)</f>
        <v>-3.3890217028279324</v>
      </c>
      <c r="CP109" s="26">
        <f>IF(AND(CP$6-CM$6 &lt;&gt; 0,CM35&lt;&gt;0,CP35&lt;&gt;0),(EXP(LN(CP35/CM35)/(CP$6-CM$6))-1)*100,0)</f>
        <v>-4.8956763037981021</v>
      </c>
      <c r="CR109" s="26">
        <f t="shared" ref="CR109" si="295">IF($F$6-$D$6 &lt;&gt; 0,(EXP(LN(1+(CR72/100))/($F$6-$D$6))-1)*100,0)</f>
        <v>-3.4746188562803981</v>
      </c>
      <c r="CS109" s="26">
        <f t="shared" ref="CS109" si="296">IF(CN35&gt;0,((1+(CS35/CN35))^(1/($F$6-$D$6))-1)*100,0)</f>
        <v>1.5772817726147359</v>
      </c>
      <c r="CT109" s="26">
        <f t="shared" ref="CT109" si="297">IF($F$6-$D$6 &lt;&gt; 0,(EXP(LN(1+(CT72/100))/($F$6-$D$6))-1)*100,0)</f>
        <v>-1.0549937709611434</v>
      </c>
    </row>
    <row r="112" spans="1:98" ht="47.25" customHeight="1" x14ac:dyDescent="0.2">
      <c r="A112" s="381" t="str">
        <f>CONCATENATE(A$1," (Continued)")</f>
        <v>Basic Table 2  Employment Change by Occupation and Replacement Demand, RQF8 Doctorate, 2015-2035, North East (Continued)</v>
      </c>
      <c r="B112" s="381"/>
      <c r="C112" s="381"/>
      <c r="D112" s="381"/>
      <c r="E112" s="381"/>
      <c r="F112" s="381"/>
      <c r="G112" s="381"/>
      <c r="H112" s="381"/>
      <c r="I112" s="381"/>
      <c r="J112" s="381"/>
      <c r="L112" s="381" t="str">
        <f>CONCATENATE(L$1," (Continued)")</f>
        <v>Basic Table 2.1  Employment Change by Occupation and Replacement Demand, RQF7 Other higher degree, 2015-2035, North East (Continued)</v>
      </c>
      <c r="M112" s="381"/>
      <c r="N112" s="381"/>
      <c r="O112" s="381"/>
      <c r="P112" s="381"/>
      <c r="Q112" s="381"/>
      <c r="R112" s="381"/>
      <c r="S112" s="381"/>
      <c r="T112" s="381"/>
      <c r="U112" s="381"/>
      <c r="W112" s="381" t="str">
        <f>CONCATENATE(W$1," (Continued)")</f>
        <v>Basic Table 2.2  Employment Change by Occupation and Replacement Demand, RQF6 First degree, 2015-2035, North East (Continued)</v>
      </c>
      <c r="X112" s="381"/>
      <c r="Y112" s="381"/>
      <c r="Z112" s="381"/>
      <c r="AA112" s="381"/>
      <c r="AB112" s="381"/>
      <c r="AC112" s="381"/>
      <c r="AD112" s="381"/>
      <c r="AE112" s="381"/>
      <c r="AF112" s="381"/>
      <c r="AH112" s="381" t="str">
        <f>CONCATENATE(AH$1," (Continued)")</f>
        <v>Basic Table 2.3  Employment Change by Occupation and Replacement Demand, RQF5 Foundation degree;Nursing;Teaching, 2015-2035, North East (Continued)</v>
      </c>
      <c r="AI112" s="381"/>
      <c r="AJ112" s="381"/>
      <c r="AK112" s="381"/>
      <c r="AL112" s="381"/>
      <c r="AM112" s="381"/>
      <c r="AN112" s="381"/>
      <c r="AO112" s="381"/>
      <c r="AP112" s="381"/>
      <c r="AQ112" s="381"/>
      <c r="AS112" s="381" t="str">
        <f>CONCATENATE(AS$1," (Continued)")</f>
        <v>Basic Table 2.4  Employment Change by Occupation and Replacement Demand, RQF4 HE below degree level, 2015-2035, North East (Continued)</v>
      </c>
      <c r="AT112" s="381"/>
      <c r="AU112" s="381"/>
      <c r="AV112" s="381"/>
      <c r="AW112" s="381"/>
      <c r="AX112" s="381"/>
      <c r="AY112" s="381"/>
      <c r="AZ112" s="381"/>
      <c r="BA112" s="381"/>
      <c r="BB112" s="381"/>
      <c r="BD112" s="381" t="str">
        <f>CONCATENATE(BD$1," (Continued)")</f>
        <v>Basic Table 2.5  Employment Change by Occupation and Replacement Demand, RQF3 A level &amp; equivalent, 2015-2035, North East (Continued)</v>
      </c>
      <c r="BE112" s="381"/>
      <c r="BF112" s="381"/>
      <c r="BG112" s="381"/>
      <c r="BH112" s="381"/>
      <c r="BI112" s="381"/>
      <c r="BJ112" s="381"/>
      <c r="BK112" s="381"/>
      <c r="BL112" s="381"/>
      <c r="BM112" s="381"/>
      <c r="BO112" s="381" t="str">
        <f>CONCATENATE(BO$1," (Continued)")</f>
        <v>Basic Table 2.6  Employment Change by Occupation and Replacement Demand, RQF2 GCSE(A-C) &amp; equivalent, 2015-2035, North East (Continued)</v>
      </c>
      <c r="BP112" s="381"/>
      <c r="BQ112" s="381"/>
      <c r="BR112" s="381"/>
      <c r="BS112" s="381"/>
      <c r="BT112" s="381"/>
      <c r="BU112" s="381"/>
      <c r="BV112" s="381"/>
      <c r="BW112" s="381"/>
      <c r="BX112" s="381"/>
      <c r="BZ112" s="381" t="str">
        <f>CONCATENATE(BZ$1," (Continued)")</f>
        <v>Basic Table 2.7  Employment Change by Occupation and Replacement Demand, RQF1 GCSE(below grade C) &amp; equivalent, 2015-2035, North East (Continued)</v>
      </c>
      <c r="CA112" s="381"/>
      <c r="CB112" s="381"/>
      <c r="CC112" s="381"/>
      <c r="CD112" s="381"/>
      <c r="CE112" s="381"/>
      <c r="CF112" s="381"/>
      <c r="CG112" s="381"/>
      <c r="CH112" s="381"/>
      <c r="CI112" s="381"/>
      <c r="CK112" s="381" t="str">
        <f>CONCATENATE(CK$1," (Continued)")</f>
        <v>Basic Table 2.8  Employment Change by Occupation and Replacement Demand, No Qualification, 2015-2035, North East (Continued)</v>
      </c>
      <c r="CL112" s="381"/>
      <c r="CM112" s="381"/>
      <c r="CN112" s="381"/>
      <c r="CO112" s="381"/>
      <c r="CP112" s="381"/>
      <c r="CQ112" s="381"/>
      <c r="CR112" s="381"/>
      <c r="CS112" s="381"/>
      <c r="CT112" s="381"/>
    </row>
    <row r="114" spans="1:94" x14ac:dyDescent="0.2">
      <c r="F114" s="16" t="s">
        <v>36</v>
      </c>
      <c r="Q114" s="16" t="s">
        <v>36</v>
      </c>
      <c r="AB114" s="16" t="s">
        <v>36</v>
      </c>
      <c r="AM114" s="16" t="s">
        <v>36</v>
      </c>
      <c r="AX114" s="16" t="s">
        <v>36</v>
      </c>
      <c r="BI114" s="16" t="s">
        <v>36</v>
      </c>
      <c r="BT114" s="16" t="s">
        <v>36</v>
      </c>
      <c r="CE114" s="16" t="s">
        <v>36</v>
      </c>
      <c r="CP114" s="16" t="s">
        <v>36</v>
      </c>
    </row>
    <row r="115" spans="1:94" x14ac:dyDescent="0.2">
      <c r="A115" s="36"/>
      <c r="B115" s="36"/>
      <c r="C115" s="36"/>
      <c r="D115" s="36"/>
      <c r="E115" s="36"/>
      <c r="F115" s="36"/>
      <c r="L115" s="36"/>
      <c r="M115" s="36"/>
      <c r="N115" s="36"/>
      <c r="O115" s="36"/>
      <c r="P115" s="36"/>
      <c r="Q115" s="36"/>
      <c r="W115" s="36"/>
      <c r="X115" s="36"/>
      <c r="Y115" s="36"/>
      <c r="Z115" s="36"/>
      <c r="AA115" s="36"/>
      <c r="AB115" s="36"/>
      <c r="AH115" s="36"/>
      <c r="AI115" s="36"/>
      <c r="AJ115" s="36"/>
      <c r="AK115" s="36"/>
      <c r="AL115" s="36"/>
      <c r="AM115" s="36"/>
      <c r="AS115" s="36"/>
      <c r="AT115" s="36"/>
      <c r="AU115" s="36"/>
      <c r="AV115" s="36"/>
      <c r="AW115" s="36"/>
      <c r="AX115" s="36"/>
      <c r="BD115" s="36"/>
      <c r="BE115" s="36"/>
      <c r="BF115" s="36"/>
      <c r="BG115" s="36"/>
      <c r="BH115" s="36"/>
      <c r="BI115" s="36"/>
      <c r="BO115" s="36"/>
      <c r="BP115" s="36"/>
      <c r="BQ115" s="36"/>
      <c r="BR115" s="36"/>
      <c r="BS115" s="36"/>
      <c r="BT115" s="36"/>
      <c r="BZ115" s="36"/>
      <c r="CA115" s="36"/>
      <c r="CB115" s="36"/>
      <c r="CC115" s="36"/>
      <c r="CD115" s="36"/>
      <c r="CE115" s="36"/>
      <c r="CK115" s="36"/>
      <c r="CL115" s="36"/>
      <c r="CM115" s="36"/>
      <c r="CN115" s="36"/>
      <c r="CO115" s="36"/>
      <c r="CP115" s="36"/>
    </row>
    <row r="117" spans="1:94" x14ac:dyDescent="0.2">
      <c r="A117" s="41" t="s">
        <v>19</v>
      </c>
      <c r="B117" s="64" t="str">
        <f>CONCATENATE(B$6,"-",C$6)</f>
        <v>2015-2019</v>
      </c>
      <c r="C117" s="64" t="str">
        <f>CONCATENATE(C$6,"-",D$6)</f>
        <v>2019-2020</v>
      </c>
      <c r="D117" s="64" t="str">
        <f>CONCATENATE(D$6,"-",E$6)</f>
        <v>2020-2025</v>
      </c>
      <c r="E117" s="64" t="str">
        <f>CONCATENATE(E$6,"-",F$6)</f>
        <v>2025-2035</v>
      </c>
      <c r="F117" s="64" t="str">
        <f>CONCATENATE(D$6,"-",F$6)</f>
        <v>2020-2035</v>
      </c>
      <c r="L117" s="41" t="s">
        <v>19</v>
      </c>
      <c r="M117" s="64" t="str">
        <f>CONCATENATE(M$6,"-",N$6)</f>
        <v>2015-2019</v>
      </c>
      <c r="N117" s="64" t="str">
        <f>CONCATENATE(N$6,"-",O$6)</f>
        <v>2019-2020</v>
      </c>
      <c r="O117" s="64" t="str">
        <f>CONCATENATE(O$6,"-",P$6)</f>
        <v>2020-2025</v>
      </c>
      <c r="P117" s="64" t="str">
        <f>CONCATENATE(P$6,"-",Q$6)</f>
        <v>2025-2035</v>
      </c>
      <c r="Q117" s="64" t="str">
        <f>CONCATENATE(O$6,"-",Q$6)</f>
        <v>2020-2035</v>
      </c>
      <c r="W117" s="41" t="s">
        <v>19</v>
      </c>
      <c r="X117" s="64" t="str">
        <f>CONCATENATE(X$6,"-",Y$6)</f>
        <v>2015-2019</v>
      </c>
      <c r="Y117" s="64" t="str">
        <f>CONCATENATE(Y$6,"-",Z$6)</f>
        <v>2019-2020</v>
      </c>
      <c r="Z117" s="64" t="str">
        <f>CONCATENATE(Z$6,"-",AA$6)</f>
        <v>2020-2025</v>
      </c>
      <c r="AA117" s="64" t="str">
        <f>CONCATENATE(AA$6,"-",AB$6)</f>
        <v>2025-2035</v>
      </c>
      <c r="AB117" s="64" t="str">
        <f>CONCATENATE(Z$6,"-",AB$6)</f>
        <v>2020-2035</v>
      </c>
      <c r="AH117" s="41" t="s">
        <v>19</v>
      </c>
      <c r="AI117" s="64" t="str">
        <f>CONCATENATE(AI$6,"-",AJ$6)</f>
        <v>2015-2019</v>
      </c>
      <c r="AJ117" s="64" t="str">
        <f>CONCATENATE(AJ$6,"-",AK$6)</f>
        <v>2019-2020</v>
      </c>
      <c r="AK117" s="64" t="str">
        <f>CONCATENATE(AK$6,"-",AL$6)</f>
        <v>2020-2025</v>
      </c>
      <c r="AL117" s="64" t="str">
        <f>CONCATENATE(AL$6,"-",AM$6)</f>
        <v>2025-2035</v>
      </c>
      <c r="AM117" s="64" t="str">
        <f>CONCATENATE(AK$6,"-",AM$6)</f>
        <v>2020-2035</v>
      </c>
      <c r="AS117" s="41" t="s">
        <v>19</v>
      </c>
      <c r="AT117" s="64" t="str">
        <f>CONCATENATE(AT$6,"-",AU$6)</f>
        <v>2015-2019</v>
      </c>
      <c r="AU117" s="64" t="str">
        <f>CONCATENATE(AU$6,"-",AV$6)</f>
        <v>2019-2020</v>
      </c>
      <c r="AV117" s="64" t="str">
        <f>CONCATENATE(AV$6,"-",AW$6)</f>
        <v>2020-2025</v>
      </c>
      <c r="AW117" s="64" t="str">
        <f>CONCATENATE(AW$6,"-",AX$6)</f>
        <v>2025-2035</v>
      </c>
      <c r="AX117" s="64" t="str">
        <f>CONCATENATE(AV$6,"-",AX$6)</f>
        <v>2020-2035</v>
      </c>
      <c r="BD117" s="41" t="s">
        <v>19</v>
      </c>
      <c r="BE117" s="64" t="str">
        <f>CONCATENATE(BE$6,"-",BF$6)</f>
        <v>2015-2019</v>
      </c>
      <c r="BF117" s="64" t="str">
        <f>CONCATENATE(BF$6,"-",BG$6)</f>
        <v>2019-2020</v>
      </c>
      <c r="BG117" s="64" t="str">
        <f>CONCATENATE(BG$6,"-",BH$6)</f>
        <v>2020-2025</v>
      </c>
      <c r="BH117" s="64" t="str">
        <f>CONCATENATE(BH$6,"-",BI$6)</f>
        <v>2025-2035</v>
      </c>
      <c r="BI117" s="64" t="str">
        <f>CONCATENATE(BG$6,"-",BI$6)</f>
        <v>2020-2035</v>
      </c>
      <c r="BO117" s="41" t="s">
        <v>19</v>
      </c>
      <c r="BP117" s="64" t="str">
        <f>CONCATENATE(BP$6,"-",BQ$6)</f>
        <v>2015-2019</v>
      </c>
      <c r="BQ117" s="64" t="str">
        <f>CONCATENATE(BQ$6,"-",BR$6)</f>
        <v>2019-2020</v>
      </c>
      <c r="BR117" s="64" t="str">
        <f>CONCATENATE(BR$6,"-",BS$6)</f>
        <v>2020-2025</v>
      </c>
      <c r="BS117" s="64" t="str">
        <f>CONCATENATE(BS$6,"-",BT$6)</f>
        <v>2025-2035</v>
      </c>
      <c r="BT117" s="64" t="str">
        <f>CONCATENATE(BR$6,"-",BT$6)</f>
        <v>2020-2035</v>
      </c>
      <c r="BZ117" s="41" t="s">
        <v>19</v>
      </c>
      <c r="CA117" s="64" t="str">
        <f>CONCATENATE(CA$6,"-",CB$6)</f>
        <v>2015-2019</v>
      </c>
      <c r="CB117" s="64" t="str">
        <f>CONCATENATE(CB$6,"-",CC$6)</f>
        <v>2019-2020</v>
      </c>
      <c r="CC117" s="64" t="str">
        <f>CONCATENATE(CC$6,"-",CD$6)</f>
        <v>2020-2025</v>
      </c>
      <c r="CD117" s="64" t="str">
        <f>CONCATENATE(CD$6,"-",CE$6)</f>
        <v>2025-2035</v>
      </c>
      <c r="CE117" s="64" t="str">
        <f>CONCATENATE(CC$6,"-",CE$6)</f>
        <v>2020-2035</v>
      </c>
      <c r="CK117" s="41" t="s">
        <v>19</v>
      </c>
      <c r="CL117" s="64" t="str">
        <f>CONCATENATE(CL$6,"-",CM$6)</f>
        <v>2015-2019</v>
      </c>
      <c r="CM117" s="64" t="str">
        <f>CONCATENATE(CM$6,"-",CN$6)</f>
        <v>2019-2020</v>
      </c>
      <c r="CN117" s="64" t="str">
        <f>CONCATENATE(CN$6,"-",CO$6)</f>
        <v>2020-2025</v>
      </c>
      <c r="CO117" s="64" t="str">
        <f>CONCATENATE(CO$6,"-",CP$6)</f>
        <v>2025-2035</v>
      </c>
      <c r="CP117" s="64" t="str">
        <f>CONCATENATE(CN$6,"-",CP$6)</f>
        <v>2020-2035</v>
      </c>
    </row>
    <row r="118" spans="1:94" x14ac:dyDescent="0.2">
      <c r="B118" s="20"/>
      <c r="C118" s="20"/>
      <c r="D118" s="20"/>
      <c r="E118" s="20"/>
      <c r="F118" s="20"/>
      <c r="M118" s="20"/>
      <c r="N118" s="20"/>
      <c r="O118" s="20"/>
      <c r="P118" s="20"/>
      <c r="Q118" s="20"/>
      <c r="X118" s="20"/>
      <c r="Y118" s="20"/>
      <c r="Z118" s="20"/>
      <c r="AA118" s="20"/>
      <c r="AB118" s="20"/>
      <c r="AI118" s="20"/>
      <c r="AJ118" s="20"/>
      <c r="AK118" s="20"/>
      <c r="AL118" s="20"/>
      <c r="AM118" s="20"/>
      <c r="AT118" s="20"/>
      <c r="AU118" s="20"/>
      <c r="AV118" s="20"/>
      <c r="AW118" s="20"/>
      <c r="AX118" s="20"/>
      <c r="BE118" s="20"/>
      <c r="BF118" s="20"/>
      <c r="BG118" s="20"/>
      <c r="BH118" s="20"/>
      <c r="BI118" s="20"/>
      <c r="BP118" s="20"/>
      <c r="BQ118" s="20"/>
      <c r="BR118" s="20"/>
      <c r="BS118" s="20"/>
      <c r="BT118" s="20"/>
      <c r="CA118" s="20"/>
      <c r="CB118" s="20"/>
      <c r="CC118" s="20"/>
      <c r="CD118" s="20"/>
      <c r="CE118" s="20"/>
      <c r="CL118" s="20"/>
      <c r="CM118" s="20"/>
      <c r="CN118" s="20"/>
      <c r="CO118" s="20"/>
      <c r="CP118" s="20"/>
    </row>
    <row r="119" spans="1:94" x14ac:dyDescent="0.2">
      <c r="A119" t="str">
        <f t="shared" ref="A119:A144" si="298">A8</f>
        <v>11 Corporate managers and directors</v>
      </c>
      <c r="B119" s="27">
        <f t="shared" ref="B119:E144" si="299">C8-B8</f>
        <v>9.8811670906618604E-2</v>
      </c>
      <c r="C119" s="27">
        <f t="shared" si="299"/>
        <v>-5.008377055423896E-2</v>
      </c>
      <c r="D119" s="27">
        <f t="shared" si="299"/>
        <v>2.738050148293536E-2</v>
      </c>
      <c r="E119" s="27">
        <f t="shared" si="299"/>
        <v>8.4622155939188648E-2</v>
      </c>
      <c r="F119" s="27">
        <f t="shared" ref="F119:F144" si="300">F8-D8</f>
        <v>0.11200265742212401</v>
      </c>
      <c r="L119" t="str">
        <f>A119</f>
        <v>11 Corporate managers and directors</v>
      </c>
      <c r="M119" s="27">
        <f t="shared" ref="M119:P144" si="301">N8-M8</f>
        <v>1.0761358151619669</v>
      </c>
      <c r="N119" s="27">
        <f t="shared" si="301"/>
        <v>-0.50646416395940586</v>
      </c>
      <c r="O119" s="27">
        <f t="shared" si="301"/>
        <v>0.17960407700210412</v>
      </c>
      <c r="P119" s="27">
        <f t="shared" si="301"/>
        <v>0.64709989234307308</v>
      </c>
      <c r="Q119" s="27">
        <f t="shared" ref="Q119:Q144" si="302">Q8-O8</f>
        <v>0.8267039693451772</v>
      </c>
      <c r="W119" t="str">
        <f>A119</f>
        <v>11 Corporate managers and directors</v>
      </c>
      <c r="X119" s="27">
        <f t="shared" ref="X119:AA144" si="303">Y8-X8</f>
        <v>0.28422073079901544</v>
      </c>
      <c r="Y119" s="27">
        <f t="shared" si="303"/>
        <v>0.40412136289295653</v>
      </c>
      <c r="Z119" s="27">
        <f t="shared" si="303"/>
        <v>2.164282635509629E-2</v>
      </c>
      <c r="AA119" s="27">
        <f t="shared" si="303"/>
        <v>1.3138705109676057</v>
      </c>
      <c r="AB119" s="27">
        <f t="shared" ref="AB119:AB144" si="304">AB8-Z8</f>
        <v>1.3355133373227019</v>
      </c>
      <c r="AH119" t="str">
        <f>L119</f>
        <v>11 Corporate managers and directors</v>
      </c>
      <c r="AI119" s="27">
        <f t="shared" ref="AI119:AL144" si="305">AJ8-AI8</f>
        <v>-4.4288697455679982E-2</v>
      </c>
      <c r="AJ119" s="27">
        <f t="shared" si="305"/>
        <v>0.21228690706981101</v>
      </c>
      <c r="AK119" s="27">
        <f t="shared" si="305"/>
        <v>-9.9574019542354231E-2</v>
      </c>
      <c r="AL119" s="27">
        <f t="shared" si="305"/>
        <v>0.19041582400152923</v>
      </c>
      <c r="AM119" s="27">
        <f t="shared" ref="AM119:AM144" si="306">AM8-AK8</f>
        <v>9.0841804459175002E-2</v>
      </c>
      <c r="AS119" t="str">
        <f>W119</f>
        <v>11 Corporate managers and directors</v>
      </c>
      <c r="AT119" s="27">
        <f t="shared" ref="AT119:AW144" si="307">AU8-AT8</f>
        <v>-7.614994216895199E-2</v>
      </c>
      <c r="AU119" s="27">
        <f t="shared" si="307"/>
        <v>0.1249050471842128</v>
      </c>
      <c r="AV119" s="27">
        <f t="shared" si="307"/>
        <v>-0.14193084373390596</v>
      </c>
      <c r="AW119" s="27">
        <f t="shared" si="307"/>
        <v>0.13007255152694719</v>
      </c>
      <c r="AX119" s="27">
        <f t="shared" ref="AX119:AX144" si="308">AX8-AV8</f>
        <v>-1.1858292206958776E-2</v>
      </c>
      <c r="BD119" t="str">
        <f>AH119</f>
        <v>11 Corporate managers and directors</v>
      </c>
      <c r="BE119" s="27">
        <f t="shared" ref="BE119:BH144" si="309">BF8-BE8</f>
        <v>0.42604953300671866</v>
      </c>
      <c r="BF119" s="27">
        <f t="shared" si="309"/>
        <v>1.1378114554412244</v>
      </c>
      <c r="BG119" s="27">
        <f t="shared" si="309"/>
        <v>-1.3124324552170448</v>
      </c>
      <c r="BH119" s="27">
        <f t="shared" si="309"/>
        <v>0.44106868905280905</v>
      </c>
      <c r="BI119" s="27">
        <f t="shared" ref="BI119:BI144" si="310">BI8-BG8</f>
        <v>-0.87136376616423572</v>
      </c>
      <c r="BO119" t="str">
        <f>AS119</f>
        <v>11 Corporate managers and directors</v>
      </c>
      <c r="BP119" s="27">
        <f t="shared" ref="BP119:BS144" si="311">BQ8-BP8</f>
        <v>0.31485907151863035</v>
      </c>
      <c r="BQ119" s="27">
        <f t="shared" si="311"/>
        <v>7.6212338604445762E-2</v>
      </c>
      <c r="BR119" s="27">
        <f t="shared" si="311"/>
        <v>-0.65048034642752661</v>
      </c>
      <c r="BS119" s="27">
        <f t="shared" si="311"/>
        <v>-0.26272026897278966</v>
      </c>
      <c r="BT119" s="27">
        <f t="shared" ref="BT119:BT144" si="312">BT8-BR8</f>
        <v>-0.91320061540031627</v>
      </c>
      <c r="BZ119" t="str">
        <f>BD119</f>
        <v>11 Corporate managers and directors</v>
      </c>
      <c r="CA119" s="68">
        <f t="shared" ref="CA119:CD144" si="313">CB8-CA8</f>
        <v>0.76409666473450422</v>
      </c>
      <c r="CB119" s="68">
        <f t="shared" si="313"/>
        <v>-0.52270915179313437</v>
      </c>
      <c r="CC119" s="68">
        <f t="shared" si="313"/>
        <v>-0.16512707863732246</v>
      </c>
      <c r="CD119" s="68">
        <f t="shared" si="313"/>
        <v>-0.55124948268406104</v>
      </c>
      <c r="CE119" s="68">
        <f t="shared" ref="CE119:CE144" si="314">CE8-CC8</f>
        <v>-0.7163765613213835</v>
      </c>
      <c r="CK119" t="str">
        <f>BO119</f>
        <v>11 Corporate managers and directors</v>
      </c>
      <c r="CL119" s="68">
        <f t="shared" ref="CL119:CO144" si="315">CM8-CL8</f>
        <v>0.10711794151693599</v>
      </c>
      <c r="CM119" s="68">
        <f t="shared" si="315"/>
        <v>-0.14712489792598205</v>
      </c>
      <c r="CN119" s="68">
        <f t="shared" si="315"/>
        <v>-8.5951677244920865E-2</v>
      </c>
      <c r="CO119" s="68">
        <f t="shared" si="315"/>
        <v>5.4704585512605208E-2</v>
      </c>
      <c r="CP119" s="68">
        <f t="shared" ref="CP119:CP144" si="316">CP8-CN8</f>
        <v>-3.1247091732315657E-2</v>
      </c>
    </row>
    <row r="120" spans="1:94" x14ac:dyDescent="0.2">
      <c r="A120" t="str">
        <f t="shared" si="298"/>
        <v>12 Other managers and proprietors</v>
      </c>
      <c r="B120" s="27">
        <f t="shared" si="299"/>
        <v>6.5503703494334459E-2</v>
      </c>
      <c r="C120" s="27">
        <f t="shared" si="299"/>
        <v>-4.3210757204521472E-2</v>
      </c>
      <c r="D120" s="27">
        <f t="shared" si="299"/>
        <v>6.1945374370261069E-2</v>
      </c>
      <c r="E120" s="27">
        <f t="shared" si="299"/>
        <v>9.92703636639507E-2</v>
      </c>
      <c r="F120" s="27">
        <f t="shared" si="300"/>
        <v>0.16121573803421177</v>
      </c>
      <c r="L120" t="str">
        <f t="shared" ref="L120:L143" si="317">A120</f>
        <v>12 Other managers and proprietors</v>
      </c>
      <c r="M120" s="27">
        <f t="shared" si="301"/>
        <v>0.44813987473651962</v>
      </c>
      <c r="N120" s="27">
        <f t="shared" si="301"/>
        <v>-0.20002024652063688</v>
      </c>
      <c r="O120" s="27">
        <f t="shared" si="301"/>
        <v>0.51622762933030075</v>
      </c>
      <c r="P120" s="27">
        <f t="shared" si="301"/>
        <v>0.83883585289170082</v>
      </c>
      <c r="Q120" s="27">
        <f t="shared" si="302"/>
        <v>1.3550634822220016</v>
      </c>
      <c r="W120" t="str">
        <f t="shared" ref="W120:W143" si="318">A120</f>
        <v>12 Other managers and proprietors</v>
      </c>
      <c r="X120" s="27">
        <f t="shared" si="303"/>
        <v>0.15088384415708411</v>
      </c>
      <c r="Y120" s="27">
        <f t="shared" si="303"/>
        <v>7.9449650437779962E-2</v>
      </c>
      <c r="Z120" s="27">
        <f t="shared" si="303"/>
        <v>0.9786375217798895</v>
      </c>
      <c r="AA120" s="27">
        <f t="shared" si="303"/>
        <v>1.0855116598897352</v>
      </c>
      <c r="AB120" s="27">
        <f t="shared" si="304"/>
        <v>2.0641491816696247</v>
      </c>
      <c r="AH120" t="str">
        <f t="shared" ref="AH120:AH143" si="319">L120</f>
        <v>12 Other managers and proprietors</v>
      </c>
      <c r="AI120" s="27">
        <f t="shared" si="305"/>
        <v>2.5943535064416268E-2</v>
      </c>
      <c r="AJ120" s="27">
        <f t="shared" si="305"/>
        <v>0.14220335062002964</v>
      </c>
      <c r="AK120" s="27">
        <f t="shared" si="305"/>
        <v>0.21887961592435379</v>
      </c>
      <c r="AL120" s="27">
        <f t="shared" si="305"/>
        <v>0.3877381881277242</v>
      </c>
      <c r="AM120" s="27">
        <f t="shared" si="306"/>
        <v>0.60661780405207799</v>
      </c>
      <c r="AS120" t="str">
        <f t="shared" ref="AS120:AS143" si="320">W120</f>
        <v>12 Other managers and proprietors</v>
      </c>
      <c r="AT120" s="27">
        <f t="shared" si="307"/>
        <v>3.4882374980248487E-3</v>
      </c>
      <c r="AU120" s="27">
        <f t="shared" si="307"/>
        <v>-1.366859368884854E-2</v>
      </c>
      <c r="AV120" s="27">
        <f t="shared" si="307"/>
        <v>0.22632350748541885</v>
      </c>
      <c r="AW120" s="27">
        <f t="shared" si="307"/>
        <v>0.17443097961607235</v>
      </c>
      <c r="AX120" s="27">
        <f t="shared" si="308"/>
        <v>0.4007544871014912</v>
      </c>
      <c r="BD120" t="str">
        <f t="shared" ref="BD120:BD143" si="321">AH120</f>
        <v>12 Other managers and proprietors</v>
      </c>
      <c r="BE120" s="27">
        <f t="shared" si="309"/>
        <v>-0.26981868362574435</v>
      </c>
      <c r="BF120" s="27">
        <f t="shared" si="309"/>
        <v>0.35849085996954955</v>
      </c>
      <c r="BG120" s="27">
        <f t="shared" si="309"/>
        <v>7.9394837524665807E-2</v>
      </c>
      <c r="BH120" s="27">
        <f t="shared" si="309"/>
        <v>0.4503319732281712</v>
      </c>
      <c r="BI120" s="27">
        <f t="shared" si="310"/>
        <v>0.52972681075283701</v>
      </c>
      <c r="BO120" t="str">
        <f t="shared" ref="BO120:BO143" si="322">AS120</f>
        <v>12 Other managers and proprietors</v>
      </c>
      <c r="BP120" s="27">
        <f t="shared" si="311"/>
        <v>0.16427729169375338</v>
      </c>
      <c r="BQ120" s="27">
        <f t="shared" si="311"/>
        <v>-7.7746244062241399E-2</v>
      </c>
      <c r="BR120" s="27">
        <f t="shared" si="311"/>
        <v>0.45396123663197141</v>
      </c>
      <c r="BS120" s="27">
        <f t="shared" si="311"/>
        <v>0.22212417737592149</v>
      </c>
      <c r="BT120" s="27">
        <f t="shared" si="312"/>
        <v>0.6760854140078929</v>
      </c>
      <c r="BZ120" t="str">
        <f t="shared" ref="BZ120:BZ143" si="323">BD120</f>
        <v>12 Other managers and proprietors</v>
      </c>
      <c r="CA120" s="68">
        <f t="shared" si="313"/>
        <v>0.49556443520004057</v>
      </c>
      <c r="CB120" s="68">
        <f t="shared" si="313"/>
        <v>-0.54973267634425871</v>
      </c>
      <c r="CC120" s="68">
        <f t="shared" si="313"/>
        <v>0.21379087199973656</v>
      </c>
      <c r="CD120" s="68">
        <f t="shared" si="313"/>
        <v>-0.45219299577821181</v>
      </c>
      <c r="CE120" s="68">
        <f t="shared" si="314"/>
        <v>-0.23840212377847525</v>
      </c>
      <c r="CK120" t="str">
        <f t="shared" ref="CK120:CK143" si="324">BO120</f>
        <v>12 Other managers and proprietors</v>
      </c>
      <c r="CL120" s="68">
        <f t="shared" si="315"/>
        <v>-7.3372316209792898E-2</v>
      </c>
      <c r="CM120" s="68">
        <f t="shared" si="315"/>
        <v>-0.14731041770116249</v>
      </c>
      <c r="CN120" s="68">
        <f t="shared" si="315"/>
        <v>9.5150379674278529E-2</v>
      </c>
      <c r="CO120" s="68">
        <f t="shared" si="315"/>
        <v>-2.7317524305118024E-2</v>
      </c>
      <c r="CP120" s="68">
        <f t="shared" si="316"/>
        <v>6.7832855369160505E-2</v>
      </c>
    </row>
    <row r="121" spans="1:94" x14ac:dyDescent="0.2">
      <c r="A121" t="str">
        <f t="shared" si="298"/>
        <v>21 Science, research, engineering and technology professionals</v>
      </c>
      <c r="B121" s="27">
        <f t="shared" si="299"/>
        <v>0.33409678917840446</v>
      </c>
      <c r="C121" s="27">
        <f t="shared" si="299"/>
        <v>-0.15200124058980891</v>
      </c>
      <c r="D121" s="27">
        <f t="shared" si="299"/>
        <v>0.24172993799830766</v>
      </c>
      <c r="E121" s="27">
        <f t="shared" si="299"/>
        <v>0.40195932686977986</v>
      </c>
      <c r="F121" s="27">
        <f t="shared" si="300"/>
        <v>0.64368926486808753</v>
      </c>
      <c r="L121" t="str">
        <f t="shared" si="317"/>
        <v>21 Science, research, engineering and technology professionals</v>
      </c>
      <c r="M121" s="27">
        <f t="shared" si="301"/>
        <v>1.343845631834331</v>
      </c>
      <c r="N121" s="27">
        <f t="shared" si="301"/>
        <v>-0.48814163634289587</v>
      </c>
      <c r="O121" s="27">
        <f t="shared" si="301"/>
        <v>1.0376037309184247</v>
      </c>
      <c r="P121" s="27">
        <f t="shared" si="301"/>
        <v>1.7359144133173086</v>
      </c>
      <c r="Q121" s="27">
        <f t="shared" si="302"/>
        <v>2.7735181442357333</v>
      </c>
      <c r="W121" t="str">
        <f t="shared" si="318"/>
        <v>21 Science, research, engineering and technology professionals</v>
      </c>
      <c r="X121" s="27">
        <f t="shared" si="303"/>
        <v>-0.86560567011720924</v>
      </c>
      <c r="Y121" s="27">
        <f t="shared" si="303"/>
        <v>0.5064692357075975</v>
      </c>
      <c r="Z121" s="27">
        <f t="shared" si="303"/>
        <v>0.47808695851378147</v>
      </c>
      <c r="AA121" s="27">
        <f t="shared" si="303"/>
        <v>0.4944385006542813</v>
      </c>
      <c r="AB121" s="27">
        <f t="shared" si="304"/>
        <v>0.97252545916806277</v>
      </c>
      <c r="AH121" t="str">
        <f t="shared" si="319"/>
        <v>21 Science, research, engineering and technology professionals</v>
      </c>
      <c r="AI121" s="27">
        <f t="shared" si="305"/>
        <v>-8.7646695027160937E-2</v>
      </c>
      <c r="AJ121" s="27">
        <f t="shared" si="305"/>
        <v>9.0989924135764677E-2</v>
      </c>
      <c r="AK121" s="27">
        <f t="shared" si="305"/>
        <v>4.0917300249970423E-2</v>
      </c>
      <c r="AL121" s="27">
        <f t="shared" si="305"/>
        <v>8.8214825512952677E-2</v>
      </c>
      <c r="AM121" s="27">
        <f t="shared" si="306"/>
        <v>0.1291321257629231</v>
      </c>
      <c r="AS121" t="str">
        <f t="shared" si="320"/>
        <v>21 Science, research, engineering and technology professionals</v>
      </c>
      <c r="AT121" s="27">
        <f t="shared" si="307"/>
        <v>-0.29407219783857297</v>
      </c>
      <c r="AU121" s="27">
        <f t="shared" si="307"/>
        <v>0.13981876862821263</v>
      </c>
      <c r="AV121" s="27">
        <f t="shared" si="307"/>
        <v>-2.2301146342397882E-2</v>
      </c>
      <c r="AW121" s="27">
        <f t="shared" si="307"/>
        <v>-6.028643049860527E-2</v>
      </c>
      <c r="AX121" s="27">
        <f t="shared" si="308"/>
        <v>-8.2587576841003152E-2</v>
      </c>
      <c r="BD121" t="str">
        <f t="shared" si="321"/>
        <v>21 Science, research, engineering and technology professionals</v>
      </c>
      <c r="BE121" s="27">
        <f t="shared" si="309"/>
        <v>-5.9723366504631059E-2</v>
      </c>
      <c r="BF121" s="27">
        <f t="shared" si="309"/>
        <v>1.1450412914255983</v>
      </c>
      <c r="BG121" s="27">
        <f t="shared" si="309"/>
        <v>-0.90309366951859982</v>
      </c>
      <c r="BH121" s="27">
        <f t="shared" si="309"/>
        <v>-0.18537468534368218</v>
      </c>
      <c r="BI121" s="27">
        <f t="shared" si="310"/>
        <v>-1.088468354862282</v>
      </c>
      <c r="BO121" t="str">
        <f t="shared" si="322"/>
        <v>21 Science, research, engineering and technology professionals</v>
      </c>
      <c r="BP121" s="27">
        <f t="shared" si="311"/>
        <v>1.0162198952178514E-2</v>
      </c>
      <c r="BQ121" s="27">
        <f t="shared" si="311"/>
        <v>0.25730826199533618</v>
      </c>
      <c r="BR121" s="27">
        <f t="shared" si="311"/>
        <v>-0.14485809125156068</v>
      </c>
      <c r="BS121" s="27">
        <f t="shared" si="311"/>
        <v>-5.8464759247513154E-2</v>
      </c>
      <c r="BT121" s="27">
        <f t="shared" si="312"/>
        <v>-0.20332285049907384</v>
      </c>
      <c r="BZ121" t="str">
        <f t="shared" si="323"/>
        <v>21 Science, research, engineering and technology professionals</v>
      </c>
      <c r="CA121" s="68">
        <f t="shared" si="313"/>
        <v>0.53860236225954439</v>
      </c>
      <c r="CB121" s="68">
        <f t="shared" si="313"/>
        <v>-0.38393774307249662</v>
      </c>
      <c r="CC121" s="68">
        <f t="shared" si="313"/>
        <v>8.3762750683462395E-2</v>
      </c>
      <c r="CD121" s="68">
        <f t="shared" si="313"/>
        <v>-0.23608781861304329</v>
      </c>
      <c r="CE121" s="68">
        <f t="shared" si="314"/>
        <v>-0.15232506792958089</v>
      </c>
      <c r="CK121" t="str">
        <f t="shared" si="324"/>
        <v>21 Science, research, engineering and technology professionals</v>
      </c>
      <c r="CL121" s="68">
        <f t="shared" si="315"/>
        <v>3.0004897593512991E-2</v>
      </c>
      <c r="CM121" s="68">
        <f t="shared" si="315"/>
        <v>-2.1593182615475881E-2</v>
      </c>
      <c r="CN121" s="68">
        <f t="shared" si="315"/>
        <v>3.2906926619146792E-2</v>
      </c>
      <c r="CO121" s="68">
        <f t="shared" si="315"/>
        <v>-1.9890013085564928E-2</v>
      </c>
      <c r="CP121" s="68">
        <f t="shared" si="316"/>
        <v>1.3016913533581864E-2</v>
      </c>
    </row>
    <row r="122" spans="1:94" x14ac:dyDescent="0.2">
      <c r="A122" t="str">
        <f t="shared" si="298"/>
        <v>22 Health professionals</v>
      </c>
      <c r="B122" s="27">
        <f t="shared" si="299"/>
        <v>0.44934853560354537</v>
      </c>
      <c r="C122" s="27">
        <f t="shared" si="299"/>
        <v>-0.19797952361680959</v>
      </c>
      <c r="D122" s="27">
        <f t="shared" si="299"/>
        <v>0.42507459628593813</v>
      </c>
      <c r="E122" s="27">
        <f t="shared" si="299"/>
        <v>0.47685476383730618</v>
      </c>
      <c r="F122" s="27">
        <f t="shared" si="300"/>
        <v>0.90192936012324432</v>
      </c>
      <c r="L122" t="str">
        <f t="shared" si="317"/>
        <v>22 Health professionals</v>
      </c>
      <c r="M122" s="27">
        <f t="shared" si="301"/>
        <v>1.145416808350789</v>
      </c>
      <c r="N122" s="27">
        <f t="shared" si="301"/>
        <v>-0.6161380042408604</v>
      </c>
      <c r="O122" s="27">
        <f t="shared" si="301"/>
        <v>0.83907109991582107</v>
      </c>
      <c r="P122" s="27">
        <f t="shared" si="301"/>
        <v>0.59674658752804088</v>
      </c>
      <c r="Q122" s="27">
        <f t="shared" si="302"/>
        <v>1.435817687443862</v>
      </c>
      <c r="W122" t="str">
        <f t="shared" si="318"/>
        <v>22 Health professionals</v>
      </c>
      <c r="X122" s="27">
        <f t="shared" si="303"/>
        <v>3.5916014570673838E-2</v>
      </c>
      <c r="Y122" s="27">
        <f t="shared" si="303"/>
        <v>1.205602101920336</v>
      </c>
      <c r="Z122" s="27">
        <f t="shared" si="303"/>
        <v>2.0507614491851367</v>
      </c>
      <c r="AA122" s="27">
        <f t="shared" si="303"/>
        <v>3.2389554925509429</v>
      </c>
      <c r="AB122" s="27">
        <f t="shared" si="304"/>
        <v>5.2897169417360796</v>
      </c>
      <c r="AH122" t="str">
        <f t="shared" si="319"/>
        <v>22 Health professionals</v>
      </c>
      <c r="AI122" s="27">
        <f t="shared" si="305"/>
        <v>-1.8263586485003422</v>
      </c>
      <c r="AJ122" s="27">
        <f t="shared" si="305"/>
        <v>9.2108806569171087E-2</v>
      </c>
      <c r="AK122" s="27">
        <f t="shared" si="305"/>
        <v>-1.47855407649894</v>
      </c>
      <c r="AL122" s="27">
        <f t="shared" si="305"/>
        <v>-1.525302234000756</v>
      </c>
      <c r="AM122" s="27">
        <f t="shared" si="306"/>
        <v>-3.003856310499696</v>
      </c>
      <c r="AS122" t="str">
        <f t="shared" si="320"/>
        <v>22 Health professionals</v>
      </c>
      <c r="AT122" s="27">
        <f t="shared" si="307"/>
        <v>3.3670216771933825E-3</v>
      </c>
      <c r="AU122" s="27">
        <f t="shared" si="307"/>
        <v>0.15431643825858354</v>
      </c>
      <c r="AV122" s="27">
        <f t="shared" si="307"/>
        <v>8.7819072549543353E-2</v>
      </c>
      <c r="AW122" s="27">
        <f t="shared" si="307"/>
        <v>0.14508656207576998</v>
      </c>
      <c r="AX122" s="27">
        <f t="shared" si="308"/>
        <v>0.23290563462531333</v>
      </c>
      <c r="BD122" t="str">
        <f t="shared" si="321"/>
        <v>22 Health professionals</v>
      </c>
      <c r="BE122" s="27">
        <f t="shared" si="309"/>
        <v>0.40977720688087249</v>
      </c>
      <c r="BF122" s="27">
        <f t="shared" si="309"/>
        <v>0.43393553787893069</v>
      </c>
      <c r="BG122" s="27">
        <f t="shared" si="309"/>
        <v>0.59188738568998911</v>
      </c>
      <c r="BH122" s="27">
        <f t="shared" si="309"/>
        <v>0.68678179724000898</v>
      </c>
      <c r="BI122" s="27">
        <f t="shared" si="310"/>
        <v>1.2786691829299981</v>
      </c>
      <c r="BO122" t="str">
        <f t="shared" si="322"/>
        <v>22 Health professionals</v>
      </c>
      <c r="BP122" s="27">
        <f t="shared" si="311"/>
        <v>0.13867951349313179</v>
      </c>
      <c r="BQ122" s="27">
        <f t="shared" si="311"/>
        <v>0.18537110934813761</v>
      </c>
      <c r="BR122" s="27">
        <f t="shared" si="311"/>
        <v>4.0375090482989151E-3</v>
      </c>
      <c r="BS122" s="27">
        <f t="shared" si="311"/>
        <v>-0.32562489513135295</v>
      </c>
      <c r="BT122" s="27">
        <f t="shared" si="312"/>
        <v>-0.32158738608305404</v>
      </c>
      <c r="BZ122" t="str">
        <f t="shared" si="323"/>
        <v>22 Health professionals</v>
      </c>
      <c r="CA122" s="68">
        <f t="shared" si="313"/>
        <v>-0.10662216547384729</v>
      </c>
      <c r="CB122" s="68">
        <f t="shared" si="313"/>
        <v>-5.1223257015434509E-2</v>
      </c>
      <c r="CC122" s="68">
        <f t="shared" si="313"/>
        <v>-9.0898919401425582E-2</v>
      </c>
      <c r="CD122" s="68">
        <f t="shared" si="313"/>
        <v>-0.46866272600614761</v>
      </c>
      <c r="CE122" s="68">
        <f t="shared" si="314"/>
        <v>-0.55956164540757314</v>
      </c>
      <c r="CK122" t="str">
        <f t="shared" si="324"/>
        <v>22 Health professionals</v>
      </c>
      <c r="CL122" s="68">
        <f t="shared" si="315"/>
        <v>2.3133421016030414E-2</v>
      </c>
      <c r="CM122" s="68">
        <f t="shared" si="315"/>
        <v>-2.3566306952591543E-2</v>
      </c>
      <c r="CN122" s="68">
        <f t="shared" si="315"/>
        <v>2.7057925668161564E-2</v>
      </c>
      <c r="CO122" s="68">
        <f t="shared" si="315"/>
        <v>1.7079152106895645E-2</v>
      </c>
      <c r="CP122" s="68">
        <f t="shared" si="316"/>
        <v>4.413707777505721E-2</v>
      </c>
    </row>
    <row r="123" spans="1:94" x14ac:dyDescent="0.2">
      <c r="A123" t="str">
        <f t="shared" si="298"/>
        <v>23 Teaching and other educational professionals</v>
      </c>
      <c r="B123" s="27">
        <f t="shared" si="299"/>
        <v>0.24556065283431883</v>
      </c>
      <c r="C123" s="27">
        <f t="shared" si="299"/>
        <v>-0.1234244800624904</v>
      </c>
      <c r="D123" s="27">
        <f t="shared" si="299"/>
        <v>0.37947985152851182</v>
      </c>
      <c r="E123" s="27">
        <f t="shared" si="299"/>
        <v>0.28439684591912906</v>
      </c>
      <c r="F123" s="27">
        <f t="shared" si="300"/>
        <v>0.66387669744764088</v>
      </c>
      <c r="L123" t="str">
        <f t="shared" si="317"/>
        <v>23 Teaching and other educational professionals</v>
      </c>
      <c r="M123" s="27">
        <f t="shared" si="301"/>
        <v>1.936064913686991</v>
      </c>
      <c r="N123" s="27">
        <f t="shared" si="301"/>
        <v>-0.62197125615644921</v>
      </c>
      <c r="O123" s="27">
        <f t="shared" si="301"/>
        <v>1.9533314316481558</v>
      </c>
      <c r="P123" s="27">
        <f t="shared" si="301"/>
        <v>1.3417840227676763</v>
      </c>
      <c r="Q123" s="27">
        <f t="shared" si="302"/>
        <v>3.2951154544158321</v>
      </c>
      <c r="W123" t="str">
        <f t="shared" si="318"/>
        <v>23 Teaching and other educational professionals</v>
      </c>
      <c r="X123" s="27">
        <f t="shared" si="303"/>
        <v>-1.3477468403248514</v>
      </c>
      <c r="Y123" s="27">
        <f t="shared" si="303"/>
        <v>1.2444890877449133</v>
      </c>
      <c r="Z123" s="27">
        <f t="shared" si="303"/>
        <v>-0.15500233144313924</v>
      </c>
      <c r="AA123" s="27">
        <f t="shared" si="303"/>
        <v>0.25149460171433358</v>
      </c>
      <c r="AB123" s="27">
        <f t="shared" si="304"/>
        <v>9.6492270271194336E-2</v>
      </c>
      <c r="AH123" t="str">
        <f t="shared" si="319"/>
        <v>23 Teaching and other educational professionals</v>
      </c>
      <c r="AI123" s="27">
        <f t="shared" si="305"/>
        <v>-0.51528383096866781</v>
      </c>
      <c r="AJ123" s="27">
        <f t="shared" si="305"/>
        <v>-8.61049033562028E-3</v>
      </c>
      <c r="AK123" s="27">
        <f t="shared" si="305"/>
        <v>-0.15394466850922336</v>
      </c>
      <c r="AL123" s="27">
        <f t="shared" si="305"/>
        <v>-1.250500908466512E-4</v>
      </c>
      <c r="AM123" s="27">
        <f t="shared" si="306"/>
        <v>-0.15406971860007002</v>
      </c>
      <c r="AS123" t="str">
        <f t="shared" si="320"/>
        <v>23 Teaching and other educational professionals</v>
      </c>
      <c r="AT123" s="27">
        <f t="shared" si="307"/>
        <v>-8.0115828040559639E-2</v>
      </c>
      <c r="AU123" s="27">
        <f t="shared" si="307"/>
        <v>1.6884844794055998E-2</v>
      </c>
      <c r="AV123" s="27">
        <f t="shared" si="307"/>
        <v>-2.4145256826355987E-2</v>
      </c>
      <c r="AW123" s="27">
        <f t="shared" si="307"/>
        <v>-2.5028077631637197E-2</v>
      </c>
      <c r="AX123" s="27">
        <f t="shared" si="308"/>
        <v>-4.9173334457993184E-2</v>
      </c>
      <c r="BD123" t="str">
        <f t="shared" si="321"/>
        <v>23 Teaching and other educational professionals</v>
      </c>
      <c r="BE123" s="27">
        <f t="shared" si="309"/>
        <v>-0.13966486928384314</v>
      </c>
      <c r="BF123" s="27">
        <f t="shared" si="309"/>
        <v>0.34190393350859227</v>
      </c>
      <c r="BG123" s="27">
        <f t="shared" si="309"/>
        <v>3.3718177479270084E-2</v>
      </c>
      <c r="BH123" s="27">
        <f t="shared" si="309"/>
        <v>0.14112152626218522</v>
      </c>
      <c r="BI123" s="27">
        <f t="shared" si="310"/>
        <v>0.1748397037414553</v>
      </c>
      <c r="BO123" t="str">
        <f t="shared" si="322"/>
        <v>23 Teaching and other educational professionals</v>
      </c>
      <c r="BP123" s="27">
        <f t="shared" si="311"/>
        <v>-8.3292799523511096E-2</v>
      </c>
      <c r="BQ123" s="27">
        <f t="shared" si="311"/>
        <v>0.16381313831311584</v>
      </c>
      <c r="BR123" s="27">
        <f t="shared" si="311"/>
        <v>-4.8018191421730361E-2</v>
      </c>
      <c r="BS123" s="27">
        <f t="shared" si="311"/>
        <v>-0.11604960962468214</v>
      </c>
      <c r="BT123" s="27">
        <f t="shared" si="312"/>
        <v>-0.1640678010464125</v>
      </c>
      <c r="BZ123" t="str">
        <f t="shared" si="323"/>
        <v>23 Teaching and other educational professionals</v>
      </c>
      <c r="CA123" s="68">
        <f t="shared" si="313"/>
        <v>-3.5292822376528865E-2</v>
      </c>
      <c r="CB123" s="68">
        <f t="shared" si="313"/>
        <v>9.9826429876959111E-3</v>
      </c>
      <c r="CC123" s="68">
        <f t="shared" si="313"/>
        <v>-1.7697500219017337E-2</v>
      </c>
      <c r="CD123" s="68">
        <f t="shared" si="313"/>
        <v>-0.15607989279884793</v>
      </c>
      <c r="CE123" s="68">
        <f t="shared" si="314"/>
        <v>-0.17377739301786527</v>
      </c>
      <c r="CK123" t="str">
        <f t="shared" si="324"/>
        <v>23 Teaching and other educational professionals</v>
      </c>
      <c r="CL123" s="68">
        <f t="shared" si="315"/>
        <v>1.1228242898531263E-2</v>
      </c>
      <c r="CM123" s="68">
        <f t="shared" si="315"/>
        <v>-4.9853659430100505E-3</v>
      </c>
      <c r="CN123" s="68">
        <f t="shared" si="315"/>
        <v>2.4304231698701856E-2</v>
      </c>
      <c r="CO123" s="68">
        <f t="shared" si="315"/>
        <v>8.0933265807849597E-3</v>
      </c>
      <c r="CP123" s="68">
        <f t="shared" si="316"/>
        <v>3.2397558279486816E-2</v>
      </c>
    </row>
    <row r="124" spans="1:94" x14ac:dyDescent="0.2">
      <c r="A124" t="str">
        <f t="shared" si="298"/>
        <v>24 Business, media and public service professionals</v>
      </c>
      <c r="B124" s="27">
        <f t="shared" si="299"/>
        <v>0.12102631749955794</v>
      </c>
      <c r="C124" s="27">
        <f t="shared" si="299"/>
        <v>-2.9700277771243733E-2</v>
      </c>
      <c r="D124" s="27">
        <f t="shared" si="299"/>
        <v>0.10566294461941089</v>
      </c>
      <c r="E124" s="27">
        <f t="shared" si="299"/>
        <v>0.1673689818981311</v>
      </c>
      <c r="F124" s="27">
        <f t="shared" si="300"/>
        <v>0.27303192651754199</v>
      </c>
      <c r="L124" t="str">
        <f t="shared" si="317"/>
        <v>24 Business, media and public service professionals</v>
      </c>
      <c r="M124" s="27">
        <f t="shared" si="301"/>
        <v>1.3541609816451081</v>
      </c>
      <c r="N124" s="27">
        <f t="shared" si="301"/>
        <v>-0.37518018022237243</v>
      </c>
      <c r="O124" s="27">
        <f t="shared" si="301"/>
        <v>0.90955974904733683</v>
      </c>
      <c r="P124" s="27">
        <f t="shared" si="301"/>
        <v>1.1153439393554354</v>
      </c>
      <c r="Q124" s="27">
        <f t="shared" si="302"/>
        <v>2.0249036884027722</v>
      </c>
      <c r="W124" t="str">
        <f t="shared" si="318"/>
        <v>24 Business, media and public service professionals</v>
      </c>
      <c r="X124" s="27">
        <f t="shared" si="303"/>
        <v>-0.12250303091406067</v>
      </c>
      <c r="Y124" s="27">
        <f t="shared" si="303"/>
        <v>1.6151005164840084</v>
      </c>
      <c r="Z124" s="27">
        <f t="shared" si="303"/>
        <v>1.0650896793974134</v>
      </c>
      <c r="AA124" s="27">
        <f t="shared" si="303"/>
        <v>2.0262523478830623</v>
      </c>
      <c r="AB124" s="27">
        <f t="shared" si="304"/>
        <v>3.0913420272804757</v>
      </c>
      <c r="AH124" t="str">
        <f t="shared" si="319"/>
        <v>24 Business, media and public service professionals</v>
      </c>
      <c r="AI124" s="27">
        <f t="shared" si="305"/>
        <v>-0.14219773010545023</v>
      </c>
      <c r="AJ124" s="27">
        <f t="shared" si="305"/>
        <v>0.13189670452041047</v>
      </c>
      <c r="AK124" s="27">
        <f t="shared" si="305"/>
        <v>-4.8864200879582098E-2</v>
      </c>
      <c r="AL124" s="27">
        <f t="shared" si="305"/>
        <v>8.4600596556989038E-2</v>
      </c>
      <c r="AM124" s="27">
        <f t="shared" si="306"/>
        <v>3.573639567740694E-2</v>
      </c>
      <c r="AS124" t="str">
        <f t="shared" si="320"/>
        <v>24 Business, media and public service professionals</v>
      </c>
      <c r="AT124" s="27">
        <f t="shared" si="307"/>
        <v>-0.11471219310976233</v>
      </c>
      <c r="AU124" s="27">
        <f t="shared" si="307"/>
        <v>0.19742260003026924</v>
      </c>
      <c r="AV124" s="27">
        <f t="shared" si="307"/>
        <v>0.15315220493413295</v>
      </c>
      <c r="AW124" s="27">
        <f t="shared" si="307"/>
        <v>0.23148359847067823</v>
      </c>
      <c r="AX124" s="27">
        <f t="shared" si="308"/>
        <v>0.38463580340481118</v>
      </c>
      <c r="BD124" t="str">
        <f t="shared" si="321"/>
        <v>24 Business, media and public service professionals</v>
      </c>
      <c r="BE124" s="27">
        <f t="shared" si="309"/>
        <v>0.1399114106510071</v>
      </c>
      <c r="BF124" s="27">
        <f t="shared" si="309"/>
        <v>1.1367044496848187</v>
      </c>
      <c r="BG124" s="27">
        <f t="shared" si="309"/>
        <v>-7.2737381439796245E-2</v>
      </c>
      <c r="BH124" s="27">
        <f t="shared" si="309"/>
        <v>0.47839899460973268</v>
      </c>
      <c r="BI124" s="27">
        <f t="shared" si="310"/>
        <v>0.40566161316993643</v>
      </c>
      <c r="BO124" t="str">
        <f t="shared" si="322"/>
        <v>24 Business, media and public service professionals</v>
      </c>
      <c r="BP124" s="27">
        <f t="shared" si="311"/>
        <v>-2.2556216008545071E-2</v>
      </c>
      <c r="BQ124" s="27">
        <f t="shared" si="311"/>
        <v>0.36285765641269085</v>
      </c>
      <c r="BR124" s="27">
        <f t="shared" si="311"/>
        <v>-2.6295960993728773E-2</v>
      </c>
      <c r="BS124" s="27">
        <f t="shared" si="311"/>
        <v>-0.12517888107360031</v>
      </c>
      <c r="BT124" s="27">
        <f t="shared" si="312"/>
        <v>-0.15147484206732909</v>
      </c>
      <c r="BZ124" t="str">
        <f t="shared" si="323"/>
        <v>24 Business, media and public service professionals</v>
      </c>
      <c r="CA124" s="68">
        <f t="shared" si="313"/>
        <v>0.2692622890946712</v>
      </c>
      <c r="CB124" s="68">
        <f t="shared" si="313"/>
        <v>-0.11655126695050155</v>
      </c>
      <c r="CC124" s="68">
        <f t="shared" si="313"/>
        <v>1.304151059229719E-2</v>
      </c>
      <c r="CD124" s="68">
        <f t="shared" si="313"/>
        <v>-0.4513829713694687</v>
      </c>
      <c r="CE124" s="68">
        <f t="shared" si="314"/>
        <v>-0.43834146077717151</v>
      </c>
      <c r="CK124" t="str">
        <f t="shared" si="324"/>
        <v>24 Business, media and public service professionals</v>
      </c>
      <c r="CL124" s="68">
        <f t="shared" si="315"/>
        <v>5.7258605536439133E-2</v>
      </c>
      <c r="CM124" s="68">
        <f t="shared" si="315"/>
        <v>-2.818742645896255E-2</v>
      </c>
      <c r="CN124" s="68">
        <f t="shared" si="315"/>
        <v>3.7325750991546169E-2</v>
      </c>
      <c r="CO124" s="68">
        <f t="shared" si="315"/>
        <v>4.8567234526644854E-2</v>
      </c>
      <c r="CP124" s="68">
        <f t="shared" si="316"/>
        <v>8.5892985518191023E-2</v>
      </c>
    </row>
    <row r="125" spans="1:94" x14ac:dyDescent="0.2">
      <c r="A125" t="str">
        <f t="shared" si="298"/>
        <v>31 Science, engineering and technology associate professionals</v>
      </c>
      <c r="B125" s="27">
        <f t="shared" si="299"/>
        <v>5.375385263208371E-2</v>
      </c>
      <c r="C125" s="27">
        <f t="shared" si="299"/>
        <v>-1.9546589835216038E-2</v>
      </c>
      <c r="D125" s="27">
        <f t="shared" si="299"/>
        <v>2.2093223203042217E-2</v>
      </c>
      <c r="E125" s="27">
        <f t="shared" si="299"/>
        <v>7.2396303766406517E-2</v>
      </c>
      <c r="F125" s="27">
        <f t="shared" si="300"/>
        <v>9.4489526969448734E-2</v>
      </c>
      <c r="L125" t="str">
        <f t="shared" si="317"/>
        <v>31 Science, engineering and technology associate professionals</v>
      </c>
      <c r="M125" s="27">
        <f t="shared" si="301"/>
        <v>0.29932709691302151</v>
      </c>
      <c r="N125" s="27">
        <f t="shared" si="301"/>
        <v>-7.989815992217375E-2</v>
      </c>
      <c r="O125" s="27">
        <f t="shared" si="301"/>
        <v>5.4076820529060821E-2</v>
      </c>
      <c r="P125" s="27">
        <f t="shared" si="301"/>
        <v>0.31832251606724193</v>
      </c>
      <c r="Q125" s="27">
        <f t="shared" si="302"/>
        <v>0.37239933659630275</v>
      </c>
      <c r="W125" t="str">
        <f t="shared" si="318"/>
        <v>31 Science, engineering and technology associate professionals</v>
      </c>
      <c r="X125" s="27">
        <f t="shared" si="303"/>
        <v>-0.10675973544991368</v>
      </c>
      <c r="Y125" s="27">
        <f t="shared" si="303"/>
        <v>0.21755954700572877</v>
      </c>
      <c r="Z125" s="27">
        <f t="shared" si="303"/>
        <v>-0.11925253455187068</v>
      </c>
      <c r="AA125" s="27">
        <f t="shared" si="303"/>
        <v>0.19863572477309699</v>
      </c>
      <c r="AB125" s="27">
        <f t="shared" si="304"/>
        <v>7.9383190221226307E-2</v>
      </c>
      <c r="AH125" t="str">
        <f t="shared" si="319"/>
        <v>31 Science, engineering and technology associate professionals</v>
      </c>
      <c r="AI125" s="27">
        <f t="shared" si="305"/>
        <v>2.4384290452297286E-3</v>
      </c>
      <c r="AJ125" s="27">
        <f t="shared" si="305"/>
        <v>5.8790104015287614E-2</v>
      </c>
      <c r="AK125" s="27">
        <f t="shared" si="305"/>
        <v>7.6522564481762978E-3</v>
      </c>
      <c r="AL125" s="27">
        <f t="shared" si="305"/>
        <v>0.12379426135002619</v>
      </c>
      <c r="AM125" s="27">
        <f t="shared" si="306"/>
        <v>0.13144651779820249</v>
      </c>
      <c r="AS125" t="str">
        <f t="shared" si="320"/>
        <v>31 Science, engineering and technology associate professionals</v>
      </c>
      <c r="AT125" s="27">
        <f t="shared" si="307"/>
        <v>-0.16224990590800337</v>
      </c>
      <c r="AU125" s="27">
        <f t="shared" si="307"/>
        <v>7.5259961944001197E-2</v>
      </c>
      <c r="AV125" s="27">
        <f t="shared" si="307"/>
        <v>-0.16613934528598318</v>
      </c>
      <c r="AW125" s="27">
        <f t="shared" si="307"/>
        <v>-3.8706876416750302E-2</v>
      </c>
      <c r="AX125" s="27">
        <f t="shared" si="308"/>
        <v>-0.20484622170273348</v>
      </c>
      <c r="BD125" t="str">
        <f t="shared" si="321"/>
        <v>31 Science, engineering and technology associate professionals</v>
      </c>
      <c r="BE125" s="27">
        <f t="shared" si="309"/>
        <v>0.11690780089465047</v>
      </c>
      <c r="BF125" s="27">
        <f t="shared" si="309"/>
        <v>0.65576440628645027</v>
      </c>
      <c r="BG125" s="27">
        <f t="shared" si="309"/>
        <v>-0.90834965877537099</v>
      </c>
      <c r="BH125" s="27">
        <f t="shared" si="309"/>
        <v>-0.26245004366112812</v>
      </c>
      <c r="BI125" s="27">
        <f t="shared" si="310"/>
        <v>-1.1707997024364991</v>
      </c>
      <c r="BO125" t="str">
        <f t="shared" si="322"/>
        <v>31 Science, engineering and technology associate professionals</v>
      </c>
      <c r="BP125" s="27">
        <f t="shared" si="311"/>
        <v>0.11045017802073431</v>
      </c>
      <c r="BQ125" s="27">
        <f t="shared" si="311"/>
        <v>0.20004928022617818</v>
      </c>
      <c r="BR125" s="27">
        <f t="shared" si="311"/>
        <v>-0.35652651057594853</v>
      </c>
      <c r="BS125" s="27">
        <f t="shared" si="311"/>
        <v>-4.5681933358111326E-2</v>
      </c>
      <c r="BT125" s="27">
        <f t="shared" si="312"/>
        <v>-0.40220844393405986</v>
      </c>
      <c r="BZ125" t="str">
        <f t="shared" si="323"/>
        <v>31 Science, engineering and technology associate professionals</v>
      </c>
      <c r="CA125" s="68">
        <f t="shared" si="313"/>
        <v>0.4650481138330731</v>
      </c>
      <c r="CB125" s="68">
        <f t="shared" si="313"/>
        <v>-0.2577882472626094</v>
      </c>
      <c r="CC125" s="68">
        <f t="shared" si="313"/>
        <v>-0.1059270128442773</v>
      </c>
      <c r="CD125" s="68">
        <f t="shared" si="313"/>
        <v>-0.1574208901512445</v>
      </c>
      <c r="CE125" s="68">
        <f t="shared" si="314"/>
        <v>-0.2633479029955218</v>
      </c>
      <c r="CK125" t="str">
        <f t="shared" si="324"/>
        <v>31 Science, engineering and technology associate professionals</v>
      </c>
      <c r="CL125" s="68">
        <f t="shared" si="315"/>
        <v>3.7653998154414753E-2</v>
      </c>
      <c r="CM125" s="68">
        <f t="shared" si="315"/>
        <v>-1.2376310422244158E-2</v>
      </c>
      <c r="CN125" s="68">
        <f t="shared" si="315"/>
        <v>-4.2608525806882014E-3</v>
      </c>
      <c r="CO125" s="68">
        <f t="shared" si="315"/>
        <v>2.4784939646701754E-2</v>
      </c>
      <c r="CP125" s="68">
        <f t="shared" si="316"/>
        <v>2.0524087066013552E-2</v>
      </c>
    </row>
    <row r="126" spans="1:94" x14ac:dyDescent="0.2">
      <c r="A126" t="str">
        <f t="shared" si="298"/>
        <v>32 Health and social care associate professionals</v>
      </c>
      <c r="B126" s="27">
        <f t="shared" si="299"/>
        <v>1.6928043402515955E-2</v>
      </c>
      <c r="C126" s="27">
        <f t="shared" si="299"/>
        <v>-1.3391185172019218E-2</v>
      </c>
      <c r="D126" s="27">
        <f t="shared" si="299"/>
        <v>5.8019711337556415E-3</v>
      </c>
      <c r="E126" s="27">
        <f t="shared" si="299"/>
        <v>9.1978238323633388E-3</v>
      </c>
      <c r="F126" s="27">
        <f t="shared" si="300"/>
        <v>1.499979496611898E-2</v>
      </c>
      <c r="L126" t="str">
        <f t="shared" si="317"/>
        <v>32 Health and social care associate professionals</v>
      </c>
      <c r="M126" s="27">
        <f t="shared" si="301"/>
        <v>0.28642011229468645</v>
      </c>
      <c r="N126" s="27">
        <f t="shared" si="301"/>
        <v>-0.17191060978863104</v>
      </c>
      <c r="O126" s="27">
        <f t="shared" si="301"/>
        <v>0.12538779455080251</v>
      </c>
      <c r="P126" s="27">
        <f t="shared" si="301"/>
        <v>0.17654806723134064</v>
      </c>
      <c r="Q126" s="27">
        <f t="shared" si="302"/>
        <v>0.30193586178214316</v>
      </c>
      <c r="W126" t="str">
        <f t="shared" si="318"/>
        <v>32 Health and social care associate professionals</v>
      </c>
      <c r="X126" s="27">
        <f t="shared" si="303"/>
        <v>0.10925487751974483</v>
      </c>
      <c r="Y126" s="27">
        <f t="shared" si="303"/>
        <v>0.35628913622653524</v>
      </c>
      <c r="Z126" s="27">
        <f t="shared" si="303"/>
        <v>0.44800132768814827</v>
      </c>
      <c r="AA126" s="27">
        <f t="shared" si="303"/>
        <v>1.1023146544820706</v>
      </c>
      <c r="AB126" s="27">
        <f t="shared" si="304"/>
        <v>1.5503159821702188</v>
      </c>
      <c r="AH126" t="str">
        <f t="shared" si="319"/>
        <v>32 Health and social care associate professionals</v>
      </c>
      <c r="AI126" s="27">
        <f t="shared" si="305"/>
        <v>-0.54064790671714813</v>
      </c>
      <c r="AJ126" s="27">
        <f t="shared" si="305"/>
        <v>0.11157020495598746</v>
      </c>
      <c r="AK126" s="27">
        <f t="shared" si="305"/>
        <v>-0.4322209084434383</v>
      </c>
      <c r="AL126" s="27">
        <f t="shared" si="305"/>
        <v>-0.55109921736201228</v>
      </c>
      <c r="AM126" s="27">
        <f t="shared" si="306"/>
        <v>-0.98332012580545058</v>
      </c>
      <c r="AS126" t="str">
        <f t="shared" si="320"/>
        <v>32 Health and social care associate professionals</v>
      </c>
      <c r="AT126" s="27">
        <f t="shared" si="307"/>
        <v>1.0848977890535405E-2</v>
      </c>
      <c r="AU126" s="27">
        <f t="shared" si="307"/>
        <v>7.0965142073111553E-2</v>
      </c>
      <c r="AV126" s="27">
        <f t="shared" si="307"/>
        <v>-1.0133002375269873E-2</v>
      </c>
      <c r="AW126" s="27">
        <f t="shared" si="307"/>
        <v>5.3947552769791518E-2</v>
      </c>
      <c r="AX126" s="27">
        <f t="shared" si="308"/>
        <v>4.3814550394521645E-2</v>
      </c>
      <c r="BD126" t="str">
        <f t="shared" si="321"/>
        <v>32 Health and social care associate professionals</v>
      </c>
      <c r="BE126" s="27">
        <f t="shared" si="309"/>
        <v>0.24320834053866647</v>
      </c>
      <c r="BF126" s="27">
        <f t="shared" si="309"/>
        <v>0.25160873643975945</v>
      </c>
      <c r="BG126" s="27">
        <f t="shared" si="309"/>
        <v>0.12705639230721566</v>
      </c>
      <c r="BH126" s="27">
        <f t="shared" si="309"/>
        <v>0.37167439572520466</v>
      </c>
      <c r="BI126" s="27">
        <f t="shared" si="310"/>
        <v>0.49873078803242032</v>
      </c>
      <c r="BO126" t="str">
        <f t="shared" si="322"/>
        <v>32 Health and social care associate professionals</v>
      </c>
      <c r="BP126" s="27">
        <f t="shared" si="311"/>
        <v>4.9653780493297495E-2</v>
      </c>
      <c r="BQ126" s="27">
        <f t="shared" si="311"/>
        <v>9.5622149872431006E-2</v>
      </c>
      <c r="BR126" s="27">
        <f t="shared" si="311"/>
        <v>-0.17183570098716183</v>
      </c>
      <c r="BS126" s="27">
        <f t="shared" si="311"/>
        <v>-0.25216579866277367</v>
      </c>
      <c r="BT126" s="27">
        <f t="shared" si="312"/>
        <v>-0.4240014996499355</v>
      </c>
      <c r="BZ126" t="str">
        <f t="shared" si="323"/>
        <v>32 Health and social care associate professionals</v>
      </c>
      <c r="CA126" s="68">
        <f t="shared" si="313"/>
        <v>-9.7436162042468466E-2</v>
      </c>
      <c r="CB126" s="68">
        <f t="shared" si="313"/>
        <v>-2.8022327086269783E-2</v>
      </c>
      <c r="CC126" s="68">
        <f t="shared" si="313"/>
        <v>-8.3144235293747981E-2</v>
      </c>
      <c r="CD126" s="68">
        <f t="shared" si="313"/>
        <v>-0.16353609106711817</v>
      </c>
      <c r="CE126" s="68">
        <f t="shared" si="314"/>
        <v>-0.24668032636086615</v>
      </c>
      <c r="CK126" t="str">
        <f t="shared" si="324"/>
        <v>32 Health and social care associate professionals</v>
      </c>
      <c r="CL126" s="68">
        <f t="shared" si="315"/>
        <v>1.3304669334279207E-3</v>
      </c>
      <c r="CM126" s="68">
        <f t="shared" si="315"/>
        <v>-1.1366945163683265E-2</v>
      </c>
      <c r="CN126" s="68">
        <f t="shared" si="315"/>
        <v>2.8585617106031691E-3</v>
      </c>
      <c r="CO126" s="68">
        <f t="shared" si="315"/>
        <v>5.3006445622134774E-3</v>
      </c>
      <c r="CP126" s="68">
        <f t="shared" si="316"/>
        <v>8.1592062728166465E-3</v>
      </c>
    </row>
    <row r="127" spans="1:94" x14ac:dyDescent="0.2">
      <c r="A127" t="str">
        <f t="shared" si="298"/>
        <v>33 Protective service occupations</v>
      </c>
      <c r="B127" s="27">
        <f t="shared" si="299"/>
        <v>7.8072463968215256E-3</v>
      </c>
      <c r="C127" s="27">
        <f t="shared" si="299"/>
        <v>-3.8871218976889877E-3</v>
      </c>
      <c r="D127" s="27">
        <f t="shared" si="299"/>
        <v>8.1554986251941314E-3</v>
      </c>
      <c r="E127" s="27">
        <f t="shared" si="299"/>
        <v>1.2292472383291998E-2</v>
      </c>
      <c r="F127" s="27">
        <f t="shared" si="300"/>
        <v>2.0447971008486131E-2</v>
      </c>
      <c r="L127" t="str">
        <f t="shared" si="317"/>
        <v>33 Protective service occupations</v>
      </c>
      <c r="M127" s="27">
        <f t="shared" si="301"/>
        <v>0.12795051235245886</v>
      </c>
      <c r="N127" s="27">
        <f t="shared" si="301"/>
        <v>-5.5989161465923698E-2</v>
      </c>
      <c r="O127" s="27">
        <f t="shared" si="301"/>
        <v>0.135367281150228</v>
      </c>
      <c r="P127" s="27">
        <f t="shared" si="301"/>
        <v>0.25376211306715102</v>
      </c>
      <c r="Q127" s="27">
        <f t="shared" si="302"/>
        <v>0.38912939421737902</v>
      </c>
      <c r="W127" t="str">
        <f t="shared" si="318"/>
        <v>33 Protective service occupations</v>
      </c>
      <c r="X127" s="27">
        <f t="shared" si="303"/>
        <v>0.11354169401074565</v>
      </c>
      <c r="Y127" s="27">
        <f t="shared" si="303"/>
        <v>0.1532673455260396</v>
      </c>
      <c r="Z127" s="27">
        <f t="shared" si="303"/>
        <v>0.49727172692589816</v>
      </c>
      <c r="AA127" s="27">
        <f t="shared" si="303"/>
        <v>0.9974439606000356</v>
      </c>
      <c r="AB127" s="27">
        <f t="shared" si="304"/>
        <v>1.4947156875259338</v>
      </c>
      <c r="AH127" t="str">
        <f t="shared" si="319"/>
        <v>33 Protective service occupations</v>
      </c>
      <c r="AI127" s="27">
        <f t="shared" si="305"/>
        <v>1.7470982737212093E-2</v>
      </c>
      <c r="AJ127" s="27">
        <f t="shared" si="305"/>
        <v>3.9701159112642104E-2</v>
      </c>
      <c r="AK127" s="27">
        <f t="shared" si="305"/>
        <v>0.12142347386050645</v>
      </c>
      <c r="AL127" s="27">
        <f t="shared" si="305"/>
        <v>0.20247109086354642</v>
      </c>
      <c r="AM127" s="27">
        <f t="shared" si="306"/>
        <v>0.32389456472405287</v>
      </c>
      <c r="AS127" t="str">
        <f t="shared" si="320"/>
        <v>33 Protective service occupations</v>
      </c>
      <c r="AT127" s="27">
        <f t="shared" si="307"/>
        <v>-1.8933955368279742E-2</v>
      </c>
      <c r="AU127" s="27">
        <f t="shared" si="307"/>
        <v>2.2470237304667851E-2</v>
      </c>
      <c r="AV127" s="27">
        <f t="shared" si="307"/>
        <v>4.1271821000511244E-2</v>
      </c>
      <c r="AW127" s="27">
        <f t="shared" si="307"/>
        <v>8.2157925482223393E-2</v>
      </c>
      <c r="AX127" s="27">
        <f t="shared" si="308"/>
        <v>0.12342974648273464</v>
      </c>
      <c r="BD127" t="str">
        <f t="shared" si="321"/>
        <v>33 Protective service occupations</v>
      </c>
      <c r="BE127" s="27">
        <f t="shared" si="309"/>
        <v>-0.10392529046501964</v>
      </c>
      <c r="BF127" s="27">
        <f t="shared" si="309"/>
        <v>0.33756424070289803</v>
      </c>
      <c r="BG127" s="27">
        <f t="shared" si="309"/>
        <v>-0.1131744146627045</v>
      </c>
      <c r="BH127" s="27">
        <f t="shared" si="309"/>
        <v>-2.562944059275396E-2</v>
      </c>
      <c r="BI127" s="27">
        <f t="shared" si="310"/>
        <v>-0.13880385525545846</v>
      </c>
      <c r="BO127" t="str">
        <f t="shared" si="322"/>
        <v>33 Protective service occupations</v>
      </c>
      <c r="BP127" s="27">
        <f t="shared" si="311"/>
        <v>3.4321899786819765E-2</v>
      </c>
      <c r="BQ127" s="27">
        <f t="shared" si="311"/>
        <v>1.9894551527220194E-2</v>
      </c>
      <c r="BR127" s="27">
        <f t="shared" si="311"/>
        <v>0.15708546877745011</v>
      </c>
      <c r="BS127" s="27">
        <f t="shared" si="311"/>
        <v>-0.10602252532691425</v>
      </c>
      <c r="BT127" s="27">
        <f t="shared" si="312"/>
        <v>5.1062943450535858E-2</v>
      </c>
      <c r="BZ127" t="str">
        <f t="shared" si="323"/>
        <v>33 Protective service occupations</v>
      </c>
      <c r="CA127" s="68">
        <f t="shared" si="313"/>
        <v>0.18767675239153148</v>
      </c>
      <c r="CB127" s="68">
        <f t="shared" si="313"/>
        <v>-0.15249775763475215</v>
      </c>
      <c r="CC127" s="68">
        <f t="shared" si="313"/>
        <v>0.11724773930941867</v>
      </c>
      <c r="CD127" s="68">
        <f t="shared" si="313"/>
        <v>-0.37007375375703444</v>
      </c>
      <c r="CE127" s="68">
        <f t="shared" si="314"/>
        <v>-0.25282601444761577</v>
      </c>
      <c r="CK127" t="str">
        <f t="shared" si="324"/>
        <v>33 Protective service occupations</v>
      </c>
      <c r="CL127" s="68">
        <f t="shared" si="315"/>
        <v>-1.4251238785856962E-2</v>
      </c>
      <c r="CM127" s="68">
        <f t="shared" si="315"/>
        <v>-1.9964925633799258E-2</v>
      </c>
      <c r="CN127" s="68">
        <f t="shared" si="315"/>
        <v>-1.8951312292155117E-2</v>
      </c>
      <c r="CO127" s="68">
        <f t="shared" si="315"/>
        <v>-7.8971664201325925E-3</v>
      </c>
      <c r="CP127" s="68">
        <f t="shared" si="316"/>
        <v>-2.684847871228771E-2</v>
      </c>
    </row>
    <row r="128" spans="1:94" x14ac:dyDescent="0.2">
      <c r="A128" t="str">
        <f t="shared" si="298"/>
        <v>34 Culture, media and sports occupations</v>
      </c>
      <c r="B128" s="27">
        <f t="shared" si="299"/>
        <v>2.7443155529203636E-2</v>
      </c>
      <c r="C128" s="27">
        <f t="shared" si="299"/>
        <v>2.7181476479744698E-3</v>
      </c>
      <c r="D128" s="27">
        <f t="shared" si="299"/>
        <v>-9.2698116301577482E-4</v>
      </c>
      <c r="E128" s="27">
        <f t="shared" si="299"/>
        <v>1.6028503527371507E-2</v>
      </c>
      <c r="F128" s="27">
        <f t="shared" si="300"/>
        <v>1.5101522364355732E-2</v>
      </c>
      <c r="L128" t="str">
        <f t="shared" si="317"/>
        <v>34 Culture, media and sports occupations</v>
      </c>
      <c r="M128" s="27">
        <f t="shared" si="301"/>
        <v>0.24804105438884361</v>
      </c>
      <c r="N128" s="27">
        <f t="shared" si="301"/>
        <v>-0.20921665778743748</v>
      </c>
      <c r="O128" s="27">
        <f t="shared" si="301"/>
        <v>6.935976666015975E-3</v>
      </c>
      <c r="P128" s="27">
        <f t="shared" si="301"/>
        <v>0.15117122102099545</v>
      </c>
      <c r="Q128" s="27">
        <f t="shared" si="302"/>
        <v>0.15810719768701142</v>
      </c>
      <c r="W128" t="str">
        <f t="shared" si="318"/>
        <v>34 Culture, media and sports occupations</v>
      </c>
      <c r="X128" s="27">
        <f t="shared" si="303"/>
        <v>-2.5220858479534591E-2</v>
      </c>
      <c r="Y128" s="27">
        <f t="shared" si="303"/>
        <v>-6.256680241699053E-2</v>
      </c>
      <c r="Z128" s="27">
        <f t="shared" si="303"/>
        <v>-9.151901018474895E-2</v>
      </c>
      <c r="AA128" s="27">
        <f t="shared" si="303"/>
        <v>0.28786470578972523</v>
      </c>
      <c r="AB128" s="27">
        <f t="shared" si="304"/>
        <v>0.19634569560497628</v>
      </c>
      <c r="AH128" t="str">
        <f t="shared" si="319"/>
        <v>34 Culture, media and sports occupations</v>
      </c>
      <c r="AI128" s="27">
        <f t="shared" si="305"/>
        <v>-3.1652944678926626E-2</v>
      </c>
      <c r="AJ128" s="27">
        <f t="shared" si="305"/>
        <v>8.498099386525565E-2</v>
      </c>
      <c r="AK128" s="27">
        <f t="shared" si="305"/>
        <v>-3.7539372440650309E-3</v>
      </c>
      <c r="AL128" s="27">
        <f t="shared" si="305"/>
        <v>9.241429375031629E-2</v>
      </c>
      <c r="AM128" s="27">
        <f t="shared" si="306"/>
        <v>8.8660356506251259E-2</v>
      </c>
      <c r="AS128" t="str">
        <f t="shared" si="320"/>
        <v>34 Culture, media and sports occupations</v>
      </c>
      <c r="AT128" s="27">
        <f t="shared" si="307"/>
        <v>-2.08984324095563E-2</v>
      </c>
      <c r="AU128" s="27">
        <f t="shared" si="307"/>
        <v>9.6051445279684011E-3</v>
      </c>
      <c r="AV128" s="27">
        <f t="shared" si="307"/>
        <v>-1.4052936499890423E-2</v>
      </c>
      <c r="AW128" s="27">
        <f t="shared" si="307"/>
        <v>5.6669378069400533E-2</v>
      </c>
      <c r="AX128" s="27">
        <f t="shared" si="308"/>
        <v>4.2616441569510111E-2</v>
      </c>
      <c r="BD128" t="str">
        <f t="shared" si="321"/>
        <v>34 Culture, media and sports occupations</v>
      </c>
      <c r="BE128" s="27">
        <f t="shared" si="309"/>
        <v>2.7660232479163938E-2</v>
      </c>
      <c r="BF128" s="27">
        <f t="shared" si="309"/>
        <v>1.9944096273018186E-2</v>
      </c>
      <c r="BG128" s="27">
        <f t="shared" si="309"/>
        <v>-0.12742298964249243</v>
      </c>
      <c r="BH128" s="27">
        <f t="shared" si="309"/>
        <v>0.1910216515914761</v>
      </c>
      <c r="BI128" s="27">
        <f t="shared" si="310"/>
        <v>6.359866194898367E-2</v>
      </c>
      <c r="BO128" t="str">
        <f t="shared" si="322"/>
        <v>34 Culture, media and sports occupations</v>
      </c>
      <c r="BP128" s="27">
        <f t="shared" si="311"/>
        <v>-7.4751385248642555E-2</v>
      </c>
      <c r="BQ128" s="27">
        <f t="shared" si="311"/>
        <v>-0.11054665360158172</v>
      </c>
      <c r="BR128" s="27">
        <f t="shared" si="311"/>
        <v>-9.1675063911318411E-2</v>
      </c>
      <c r="BS128" s="27">
        <f t="shared" si="311"/>
        <v>-0.10425590691946066</v>
      </c>
      <c r="BT128" s="27">
        <f t="shared" si="312"/>
        <v>-0.19593097083077907</v>
      </c>
      <c r="BZ128" t="str">
        <f t="shared" si="323"/>
        <v>34 Culture, media and sports occupations</v>
      </c>
      <c r="CA128" s="68">
        <f t="shared" si="313"/>
        <v>3.0958543390677273E-2</v>
      </c>
      <c r="CB128" s="68">
        <f t="shared" si="313"/>
        <v>-9.8400068620035086E-2</v>
      </c>
      <c r="CC128" s="68">
        <f t="shared" si="313"/>
        <v>-6.8109415100411963E-2</v>
      </c>
      <c r="CD128" s="68">
        <f t="shared" si="313"/>
        <v>-0.11070042624134654</v>
      </c>
      <c r="CE128" s="68">
        <f t="shared" si="314"/>
        <v>-0.17880984134175851</v>
      </c>
      <c r="CK128" t="str">
        <f t="shared" si="324"/>
        <v>34 Culture, media and sports occupations</v>
      </c>
      <c r="CL128" s="68">
        <f t="shared" si="315"/>
        <v>3.49137508328215E-2</v>
      </c>
      <c r="CM128" s="68">
        <f t="shared" si="315"/>
        <v>-2.876076680408729E-2</v>
      </c>
      <c r="CN128" s="68">
        <f t="shared" si="315"/>
        <v>4.1631200960725312E-3</v>
      </c>
      <c r="CO128" s="68">
        <f t="shared" si="315"/>
        <v>6.9688174882273884E-2</v>
      </c>
      <c r="CP128" s="68">
        <f t="shared" si="316"/>
        <v>7.3851294978346416E-2</v>
      </c>
    </row>
    <row r="129" spans="1:94" x14ac:dyDescent="0.2">
      <c r="A129" t="str">
        <f t="shared" si="298"/>
        <v>35 Business and public service associate professionals</v>
      </c>
      <c r="B129" s="27">
        <f t="shared" si="299"/>
        <v>6.8381218261967358E-2</v>
      </c>
      <c r="C129" s="27">
        <f t="shared" si="299"/>
        <v>-4.6457616559519743E-2</v>
      </c>
      <c r="D129" s="27">
        <f t="shared" si="299"/>
        <v>3.055154832949164E-2</v>
      </c>
      <c r="E129" s="27">
        <f t="shared" si="299"/>
        <v>6.9292109642021316E-2</v>
      </c>
      <c r="F129" s="27">
        <f t="shared" si="300"/>
        <v>9.9843657971512956E-2</v>
      </c>
      <c r="L129" t="str">
        <f t="shared" si="317"/>
        <v>35 Business and public service associate professionals</v>
      </c>
      <c r="M129" s="27">
        <f t="shared" si="301"/>
        <v>0.77127418434450856</v>
      </c>
      <c r="N129" s="27">
        <f t="shared" si="301"/>
        <v>-0.41145817365799564</v>
      </c>
      <c r="O129" s="27">
        <f t="shared" si="301"/>
        <v>0.21543115804951052</v>
      </c>
      <c r="P129" s="27">
        <f t="shared" si="301"/>
        <v>0.47518428618280373</v>
      </c>
      <c r="Q129" s="27">
        <f t="shared" si="302"/>
        <v>0.69061544423231425</v>
      </c>
      <c r="W129" t="str">
        <f t="shared" si="318"/>
        <v>35 Business and public service associate professionals</v>
      </c>
      <c r="X129" s="27">
        <f t="shared" si="303"/>
        <v>-0.15838065423605752</v>
      </c>
      <c r="Y129" s="27">
        <f t="shared" si="303"/>
        <v>0.42338045500935984</v>
      </c>
      <c r="Z129" s="27">
        <f t="shared" si="303"/>
        <v>1.8280158819688808E-2</v>
      </c>
      <c r="AA129" s="27">
        <f t="shared" si="303"/>
        <v>0.69865982295079299</v>
      </c>
      <c r="AB129" s="27">
        <f t="shared" si="304"/>
        <v>0.71693998177048179</v>
      </c>
      <c r="AH129" t="str">
        <f t="shared" si="319"/>
        <v>35 Business and public service associate professionals</v>
      </c>
      <c r="AI129" s="27">
        <f t="shared" si="305"/>
        <v>-7.6867336046557044E-2</v>
      </c>
      <c r="AJ129" s="27">
        <f t="shared" si="305"/>
        <v>0.18193855186912944</v>
      </c>
      <c r="AK129" s="27">
        <f t="shared" si="305"/>
        <v>-1.605102146520121E-2</v>
      </c>
      <c r="AL129" s="27">
        <f t="shared" si="305"/>
        <v>0.21479962327687585</v>
      </c>
      <c r="AM129" s="27">
        <f t="shared" si="306"/>
        <v>0.19874860181167464</v>
      </c>
      <c r="AS129" t="str">
        <f t="shared" si="320"/>
        <v>35 Business and public service associate professionals</v>
      </c>
      <c r="AT129" s="27">
        <f t="shared" si="307"/>
        <v>-8.4812599355468699E-2</v>
      </c>
      <c r="AU129" s="27">
        <f t="shared" si="307"/>
        <v>0.14652287431694488</v>
      </c>
      <c r="AV129" s="27">
        <f t="shared" si="307"/>
        <v>-1.7302570825181274E-2</v>
      </c>
      <c r="AW129" s="27">
        <f t="shared" si="307"/>
        <v>0.19786354724796085</v>
      </c>
      <c r="AX129" s="27">
        <f t="shared" si="308"/>
        <v>0.18056097642277957</v>
      </c>
      <c r="BD129" t="str">
        <f t="shared" si="321"/>
        <v>35 Business and public service associate professionals</v>
      </c>
      <c r="BE129" s="27">
        <f t="shared" si="309"/>
        <v>-0.10850345762029878</v>
      </c>
      <c r="BF129" s="27">
        <f t="shared" si="309"/>
        <v>0.985743258399844</v>
      </c>
      <c r="BG129" s="27">
        <f t="shared" si="309"/>
        <v>-0.74109588991124031</v>
      </c>
      <c r="BH129" s="27">
        <f t="shared" si="309"/>
        <v>0.10752971830684732</v>
      </c>
      <c r="BI129" s="27">
        <f t="shared" si="310"/>
        <v>-0.63356617160439299</v>
      </c>
      <c r="BO129" t="str">
        <f t="shared" si="322"/>
        <v>35 Business and public service associate professionals</v>
      </c>
      <c r="BP129" s="27">
        <f t="shared" si="311"/>
        <v>-0.13331623591954189</v>
      </c>
      <c r="BQ129" s="27">
        <f t="shared" si="311"/>
        <v>0.2430874033159327</v>
      </c>
      <c r="BR129" s="27">
        <f t="shared" si="311"/>
        <v>-0.48406177723714894</v>
      </c>
      <c r="BS129" s="27">
        <f t="shared" si="311"/>
        <v>-0.28913168168821146</v>
      </c>
      <c r="BT129" s="27">
        <f t="shared" si="312"/>
        <v>-0.7731934589253604</v>
      </c>
      <c r="BZ129" t="str">
        <f t="shared" si="323"/>
        <v>35 Business and public service associate professionals</v>
      </c>
      <c r="CA129" s="68">
        <f t="shared" si="313"/>
        <v>0.23186992713787991</v>
      </c>
      <c r="CB129" s="68">
        <f t="shared" si="313"/>
        <v>-0.3094672430087817</v>
      </c>
      <c r="CC129" s="68">
        <f t="shared" si="313"/>
        <v>-0.26027449949621118</v>
      </c>
      <c r="CD129" s="68">
        <f t="shared" si="313"/>
        <v>-0.57401727848141271</v>
      </c>
      <c r="CE129" s="68">
        <f t="shared" si="314"/>
        <v>-0.83429177797762388</v>
      </c>
      <c r="CK129" t="str">
        <f t="shared" si="324"/>
        <v>35 Business and public service associate professionals</v>
      </c>
      <c r="CL129" s="68">
        <f t="shared" si="315"/>
        <v>8.7889896160350256E-3</v>
      </c>
      <c r="CM129" s="68">
        <f t="shared" si="315"/>
        <v>-0.11336860965599621</v>
      </c>
      <c r="CN129" s="68">
        <f t="shared" si="315"/>
        <v>-2.4907066573636782E-2</v>
      </c>
      <c r="CO129" s="68">
        <f t="shared" si="315"/>
        <v>5.2529433812273651E-2</v>
      </c>
      <c r="CP129" s="68">
        <f t="shared" si="316"/>
        <v>2.7622367238636869E-2</v>
      </c>
    </row>
    <row r="130" spans="1:94" x14ac:dyDescent="0.2">
      <c r="A130" t="str">
        <f t="shared" si="298"/>
        <v>41 Administrative occupations</v>
      </c>
      <c r="B130" s="27">
        <f t="shared" si="299"/>
        <v>4.6365766166292621E-2</v>
      </c>
      <c r="C130" s="27">
        <f t="shared" si="299"/>
        <v>-4.0919851435918531E-2</v>
      </c>
      <c r="D130" s="27">
        <f t="shared" si="299"/>
        <v>2.2349230578829676E-2</v>
      </c>
      <c r="E130" s="27">
        <f t="shared" si="299"/>
        <v>5.0494613091653123E-2</v>
      </c>
      <c r="F130" s="27">
        <f t="shared" si="300"/>
        <v>7.28438436704828E-2</v>
      </c>
      <c r="L130" t="str">
        <f t="shared" si="317"/>
        <v>41 Administrative occupations</v>
      </c>
      <c r="M130" s="27">
        <f t="shared" si="301"/>
        <v>0.61306818268812568</v>
      </c>
      <c r="N130" s="27">
        <f t="shared" si="301"/>
        <v>-0.44279943835975821</v>
      </c>
      <c r="O130" s="27">
        <f t="shared" si="301"/>
        <v>0.26576233362321799</v>
      </c>
      <c r="P130" s="27">
        <f t="shared" si="301"/>
        <v>0.494059382358218</v>
      </c>
      <c r="Q130" s="27">
        <f t="shared" si="302"/>
        <v>0.759821715981436</v>
      </c>
      <c r="W130" t="str">
        <f t="shared" si="318"/>
        <v>41 Administrative occupations</v>
      </c>
      <c r="X130" s="27">
        <f t="shared" si="303"/>
        <v>-0.38491806747807367</v>
      </c>
      <c r="Y130" s="27">
        <f t="shared" si="303"/>
        <v>0.84858659087832944</v>
      </c>
      <c r="Z130" s="27">
        <f t="shared" si="303"/>
        <v>0.33790314659151299</v>
      </c>
      <c r="AA130" s="27">
        <f t="shared" si="303"/>
        <v>1.4528301642482848</v>
      </c>
      <c r="AB130" s="27">
        <f t="shared" si="304"/>
        <v>1.7907333108397978</v>
      </c>
      <c r="AH130" t="str">
        <f t="shared" si="319"/>
        <v>41 Administrative occupations</v>
      </c>
      <c r="AI130" s="27">
        <f t="shared" si="305"/>
        <v>1.2509373361152765E-2</v>
      </c>
      <c r="AJ130" s="27">
        <f t="shared" si="305"/>
        <v>0.32101138012389407</v>
      </c>
      <c r="AK130" s="27">
        <f t="shared" si="305"/>
        <v>8.9479344835106112E-3</v>
      </c>
      <c r="AL130" s="27">
        <f t="shared" si="305"/>
        <v>0.50923773187778387</v>
      </c>
      <c r="AM130" s="27">
        <f t="shared" si="306"/>
        <v>0.51818566636129448</v>
      </c>
      <c r="AS130" t="str">
        <f t="shared" si="320"/>
        <v>41 Administrative occupations</v>
      </c>
      <c r="AT130" s="27">
        <f t="shared" si="307"/>
        <v>-0.137615641963305</v>
      </c>
      <c r="AU130" s="27">
        <f t="shared" si="307"/>
        <v>0.34317873178077063</v>
      </c>
      <c r="AV130" s="27">
        <f t="shared" si="307"/>
        <v>-1.6118967565899922E-2</v>
      </c>
      <c r="AW130" s="27">
        <f t="shared" si="307"/>
        <v>0.46610181597157352</v>
      </c>
      <c r="AX130" s="27">
        <f t="shared" si="308"/>
        <v>0.4499828484056736</v>
      </c>
      <c r="BD130" t="str">
        <f t="shared" si="321"/>
        <v>41 Administrative occupations</v>
      </c>
      <c r="BE130" s="27">
        <f t="shared" si="309"/>
        <v>-0.66246456915133045</v>
      </c>
      <c r="BF130" s="27">
        <f t="shared" si="309"/>
        <v>1.3192445175766654</v>
      </c>
      <c r="BG130" s="27">
        <f t="shared" si="309"/>
        <v>-1.3085473652785797</v>
      </c>
      <c r="BH130" s="27">
        <f t="shared" si="309"/>
        <v>-0.87109745936888849</v>
      </c>
      <c r="BI130" s="27">
        <f t="shared" si="310"/>
        <v>-2.1796448246474682</v>
      </c>
      <c r="BO130" t="str">
        <f t="shared" si="322"/>
        <v>41 Administrative occupations</v>
      </c>
      <c r="BP130" s="27">
        <f t="shared" si="311"/>
        <v>-1.2847652964997227</v>
      </c>
      <c r="BQ130" s="27">
        <f t="shared" si="311"/>
        <v>0.44198824463610187</v>
      </c>
      <c r="BR130" s="27">
        <f t="shared" si="311"/>
        <v>-2.0678042117272799</v>
      </c>
      <c r="BS130" s="27">
        <f t="shared" si="311"/>
        <v>-2.3678436531534519</v>
      </c>
      <c r="BT130" s="27">
        <f t="shared" si="312"/>
        <v>-4.4356478648807318</v>
      </c>
      <c r="BZ130" t="str">
        <f t="shared" si="323"/>
        <v>41 Administrative occupations</v>
      </c>
      <c r="CA130" s="68">
        <f t="shared" si="313"/>
        <v>-1.2716500330373863</v>
      </c>
      <c r="CB130" s="68">
        <f t="shared" si="313"/>
        <v>-0.44586767278277861</v>
      </c>
      <c r="CC130" s="68">
        <f t="shared" si="313"/>
        <v>-1.2294193155344328</v>
      </c>
      <c r="CD130" s="68">
        <f t="shared" si="313"/>
        <v>-1.8147032081142582</v>
      </c>
      <c r="CE130" s="68">
        <f t="shared" si="314"/>
        <v>-3.0441225236486913</v>
      </c>
      <c r="CK130" t="str">
        <f t="shared" si="324"/>
        <v>41 Administrative occupations</v>
      </c>
      <c r="CL130" s="68">
        <f t="shared" si="315"/>
        <v>-0.38431165619163754</v>
      </c>
      <c r="CM130" s="68">
        <f t="shared" si="315"/>
        <v>-0.3183133800765392</v>
      </c>
      <c r="CN130" s="68">
        <f t="shared" si="315"/>
        <v>-4.376125747713E-2</v>
      </c>
      <c r="CO130" s="68">
        <f t="shared" si="315"/>
        <v>-4.5257054683357945E-2</v>
      </c>
      <c r="CP130" s="68">
        <f t="shared" si="316"/>
        <v>-8.9018312160487945E-2</v>
      </c>
    </row>
    <row r="131" spans="1:94" x14ac:dyDescent="0.2">
      <c r="A131" t="str">
        <f t="shared" si="298"/>
        <v>42 Secretarial and related occupations</v>
      </c>
      <c r="B131" s="27">
        <f t="shared" si="299"/>
        <v>3.2370387615266952E-3</v>
      </c>
      <c r="C131" s="27">
        <f t="shared" si="299"/>
        <v>-1.5668848478191076E-3</v>
      </c>
      <c r="D131" s="27">
        <f t="shared" si="299"/>
        <v>6.3524156520586902E-3</v>
      </c>
      <c r="E131" s="27">
        <f t="shared" si="299"/>
        <v>8.9870382921273424E-3</v>
      </c>
      <c r="F131" s="27">
        <f t="shared" si="300"/>
        <v>1.5339453944186033E-2</v>
      </c>
      <c r="L131" t="str">
        <f t="shared" si="317"/>
        <v>42 Secretarial and related occupations</v>
      </c>
      <c r="M131" s="27">
        <f t="shared" si="301"/>
        <v>6.5718445194257513E-2</v>
      </c>
      <c r="N131" s="27">
        <f t="shared" si="301"/>
        <v>-6.5847723107142098E-2</v>
      </c>
      <c r="O131" s="27">
        <f t="shared" si="301"/>
        <v>0.14269055165329775</v>
      </c>
      <c r="P131" s="27">
        <f t="shared" si="301"/>
        <v>7.7478227835379998E-2</v>
      </c>
      <c r="Q131" s="27">
        <f t="shared" si="302"/>
        <v>0.22016877948867775</v>
      </c>
      <c r="W131" t="str">
        <f t="shared" si="318"/>
        <v>42 Secretarial and related occupations</v>
      </c>
      <c r="X131" s="27">
        <f t="shared" si="303"/>
        <v>-2.5176540965802019E-2</v>
      </c>
      <c r="Y131" s="27">
        <f t="shared" si="303"/>
        <v>0.11121089526798045</v>
      </c>
      <c r="Z131" s="27">
        <f t="shared" si="303"/>
        <v>0.52119640651423693</v>
      </c>
      <c r="AA131" s="27">
        <f t="shared" si="303"/>
        <v>1.2349644514605116</v>
      </c>
      <c r="AB131" s="27">
        <f t="shared" si="304"/>
        <v>1.7561608579747485</v>
      </c>
      <c r="AH131" t="str">
        <f t="shared" si="319"/>
        <v>42 Secretarial and related occupations</v>
      </c>
      <c r="AI131" s="27">
        <f t="shared" si="305"/>
        <v>-2.7241414260157526E-2</v>
      </c>
      <c r="AJ131" s="27">
        <f t="shared" si="305"/>
        <v>5.9553208612974806E-2</v>
      </c>
      <c r="AK131" s="27">
        <f t="shared" si="305"/>
        <v>0.13985302327880589</v>
      </c>
      <c r="AL131" s="27">
        <f t="shared" si="305"/>
        <v>2.836253543830658E-2</v>
      </c>
      <c r="AM131" s="27">
        <f t="shared" si="306"/>
        <v>0.16821555871711247</v>
      </c>
      <c r="AS131" t="str">
        <f t="shared" si="320"/>
        <v>42 Secretarial and related occupations</v>
      </c>
      <c r="AT131" s="27">
        <f t="shared" si="307"/>
        <v>-3.4981710290135304E-2</v>
      </c>
      <c r="AU131" s="27">
        <f t="shared" si="307"/>
        <v>4.1146826515631729E-2</v>
      </c>
      <c r="AV131" s="27">
        <f t="shared" si="307"/>
        <v>0.11699686610071935</v>
      </c>
      <c r="AW131" s="27">
        <f t="shared" si="307"/>
        <v>0.19623704009557119</v>
      </c>
      <c r="AX131" s="27">
        <f t="shared" si="308"/>
        <v>0.31323390619629055</v>
      </c>
      <c r="BD131" t="str">
        <f t="shared" si="321"/>
        <v>42 Secretarial and related occupations</v>
      </c>
      <c r="BE131" s="27">
        <f t="shared" si="309"/>
        <v>-0.116666046702808</v>
      </c>
      <c r="BF131" s="27">
        <f t="shared" si="309"/>
        <v>5.0551955017777095E-2</v>
      </c>
      <c r="BG131" s="27">
        <f t="shared" si="309"/>
        <v>0.54672866277706333</v>
      </c>
      <c r="BH131" s="27">
        <f t="shared" si="309"/>
        <v>-0.74908695054145902</v>
      </c>
      <c r="BI131" s="27">
        <f t="shared" si="310"/>
        <v>-0.20235828776439568</v>
      </c>
      <c r="BO131" t="str">
        <f t="shared" si="322"/>
        <v>42 Secretarial and related occupations</v>
      </c>
      <c r="BP131" s="27">
        <f t="shared" si="311"/>
        <v>-0.56130533669415383</v>
      </c>
      <c r="BQ131" s="27">
        <f t="shared" si="311"/>
        <v>8.0077782320715496E-3</v>
      </c>
      <c r="BR131" s="27">
        <f t="shared" si="311"/>
        <v>-0.45268427421566648</v>
      </c>
      <c r="BS131" s="27">
        <f t="shared" si="311"/>
        <v>-1.0256499108291661</v>
      </c>
      <c r="BT131" s="27">
        <f t="shared" si="312"/>
        <v>-1.4783341850448326</v>
      </c>
      <c r="BZ131" t="str">
        <f t="shared" si="323"/>
        <v>42 Secretarial and related occupations</v>
      </c>
      <c r="CA131" s="68">
        <f t="shared" si="313"/>
        <v>-0.62688330807886983</v>
      </c>
      <c r="CB131" s="68">
        <f t="shared" si="313"/>
        <v>1.8263441626542809E-2</v>
      </c>
      <c r="CC131" s="68">
        <f t="shared" si="313"/>
        <v>-0.48960292087854862</v>
      </c>
      <c r="CD131" s="68">
        <f t="shared" si="313"/>
        <v>-0.87510186755869857</v>
      </c>
      <c r="CE131" s="68">
        <f t="shared" si="314"/>
        <v>-1.3647047884372472</v>
      </c>
      <c r="CK131" t="str">
        <f t="shared" si="324"/>
        <v>42 Secretarial and related occupations</v>
      </c>
      <c r="CL131" s="68">
        <f t="shared" si="315"/>
        <v>-7.7133447592972026E-2</v>
      </c>
      <c r="CM131" s="68">
        <f t="shared" si="315"/>
        <v>-0.17574473705139448</v>
      </c>
      <c r="CN131" s="68">
        <f t="shared" si="315"/>
        <v>0.19269670341921541</v>
      </c>
      <c r="CO131" s="68">
        <f t="shared" si="315"/>
        <v>-9.805165670788496E-2</v>
      </c>
      <c r="CP131" s="68">
        <f t="shared" si="316"/>
        <v>9.4645046711330449E-2</v>
      </c>
    </row>
    <row r="132" spans="1:94" x14ac:dyDescent="0.2">
      <c r="A132" t="str">
        <f t="shared" si="298"/>
        <v>51 Skilled agricultural and related trades</v>
      </c>
      <c r="B132" s="27">
        <f t="shared" si="299"/>
        <v>2.6175533299940225E-3</v>
      </c>
      <c r="C132" s="27">
        <f t="shared" si="299"/>
        <v>2.6372726097993225E-3</v>
      </c>
      <c r="D132" s="27">
        <f t="shared" si="299"/>
        <v>5.7360552687509437E-4</v>
      </c>
      <c r="E132" s="27">
        <f t="shared" si="299"/>
        <v>1.8064848838410408E-3</v>
      </c>
      <c r="F132" s="27">
        <f t="shared" si="300"/>
        <v>2.3800904107161352E-3</v>
      </c>
      <c r="L132" t="str">
        <f t="shared" si="317"/>
        <v>51 Skilled agricultural and related trades</v>
      </c>
      <c r="M132" s="27">
        <f t="shared" si="301"/>
        <v>2.1895649871720504E-3</v>
      </c>
      <c r="N132" s="27">
        <f t="shared" si="301"/>
        <v>-1.5582624358911612E-3</v>
      </c>
      <c r="O132" s="27">
        <f t="shared" si="301"/>
        <v>3.4016799879236781E-3</v>
      </c>
      <c r="P132" s="27">
        <f t="shared" si="301"/>
        <v>1.6403924321241603E-2</v>
      </c>
      <c r="Q132" s="27">
        <f t="shared" si="302"/>
        <v>1.9805604309165281E-2</v>
      </c>
      <c r="W132" t="str">
        <f t="shared" si="318"/>
        <v>51 Skilled agricultural and related trades</v>
      </c>
      <c r="X132" s="27">
        <f t="shared" si="303"/>
        <v>-0.10733087417030773</v>
      </c>
      <c r="Y132" s="27">
        <f t="shared" si="303"/>
        <v>8.0243656026613042E-2</v>
      </c>
      <c r="Z132" s="27">
        <f t="shared" si="303"/>
        <v>6.6228695969445472E-2</v>
      </c>
      <c r="AA132" s="27">
        <f t="shared" si="303"/>
        <v>0.16310501501221331</v>
      </c>
      <c r="AB132" s="27">
        <f t="shared" si="304"/>
        <v>0.22933371098165878</v>
      </c>
      <c r="AH132" t="str">
        <f t="shared" si="319"/>
        <v>51 Skilled agricultural and related trades</v>
      </c>
      <c r="AI132" s="27">
        <f t="shared" si="305"/>
        <v>-3.1110780533958993E-2</v>
      </c>
      <c r="AJ132" s="27">
        <f t="shared" si="305"/>
        <v>2.4541005466694937E-2</v>
      </c>
      <c r="AK132" s="27">
        <f t="shared" si="305"/>
        <v>3.2127020382448163E-2</v>
      </c>
      <c r="AL132" s="27">
        <f t="shared" si="305"/>
        <v>5.7768149236122168E-2</v>
      </c>
      <c r="AM132" s="27">
        <f t="shared" si="306"/>
        <v>8.9895169618570331E-2</v>
      </c>
      <c r="AS132" t="str">
        <f t="shared" si="320"/>
        <v>51 Skilled agricultural and related trades</v>
      </c>
      <c r="AT132" s="27">
        <f t="shared" si="307"/>
        <v>-6.7250179464087179E-2</v>
      </c>
      <c r="AU132" s="27">
        <f t="shared" si="307"/>
        <v>5.9962922652734396E-2</v>
      </c>
      <c r="AV132" s="27">
        <f t="shared" si="307"/>
        <v>3.3127789107418759E-2</v>
      </c>
      <c r="AW132" s="27">
        <f t="shared" si="307"/>
        <v>0.11383180036798241</v>
      </c>
      <c r="AX132" s="27">
        <f t="shared" si="308"/>
        <v>0.14695958947540116</v>
      </c>
      <c r="BD132" t="str">
        <f t="shared" si="321"/>
        <v>51 Skilled agricultural and related trades</v>
      </c>
      <c r="BE132" s="27">
        <f t="shared" si="309"/>
        <v>-0.23273440227659559</v>
      </c>
      <c r="BF132" s="27">
        <f t="shared" si="309"/>
        <v>0.10789378999786692</v>
      </c>
      <c r="BG132" s="27">
        <f t="shared" si="309"/>
        <v>-8.1183657190195824E-2</v>
      </c>
      <c r="BH132" s="27">
        <f t="shared" si="309"/>
        <v>5.9137138667359368E-2</v>
      </c>
      <c r="BI132" s="27">
        <f t="shared" si="310"/>
        <v>-2.2046518522836456E-2</v>
      </c>
      <c r="BO132" t="str">
        <f t="shared" si="322"/>
        <v>51 Skilled agricultural and related trades</v>
      </c>
      <c r="BP132" s="27">
        <f t="shared" si="311"/>
        <v>-0.21396626287254561</v>
      </c>
      <c r="BQ132" s="27">
        <f t="shared" si="311"/>
        <v>-4.5089673947801057E-2</v>
      </c>
      <c r="BR132" s="27">
        <f t="shared" si="311"/>
        <v>1.841325682162287E-2</v>
      </c>
      <c r="BS132" s="27">
        <f t="shared" si="311"/>
        <v>0.12508689370721116</v>
      </c>
      <c r="BT132" s="27">
        <f t="shared" si="312"/>
        <v>0.14350015052883403</v>
      </c>
      <c r="BZ132" t="str">
        <f t="shared" si="323"/>
        <v>51 Skilled agricultural and related trades</v>
      </c>
      <c r="CA132" s="68">
        <f t="shared" si="313"/>
        <v>0.1211825991315717</v>
      </c>
      <c r="CB132" s="68">
        <f t="shared" si="313"/>
        <v>-0.21575349867403071</v>
      </c>
      <c r="CC132" s="68">
        <f t="shared" si="313"/>
        <v>2.7670059254910062E-2</v>
      </c>
      <c r="CD132" s="68">
        <f t="shared" si="313"/>
        <v>9.6271641759781534E-2</v>
      </c>
      <c r="CE132" s="68">
        <f t="shared" si="314"/>
        <v>0.1239417010146916</v>
      </c>
      <c r="CK132" t="str">
        <f t="shared" si="324"/>
        <v>51 Skilled agricultural and related trades</v>
      </c>
      <c r="CL132" s="68">
        <f t="shared" si="315"/>
        <v>-0.20005992116508586</v>
      </c>
      <c r="CM132" s="68">
        <f t="shared" si="315"/>
        <v>-1.6774848432347333E-2</v>
      </c>
      <c r="CN132" s="68">
        <f t="shared" si="315"/>
        <v>-5.9560911102907954E-2</v>
      </c>
      <c r="CO132" s="68">
        <f t="shared" si="315"/>
        <v>-0.19974854315412505</v>
      </c>
      <c r="CP132" s="68">
        <f t="shared" si="316"/>
        <v>-0.259309454257033</v>
      </c>
    </row>
    <row r="133" spans="1:94" x14ac:dyDescent="0.2">
      <c r="A133" t="str">
        <f t="shared" si="298"/>
        <v>52 Skilled metal, electrical and electronic trades</v>
      </c>
      <c r="B133" s="27">
        <f t="shared" si="299"/>
        <v>6.4065282259943082E-3</v>
      </c>
      <c r="C133" s="27">
        <f t="shared" si="299"/>
        <v>-5.5076353277442956E-3</v>
      </c>
      <c r="D133" s="27">
        <f t="shared" si="299"/>
        <v>3.3116688350897597E-3</v>
      </c>
      <c r="E133" s="27">
        <f t="shared" si="299"/>
        <v>6.8335803149423488E-3</v>
      </c>
      <c r="F133" s="27">
        <f t="shared" si="300"/>
        <v>1.0145249150032109E-2</v>
      </c>
      <c r="L133" t="str">
        <f t="shared" si="317"/>
        <v>52 Skilled metal, electrical and electronic trades</v>
      </c>
      <c r="M133" s="27">
        <f t="shared" si="301"/>
        <v>0.14764036849999462</v>
      </c>
      <c r="N133" s="27">
        <f t="shared" si="301"/>
        <v>-0.13574396038309283</v>
      </c>
      <c r="O133" s="27">
        <f t="shared" si="301"/>
        <v>0.11891490596530407</v>
      </c>
      <c r="P133" s="27">
        <f t="shared" si="301"/>
        <v>0.15271567040463319</v>
      </c>
      <c r="Q133" s="27">
        <f t="shared" si="302"/>
        <v>0.27163057636993726</v>
      </c>
      <c r="W133" t="str">
        <f t="shared" si="318"/>
        <v>52 Skilled metal, electrical and electronic trades</v>
      </c>
      <c r="X133" s="27">
        <f t="shared" si="303"/>
        <v>-0.10473247045171663</v>
      </c>
      <c r="Y133" s="27">
        <f t="shared" si="303"/>
        <v>-0.21490774058661977</v>
      </c>
      <c r="Z133" s="27">
        <f t="shared" si="303"/>
        <v>0.17745507194122812</v>
      </c>
      <c r="AA133" s="27">
        <f t="shared" si="303"/>
        <v>0.13202481486245832</v>
      </c>
      <c r="AB133" s="27">
        <f t="shared" si="304"/>
        <v>0.30947988680368643</v>
      </c>
      <c r="AH133" t="str">
        <f t="shared" si="319"/>
        <v>52 Skilled metal, electrical and electronic trades</v>
      </c>
      <c r="AI133" s="27">
        <f t="shared" si="305"/>
        <v>-5.6195671129237845E-2</v>
      </c>
      <c r="AJ133" s="27">
        <f t="shared" si="305"/>
        <v>-5.1763965492196085E-2</v>
      </c>
      <c r="AK133" s="27">
        <f t="shared" si="305"/>
        <v>4.22700380885907E-2</v>
      </c>
      <c r="AL133" s="27">
        <f t="shared" si="305"/>
        <v>6.3572146821309294E-2</v>
      </c>
      <c r="AM133" s="27">
        <f t="shared" si="306"/>
        <v>0.10584218490989999</v>
      </c>
      <c r="AS133" t="str">
        <f t="shared" si="320"/>
        <v>52 Skilled metal, electrical and electronic trades</v>
      </c>
      <c r="AT133" s="27">
        <f t="shared" si="307"/>
        <v>-0.23315119334193346</v>
      </c>
      <c r="AU133" s="27">
        <f t="shared" si="307"/>
        <v>-0.27852160799205872</v>
      </c>
      <c r="AV133" s="27">
        <f t="shared" si="307"/>
        <v>0.11105986030240267</v>
      </c>
      <c r="AW133" s="27">
        <f t="shared" si="307"/>
        <v>1.268296015257242E-3</v>
      </c>
      <c r="AX133" s="27">
        <f t="shared" si="308"/>
        <v>0.11232815631765991</v>
      </c>
      <c r="BD133" t="str">
        <f t="shared" si="321"/>
        <v>52 Skilled metal, electrical and electronic trades</v>
      </c>
      <c r="BE133" s="27">
        <f t="shared" si="309"/>
        <v>-0.6866343200713434</v>
      </c>
      <c r="BF133" s="27">
        <f t="shared" si="309"/>
        <v>4.9098036389411348E-2</v>
      </c>
      <c r="BG133" s="27">
        <f t="shared" si="309"/>
        <v>-1.3647000216896767</v>
      </c>
      <c r="BH133" s="27">
        <f t="shared" si="309"/>
        <v>-0.76680003933280538</v>
      </c>
      <c r="BI133" s="27">
        <f t="shared" si="310"/>
        <v>-2.1315000610224821</v>
      </c>
      <c r="BO133" t="str">
        <f t="shared" si="322"/>
        <v>52 Skilled metal, electrical and electronic trades</v>
      </c>
      <c r="BP133" s="27">
        <f t="shared" si="311"/>
        <v>-0.22624394161233052</v>
      </c>
      <c r="BQ133" s="27">
        <f t="shared" si="311"/>
        <v>-1.1960641462103263</v>
      </c>
      <c r="BR133" s="27">
        <f t="shared" si="311"/>
        <v>-9.2399127411189497E-2</v>
      </c>
      <c r="BS133" s="27">
        <f t="shared" si="311"/>
        <v>-0.57700606704647672</v>
      </c>
      <c r="BT133" s="27">
        <f t="shared" si="312"/>
        <v>-0.66940519445766622</v>
      </c>
      <c r="BZ133" t="str">
        <f t="shared" si="323"/>
        <v>52 Skilled metal, electrical and electronic trades</v>
      </c>
      <c r="CA133" s="68">
        <f t="shared" si="313"/>
        <v>0.82130303509242486</v>
      </c>
      <c r="CB133" s="68">
        <f t="shared" si="313"/>
        <v>-1.389543181021802</v>
      </c>
      <c r="CC133" s="68">
        <f t="shared" si="313"/>
        <v>2.7245682306537011E-2</v>
      </c>
      <c r="CD133" s="68">
        <f t="shared" si="313"/>
        <v>-0.83226125082672153</v>
      </c>
      <c r="CE133" s="68">
        <f t="shared" si="314"/>
        <v>-0.80501556852018452</v>
      </c>
      <c r="CK133" t="str">
        <f t="shared" si="324"/>
        <v>52 Skilled metal, electrical and electronic trades</v>
      </c>
      <c r="CL133" s="68">
        <f t="shared" si="315"/>
        <v>-0.13100636324918624</v>
      </c>
      <c r="CM133" s="68">
        <f t="shared" si="315"/>
        <v>-0.24580512026080714</v>
      </c>
      <c r="CN133" s="68">
        <f t="shared" si="315"/>
        <v>-0.12778684875310065</v>
      </c>
      <c r="CO133" s="68">
        <f t="shared" si="315"/>
        <v>-0.14552267134231867</v>
      </c>
      <c r="CP133" s="68">
        <f t="shared" si="316"/>
        <v>-0.27330952009541931</v>
      </c>
    </row>
    <row r="134" spans="1:94" x14ac:dyDescent="0.2">
      <c r="A134" t="str">
        <f t="shared" si="298"/>
        <v>53 Skilled construction and building trades</v>
      </c>
      <c r="B134" s="27">
        <f t="shared" si="299"/>
        <v>4.6093036282729514E-4</v>
      </c>
      <c r="C134" s="27">
        <f t="shared" si="299"/>
        <v>-1.8354903235453086E-3</v>
      </c>
      <c r="D134" s="27">
        <f t="shared" si="299"/>
        <v>1.7254971837405652E-3</v>
      </c>
      <c r="E134" s="27">
        <f t="shared" si="299"/>
        <v>4.7359021479794275E-4</v>
      </c>
      <c r="F134" s="27">
        <f t="shared" si="300"/>
        <v>2.1990873985385079E-3</v>
      </c>
      <c r="L134" t="str">
        <f t="shared" si="317"/>
        <v>53 Skilled construction and building trades</v>
      </c>
      <c r="M134" s="27">
        <f t="shared" si="301"/>
        <v>3.6769341110898551E-2</v>
      </c>
      <c r="N134" s="27">
        <f t="shared" si="301"/>
        <v>-5.6476451503821842E-2</v>
      </c>
      <c r="O134" s="27">
        <f t="shared" si="301"/>
        <v>3.6928389102922995E-2</v>
      </c>
      <c r="P134" s="27">
        <f t="shared" si="301"/>
        <v>4.4476564092848142E-2</v>
      </c>
      <c r="Q134" s="27">
        <f t="shared" si="302"/>
        <v>8.1404953195771138E-2</v>
      </c>
      <c r="W134" t="str">
        <f t="shared" si="318"/>
        <v>53 Skilled construction and building trades</v>
      </c>
      <c r="X134" s="27">
        <f t="shared" si="303"/>
        <v>-4.417838653823325E-2</v>
      </c>
      <c r="Y134" s="27">
        <f t="shared" si="303"/>
        <v>-9.747926744203006E-2</v>
      </c>
      <c r="Z134" s="27">
        <f t="shared" si="303"/>
        <v>7.748154190371348E-2</v>
      </c>
      <c r="AA134" s="27">
        <f t="shared" si="303"/>
        <v>7.0466725340281311E-3</v>
      </c>
      <c r="AB134" s="27">
        <f t="shared" si="304"/>
        <v>8.4528214437741611E-2</v>
      </c>
      <c r="AH134" t="str">
        <f t="shared" si="319"/>
        <v>53 Skilled construction and building trades</v>
      </c>
      <c r="AI134" s="27">
        <f t="shared" si="305"/>
        <v>-6.5469397321311629E-3</v>
      </c>
      <c r="AJ134" s="27">
        <f t="shared" si="305"/>
        <v>-5.272450822825811E-2</v>
      </c>
      <c r="AK134" s="27">
        <f t="shared" si="305"/>
        <v>4.4244588681353308E-2</v>
      </c>
      <c r="AL134" s="27">
        <f t="shared" si="305"/>
        <v>2.0809783387396308E-2</v>
      </c>
      <c r="AM134" s="27">
        <f t="shared" si="306"/>
        <v>6.5054372068749616E-2</v>
      </c>
      <c r="AS134" t="str">
        <f t="shared" si="320"/>
        <v>53 Skilled construction and building trades</v>
      </c>
      <c r="AT134" s="27">
        <f t="shared" si="307"/>
        <v>-3.4007589737535815E-3</v>
      </c>
      <c r="AU134" s="27">
        <f t="shared" si="307"/>
        <v>-7.7865548626136094E-2</v>
      </c>
      <c r="AV134" s="27">
        <f t="shared" si="307"/>
        <v>9.5144122449395352E-2</v>
      </c>
      <c r="AW134" s="27">
        <f t="shared" si="307"/>
        <v>3.1628429715488016E-2</v>
      </c>
      <c r="AX134" s="27">
        <f t="shared" si="308"/>
        <v>0.12677255216488337</v>
      </c>
      <c r="BD134" t="str">
        <f t="shared" si="321"/>
        <v>53 Skilled construction and building trades</v>
      </c>
      <c r="BE134" s="27">
        <f t="shared" si="309"/>
        <v>-3.2143322949890418E-2</v>
      </c>
      <c r="BF134" s="27">
        <f t="shared" si="309"/>
        <v>-0.21447807665030005</v>
      </c>
      <c r="BG134" s="27">
        <f t="shared" si="309"/>
        <v>-0.96816155828087069</v>
      </c>
      <c r="BH134" s="27">
        <f t="shared" si="309"/>
        <v>-0.84438185501937202</v>
      </c>
      <c r="BI134" s="27">
        <f t="shared" si="310"/>
        <v>-1.8125434133002427</v>
      </c>
      <c r="BO134" t="str">
        <f t="shared" si="322"/>
        <v>53 Skilled construction and building trades</v>
      </c>
      <c r="BP134" s="27">
        <f t="shared" si="311"/>
        <v>0.74732026415108788</v>
      </c>
      <c r="BQ134" s="27">
        <f t="shared" si="311"/>
        <v>-1.3564739075151246</v>
      </c>
      <c r="BR134" s="27">
        <f t="shared" si="311"/>
        <v>0.64085263794538072</v>
      </c>
      <c r="BS134" s="27">
        <f t="shared" si="311"/>
        <v>0.18124265859244382</v>
      </c>
      <c r="BT134" s="27">
        <f t="shared" si="312"/>
        <v>0.82209529653782454</v>
      </c>
      <c r="BZ134" t="str">
        <f t="shared" si="323"/>
        <v>53 Skilled construction and building trades</v>
      </c>
      <c r="CA134" s="68">
        <f t="shared" si="313"/>
        <v>1.1010111947279491</v>
      </c>
      <c r="CB134" s="68">
        <f t="shared" si="313"/>
        <v>-1.539314815198455</v>
      </c>
      <c r="CC134" s="68">
        <f t="shared" si="313"/>
        <v>0.13388100313981521</v>
      </c>
      <c r="CD134" s="68">
        <f t="shared" si="313"/>
        <v>-0.56592748471197951</v>
      </c>
      <c r="CE134" s="68">
        <f t="shared" si="314"/>
        <v>-0.4320464815721643</v>
      </c>
      <c r="CK134" t="str">
        <f t="shared" si="324"/>
        <v>53 Skilled construction and building trades</v>
      </c>
      <c r="CL134" s="68">
        <f t="shared" si="315"/>
        <v>-1.8253917442068168E-3</v>
      </c>
      <c r="CM134" s="68">
        <f t="shared" si="315"/>
        <v>-0.38823383052196703</v>
      </c>
      <c r="CN134" s="68">
        <f t="shared" si="315"/>
        <v>-0.32634342932221927</v>
      </c>
      <c r="CO134" s="68">
        <f t="shared" si="315"/>
        <v>-0.47803957707852596</v>
      </c>
      <c r="CP134" s="68">
        <f t="shared" si="316"/>
        <v>-0.80438300640074523</v>
      </c>
    </row>
    <row r="135" spans="1:94" x14ac:dyDescent="0.2">
      <c r="A135" t="str">
        <f t="shared" si="298"/>
        <v>54 Textiles, printing and other skilled trades</v>
      </c>
      <c r="B135" s="27">
        <f t="shared" si="299"/>
        <v>-2.1261037820584951E-3</v>
      </c>
      <c r="C135" s="27">
        <f t="shared" si="299"/>
        <v>-7.6396700488210907E-3</v>
      </c>
      <c r="D135" s="27">
        <f t="shared" si="299"/>
        <v>4.5069953804429408E-3</v>
      </c>
      <c r="E135" s="27">
        <f t="shared" si="299"/>
        <v>5.8418986496277039E-3</v>
      </c>
      <c r="F135" s="27">
        <f t="shared" si="300"/>
        <v>1.0348894030070645E-2</v>
      </c>
      <c r="L135" t="str">
        <f t="shared" si="317"/>
        <v>54 Textiles, printing and other skilled trades</v>
      </c>
      <c r="M135" s="27">
        <f t="shared" si="301"/>
        <v>2.9698269356215834E-2</v>
      </c>
      <c r="N135" s="27">
        <f t="shared" si="301"/>
        <v>-4.239548385087305E-3</v>
      </c>
      <c r="O135" s="27">
        <f t="shared" si="301"/>
        <v>4.7774887745493738E-2</v>
      </c>
      <c r="P135" s="27">
        <f t="shared" si="301"/>
        <v>7.9000423800930253E-2</v>
      </c>
      <c r="Q135" s="27">
        <f t="shared" si="302"/>
        <v>0.12677531154642399</v>
      </c>
      <c r="W135" t="str">
        <f t="shared" si="318"/>
        <v>54 Textiles, printing and other skilled trades</v>
      </c>
      <c r="X135" s="27">
        <f t="shared" si="303"/>
        <v>-7.99368637954877E-2</v>
      </c>
      <c r="Y135" s="27">
        <f t="shared" si="303"/>
        <v>-5.222793773966905E-2</v>
      </c>
      <c r="Z135" s="27">
        <f t="shared" si="303"/>
        <v>0.15043953028372525</v>
      </c>
      <c r="AA135" s="27">
        <f t="shared" si="303"/>
        <v>0.16744626325550283</v>
      </c>
      <c r="AB135" s="27">
        <f t="shared" si="304"/>
        <v>0.31788579353922808</v>
      </c>
      <c r="AH135" t="str">
        <f t="shared" si="319"/>
        <v>54 Textiles, printing and other skilled trades</v>
      </c>
      <c r="AI135" s="27">
        <f t="shared" si="305"/>
        <v>-4.1419835843667041E-2</v>
      </c>
      <c r="AJ135" s="27">
        <f t="shared" si="305"/>
        <v>4.3020115781061297E-2</v>
      </c>
      <c r="AK135" s="27">
        <f t="shared" si="305"/>
        <v>4.0137903015545207E-2</v>
      </c>
      <c r="AL135" s="27">
        <f t="shared" si="305"/>
        <v>0.12396612391334072</v>
      </c>
      <c r="AM135" s="27">
        <f t="shared" si="306"/>
        <v>0.16410402692888593</v>
      </c>
      <c r="AS135" t="str">
        <f t="shared" si="320"/>
        <v>54 Textiles, printing and other skilled trades</v>
      </c>
      <c r="AT135" s="27">
        <f t="shared" si="307"/>
        <v>-6.5137813047833171E-2</v>
      </c>
      <c r="AU135" s="27">
        <f t="shared" si="307"/>
        <v>4.404923814144146E-3</v>
      </c>
      <c r="AV135" s="27">
        <f t="shared" si="307"/>
        <v>3.3512267220000558E-2</v>
      </c>
      <c r="AW135" s="27">
        <f t="shared" si="307"/>
        <v>1.2473512620156446E-2</v>
      </c>
      <c r="AX135" s="27">
        <f t="shared" si="308"/>
        <v>4.5985779840157004E-2</v>
      </c>
      <c r="BD135" t="str">
        <f t="shared" si="321"/>
        <v>54 Textiles, printing and other skilled trades</v>
      </c>
      <c r="BE135" s="27">
        <f t="shared" si="309"/>
        <v>-0.56719087583913019</v>
      </c>
      <c r="BF135" s="27">
        <f t="shared" si="309"/>
        <v>0.10699852373517338</v>
      </c>
      <c r="BG135" s="27">
        <f t="shared" si="309"/>
        <v>5.0880006614514084E-2</v>
      </c>
      <c r="BH135" s="27">
        <f t="shared" si="309"/>
        <v>0.18863171510593002</v>
      </c>
      <c r="BI135" s="27">
        <f t="shared" si="310"/>
        <v>0.2395117217204441</v>
      </c>
      <c r="BO135" t="str">
        <f t="shared" si="322"/>
        <v>54 Textiles, printing and other skilled trades</v>
      </c>
      <c r="BP135" s="27">
        <f t="shared" si="311"/>
        <v>-0.59945031060778797</v>
      </c>
      <c r="BQ135" s="27">
        <f t="shared" si="311"/>
        <v>-5.0615704744054746E-2</v>
      </c>
      <c r="BR135" s="27">
        <f t="shared" si="311"/>
        <v>-0.34864142696714628</v>
      </c>
      <c r="BS135" s="27">
        <f t="shared" si="311"/>
        <v>-0.34509481217002502</v>
      </c>
      <c r="BT135" s="27">
        <f t="shared" si="312"/>
        <v>-0.69373623913717131</v>
      </c>
      <c r="BZ135" t="str">
        <f t="shared" si="323"/>
        <v>54 Textiles, printing and other skilled trades</v>
      </c>
      <c r="CA135" s="68">
        <f t="shared" si="313"/>
        <v>-3.3258500902462851E-2</v>
      </c>
      <c r="CB135" s="68">
        <f t="shared" si="313"/>
        <v>-0.38448971608853411</v>
      </c>
      <c r="CC135" s="68">
        <f t="shared" si="313"/>
        <v>-3.9656875173973871E-2</v>
      </c>
      <c r="CD135" s="68">
        <f t="shared" si="313"/>
        <v>-0.51303073452924175</v>
      </c>
      <c r="CE135" s="68">
        <f t="shared" si="314"/>
        <v>-0.55268760970321562</v>
      </c>
      <c r="CK135" t="str">
        <f t="shared" si="324"/>
        <v>54 Textiles, printing and other skilled trades</v>
      </c>
      <c r="CL135" s="68">
        <f t="shared" si="315"/>
        <v>-0.24654065620494026</v>
      </c>
      <c r="CM135" s="68">
        <f t="shared" si="315"/>
        <v>-0.17726897040963419</v>
      </c>
      <c r="CN135" s="68">
        <f t="shared" si="315"/>
        <v>-0.12384010533803613</v>
      </c>
      <c r="CO135" s="68">
        <f t="shared" si="315"/>
        <v>-0.14130993109924228</v>
      </c>
      <c r="CP135" s="68">
        <f t="shared" si="316"/>
        <v>-0.26515003643727841</v>
      </c>
    </row>
    <row r="136" spans="1:94" x14ac:dyDescent="0.2">
      <c r="A136" t="str">
        <f t="shared" si="298"/>
        <v>61 Caring personal service occupations</v>
      </c>
      <c r="B136" s="27">
        <f t="shared" si="299"/>
        <v>3.2930460752246676E-3</v>
      </c>
      <c r="C136" s="27">
        <f t="shared" si="299"/>
        <v>-4.1823122621764582E-3</v>
      </c>
      <c r="D136" s="27">
        <f t="shared" si="299"/>
        <v>4.1751845792675664E-3</v>
      </c>
      <c r="E136" s="27">
        <f t="shared" si="299"/>
        <v>5.0030357175690973E-3</v>
      </c>
      <c r="F136" s="27">
        <f t="shared" si="300"/>
        <v>9.1782202968366637E-3</v>
      </c>
      <c r="L136" t="str">
        <f t="shared" si="317"/>
        <v>61 Caring personal service occupations</v>
      </c>
      <c r="M136" s="27">
        <f t="shared" si="301"/>
        <v>0.28087545656141</v>
      </c>
      <c r="N136" s="27">
        <f t="shared" si="301"/>
        <v>-0.23023650981762422</v>
      </c>
      <c r="O136" s="27">
        <f t="shared" si="301"/>
        <v>0.21195491731317584</v>
      </c>
      <c r="P136" s="27">
        <f t="shared" si="301"/>
        <v>0.2249716758388205</v>
      </c>
      <c r="Q136" s="27">
        <f t="shared" si="302"/>
        <v>0.43692659315199633</v>
      </c>
      <c r="W136" t="str">
        <f t="shared" si="318"/>
        <v>61 Caring personal service occupations</v>
      </c>
      <c r="X136" s="27">
        <f t="shared" si="303"/>
        <v>0.19738272947639812</v>
      </c>
      <c r="Y136" s="27">
        <f t="shared" si="303"/>
        <v>0.1119225740873997</v>
      </c>
      <c r="Z136" s="27">
        <f t="shared" si="303"/>
        <v>0.64881269367340844</v>
      </c>
      <c r="AA136" s="27">
        <f t="shared" si="303"/>
        <v>1.1020909002826134</v>
      </c>
      <c r="AB136" s="27">
        <f t="shared" si="304"/>
        <v>1.7509035939560218</v>
      </c>
      <c r="AH136" t="str">
        <f t="shared" si="319"/>
        <v>61 Caring personal service occupations</v>
      </c>
      <c r="AI136" s="27">
        <f t="shared" si="305"/>
        <v>-0.29797034788526444</v>
      </c>
      <c r="AJ136" s="27">
        <f t="shared" si="305"/>
        <v>0.24777015658271484</v>
      </c>
      <c r="AK136" s="27">
        <f t="shared" si="305"/>
        <v>8.8773009753472465E-2</v>
      </c>
      <c r="AL136" s="27">
        <f t="shared" si="305"/>
        <v>0.25955021896556785</v>
      </c>
      <c r="AM136" s="27">
        <f t="shared" si="306"/>
        <v>0.34832322871904031</v>
      </c>
      <c r="AS136" t="str">
        <f t="shared" si="320"/>
        <v>61 Caring personal service occupations</v>
      </c>
      <c r="AT136" s="27">
        <f t="shared" si="307"/>
        <v>-5.4645558560586061E-2</v>
      </c>
      <c r="AU136" s="27">
        <f t="shared" si="307"/>
        <v>0.11114965671011268</v>
      </c>
      <c r="AV136" s="27">
        <f t="shared" si="307"/>
        <v>6.2319228175799157E-2</v>
      </c>
      <c r="AW136" s="27">
        <f t="shared" si="307"/>
        <v>0.13459164805869417</v>
      </c>
      <c r="AX136" s="27">
        <f t="shared" si="308"/>
        <v>0.19691087623449333</v>
      </c>
      <c r="BD136" t="str">
        <f t="shared" si="321"/>
        <v>61 Caring personal service occupations</v>
      </c>
      <c r="BE136" s="27">
        <f t="shared" si="309"/>
        <v>0.43538140837928729</v>
      </c>
      <c r="BF136" s="27">
        <f t="shared" si="309"/>
        <v>0.27074929410881943</v>
      </c>
      <c r="BG136" s="27">
        <f t="shared" si="309"/>
        <v>2.0515884656056276</v>
      </c>
      <c r="BH136" s="27">
        <f t="shared" si="309"/>
        <v>1.8548752282475416</v>
      </c>
      <c r="BI136" s="27">
        <f t="shared" si="310"/>
        <v>3.9064636938531692</v>
      </c>
      <c r="BO136" t="str">
        <f t="shared" si="322"/>
        <v>61 Caring personal service occupations</v>
      </c>
      <c r="BP136" s="27">
        <f t="shared" si="311"/>
        <v>-1.496497693302409</v>
      </c>
      <c r="BQ136" s="27">
        <f t="shared" si="311"/>
        <v>0.11082494290781142</v>
      </c>
      <c r="BR136" s="27">
        <f t="shared" si="311"/>
        <v>-0.79309671412759908</v>
      </c>
      <c r="BS136" s="27">
        <f t="shared" si="311"/>
        <v>-2.1702021428303118</v>
      </c>
      <c r="BT136" s="27">
        <f t="shared" si="312"/>
        <v>-2.9632988569579108</v>
      </c>
      <c r="BZ136" t="str">
        <f t="shared" si="323"/>
        <v>61 Caring personal service occupations</v>
      </c>
      <c r="CA136" s="68">
        <f t="shared" si="313"/>
        <v>-1.2927772400873694</v>
      </c>
      <c r="CB136" s="68">
        <f t="shared" si="313"/>
        <v>-0.27625257208586085</v>
      </c>
      <c r="CC136" s="68">
        <f t="shared" si="313"/>
        <v>-0.29184462044126225</v>
      </c>
      <c r="CD136" s="68">
        <f t="shared" si="313"/>
        <v>-0.1629504399224514</v>
      </c>
      <c r="CE136" s="68">
        <f t="shared" si="314"/>
        <v>-0.45479506036371364</v>
      </c>
      <c r="CK136" t="str">
        <f t="shared" si="324"/>
        <v>61 Caring personal service occupations</v>
      </c>
      <c r="CL136" s="68">
        <f t="shared" si="315"/>
        <v>-2.9433432731045206E-2</v>
      </c>
      <c r="CM136" s="68">
        <f t="shared" si="315"/>
        <v>-8.9097400921498149E-2</v>
      </c>
      <c r="CN136" s="68">
        <f t="shared" si="315"/>
        <v>4.577144587803933E-2</v>
      </c>
      <c r="CO136" s="68">
        <f t="shared" si="315"/>
        <v>-7.9476616891639429E-3</v>
      </c>
      <c r="CP136" s="68">
        <f t="shared" si="316"/>
        <v>3.7823784188875387E-2</v>
      </c>
    </row>
    <row r="137" spans="1:94" x14ac:dyDescent="0.2">
      <c r="A137" t="str">
        <f t="shared" si="298"/>
        <v>62 Leisure, travel and related personal service occupations</v>
      </c>
      <c r="B137" s="27">
        <f t="shared" si="299"/>
        <v>-2.0743192515572592E-3</v>
      </c>
      <c r="C137" s="27">
        <f t="shared" si="299"/>
        <v>2.8218356418600026E-3</v>
      </c>
      <c r="D137" s="27">
        <f t="shared" si="299"/>
        <v>3.26099991230769E-3</v>
      </c>
      <c r="E137" s="27">
        <f t="shared" si="299"/>
        <v>6.4545143697719611E-3</v>
      </c>
      <c r="F137" s="27">
        <f t="shared" si="300"/>
        <v>9.7155142820796511E-3</v>
      </c>
      <c r="L137" t="str">
        <f t="shared" si="317"/>
        <v>62 Leisure, travel and related personal service occupations</v>
      </c>
      <c r="M137" s="27">
        <f t="shared" si="301"/>
        <v>9.036822695278332E-2</v>
      </c>
      <c r="N137" s="27">
        <f t="shared" si="301"/>
        <v>-6.8548537172087615E-2</v>
      </c>
      <c r="O137" s="27">
        <f t="shared" si="301"/>
        <v>3.5214445849256287E-2</v>
      </c>
      <c r="P137" s="27">
        <f t="shared" si="301"/>
        <v>5.3435376646744304E-2</v>
      </c>
      <c r="Q137" s="27">
        <f t="shared" si="302"/>
        <v>8.8649822496000591E-2</v>
      </c>
      <c r="W137" t="str">
        <f t="shared" si="318"/>
        <v>62 Leisure, travel and related personal service occupations</v>
      </c>
      <c r="X137" s="27">
        <f t="shared" si="303"/>
        <v>0.16284732020063419</v>
      </c>
      <c r="Y137" s="27">
        <f t="shared" si="303"/>
        <v>1.0551683094161657E-2</v>
      </c>
      <c r="Z137" s="27">
        <f t="shared" si="303"/>
        <v>0.19677752421800265</v>
      </c>
      <c r="AA137" s="27">
        <f t="shared" si="303"/>
        <v>0.41942020193852625</v>
      </c>
      <c r="AB137" s="27">
        <f t="shared" si="304"/>
        <v>0.6161977261565289</v>
      </c>
      <c r="AH137" t="str">
        <f t="shared" si="319"/>
        <v>62 Leisure, travel and related personal service occupations</v>
      </c>
      <c r="AI137" s="27">
        <f t="shared" si="305"/>
        <v>0.11032043205840347</v>
      </c>
      <c r="AJ137" s="27">
        <f t="shared" si="305"/>
        <v>3.404130571236641E-2</v>
      </c>
      <c r="AK137" s="27">
        <f t="shared" si="305"/>
        <v>9.1522940375228901E-2</v>
      </c>
      <c r="AL137" s="27">
        <f t="shared" si="305"/>
        <v>0.32076015091988075</v>
      </c>
      <c r="AM137" s="27">
        <f t="shared" si="306"/>
        <v>0.41228309129510965</v>
      </c>
      <c r="AS137" t="str">
        <f t="shared" si="320"/>
        <v>62 Leisure, travel and related personal service occupations</v>
      </c>
      <c r="AT137" s="27">
        <f t="shared" si="307"/>
        <v>0.1619289122373414</v>
      </c>
      <c r="AU137" s="27">
        <f t="shared" si="307"/>
        <v>7.333619667507818E-2</v>
      </c>
      <c r="AV137" s="27">
        <f t="shared" si="307"/>
        <v>0.12440103275741121</v>
      </c>
      <c r="AW137" s="27">
        <f t="shared" si="307"/>
        <v>0.398300967649177</v>
      </c>
      <c r="AX137" s="27">
        <f t="shared" si="308"/>
        <v>0.52270200040658821</v>
      </c>
      <c r="BD137" t="str">
        <f t="shared" si="321"/>
        <v>62 Leisure, travel and related personal service occupations</v>
      </c>
      <c r="BE137" s="27">
        <f t="shared" si="309"/>
        <v>0.23495940760759559</v>
      </c>
      <c r="BF137" s="27">
        <f t="shared" si="309"/>
        <v>-8.7703126575076507E-2</v>
      </c>
      <c r="BG137" s="27">
        <f t="shared" si="309"/>
        <v>-2.6761886723692285E-2</v>
      </c>
      <c r="BH137" s="27">
        <f t="shared" si="309"/>
        <v>0.16381764545103206</v>
      </c>
      <c r="BI137" s="27">
        <f t="shared" si="310"/>
        <v>0.13705575872733977</v>
      </c>
      <c r="BO137" t="str">
        <f t="shared" si="322"/>
        <v>62 Leisure, travel and related personal service occupations</v>
      </c>
      <c r="BP137" s="27">
        <f t="shared" si="311"/>
        <v>4.3124916253104661E-2</v>
      </c>
      <c r="BQ137" s="27">
        <f t="shared" si="311"/>
        <v>-0.23407032874940015</v>
      </c>
      <c r="BR137" s="27">
        <f t="shared" si="311"/>
        <v>-0.41501340186958835</v>
      </c>
      <c r="BS137" s="27">
        <f t="shared" si="311"/>
        <v>-0.52074415649258166</v>
      </c>
      <c r="BT137" s="27">
        <f t="shared" si="312"/>
        <v>-0.93575755836217001</v>
      </c>
      <c r="BZ137" t="str">
        <f t="shared" si="323"/>
        <v>62 Leisure, travel and related personal service occupations</v>
      </c>
      <c r="CA137" s="68">
        <f t="shared" si="313"/>
        <v>7.5631782177676632E-2</v>
      </c>
      <c r="CB137" s="68">
        <f t="shared" si="313"/>
        <v>-0.2787915753163801</v>
      </c>
      <c r="CC137" s="68">
        <f t="shared" si="313"/>
        <v>-0.10035431638609249</v>
      </c>
      <c r="CD137" s="68">
        <f t="shared" si="313"/>
        <v>-0.52846193955773924</v>
      </c>
      <c r="CE137" s="68">
        <f t="shared" si="314"/>
        <v>-0.62881625594383173</v>
      </c>
      <c r="CK137" t="str">
        <f t="shared" si="324"/>
        <v>62 Leisure, travel and related personal service occupations</v>
      </c>
      <c r="CL137" s="68">
        <f t="shared" si="315"/>
        <v>-0.22125860322550717</v>
      </c>
      <c r="CM137" s="68">
        <f t="shared" si="315"/>
        <v>-0.21183803486624575</v>
      </c>
      <c r="CN137" s="68">
        <f t="shared" si="315"/>
        <v>-8.9199210191470313E-2</v>
      </c>
      <c r="CO137" s="68">
        <f t="shared" si="315"/>
        <v>-0.11110279408051749</v>
      </c>
      <c r="CP137" s="68">
        <f t="shared" si="316"/>
        <v>-0.2003020042719878</v>
      </c>
    </row>
    <row r="138" spans="1:94" x14ac:dyDescent="0.2">
      <c r="A138" t="str">
        <f t="shared" si="298"/>
        <v>63 Community and civil enforcement occupations</v>
      </c>
      <c r="B138" s="27">
        <f t="shared" si="299"/>
        <v>4.3330493283249389E-4</v>
      </c>
      <c r="C138" s="27">
        <f t="shared" si="299"/>
        <v>-2.291681433376862E-4</v>
      </c>
      <c r="D138" s="27">
        <f t="shared" si="299"/>
        <v>2.7129483008752264E-4</v>
      </c>
      <c r="E138" s="27">
        <f t="shared" si="299"/>
        <v>4.7208246094061442E-4</v>
      </c>
      <c r="F138" s="27">
        <f t="shared" si="300"/>
        <v>7.4337729102813706E-4</v>
      </c>
      <c r="L138" t="str">
        <f t="shared" si="317"/>
        <v>63 Community and civil enforcement occupations</v>
      </c>
      <c r="M138" s="27">
        <f t="shared" si="301"/>
        <v>4.0359487914227079E-3</v>
      </c>
      <c r="N138" s="27">
        <f t="shared" si="301"/>
        <v>4.3781252331818662E-4</v>
      </c>
      <c r="O138" s="27">
        <f t="shared" si="301"/>
        <v>4.2821819297966454E-4</v>
      </c>
      <c r="P138" s="27">
        <f t="shared" si="301"/>
        <v>9.4356775284570142E-3</v>
      </c>
      <c r="Q138" s="27">
        <f t="shared" si="302"/>
        <v>9.8638957214366788E-3</v>
      </c>
      <c r="W138" t="str">
        <f t="shared" si="318"/>
        <v>63 Community and civil enforcement occupations</v>
      </c>
      <c r="X138" s="27">
        <f t="shared" si="303"/>
        <v>6.0311668450538369E-3</v>
      </c>
      <c r="Y138" s="27">
        <f t="shared" si="303"/>
        <v>3.0885976396059223E-3</v>
      </c>
      <c r="Z138" s="27">
        <f t="shared" si="303"/>
        <v>1.9451711579790074E-2</v>
      </c>
      <c r="AA138" s="27">
        <f t="shared" si="303"/>
        <v>3.1406735801854921E-2</v>
      </c>
      <c r="AB138" s="27">
        <f t="shared" si="304"/>
        <v>5.0858447381644994E-2</v>
      </c>
      <c r="AH138" t="str">
        <f t="shared" si="319"/>
        <v>63 Community and civil enforcement occupations</v>
      </c>
      <c r="AI138" s="27">
        <f t="shared" si="305"/>
        <v>-1.1334879397605392E-3</v>
      </c>
      <c r="AJ138" s="27">
        <f t="shared" si="305"/>
        <v>4.625349054943332E-3</v>
      </c>
      <c r="AK138" s="27">
        <f t="shared" si="305"/>
        <v>3.9029799546542662E-4</v>
      </c>
      <c r="AL138" s="27">
        <f t="shared" si="305"/>
        <v>6.2662845064418264E-3</v>
      </c>
      <c r="AM138" s="27">
        <f t="shared" si="306"/>
        <v>6.656582501907253E-3</v>
      </c>
      <c r="AS138" t="str">
        <f t="shared" si="320"/>
        <v>63 Community and civil enforcement occupations</v>
      </c>
      <c r="AT138" s="27">
        <f t="shared" si="307"/>
        <v>-2.3350111116141881E-3</v>
      </c>
      <c r="AU138" s="27">
        <f t="shared" si="307"/>
        <v>2.4461915314785698E-3</v>
      </c>
      <c r="AV138" s="27">
        <f t="shared" si="307"/>
        <v>-1.8276649059302784E-3</v>
      </c>
      <c r="AW138" s="27">
        <f t="shared" si="307"/>
        <v>1.9188562649259805E-3</v>
      </c>
      <c r="AX138" s="27">
        <f t="shared" si="308"/>
        <v>9.1191358995702104E-5</v>
      </c>
      <c r="BD138" t="str">
        <f t="shared" si="321"/>
        <v>63 Community and civil enforcement occupations</v>
      </c>
      <c r="BE138" s="27">
        <f t="shared" si="309"/>
        <v>-3.9696983243681552E-2</v>
      </c>
      <c r="BF138" s="27">
        <f t="shared" si="309"/>
        <v>5.8305343284651007E-2</v>
      </c>
      <c r="BG138" s="27">
        <f t="shared" si="309"/>
        <v>-5.9295180025063579E-2</v>
      </c>
      <c r="BH138" s="27">
        <f t="shared" si="309"/>
        <v>2.2305589150046629E-3</v>
      </c>
      <c r="BI138" s="27">
        <f t="shared" si="310"/>
        <v>-5.7064621110058916E-2</v>
      </c>
      <c r="BO138" t="str">
        <f t="shared" si="322"/>
        <v>63 Community and civil enforcement occupations</v>
      </c>
      <c r="BP138" s="27">
        <f t="shared" si="311"/>
        <v>-2.4868803428125474E-2</v>
      </c>
      <c r="BQ138" s="27">
        <f t="shared" si="311"/>
        <v>4.3264655736409946E-2</v>
      </c>
      <c r="BR138" s="27">
        <f t="shared" si="311"/>
        <v>-4.2411736723292542E-2</v>
      </c>
      <c r="BS138" s="27">
        <f t="shared" si="311"/>
        <v>8.7197992050510598E-3</v>
      </c>
      <c r="BT138" s="27">
        <f t="shared" si="312"/>
        <v>-3.3691937518241483E-2</v>
      </c>
      <c r="BZ138" t="str">
        <f t="shared" si="323"/>
        <v>63 Community and civil enforcement occupations</v>
      </c>
      <c r="CA138" s="68">
        <f t="shared" si="313"/>
        <v>1.5097126634237512E-2</v>
      </c>
      <c r="CB138" s="68">
        <f t="shared" si="313"/>
        <v>-2.1999048088180012E-3</v>
      </c>
      <c r="CC138" s="68">
        <f t="shared" si="313"/>
        <v>-1.0741913649809948E-2</v>
      </c>
      <c r="CD138" s="68">
        <f t="shared" si="313"/>
        <v>-2.6287690346123993E-2</v>
      </c>
      <c r="CE138" s="68">
        <f t="shared" si="314"/>
        <v>-3.7029603995933941E-2</v>
      </c>
      <c r="CK138" t="str">
        <f t="shared" si="324"/>
        <v>63 Community and civil enforcement occupations</v>
      </c>
      <c r="CL138" s="68">
        <f t="shared" si="315"/>
        <v>-1.4141343514166582E-2</v>
      </c>
      <c r="CM138" s="68">
        <f t="shared" si="315"/>
        <v>6.5131556108182879E-3</v>
      </c>
      <c r="CN138" s="68">
        <f t="shared" si="315"/>
        <v>-1.6438765893237152E-2</v>
      </c>
      <c r="CO138" s="68">
        <f t="shared" si="315"/>
        <v>-5.8185887637246698E-3</v>
      </c>
      <c r="CP138" s="68">
        <f t="shared" si="316"/>
        <v>-2.2257354656961822E-2</v>
      </c>
    </row>
    <row r="139" spans="1:94" x14ac:dyDescent="0.2">
      <c r="A139" t="str">
        <f t="shared" si="298"/>
        <v>71 Sales occupations</v>
      </c>
      <c r="B139" s="27">
        <f t="shared" si="299"/>
        <v>1.2571884884461496E-2</v>
      </c>
      <c r="C139" s="27">
        <f t="shared" si="299"/>
        <v>-2.7704940573030287E-2</v>
      </c>
      <c r="D139" s="27">
        <f t="shared" si="299"/>
        <v>8.1816410478836726E-3</v>
      </c>
      <c r="E139" s="27">
        <f t="shared" si="299"/>
        <v>1.5451444937003858E-2</v>
      </c>
      <c r="F139" s="27">
        <f t="shared" si="300"/>
        <v>2.3633085984887531E-2</v>
      </c>
      <c r="L139" t="str">
        <f t="shared" si="317"/>
        <v>71 Sales occupations</v>
      </c>
      <c r="M139" s="27">
        <f t="shared" si="301"/>
        <v>0.24546103567501643</v>
      </c>
      <c r="N139" s="27">
        <f t="shared" si="301"/>
        <v>-0.21930459893718934</v>
      </c>
      <c r="O139" s="27">
        <f t="shared" si="301"/>
        <v>0.17539231514538067</v>
      </c>
      <c r="P139" s="27">
        <f t="shared" si="301"/>
        <v>0.41485687538681049</v>
      </c>
      <c r="Q139" s="27">
        <f t="shared" si="302"/>
        <v>0.59024919053219116</v>
      </c>
      <c r="W139" t="str">
        <f t="shared" si="318"/>
        <v>71 Sales occupations</v>
      </c>
      <c r="X139" s="27">
        <f t="shared" si="303"/>
        <v>-0.19371237176162204</v>
      </c>
      <c r="Y139" s="27">
        <f t="shared" si="303"/>
        <v>0.38125421543101279</v>
      </c>
      <c r="Z139" s="27">
        <f t="shared" si="303"/>
        <v>0.50609421789160081</v>
      </c>
      <c r="AA139" s="27">
        <f t="shared" si="303"/>
        <v>1.876245041339998</v>
      </c>
      <c r="AB139" s="27">
        <f t="shared" si="304"/>
        <v>2.3823392592315988</v>
      </c>
      <c r="AH139" t="str">
        <f t="shared" si="319"/>
        <v>71 Sales occupations</v>
      </c>
      <c r="AI139" s="27">
        <f t="shared" si="305"/>
        <v>-9.1226727119496864E-2</v>
      </c>
      <c r="AJ139" s="27">
        <f t="shared" si="305"/>
        <v>0.20252219635016755</v>
      </c>
      <c r="AK139" s="27">
        <f t="shared" si="305"/>
        <v>0.11563784885447026</v>
      </c>
      <c r="AL139" s="27">
        <f t="shared" si="305"/>
        <v>0.72679834266375454</v>
      </c>
      <c r="AM139" s="27">
        <f t="shared" si="306"/>
        <v>0.8424361915182248</v>
      </c>
      <c r="AS139" t="str">
        <f t="shared" si="320"/>
        <v>71 Sales occupations</v>
      </c>
      <c r="AT139" s="27">
        <f t="shared" si="307"/>
        <v>-0.17063273300930959</v>
      </c>
      <c r="AU139" s="27">
        <f t="shared" si="307"/>
        <v>8.2880057690560172E-2</v>
      </c>
      <c r="AV139" s="27">
        <f t="shared" si="307"/>
        <v>1.1035345030927735E-2</v>
      </c>
      <c r="AW139" s="27">
        <f t="shared" si="307"/>
        <v>0.3304144430714222</v>
      </c>
      <c r="AX139" s="27">
        <f t="shared" si="308"/>
        <v>0.34144978810234994</v>
      </c>
      <c r="BD139" t="str">
        <f t="shared" si="321"/>
        <v>71 Sales occupations</v>
      </c>
      <c r="BE139" s="27">
        <f t="shared" si="309"/>
        <v>-0.84447705070898493</v>
      </c>
      <c r="BF139" s="27">
        <f t="shared" si="309"/>
        <v>1.4301546522776079</v>
      </c>
      <c r="BG139" s="27">
        <f t="shared" si="309"/>
        <v>-0.12739532651478314</v>
      </c>
      <c r="BH139" s="27">
        <f t="shared" si="309"/>
        <v>1.9051750262527172</v>
      </c>
      <c r="BI139" s="27">
        <f t="shared" si="310"/>
        <v>1.777779699737934</v>
      </c>
      <c r="BO139" t="str">
        <f t="shared" si="322"/>
        <v>71 Sales occupations</v>
      </c>
      <c r="BP139" s="27">
        <f t="shared" si="311"/>
        <v>-1.9902004378705573</v>
      </c>
      <c r="BQ139" s="27">
        <f t="shared" si="311"/>
        <v>0.41100688262687868</v>
      </c>
      <c r="BR139" s="27">
        <f t="shared" si="311"/>
        <v>-1.6670631985297799</v>
      </c>
      <c r="BS139" s="27">
        <f t="shared" si="311"/>
        <v>-2.5631290966923581</v>
      </c>
      <c r="BT139" s="27">
        <f t="shared" si="312"/>
        <v>-4.230192295222138</v>
      </c>
      <c r="BZ139" t="str">
        <f t="shared" si="323"/>
        <v>71 Sales occupations</v>
      </c>
      <c r="CA139" s="68">
        <f t="shared" si="313"/>
        <v>-1.0738487887219685</v>
      </c>
      <c r="CB139" s="68">
        <f t="shared" si="313"/>
        <v>-0.76217765089594103</v>
      </c>
      <c r="CC139" s="68">
        <f t="shared" si="313"/>
        <v>-1.003907395862246</v>
      </c>
      <c r="CD139" s="68">
        <f t="shared" si="313"/>
        <v>-3.1290111047015072</v>
      </c>
      <c r="CE139" s="68">
        <f t="shared" si="314"/>
        <v>-4.1329185005637532</v>
      </c>
      <c r="CK139" t="str">
        <f t="shared" si="324"/>
        <v>71 Sales occupations</v>
      </c>
      <c r="CL139" s="68">
        <f t="shared" si="315"/>
        <v>-1.4275397484933006</v>
      </c>
      <c r="CM139" s="68">
        <f t="shared" si="315"/>
        <v>-1.1919588836018362</v>
      </c>
      <c r="CN139" s="68">
        <f t="shared" si="315"/>
        <v>-0.55350098711356255</v>
      </c>
      <c r="CO139" s="68">
        <f t="shared" si="315"/>
        <v>-0.96875305439245774</v>
      </c>
      <c r="CP139" s="68">
        <f t="shared" si="316"/>
        <v>-1.5222540415060202</v>
      </c>
    </row>
    <row r="140" spans="1:94" x14ac:dyDescent="0.2">
      <c r="A140" t="str">
        <f t="shared" si="298"/>
        <v>72 Customer service occupations</v>
      </c>
      <c r="B140" s="27">
        <f t="shared" si="299"/>
        <v>7.0536483512784742E-3</v>
      </c>
      <c r="C140" s="27">
        <f t="shared" si="299"/>
        <v>-2.9665831743900389E-3</v>
      </c>
      <c r="D140" s="27">
        <f t="shared" si="299"/>
        <v>1.4459969207746299E-2</v>
      </c>
      <c r="E140" s="27">
        <f t="shared" si="299"/>
        <v>1.6393012179385505E-2</v>
      </c>
      <c r="F140" s="27">
        <f t="shared" si="300"/>
        <v>3.0852981387131804E-2</v>
      </c>
      <c r="L140" t="str">
        <f t="shared" si="317"/>
        <v>72 Customer service occupations</v>
      </c>
      <c r="M140" s="27">
        <f t="shared" si="301"/>
        <v>0.10116970947713871</v>
      </c>
      <c r="N140" s="27">
        <f t="shared" si="301"/>
        <v>-7.8014498174434954E-2</v>
      </c>
      <c r="O140" s="27">
        <f t="shared" si="301"/>
        <v>0.14959765371146749</v>
      </c>
      <c r="P140" s="27">
        <f t="shared" si="301"/>
        <v>0.16836782947266365</v>
      </c>
      <c r="Q140" s="27">
        <f t="shared" si="302"/>
        <v>0.31796548318413115</v>
      </c>
      <c r="W140" t="str">
        <f t="shared" si="318"/>
        <v>72 Customer service occupations</v>
      </c>
      <c r="X140" s="27">
        <f t="shared" si="303"/>
        <v>1.7272109527242341E-2</v>
      </c>
      <c r="Y140" s="27">
        <f t="shared" si="303"/>
        <v>0.14336825617021898</v>
      </c>
      <c r="Z140" s="27">
        <f t="shared" si="303"/>
        <v>0.52847318586040481</v>
      </c>
      <c r="AA140" s="27">
        <f t="shared" si="303"/>
        <v>0.69336577356645845</v>
      </c>
      <c r="AB140" s="27">
        <f t="shared" si="304"/>
        <v>1.2218389594268633</v>
      </c>
      <c r="AH140" t="str">
        <f t="shared" si="319"/>
        <v>72 Customer service occupations</v>
      </c>
      <c r="AI140" s="27">
        <f t="shared" si="305"/>
        <v>2.7102476753806726E-2</v>
      </c>
      <c r="AJ140" s="27">
        <f t="shared" si="305"/>
        <v>5.3940952232133799E-2</v>
      </c>
      <c r="AK140" s="27">
        <f t="shared" si="305"/>
        <v>0.17099398942834199</v>
      </c>
      <c r="AL140" s="27">
        <f t="shared" si="305"/>
        <v>0.22947482495330673</v>
      </c>
      <c r="AM140" s="27">
        <f t="shared" si="306"/>
        <v>0.40046881438164872</v>
      </c>
      <c r="AS140" t="str">
        <f t="shared" si="320"/>
        <v>72 Customer service occupations</v>
      </c>
      <c r="AT140" s="27">
        <f t="shared" si="307"/>
        <v>-1.3251969628901517E-2</v>
      </c>
      <c r="AU140" s="27">
        <f t="shared" si="307"/>
        <v>4.8949527899823875E-2</v>
      </c>
      <c r="AV140" s="27">
        <f t="shared" si="307"/>
        <v>0.18127292478443069</v>
      </c>
      <c r="AW140" s="27">
        <f t="shared" si="307"/>
        <v>0.16677749392896202</v>
      </c>
      <c r="AX140" s="27">
        <f t="shared" si="308"/>
        <v>0.34805041871339271</v>
      </c>
      <c r="BD140" t="str">
        <f t="shared" si="321"/>
        <v>72 Customer service occupations</v>
      </c>
      <c r="BE140" s="27">
        <f t="shared" si="309"/>
        <v>3.0922057834581906E-2</v>
      </c>
      <c r="BF140" s="27">
        <f t="shared" si="309"/>
        <v>0.31819778669576282</v>
      </c>
      <c r="BG140" s="27">
        <f t="shared" si="309"/>
        <v>0.57197077218759684</v>
      </c>
      <c r="BH140" s="27">
        <f t="shared" si="309"/>
        <v>0.56046463419442993</v>
      </c>
      <c r="BI140" s="27">
        <f t="shared" si="310"/>
        <v>1.1324354063820268</v>
      </c>
      <c r="BO140" t="str">
        <f t="shared" si="322"/>
        <v>72 Customer service occupations</v>
      </c>
      <c r="BP140" s="27">
        <f t="shared" si="311"/>
        <v>3.9743952896187373E-3</v>
      </c>
      <c r="BQ140" s="27">
        <f t="shared" si="311"/>
        <v>0.12513579556267151</v>
      </c>
      <c r="BR140" s="27">
        <f t="shared" si="311"/>
        <v>0.51848818840923228</v>
      </c>
      <c r="BS140" s="27">
        <f t="shared" si="311"/>
        <v>-8.6506374187793611E-3</v>
      </c>
      <c r="BT140" s="27">
        <f t="shared" si="312"/>
        <v>0.50983755099045291</v>
      </c>
      <c r="BZ140" t="str">
        <f t="shared" si="323"/>
        <v>72 Customer service occupations</v>
      </c>
      <c r="CA140" s="68">
        <f t="shared" si="313"/>
        <v>3.7635723713427272E-3</v>
      </c>
      <c r="CB140" s="68">
        <f t="shared" si="313"/>
        <v>-0.10850246994571133</v>
      </c>
      <c r="CC140" s="68">
        <f t="shared" si="313"/>
        <v>0.15150602600417606</v>
      </c>
      <c r="CD140" s="68">
        <f t="shared" si="313"/>
        <v>-5.6809351760764626E-2</v>
      </c>
      <c r="CE140" s="68">
        <f t="shared" si="314"/>
        <v>9.4696674243411438E-2</v>
      </c>
      <c r="CK140" t="str">
        <f t="shared" si="324"/>
        <v>72 Customer service occupations</v>
      </c>
      <c r="CL140" s="68">
        <f t="shared" si="315"/>
        <v>4.0639616557872627E-2</v>
      </c>
      <c r="CM140" s="68">
        <f t="shared" si="315"/>
        <v>-0.10281054757039948</v>
      </c>
      <c r="CN140" s="68">
        <f t="shared" si="315"/>
        <v>0.15510852108038203</v>
      </c>
      <c r="CO140" s="68">
        <f t="shared" si="315"/>
        <v>6.3190897191524875E-2</v>
      </c>
      <c r="CP140" s="68">
        <f t="shared" si="316"/>
        <v>0.21829941827190691</v>
      </c>
    </row>
    <row r="141" spans="1:94" x14ac:dyDescent="0.2">
      <c r="A141" t="str">
        <f t="shared" si="298"/>
        <v>81 Process, plant and machine operatives</v>
      </c>
      <c r="B141" s="27">
        <f t="shared" si="299"/>
        <v>1.489330424266817E-2</v>
      </c>
      <c r="C141" s="27">
        <f t="shared" si="299"/>
        <v>-9.9532697207433303E-3</v>
      </c>
      <c r="D141" s="27">
        <f t="shared" si="299"/>
        <v>1.4077682137777481E-2</v>
      </c>
      <c r="E141" s="27">
        <f t="shared" si="299"/>
        <v>2.0382950227416187E-2</v>
      </c>
      <c r="F141" s="27">
        <f t="shared" si="300"/>
        <v>3.4460632365193672E-2</v>
      </c>
      <c r="L141" t="str">
        <f t="shared" si="317"/>
        <v>81 Process, plant and machine operatives</v>
      </c>
      <c r="M141" s="27">
        <f t="shared" si="301"/>
        <v>6.5846476664681436E-2</v>
      </c>
      <c r="N141" s="27">
        <f t="shared" si="301"/>
        <v>-6.2434519407781747E-2</v>
      </c>
      <c r="O141" s="27">
        <f t="shared" si="301"/>
        <v>8.8791180423230781E-2</v>
      </c>
      <c r="P141" s="27">
        <f t="shared" si="301"/>
        <v>0.12126395234916348</v>
      </c>
      <c r="Q141" s="27">
        <f t="shared" si="302"/>
        <v>0.21005513277239427</v>
      </c>
      <c r="W141" t="str">
        <f t="shared" si="318"/>
        <v>81 Process, plant and machine operatives</v>
      </c>
      <c r="X141" s="27">
        <f t="shared" si="303"/>
        <v>-7.6007119982540672E-2</v>
      </c>
      <c r="Y141" s="27">
        <f t="shared" si="303"/>
        <v>-4.9629752355097811E-2</v>
      </c>
      <c r="Z141" s="27">
        <f t="shared" si="303"/>
        <v>0.2408724898643389</v>
      </c>
      <c r="AA141" s="27">
        <f t="shared" si="303"/>
        <v>0.36591053855085398</v>
      </c>
      <c r="AB141" s="27">
        <f t="shared" si="304"/>
        <v>0.60678302841519294</v>
      </c>
      <c r="AH141" t="str">
        <f t="shared" si="319"/>
        <v>81 Process, plant and machine operatives</v>
      </c>
      <c r="AI141" s="27">
        <f t="shared" si="305"/>
        <v>-2.8212854198247594E-2</v>
      </c>
      <c r="AJ141" s="27">
        <f t="shared" si="305"/>
        <v>-1.6701076713889484E-2</v>
      </c>
      <c r="AK141" s="27">
        <f t="shared" si="305"/>
        <v>0.12156811099943221</v>
      </c>
      <c r="AL141" s="27">
        <f t="shared" si="305"/>
        <v>0.11670627743580464</v>
      </c>
      <c r="AM141" s="27">
        <f t="shared" si="306"/>
        <v>0.23827438843523685</v>
      </c>
      <c r="AS141" t="str">
        <f t="shared" si="320"/>
        <v>81 Process, plant and machine operatives</v>
      </c>
      <c r="AT141" s="27">
        <f t="shared" si="307"/>
        <v>-0.13570083732253801</v>
      </c>
      <c r="AU141" s="27">
        <f t="shared" si="307"/>
        <v>-4.1925026942914667E-2</v>
      </c>
      <c r="AV141" s="27">
        <f t="shared" si="307"/>
        <v>0.18365216742129487</v>
      </c>
      <c r="AW141" s="27">
        <f t="shared" si="307"/>
        <v>7.4388885527146842E-2</v>
      </c>
      <c r="AX141" s="27">
        <f t="shared" si="308"/>
        <v>0.25804105294844171</v>
      </c>
      <c r="BD141" t="str">
        <f t="shared" si="321"/>
        <v>81 Process, plant and machine operatives</v>
      </c>
      <c r="BE141" s="27">
        <f t="shared" si="309"/>
        <v>-0.72179494566975411</v>
      </c>
      <c r="BF141" s="27">
        <f t="shared" si="309"/>
        <v>0.44986951653568052</v>
      </c>
      <c r="BG141" s="27">
        <f t="shared" si="309"/>
        <v>0.85466918499664501</v>
      </c>
      <c r="BH141" s="27">
        <f t="shared" si="309"/>
        <v>0.59021828309385338</v>
      </c>
      <c r="BI141" s="27">
        <f t="shared" si="310"/>
        <v>1.4448874680904984</v>
      </c>
      <c r="BO141" t="str">
        <f t="shared" si="322"/>
        <v>81 Process, plant and machine operatives</v>
      </c>
      <c r="BP141" s="27">
        <f t="shared" si="311"/>
        <v>-0.52303851032213799</v>
      </c>
      <c r="BQ141" s="27">
        <f t="shared" si="311"/>
        <v>-0.61323701452517287</v>
      </c>
      <c r="BR141" s="27">
        <f t="shared" si="311"/>
        <v>1.5583285126469946</v>
      </c>
      <c r="BS141" s="27">
        <f t="shared" si="311"/>
        <v>0.10334167990289433</v>
      </c>
      <c r="BT141" s="27">
        <f t="shared" si="312"/>
        <v>1.6616701925498889</v>
      </c>
      <c r="BZ141" t="str">
        <f t="shared" si="323"/>
        <v>81 Process, plant and machine operatives</v>
      </c>
      <c r="CA141" s="68">
        <f t="shared" si="313"/>
        <v>0.50357798305968515</v>
      </c>
      <c r="CB141" s="68">
        <f t="shared" si="313"/>
        <v>-1.5286393231955695</v>
      </c>
      <c r="CC141" s="68">
        <f t="shared" si="313"/>
        <v>0.33365593219397915</v>
      </c>
      <c r="CD141" s="68">
        <f t="shared" si="313"/>
        <v>-1.8991015912514075</v>
      </c>
      <c r="CE141" s="68">
        <f t="shared" si="314"/>
        <v>-1.5654456590574284</v>
      </c>
      <c r="CK141" t="str">
        <f t="shared" si="324"/>
        <v>81 Process, plant and machine operatives</v>
      </c>
      <c r="CL141" s="68">
        <f t="shared" si="315"/>
        <v>-0.69062919054267713</v>
      </c>
      <c r="CM141" s="68">
        <f t="shared" si="315"/>
        <v>-0.54011253733670839</v>
      </c>
      <c r="CN141" s="68">
        <f t="shared" si="315"/>
        <v>-0.65072219326012903</v>
      </c>
      <c r="CO141" s="68">
        <f t="shared" si="315"/>
        <v>-0.50244507950773665</v>
      </c>
      <c r="CP141" s="68">
        <f t="shared" si="316"/>
        <v>-1.1531672727678657</v>
      </c>
    </row>
    <row r="142" spans="1:94" x14ac:dyDescent="0.2">
      <c r="A142" t="str">
        <f t="shared" si="298"/>
        <v>82 Transport and mobile machine drivers and operatives</v>
      </c>
      <c r="B142" s="27">
        <f t="shared" si="299"/>
        <v>2.0587198921974029E-2</v>
      </c>
      <c r="C142" s="27">
        <f t="shared" si="299"/>
        <v>-1.0050847976804764E-2</v>
      </c>
      <c r="D142" s="27">
        <f t="shared" si="299"/>
        <v>1.6109698329013017E-2</v>
      </c>
      <c r="E142" s="27">
        <f t="shared" si="299"/>
        <v>2.8946523065286299E-2</v>
      </c>
      <c r="F142" s="27">
        <f t="shared" si="300"/>
        <v>4.5056221394299316E-2</v>
      </c>
      <c r="L142" t="str">
        <f t="shared" si="317"/>
        <v>82 Transport and mobile machine drivers and operatives</v>
      </c>
      <c r="M142" s="27">
        <f t="shared" si="301"/>
        <v>0.10405177124401002</v>
      </c>
      <c r="N142" s="27">
        <f t="shared" si="301"/>
        <v>-4.9671649989865868E-2</v>
      </c>
      <c r="O142" s="27">
        <f t="shared" si="301"/>
        <v>6.8582545747919721E-2</v>
      </c>
      <c r="P142" s="27">
        <f t="shared" si="301"/>
        <v>0.14512505715740981</v>
      </c>
      <c r="Q142" s="27">
        <f t="shared" si="302"/>
        <v>0.21370760290532953</v>
      </c>
      <c r="W142" t="str">
        <f t="shared" si="318"/>
        <v>82 Transport and mobile machine drivers and operatives</v>
      </c>
      <c r="X142" s="27">
        <f t="shared" si="303"/>
        <v>9.8710132672715001E-2</v>
      </c>
      <c r="Y142" s="27">
        <f t="shared" si="303"/>
        <v>-1.3356384593339987E-2</v>
      </c>
      <c r="Z142" s="27">
        <f t="shared" si="303"/>
        <v>0.13637821994812938</v>
      </c>
      <c r="AA142" s="27">
        <f t="shared" si="303"/>
        <v>0.2268145633369727</v>
      </c>
      <c r="AB142" s="27">
        <f t="shared" si="304"/>
        <v>0.36319278328510207</v>
      </c>
      <c r="AH142" t="str">
        <f t="shared" si="319"/>
        <v>82 Transport and mobile machine drivers and operatives</v>
      </c>
      <c r="AI142" s="27">
        <f t="shared" si="305"/>
        <v>7.0275763147010228E-3</v>
      </c>
      <c r="AJ142" s="27">
        <f t="shared" si="305"/>
        <v>7.6833244747819274E-3</v>
      </c>
      <c r="AK142" s="27">
        <f t="shared" si="305"/>
        <v>5.069690468650373E-2</v>
      </c>
      <c r="AL142" s="27">
        <f t="shared" si="305"/>
        <v>3.2230118073359626E-2</v>
      </c>
      <c r="AM142" s="27">
        <f t="shared" si="306"/>
        <v>8.2927022759863356E-2</v>
      </c>
      <c r="AS142" t="str">
        <f t="shared" si="320"/>
        <v>82 Transport and mobile machine drivers and operatives</v>
      </c>
      <c r="AT142" s="27">
        <f t="shared" si="307"/>
        <v>2.0070272001944445E-2</v>
      </c>
      <c r="AU142" s="27">
        <f t="shared" si="307"/>
        <v>1.0088617446157855E-4</v>
      </c>
      <c r="AV142" s="27">
        <f t="shared" si="307"/>
        <v>9.0768661738273138E-2</v>
      </c>
      <c r="AW142" s="27">
        <f t="shared" si="307"/>
        <v>5.4208141785462405E-2</v>
      </c>
      <c r="AX142" s="27">
        <f t="shared" si="308"/>
        <v>0.14497680352373554</v>
      </c>
      <c r="BD142" t="str">
        <f t="shared" si="321"/>
        <v>82 Transport and mobile machine drivers and operatives</v>
      </c>
      <c r="BE142" s="27">
        <f t="shared" si="309"/>
        <v>0.24681952629380799</v>
      </c>
      <c r="BF142" s="27">
        <f t="shared" si="309"/>
        <v>0.71515833373699866</v>
      </c>
      <c r="BG142" s="27">
        <f t="shared" si="309"/>
        <v>-0.43928966064666053</v>
      </c>
      <c r="BH142" s="27">
        <f t="shared" si="309"/>
        <v>0.11095411233360863</v>
      </c>
      <c r="BI142" s="27">
        <f t="shared" si="310"/>
        <v>-0.32833554831305189</v>
      </c>
      <c r="BO142" t="str">
        <f t="shared" si="322"/>
        <v>82 Transport and mobile machine drivers and operatives</v>
      </c>
      <c r="BP142" s="27">
        <f t="shared" si="311"/>
        <v>0.78012058024659581</v>
      </c>
      <c r="BQ142" s="27">
        <f t="shared" si="311"/>
        <v>-0.43681570769493394</v>
      </c>
      <c r="BR142" s="27">
        <f t="shared" si="311"/>
        <v>0.58109880563009142</v>
      </c>
      <c r="BS142" s="27">
        <f t="shared" si="311"/>
        <v>0.43855951546980876</v>
      </c>
      <c r="BT142" s="27">
        <f t="shared" si="312"/>
        <v>1.0196583210999002</v>
      </c>
      <c r="BZ142" t="str">
        <f t="shared" si="323"/>
        <v>82 Transport and mobile machine drivers and operatives</v>
      </c>
      <c r="CA142" s="68">
        <f t="shared" si="313"/>
        <v>2.1888206092239733</v>
      </c>
      <c r="CB142" s="68">
        <f t="shared" si="313"/>
        <v>-2.2491499549624501</v>
      </c>
      <c r="CC142" s="68">
        <f t="shared" si="313"/>
        <v>2.479352520345568E-2</v>
      </c>
      <c r="CD142" s="68">
        <f t="shared" si="313"/>
        <v>-1.3009147333276365</v>
      </c>
      <c r="CE142" s="68">
        <f t="shared" si="314"/>
        <v>-1.2761212081241808</v>
      </c>
      <c r="CK142" t="str">
        <f t="shared" si="324"/>
        <v>82 Transport and mobile machine drivers and operatives</v>
      </c>
      <c r="CL142" s="68">
        <f t="shared" si="315"/>
        <v>8.8399628370621652E-2</v>
      </c>
      <c r="CM142" s="68">
        <f t="shared" si="315"/>
        <v>-0.21114646029526107</v>
      </c>
      <c r="CN142" s="68">
        <f t="shared" si="315"/>
        <v>-0.55801413042646186</v>
      </c>
      <c r="CO142" s="68">
        <f t="shared" si="315"/>
        <v>-0.89090374154158003</v>
      </c>
      <c r="CP142" s="68">
        <f t="shared" si="316"/>
        <v>-1.448917871968042</v>
      </c>
    </row>
    <row r="143" spans="1:94" x14ac:dyDescent="0.2">
      <c r="A143" t="str">
        <f t="shared" si="298"/>
        <v>91 Elementary trades and related occupations</v>
      </c>
      <c r="B143" s="27">
        <f t="shared" si="299"/>
        <v>3.4928844238330382E-5</v>
      </c>
      <c r="C143" s="27">
        <f t="shared" si="299"/>
        <v>-6.3187994659552724E-5</v>
      </c>
      <c r="D143" s="27">
        <f t="shared" si="299"/>
        <v>-9.8757002719886263E-6</v>
      </c>
      <c r="E143" s="27">
        <f t="shared" si="299"/>
        <v>6.1257378023733084E-5</v>
      </c>
      <c r="F143" s="27">
        <f t="shared" si="300"/>
        <v>5.1381677751744458E-5</v>
      </c>
      <c r="L143" t="str">
        <f t="shared" si="317"/>
        <v>91 Elementary trades and related occupations</v>
      </c>
      <c r="M143" s="27">
        <f t="shared" si="301"/>
        <v>3.2904218883158143E-2</v>
      </c>
      <c r="N143" s="27">
        <f t="shared" si="301"/>
        <v>-4.0649054012844209E-2</v>
      </c>
      <c r="O143" s="27">
        <f t="shared" si="301"/>
        <v>7.7915678921655976E-3</v>
      </c>
      <c r="P143" s="27">
        <f t="shared" si="301"/>
        <v>2.631413858137846E-2</v>
      </c>
      <c r="Q143" s="27">
        <f t="shared" si="302"/>
        <v>3.4105706473544058E-2</v>
      </c>
      <c r="W143" t="str">
        <f t="shared" si="318"/>
        <v>91 Elementary trades and related occupations</v>
      </c>
      <c r="X143" s="27">
        <f t="shared" si="303"/>
        <v>-5.6871897255353882E-2</v>
      </c>
      <c r="Y143" s="27">
        <f t="shared" si="303"/>
        <v>-2.174647543973135E-2</v>
      </c>
      <c r="Z143" s="27">
        <f t="shared" si="303"/>
        <v>-1.3700596798767062E-2</v>
      </c>
      <c r="AA143" s="27">
        <f t="shared" si="303"/>
        <v>2.5440037148956568E-2</v>
      </c>
      <c r="AB143" s="27">
        <f t="shared" si="304"/>
        <v>1.1739440350189506E-2</v>
      </c>
      <c r="AH143" t="str">
        <f t="shared" si="319"/>
        <v>91 Elementary trades and related occupations</v>
      </c>
      <c r="AI143" s="27">
        <f t="shared" si="305"/>
        <v>-1.7377652353654766E-2</v>
      </c>
      <c r="AJ143" s="27">
        <f t="shared" si="305"/>
        <v>-3.071228975982998E-2</v>
      </c>
      <c r="AK143" s="27">
        <f t="shared" si="305"/>
        <v>5.2207031082692756E-3</v>
      </c>
      <c r="AL143" s="27">
        <f t="shared" si="305"/>
        <v>5.6241855271252472E-2</v>
      </c>
      <c r="AM143" s="27">
        <f t="shared" si="306"/>
        <v>6.1462558379521748E-2</v>
      </c>
      <c r="AS143" t="str">
        <f t="shared" si="320"/>
        <v>91 Elementary trades and related occupations</v>
      </c>
      <c r="AT143" s="27">
        <f t="shared" si="307"/>
        <v>-5.0040912622945549E-2</v>
      </c>
      <c r="AU143" s="27">
        <f t="shared" si="307"/>
        <v>-6.5604986747331007E-3</v>
      </c>
      <c r="AV143" s="27">
        <f t="shared" si="307"/>
        <v>-1.3157573232827957E-2</v>
      </c>
      <c r="AW143" s="27">
        <f t="shared" si="307"/>
        <v>1.6537813706584414E-2</v>
      </c>
      <c r="AX143" s="27">
        <f t="shared" si="308"/>
        <v>3.3802404737564573E-3</v>
      </c>
      <c r="BD143" t="str">
        <f t="shared" si="321"/>
        <v>91 Elementary trades and related occupations</v>
      </c>
      <c r="BE143" s="27">
        <f t="shared" si="309"/>
        <v>-0.32081742375762334</v>
      </c>
      <c r="BF143" s="27">
        <f t="shared" si="309"/>
        <v>0.1369203601367357</v>
      </c>
      <c r="BG143" s="27">
        <f t="shared" si="309"/>
        <v>-0.33563557852567694</v>
      </c>
      <c r="BH143" s="27">
        <f t="shared" si="309"/>
        <v>3.0054034391033158E-2</v>
      </c>
      <c r="BI143" s="27">
        <f t="shared" si="310"/>
        <v>-0.30558154413464378</v>
      </c>
      <c r="BO143" t="str">
        <f t="shared" si="322"/>
        <v>91 Elementary trades and related occupations</v>
      </c>
      <c r="BP143" s="27">
        <f t="shared" si="311"/>
        <v>-0.49781598978175312</v>
      </c>
      <c r="BQ143" s="27">
        <f t="shared" si="311"/>
        <v>-4.5551136415480808E-2</v>
      </c>
      <c r="BR143" s="27">
        <f t="shared" si="311"/>
        <v>-0.33369556838484771</v>
      </c>
      <c r="BS143" s="27">
        <f t="shared" si="311"/>
        <v>3.010824953207325E-2</v>
      </c>
      <c r="BT143" s="27">
        <f t="shared" si="312"/>
        <v>-0.30358731885277446</v>
      </c>
      <c r="BZ143" t="str">
        <f t="shared" si="323"/>
        <v>91 Elementary trades and related occupations</v>
      </c>
      <c r="CA143" s="68">
        <f t="shared" si="313"/>
        <v>9.5593060348912129E-2</v>
      </c>
      <c r="CB143" s="68">
        <f t="shared" si="313"/>
        <v>-0.67855088829031529</v>
      </c>
      <c r="CC143" s="68">
        <f t="shared" si="313"/>
        <v>-0.34546883821122232</v>
      </c>
      <c r="CD143" s="68">
        <f t="shared" si="313"/>
        <v>-0.41436566519850149</v>
      </c>
      <c r="CE143" s="68">
        <f t="shared" si="314"/>
        <v>-0.7598345034097238</v>
      </c>
      <c r="CK143" t="str">
        <f t="shared" si="324"/>
        <v>91 Elementary trades and related occupations</v>
      </c>
      <c r="CL143" s="68">
        <f t="shared" si="315"/>
        <v>-0.26865797019443582</v>
      </c>
      <c r="CM143" s="68">
        <f t="shared" si="315"/>
        <v>-0.24328330396113174</v>
      </c>
      <c r="CN143" s="68">
        <f t="shared" si="315"/>
        <v>-0.32308765491449909</v>
      </c>
      <c r="CO143" s="68">
        <f t="shared" si="315"/>
        <v>-0.23215863373449547</v>
      </c>
      <c r="CP143" s="68">
        <f t="shared" si="316"/>
        <v>-0.55524628864899461</v>
      </c>
    </row>
    <row r="144" spans="1:94" x14ac:dyDescent="0.2">
      <c r="A144" t="str">
        <f t="shared" si="298"/>
        <v>92 Elementary administration and service occupations</v>
      </c>
      <c r="B144" s="27">
        <f t="shared" si="299"/>
        <v>1.4462787938264745E-2</v>
      </c>
      <c r="C144" s="27">
        <f t="shared" si="299"/>
        <v>-7.5165656554347648E-3</v>
      </c>
      <c r="D144" s="27">
        <f t="shared" si="299"/>
        <v>1.0952844200540664E-2</v>
      </c>
      <c r="E144" s="27">
        <f t="shared" si="299"/>
        <v>1.6769752520936723E-2</v>
      </c>
      <c r="F144" s="27">
        <f t="shared" si="300"/>
        <v>2.7722596721477387E-2</v>
      </c>
      <c r="L144" t="str">
        <f t="shared" ref="L144" si="325">A144</f>
        <v>92 Elementary administration and service occupations</v>
      </c>
      <c r="M144" s="27">
        <f t="shared" si="301"/>
        <v>0.32068366112736413</v>
      </c>
      <c r="N144" s="27">
        <f t="shared" si="301"/>
        <v>-0.13549574043757229</v>
      </c>
      <c r="O144" s="27">
        <f t="shared" si="301"/>
        <v>0.29116923683690021</v>
      </c>
      <c r="P144" s="27">
        <f t="shared" si="301"/>
        <v>0.58045754582505982</v>
      </c>
      <c r="Q144" s="27">
        <f t="shared" si="302"/>
        <v>0.87162678266196003</v>
      </c>
      <c r="W144" t="str">
        <f t="shared" ref="W144" si="326">A144</f>
        <v>92 Elementary administration and service occupations</v>
      </c>
      <c r="X144" s="27">
        <f t="shared" si="303"/>
        <v>1.0095260222604097E-2</v>
      </c>
      <c r="Y144" s="27">
        <f t="shared" si="303"/>
        <v>0.21148917290832525</v>
      </c>
      <c r="Z144" s="27">
        <f t="shared" si="303"/>
        <v>0.65789982864664243</v>
      </c>
      <c r="AA144" s="27">
        <f t="shared" si="303"/>
        <v>1.3311377491664111</v>
      </c>
      <c r="AB144" s="27">
        <f t="shared" si="304"/>
        <v>1.9890375778130536</v>
      </c>
      <c r="AH144" t="str">
        <f t="shared" ref="AH144" si="327">L144</f>
        <v>92 Elementary administration and service occupations</v>
      </c>
      <c r="AI144" s="27">
        <f t="shared" si="305"/>
        <v>6.2792009554209161E-2</v>
      </c>
      <c r="AJ144" s="27">
        <f t="shared" si="305"/>
        <v>0.14043007388361017</v>
      </c>
      <c r="AK144" s="27">
        <f t="shared" si="305"/>
        <v>0.27168514757599826</v>
      </c>
      <c r="AL144" s="27">
        <f t="shared" si="305"/>
        <v>0.69358417980343079</v>
      </c>
      <c r="AM144" s="27">
        <f t="shared" si="306"/>
        <v>0.96526932737942905</v>
      </c>
      <c r="AS144" t="str">
        <f t="shared" ref="AS144" si="328">W144</f>
        <v>92 Elementary administration and service occupations</v>
      </c>
      <c r="AT144" s="27">
        <f t="shared" si="307"/>
        <v>-2.1233948175255257E-2</v>
      </c>
      <c r="AU144" s="27">
        <f t="shared" si="307"/>
        <v>6.4284527076284403E-2</v>
      </c>
      <c r="AV144" s="27">
        <f t="shared" si="307"/>
        <v>0.19958760432326805</v>
      </c>
      <c r="AW144" s="27">
        <f t="shared" si="307"/>
        <v>0.51290894235241979</v>
      </c>
      <c r="AX144" s="27">
        <f t="shared" si="308"/>
        <v>0.71249654667568785</v>
      </c>
      <c r="BD144" t="str">
        <f t="shared" ref="BD144" si="329">AH144</f>
        <v>92 Elementary administration and service occupations</v>
      </c>
      <c r="BE144" s="27">
        <f t="shared" si="309"/>
        <v>-1.2481640128339748</v>
      </c>
      <c r="BF144" s="27">
        <f t="shared" si="309"/>
        <v>1.1691253120610323</v>
      </c>
      <c r="BG144" s="27">
        <f t="shared" si="309"/>
        <v>-0.73430803353146423</v>
      </c>
      <c r="BH144" s="27">
        <f t="shared" si="309"/>
        <v>9.9491589124854229E-2</v>
      </c>
      <c r="BI144" s="27">
        <f t="shared" si="310"/>
        <v>-0.63481644440661</v>
      </c>
      <c r="BO144" t="str">
        <f t="shared" ref="BO144" si="330">AS144</f>
        <v>92 Elementary administration and service occupations</v>
      </c>
      <c r="BP144" s="27">
        <f t="shared" si="311"/>
        <v>-0.62358079840676872</v>
      </c>
      <c r="BQ144" s="27">
        <f t="shared" si="311"/>
        <v>8.0603007461014897E-2</v>
      </c>
      <c r="BR144" s="27">
        <f t="shared" si="311"/>
        <v>0.11042653423179338</v>
      </c>
      <c r="BS144" s="27">
        <f t="shared" si="311"/>
        <v>-0.26620319908659162</v>
      </c>
      <c r="BT144" s="27">
        <f t="shared" si="312"/>
        <v>-0.15577666485479824</v>
      </c>
      <c r="BZ144" t="str">
        <f t="shared" ref="BZ144" si="331">BD144</f>
        <v>92 Elementary administration and service occupations</v>
      </c>
      <c r="CA144" s="68">
        <f t="shared" si="313"/>
        <v>1.0249174257385558</v>
      </c>
      <c r="CB144" s="68">
        <f t="shared" si="313"/>
        <v>-2.59223379995308</v>
      </c>
      <c r="CC144" s="68">
        <f t="shared" si="313"/>
        <v>-3.9352750134499459E-2</v>
      </c>
      <c r="CD144" s="68">
        <f t="shared" si="313"/>
        <v>-2.9489271384160558</v>
      </c>
      <c r="CE144" s="68">
        <f t="shared" si="314"/>
        <v>-2.9882798885505553</v>
      </c>
      <c r="CK144" t="str">
        <f t="shared" ref="CK144" si="332">BO144</f>
        <v>92 Elementary administration and service occupations</v>
      </c>
      <c r="CL144" s="68">
        <f t="shared" si="315"/>
        <v>-2.4328043694062504</v>
      </c>
      <c r="CM144" s="68">
        <f t="shared" si="315"/>
        <v>-1.6078851827945946</v>
      </c>
      <c r="CN144" s="68">
        <f t="shared" si="315"/>
        <v>-0.89383944184586772</v>
      </c>
      <c r="CO144" s="68">
        <f t="shared" si="315"/>
        <v>-1.1536563786307106</v>
      </c>
      <c r="CP144" s="68">
        <f t="shared" si="316"/>
        <v>-2.0474958204765783</v>
      </c>
    </row>
    <row r="145" spans="1:94" x14ac:dyDescent="0.2">
      <c r="C145" s="27"/>
      <c r="F145" s="27"/>
      <c r="N145" s="27"/>
      <c r="Q145" s="27"/>
      <c r="Y145" s="27"/>
      <c r="AB145" s="27"/>
      <c r="AJ145" s="27"/>
      <c r="AM145" s="27"/>
      <c r="AU145" s="27"/>
      <c r="AX145" s="27"/>
      <c r="BF145" s="27"/>
      <c r="BI145" s="27"/>
      <c r="BQ145" s="27"/>
      <c r="BT145" s="27"/>
      <c r="CA145" s="69"/>
      <c r="CB145" s="68"/>
      <c r="CC145" s="69"/>
      <c r="CD145" s="69"/>
      <c r="CE145" s="68"/>
      <c r="CL145" s="69"/>
      <c r="CM145" s="68"/>
      <c r="CN145" s="69"/>
      <c r="CO145" s="69"/>
      <c r="CP145" s="68"/>
    </row>
    <row r="146" spans="1:94" x14ac:dyDescent="0.2">
      <c r="A146" s="24" t="str">
        <f t="shared" ref="A146" si="333">A35</f>
        <v>All occupations</v>
      </c>
      <c r="B146" s="29">
        <f>C35-B35</f>
        <v>1.6168786837433347</v>
      </c>
      <c r="C146" s="29">
        <f>D35-C35</f>
        <v>-0.79164171484834878</v>
      </c>
      <c r="D146" s="29">
        <f>E35-D35</f>
        <v>1.4172473181152219</v>
      </c>
      <c r="E146" s="29">
        <f>F35-E35</f>
        <v>1.8780514295822641</v>
      </c>
      <c r="F146" s="29">
        <f t="shared" ref="F146" si="334">F35-D35</f>
        <v>3.295298747697486</v>
      </c>
      <c r="L146" s="24" t="str">
        <f t="shared" ref="L146" si="335">L35</f>
        <v>All occupations</v>
      </c>
      <c r="M146" s="29">
        <f>N35-M35</f>
        <v>11.177257662922869</v>
      </c>
      <c r="N146" s="29">
        <f t="shared" ref="N146" si="336">O35-N35</f>
        <v>-5.3269709296656629</v>
      </c>
      <c r="O146" s="29">
        <f>P35-O35</f>
        <v>7.6169915779984123</v>
      </c>
      <c r="P146" s="29">
        <f>Q35-P35</f>
        <v>10.259075233372506</v>
      </c>
      <c r="Q146" s="29">
        <f>Q35-O35</f>
        <v>17.876066811370919</v>
      </c>
      <c r="W146" s="24" t="str">
        <f t="shared" ref="W146" si="337">W35</f>
        <v>All occupations</v>
      </c>
      <c r="X146" s="29">
        <f>Y35-X35</f>
        <v>-2.5129255019188577</v>
      </c>
      <c r="Y146" s="29">
        <f t="shared" ref="Y146" si="338">Z35-Y35</f>
        <v>7.5955297198854197</v>
      </c>
      <c r="Z146" s="29">
        <f>AA35-Z35</f>
        <v>9.4437614405727146</v>
      </c>
      <c r="AA146" s="29">
        <f>AB35-AA35</f>
        <v>20.924690904761306</v>
      </c>
      <c r="AB146" s="29">
        <f>AB35-Z35</f>
        <v>30.36845234533402</v>
      </c>
      <c r="AH146" s="24" t="str">
        <f t="shared" ref="AH146" si="339">AH35</f>
        <v>All occupations</v>
      </c>
      <c r="AI146" s="29">
        <f>AJ35-AI35</f>
        <v>-3.597774685606371</v>
      </c>
      <c r="AJ146" s="29">
        <f t="shared" ref="AJ146" si="340">AK35-AJ35</f>
        <v>2.125093444479031</v>
      </c>
      <c r="AK146" s="29">
        <f>AL35-AK35</f>
        <v>-0.62002072539235087</v>
      </c>
      <c r="AL146" s="29">
        <f>AM35-AL35</f>
        <v>2.5532509252534012</v>
      </c>
      <c r="AM146" s="29">
        <f>AM35-AK35</f>
        <v>1.9332301998610504</v>
      </c>
      <c r="AS146" s="24" t="str">
        <f t="shared" ref="AS146" si="341">AS35</f>
        <v>All occupations</v>
      </c>
      <c r="AT146" s="29">
        <f>AU35-AT35</f>
        <v>-1.6416199004063117</v>
      </c>
      <c r="AU146" s="29">
        <f t="shared" ref="AU146" si="342">AV35-AU35</f>
        <v>1.3714702316584244</v>
      </c>
      <c r="AV146" s="29">
        <f>AW35-AV35</f>
        <v>1.3243351677873036</v>
      </c>
      <c r="AW146" s="29">
        <f>AX35-AW35</f>
        <v>3.4592787978426749</v>
      </c>
      <c r="AX146" s="29">
        <f>AX35-AV35</f>
        <v>4.7836139656299785</v>
      </c>
      <c r="BD146" s="24" t="str">
        <f t="shared" ref="BD146" si="343">BD35</f>
        <v>All occupations</v>
      </c>
      <c r="BE146" s="29">
        <f>BF35-BE35</f>
        <v>-3.8428226961383274</v>
      </c>
      <c r="BF146" s="29">
        <f t="shared" ref="BF146" si="344">BG35-BF35</f>
        <v>12.684598484339475</v>
      </c>
      <c r="BG146" s="29">
        <f>BH35-BG35</f>
        <v>-4.7156908423912967</v>
      </c>
      <c r="BH146" s="29">
        <f>BI35-BH35</f>
        <v>4.7281582379336982</v>
      </c>
      <c r="BI146" s="29">
        <f>BI35-BG35</f>
        <v>1.2467395542401505E-2</v>
      </c>
      <c r="BO146" s="24" t="str">
        <f t="shared" ref="BO146" si="345">BO35</f>
        <v>All occupations</v>
      </c>
      <c r="BP146" s="29">
        <f>BQ35-BP35</f>
        <v>-5.9587059281995494</v>
      </c>
      <c r="BQ146" s="29">
        <f t="shared" ref="BQ146" si="346">BR35-BQ35</f>
        <v>-1.3411633206876559</v>
      </c>
      <c r="BR146" s="29">
        <f>BS35-BR35</f>
        <v>-4.1438691526197005</v>
      </c>
      <c r="BS146" s="29">
        <f>BT35-BS35</f>
        <v>-10.420636961939749</v>
      </c>
      <c r="BT146" s="29">
        <f>BT35-BR35</f>
        <v>-14.56450611455945</v>
      </c>
      <c r="BZ146" s="24" t="str">
        <f t="shared" ref="BZ146" si="347">BZ35</f>
        <v>All occupations</v>
      </c>
      <c r="CA146" s="70">
        <f>CB35-CA35</f>
        <v>4.3962084558273489</v>
      </c>
      <c r="CB146" s="70">
        <f t="shared" ref="CB146" si="348">CC35-CB35</f>
        <v>-14.893550677393769</v>
      </c>
      <c r="CC146" s="70">
        <f>CD35-CC35</f>
        <v>-3.2149325065767016</v>
      </c>
      <c r="CD146" s="70">
        <f>CE35-CD35</f>
        <v>-18.662986885411254</v>
      </c>
      <c r="CE146" s="70">
        <f>CE35-CC35</f>
        <v>-21.877919391987955</v>
      </c>
      <c r="CK146" s="24" t="str">
        <f t="shared" ref="CK146" si="349">CK35</f>
        <v>All occupations</v>
      </c>
      <c r="CL146" s="70">
        <f>CM35-CL35</f>
        <v>-5.7724960902244113</v>
      </c>
      <c r="CM146" s="70">
        <f t="shared" ref="CM146" si="350">CN35-CM35</f>
        <v>-6.0723652377665474</v>
      </c>
      <c r="CN146" s="70">
        <f>CO35-CN35</f>
        <v>-3.2828222774938745</v>
      </c>
      <c r="CO146" s="70">
        <f>CP35-CO35</f>
        <v>-4.6918816813947384</v>
      </c>
      <c r="CP146" s="70">
        <f>CP35-CN35</f>
        <v>-7.9747039588886128</v>
      </c>
    </row>
  </sheetData>
  <mergeCells count="36">
    <mergeCell ref="BZ1:CI1"/>
    <mergeCell ref="BZ38:CI38"/>
    <mergeCell ref="BZ75:CI75"/>
    <mergeCell ref="BZ112:CI112"/>
    <mergeCell ref="CK1:CT1"/>
    <mergeCell ref="CK38:CT38"/>
    <mergeCell ref="CK75:CT75"/>
    <mergeCell ref="CK112:CT112"/>
    <mergeCell ref="BD1:BM1"/>
    <mergeCell ref="BD38:BM38"/>
    <mergeCell ref="BD75:BM75"/>
    <mergeCell ref="BD112:BM112"/>
    <mergeCell ref="BO1:BX1"/>
    <mergeCell ref="BO38:BX38"/>
    <mergeCell ref="BO75:BX75"/>
    <mergeCell ref="BO112:BX112"/>
    <mergeCell ref="AH1:AQ1"/>
    <mergeCell ref="AH38:AQ38"/>
    <mergeCell ref="AH75:AQ75"/>
    <mergeCell ref="AH112:AQ112"/>
    <mergeCell ref="AS1:BB1"/>
    <mergeCell ref="AS38:BB38"/>
    <mergeCell ref="AS75:BB75"/>
    <mergeCell ref="AS112:BB112"/>
    <mergeCell ref="A75:J75"/>
    <mergeCell ref="L75:U75"/>
    <mergeCell ref="W75:AF75"/>
    <mergeCell ref="A112:J112"/>
    <mergeCell ref="L112:U112"/>
    <mergeCell ref="W112:AF112"/>
    <mergeCell ref="W1:AF1"/>
    <mergeCell ref="L1:U1"/>
    <mergeCell ref="A1:J1"/>
    <mergeCell ref="A38:J38"/>
    <mergeCell ref="L38:U38"/>
    <mergeCell ref="W38:AF38"/>
  </mergeCells>
  <pageMargins left="0.39370078740157483" right="0.39370078740157483" top="0.19685039370078741" bottom="0.19685039370078741" header="0.19685039370078741" footer="0.19685039370078741"/>
  <pageSetup paperSize="9" scale="72" fitToHeight="0" orientation="portrait" r:id="rId1"/>
  <headerFooter alignWithMargins="0"/>
  <rowBreaks count="1" manualBreakCount="1">
    <brk id="74" max="16383" man="1"/>
  </rowBreaks>
  <colBreaks count="8" manualBreakCount="8">
    <brk id="10" max="141" man="1"/>
    <brk id="21" max="141" man="1"/>
    <brk id="32" max="141" man="1"/>
    <brk id="43" max="141" man="1"/>
    <brk id="54" max="141" man="1"/>
    <brk id="65" max="141" man="1"/>
    <brk id="76" max="141" man="1"/>
    <brk id="87" max="141" man="1"/>
  </colBreaks>
  <drawing r:id="rId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sheetPr codeName="Sheet49"/>
  <dimension ref="A1:AG37"/>
  <sheetViews>
    <sheetView showGridLines="0" zoomScale="85" zoomScaleNormal="85" workbookViewId="0"/>
  </sheetViews>
  <sheetFormatPr defaultColWidth="9.140625" defaultRowHeight="12.75" x14ac:dyDescent="0.2"/>
  <cols>
    <col min="1" max="1" width="55.7109375" style="91" customWidth="1"/>
    <col min="2" max="4" width="11.7109375" style="91" customWidth="1"/>
    <col min="5" max="5" width="14.7109375" style="91" customWidth="1"/>
    <col min="6" max="8" width="11.7109375" style="91" customWidth="1"/>
    <col min="9" max="9" width="16.5703125" style="91" customWidth="1"/>
    <col min="10" max="11" width="11.7109375" style="91" customWidth="1"/>
    <col min="12" max="12" width="2.7109375" style="91" customWidth="1"/>
    <col min="13" max="22" width="11.7109375" style="91" customWidth="1"/>
    <col min="23" max="23" width="2.7109375" style="91" customWidth="1"/>
    <col min="24" max="32" width="11.7109375" style="91" customWidth="1"/>
    <col min="33" max="33" width="12.85546875" style="91" customWidth="1"/>
    <col min="34" max="16384" width="9.140625" style="91"/>
  </cols>
  <sheetData>
    <row r="1" spans="1:33" ht="15.75" x14ac:dyDescent="0.25">
      <c r="A1" s="19" t="str">
        <f>CONCATENATE("Basic Table 3  Occupation by Qualification in ",A$6,", ",Info!B5)</f>
        <v>Basic Table 3  Occupation by Qualification in 2020, North East</v>
      </c>
    </row>
    <row r="2" spans="1:33" ht="15" x14ac:dyDescent="0.25">
      <c r="A2" s="365" t="s">
        <v>521</v>
      </c>
    </row>
    <row r="3" spans="1:33" x14ac:dyDescent="0.2">
      <c r="AG3" s="92"/>
    </row>
    <row r="4" spans="1:33" x14ac:dyDescent="0.2">
      <c r="A4" s="96"/>
      <c r="B4" s="95" t="s">
        <v>47</v>
      </c>
      <c r="C4" s="95"/>
      <c r="D4" s="95"/>
      <c r="E4" s="95"/>
      <c r="F4" s="95"/>
      <c r="G4" s="95"/>
      <c r="H4" s="95"/>
      <c r="I4" s="95"/>
      <c r="J4" s="95"/>
      <c r="K4" s="95"/>
      <c r="L4" s="96"/>
      <c r="M4" s="95" t="s">
        <v>46</v>
      </c>
      <c r="N4" s="95"/>
      <c r="O4" s="95"/>
      <c r="P4" s="95"/>
      <c r="Q4" s="95"/>
      <c r="R4" s="95"/>
      <c r="S4" s="95"/>
      <c r="T4" s="95"/>
      <c r="U4" s="95"/>
      <c r="V4" s="95"/>
      <c r="W4" s="96"/>
      <c r="X4" s="95" t="s">
        <v>45</v>
      </c>
      <c r="Y4" s="95"/>
      <c r="Z4" s="95"/>
      <c r="AA4" s="95"/>
      <c r="AB4" s="95"/>
      <c r="AC4" s="95"/>
      <c r="AD4" s="95"/>
      <c r="AE4" s="95"/>
      <c r="AF4" s="95"/>
    </row>
    <row r="5" spans="1:33" x14ac:dyDescent="0.2">
      <c r="B5" s="92"/>
      <c r="C5" s="92"/>
      <c r="D5" s="92"/>
      <c r="E5" s="92"/>
      <c r="F5" s="92"/>
      <c r="G5" s="92"/>
      <c r="H5" s="92"/>
      <c r="I5" s="92"/>
      <c r="J5" s="92"/>
      <c r="K5" s="92"/>
      <c r="M5" s="92"/>
      <c r="N5" s="92"/>
      <c r="O5" s="92"/>
      <c r="P5" s="92"/>
      <c r="Q5" s="92"/>
      <c r="R5" s="92"/>
      <c r="S5" s="92"/>
      <c r="T5" s="92"/>
      <c r="U5" s="92"/>
      <c r="V5" s="92"/>
      <c r="X5" s="92"/>
      <c r="Y5" s="92"/>
      <c r="Z5" s="92"/>
      <c r="AA5" s="92"/>
      <c r="AB5" s="92"/>
      <c r="AC5" s="92"/>
      <c r="AD5" s="92"/>
      <c r="AE5" s="92"/>
      <c r="AF5" s="92"/>
      <c r="AG5" s="92"/>
    </row>
    <row r="6" spans="1:33" ht="51" x14ac:dyDescent="0.2">
      <c r="A6" s="100">
        <f>'Basic T2'!D6</f>
        <v>2020</v>
      </c>
      <c r="B6" s="235" t="str">
        <f>name!$F$4</f>
        <v>RQF8 Doctorate</v>
      </c>
      <c r="C6" s="235" t="str">
        <f>name!$F$5</f>
        <v>RQF7 Other higher degree</v>
      </c>
      <c r="D6" s="235" t="str">
        <f>name!$F$6</f>
        <v>RQF6 First degree</v>
      </c>
      <c r="E6" s="235" t="str">
        <f>name!$F$7</f>
        <v>RQF5 Foundation degree;Nursing;Teaching</v>
      </c>
      <c r="F6" s="235" t="str">
        <f>name!$F$8</f>
        <v>RQF4 HE below degree level</v>
      </c>
      <c r="G6" s="235" t="str">
        <f>name!$F$9</f>
        <v>RQF3 A level &amp; equivalent</v>
      </c>
      <c r="H6" s="235" t="str">
        <f>name!$F$10</f>
        <v>RQF2 GCSE(A-C) &amp; equivalent</v>
      </c>
      <c r="I6" s="235" t="str">
        <f>name!$F$11</f>
        <v>RQF1 GCSE(below grade C) &amp; equivalent</v>
      </c>
      <c r="J6" s="235" t="str">
        <f>name!$F$12</f>
        <v>No Qualification</v>
      </c>
      <c r="K6" s="235" t="str">
        <f>name!$F$3</f>
        <v>All qualifications</v>
      </c>
      <c r="L6" s="92"/>
      <c r="M6" s="235" t="str">
        <f>name!$F$4</f>
        <v>RQF8 Doctorate</v>
      </c>
      <c r="N6" s="235" t="str">
        <f>name!$F$5</f>
        <v>RQF7 Other higher degree</v>
      </c>
      <c r="O6" s="235" t="str">
        <f>name!$F$6</f>
        <v>RQF6 First degree</v>
      </c>
      <c r="P6" s="235" t="str">
        <f>name!$F$7</f>
        <v>RQF5 Foundation degree;Nursing;Teaching</v>
      </c>
      <c r="Q6" s="235" t="str">
        <f>name!$F$8</f>
        <v>RQF4 HE below degree level</v>
      </c>
      <c r="R6" s="235" t="str">
        <f>name!$F$9</f>
        <v>RQF3 A level &amp; equivalent</v>
      </c>
      <c r="S6" s="235" t="str">
        <f>name!$F$10</f>
        <v>RQF2 GCSE(A-C) &amp; equivalent</v>
      </c>
      <c r="T6" s="235" t="str">
        <f>name!$F$11</f>
        <v>RQF1 GCSE(below grade C) &amp; equivalent</v>
      </c>
      <c r="U6" s="235" t="str">
        <f>name!$F$12</f>
        <v>No Qualification</v>
      </c>
      <c r="V6" s="235" t="str">
        <f>name!$F$3</f>
        <v>All qualifications</v>
      </c>
      <c r="W6" s="92"/>
      <c r="X6" s="235" t="str">
        <f>name!$F$4</f>
        <v>RQF8 Doctorate</v>
      </c>
      <c r="Y6" s="235" t="str">
        <f>name!$F$5</f>
        <v>RQF7 Other higher degree</v>
      </c>
      <c r="Z6" s="235" t="str">
        <f>name!$F$6</f>
        <v>RQF6 First degree</v>
      </c>
      <c r="AA6" s="235" t="str">
        <f>name!$F$7</f>
        <v>RQF5 Foundation degree;Nursing;Teaching</v>
      </c>
      <c r="AB6" s="235" t="str">
        <f>name!$F$8</f>
        <v>RQF4 HE below degree level</v>
      </c>
      <c r="AC6" s="235" t="str">
        <f>name!$F$9</f>
        <v>RQF3 A level &amp; equivalent</v>
      </c>
      <c r="AD6" s="235" t="str">
        <f>name!$F$10</f>
        <v>RQF2 GCSE(A-C) &amp; equivalent</v>
      </c>
      <c r="AE6" s="235" t="str">
        <f>name!$F$11</f>
        <v>RQF1 GCSE(below grade C) &amp; equivalent</v>
      </c>
      <c r="AF6" s="235" t="str">
        <f>name!$F$12</f>
        <v>No Qualification</v>
      </c>
      <c r="AG6" s="235" t="str">
        <f>name!$F$3</f>
        <v>All qualifications</v>
      </c>
    </row>
    <row r="8" spans="1:33" x14ac:dyDescent="0.2">
      <c r="A8" s="10" t="str">
        <f>name!D4</f>
        <v>11 Corporate managers and directors</v>
      </c>
      <c r="B8" s="69">
        <f>'Basic T2'!D8</f>
        <v>0.25633936175461808</v>
      </c>
      <c r="C8" s="69">
        <f>'Basic T2'!O8</f>
        <v>2.569040569662135</v>
      </c>
      <c r="D8" s="69">
        <f>'Basic T2'!Z8</f>
        <v>6.3712933706108608</v>
      </c>
      <c r="E8" s="69">
        <f>'Basic T2'!AK8</f>
        <v>1.5369042361668519</v>
      </c>
      <c r="F8" s="69">
        <f>'Basic T2'!AV8</f>
        <v>1.7406009651163175</v>
      </c>
      <c r="G8" s="69">
        <f>'Basic T2'!BG8</f>
        <v>6.2098407990820288</v>
      </c>
      <c r="H8" s="69">
        <f>'Basic T2'!BR8</f>
        <v>4.1527579111068924</v>
      </c>
      <c r="I8" s="69">
        <f>'Basic T2'!CC8</f>
        <v>2.0291642224238133</v>
      </c>
      <c r="J8" s="69">
        <f>'Basic T2'!CN8</f>
        <v>0.54661260737156048</v>
      </c>
      <c r="K8" s="309">
        <f>SUM(B8:J8)</f>
        <v>25.412554043295078</v>
      </c>
      <c r="L8" s="97"/>
      <c r="M8" s="97">
        <f t="shared" ref="M8:M33" si="0">B8/B$35*100</f>
        <v>4.1217921627418175</v>
      </c>
      <c r="N8" s="97">
        <f t="shared" ref="N8:N33" si="1">C8/C$35*100</f>
        <v>6.4245705595242049</v>
      </c>
      <c r="O8" s="97">
        <f t="shared" ref="O8:O33" si="2">D8/D$35*100</f>
        <v>7.699395646047055</v>
      </c>
      <c r="P8" s="97">
        <f t="shared" ref="P8:P33" si="3">E8/E$35*100</f>
        <v>6.0681084017675904</v>
      </c>
      <c r="Q8" s="97">
        <f t="shared" ref="Q8:Q33" si="4">F8/F$35*100</f>
        <v>7.7233038805672907</v>
      </c>
      <c r="R8" s="97">
        <f t="shared" ref="R8:R33" si="5">G8/G$35*100</f>
        <v>5.0962736918950018</v>
      </c>
      <c r="S8" s="97">
        <f t="shared" ref="S8:S33" si="6">H8/H$35*100</f>
        <v>3.829000053746566</v>
      </c>
      <c r="T8" s="97">
        <f t="shared" ref="T8:T33" si="7">I8/I$35*100</f>
        <v>3.8705110207219811</v>
      </c>
      <c r="U8" s="97">
        <f t="shared" ref="U8:U33" si="8">J8/J$35*100</f>
        <v>2.8217049658956572</v>
      </c>
      <c r="V8" s="97">
        <f t="shared" ref="V8:V33" si="9">K8/K$35*100</f>
        <v>5.3061546133003992</v>
      </c>
      <c r="W8" s="97"/>
      <c r="X8" s="97">
        <f t="shared" ref="X8:X32" si="10">IF($K8&gt;0,B8/$K8*100,0)</f>
        <v>1.0087115262712107</v>
      </c>
      <c r="Y8" s="97">
        <f t="shared" ref="Y8:AG23" si="11">IF($K8&gt;0,C8/$K8*100,0)</f>
        <v>10.109336374790546</v>
      </c>
      <c r="Z8" s="97">
        <f t="shared" si="11"/>
        <v>25.071440516195899</v>
      </c>
      <c r="AA8" s="97">
        <f t="shared" si="11"/>
        <v>6.0478149246567101</v>
      </c>
      <c r="AB8" s="97">
        <f t="shared" si="11"/>
        <v>6.8493743767386608</v>
      </c>
      <c r="AC8" s="97">
        <f t="shared" si="11"/>
        <v>24.436114483032259</v>
      </c>
      <c r="AD8" s="97">
        <f t="shared" si="11"/>
        <v>16.34136381582066</v>
      </c>
      <c r="AE8" s="97">
        <f t="shared" si="11"/>
        <v>7.9848889606560185</v>
      </c>
      <c r="AF8" s="97">
        <f>IF($K8&gt;0,J8/$K8*100,0)</f>
        <v>2.1509550218380364</v>
      </c>
      <c r="AG8" s="97">
        <f t="shared" si="11"/>
        <v>100</v>
      </c>
    </row>
    <row r="9" spans="1:33" x14ac:dyDescent="0.2">
      <c r="A9" s="10" t="str">
        <f>name!D5</f>
        <v>12 Other managers and proprietors</v>
      </c>
      <c r="B9" s="69">
        <f>'Basic T2'!D9</f>
        <v>0.12837415541613581</v>
      </c>
      <c r="C9" s="69">
        <f>'Basic T2'!O9</f>
        <v>1.1626563556477134</v>
      </c>
      <c r="D9" s="69">
        <f>'Basic T2'!Z9</f>
        <v>2.9449296746509379</v>
      </c>
      <c r="E9" s="69">
        <f>'Basic T2'!AK9</f>
        <v>1.05964617324944</v>
      </c>
      <c r="F9" s="69">
        <f>'Basic T2'!AV9</f>
        <v>0.90030027668145984</v>
      </c>
      <c r="G9" s="69">
        <f>'Basic T2'!BG9</f>
        <v>3.2033363056455406</v>
      </c>
      <c r="H9" s="69">
        <f>'Basic T2'!BR9</f>
        <v>3.198474681053356</v>
      </c>
      <c r="I9" s="69">
        <f>'Basic T2'!CC9</f>
        <v>1.6756043408706491</v>
      </c>
      <c r="J9" s="69">
        <f>'Basic T2'!CN9</f>
        <v>0.55920271825084833</v>
      </c>
      <c r="K9" s="309">
        <f>SUM(B9:J9)</f>
        <v>14.832524681466079</v>
      </c>
      <c r="L9" s="97"/>
      <c r="M9" s="97">
        <f t="shared" si="0"/>
        <v>2.0641839164729685</v>
      </c>
      <c r="N9" s="97">
        <f t="shared" si="1"/>
        <v>2.9075320497256127</v>
      </c>
      <c r="O9" s="97">
        <f t="shared" si="2"/>
        <v>3.5588031182981408</v>
      </c>
      <c r="P9" s="97">
        <f t="shared" si="3"/>
        <v>4.1837661029764597</v>
      </c>
      <c r="Q9" s="97">
        <f t="shared" si="4"/>
        <v>3.994765463148565</v>
      </c>
      <c r="R9" s="97">
        <f t="shared" si="5"/>
        <v>2.6289045192860265</v>
      </c>
      <c r="S9" s="97">
        <f t="shared" si="6"/>
        <v>2.9491147781345091</v>
      </c>
      <c r="T9" s="97">
        <f t="shared" si="7"/>
        <v>3.1961164089334519</v>
      </c>
      <c r="U9" s="97">
        <f t="shared" si="8"/>
        <v>2.8866972070371335</v>
      </c>
      <c r="V9" s="97">
        <f t="shared" si="9"/>
        <v>3.0970389332519166</v>
      </c>
      <c r="W9" s="97"/>
      <c r="X9" s="97">
        <f t="shared" si="10"/>
        <v>0.86549092735739874</v>
      </c>
      <c r="Y9" s="97">
        <f t="shared" si="11"/>
        <v>7.8385600605169126</v>
      </c>
      <c r="Z9" s="97">
        <f t="shared" si="11"/>
        <v>19.854540868088105</v>
      </c>
      <c r="AA9" s="97">
        <f t="shared" si="11"/>
        <v>7.1440715320266177</v>
      </c>
      <c r="AB9" s="97">
        <f t="shared" si="11"/>
        <v>6.0697709662767423</v>
      </c>
      <c r="AC9" s="97">
        <f t="shared" si="11"/>
        <v>21.596703018793935</v>
      </c>
      <c r="AD9" s="97">
        <f t="shared" si="11"/>
        <v>21.563926234688804</v>
      </c>
      <c r="AE9" s="97">
        <f t="shared" si="11"/>
        <v>11.296824895659158</v>
      </c>
      <c r="AF9" s="97">
        <f t="shared" si="11"/>
        <v>3.7701114965923357</v>
      </c>
      <c r="AG9" s="97">
        <f t="shared" si="11"/>
        <v>100</v>
      </c>
    </row>
    <row r="10" spans="1:33" x14ac:dyDescent="0.2">
      <c r="A10" s="10" t="str">
        <f>name!D6</f>
        <v>21 Science, research, engineering and technology professionals</v>
      </c>
      <c r="B10" s="69">
        <f>'Basic T2'!D10</f>
        <v>0.98888910909566008</v>
      </c>
      <c r="C10" s="69">
        <f>'Basic T2'!O10</f>
        <v>3.729205386268108</v>
      </c>
      <c r="D10" s="69">
        <f>'Basic T2'!Z10</f>
        <v>6.6766108042637304</v>
      </c>
      <c r="E10" s="69">
        <f>'Basic T2'!AK10</f>
        <v>0.7181086021728843</v>
      </c>
      <c r="F10" s="69">
        <f>'Basic T2'!AV10</f>
        <v>2.187399490309522</v>
      </c>
      <c r="G10" s="69">
        <f>'Basic T2'!BG10</f>
        <v>4.8727131843911176</v>
      </c>
      <c r="H10" s="69">
        <f>'Basic T2'!BR10</f>
        <v>2.7747518143948176</v>
      </c>
      <c r="I10" s="69">
        <f>'Basic T2'!CC10</f>
        <v>1.2446303958247051</v>
      </c>
      <c r="J10" s="69">
        <f>'Basic T2'!CN10</f>
        <v>0.27733029223187555</v>
      </c>
      <c r="K10" s="309">
        <f t="shared" ref="K10:K32" si="12">SUM(B10:J10)</f>
        <v>23.469639078952422</v>
      </c>
      <c r="L10" s="97"/>
      <c r="M10" s="97">
        <f t="shared" si="0"/>
        <v>15.900778373603789</v>
      </c>
      <c r="N10" s="97">
        <f t="shared" si="1"/>
        <v>9.3258718519139858</v>
      </c>
      <c r="O10" s="97">
        <f t="shared" si="2"/>
        <v>8.0683567945279293</v>
      </c>
      <c r="P10" s="97">
        <f t="shared" si="3"/>
        <v>2.835284554290074</v>
      </c>
      <c r="Q10" s="97">
        <f t="shared" si="4"/>
        <v>9.7058150089727704</v>
      </c>
      <c r="R10" s="97">
        <f t="shared" si="5"/>
        <v>3.9989237748950455</v>
      </c>
      <c r="S10" s="97">
        <f t="shared" si="6"/>
        <v>2.558426249224635</v>
      </c>
      <c r="T10" s="97">
        <f t="shared" si="7"/>
        <v>2.3740590389528982</v>
      </c>
      <c r="U10" s="97">
        <f t="shared" si="8"/>
        <v>1.4316249794290636</v>
      </c>
      <c r="V10" s="97">
        <f t="shared" si="9"/>
        <v>4.9004729496733139</v>
      </c>
      <c r="W10" s="97"/>
      <c r="X10" s="97">
        <f t="shared" si="10"/>
        <v>4.213482387901295</v>
      </c>
      <c r="Y10" s="97">
        <f t="shared" si="11"/>
        <v>15.889487578922592</v>
      </c>
      <c r="Z10" s="97">
        <f t="shared" si="11"/>
        <v>28.447863138429412</v>
      </c>
      <c r="AA10" s="97">
        <f t="shared" si="11"/>
        <v>3.0597343221050393</v>
      </c>
      <c r="AB10" s="97">
        <f t="shared" si="11"/>
        <v>9.3201241099237109</v>
      </c>
      <c r="AC10" s="97">
        <f t="shared" si="11"/>
        <v>20.761772978268624</v>
      </c>
      <c r="AD10" s="97">
        <f t="shared" si="11"/>
        <v>11.822728952330655</v>
      </c>
      <c r="AE10" s="97">
        <f t="shared" si="11"/>
        <v>5.3031509842896982</v>
      </c>
      <c r="AF10" s="97">
        <f t="shared" si="11"/>
        <v>1.1816555478289625</v>
      </c>
      <c r="AG10" s="97">
        <f t="shared" si="11"/>
        <v>100</v>
      </c>
    </row>
    <row r="11" spans="1:33" x14ac:dyDescent="0.2">
      <c r="A11" s="10" t="str">
        <f>name!D7</f>
        <v>22 Health professionals</v>
      </c>
      <c r="B11" s="69">
        <f>'Basic T2'!D11</f>
        <v>1.616687241985107</v>
      </c>
      <c r="C11" s="69">
        <f>'Basic T2'!O11</f>
        <v>4.6307719294245233</v>
      </c>
      <c r="D11" s="69">
        <f>'Basic T2'!Z11</f>
        <v>11.112079028146676</v>
      </c>
      <c r="E11" s="69">
        <f>'Basic T2'!AK11</f>
        <v>3.6320713019309983</v>
      </c>
      <c r="F11" s="69">
        <f>'Basic T2'!AV11</f>
        <v>0.75323454067515094</v>
      </c>
      <c r="G11" s="69">
        <f>'Basic T2'!BG11</f>
        <v>3.6029747214039158</v>
      </c>
      <c r="H11" s="69">
        <f>'Basic T2'!BR11</f>
        <v>2.5063487909959856</v>
      </c>
      <c r="I11" s="69">
        <f>'Basic T2'!CC11</f>
        <v>1.0068364295744432</v>
      </c>
      <c r="J11" s="69">
        <f>'Basic T2'!CN11</f>
        <v>0.16676797871926174</v>
      </c>
      <c r="K11" s="309">
        <f t="shared" si="12"/>
        <v>29.027771962856061</v>
      </c>
      <c r="L11" s="97"/>
      <c r="M11" s="97">
        <f t="shared" si="0"/>
        <v>25.995417785262738</v>
      </c>
      <c r="N11" s="97">
        <f t="shared" si="1"/>
        <v>11.580479248548624</v>
      </c>
      <c r="O11" s="97">
        <f t="shared" si="2"/>
        <v>13.428402666637906</v>
      </c>
      <c r="P11" s="97">
        <f t="shared" si="3"/>
        <v>14.340387555984147</v>
      </c>
      <c r="Q11" s="97">
        <f t="shared" si="4"/>
        <v>3.342213044553239</v>
      </c>
      <c r="R11" s="97">
        <f t="shared" si="5"/>
        <v>2.9568785866407121</v>
      </c>
      <c r="S11" s="97">
        <f t="shared" si="6"/>
        <v>2.3109484975668373</v>
      </c>
      <c r="T11" s="97">
        <f t="shared" si="7"/>
        <v>1.9204810796818435</v>
      </c>
      <c r="U11" s="97">
        <f t="shared" si="8"/>
        <v>0.8608839740585269</v>
      </c>
      <c r="V11" s="97">
        <f t="shared" si="9"/>
        <v>6.0610140111115394</v>
      </c>
      <c r="W11" s="97"/>
      <c r="X11" s="97">
        <f t="shared" si="10"/>
        <v>5.5694499875974639</v>
      </c>
      <c r="Y11" s="97">
        <f t="shared" si="11"/>
        <v>15.952901708577768</v>
      </c>
      <c r="Z11" s="97">
        <f t="shared" si="11"/>
        <v>38.280854081276694</v>
      </c>
      <c r="AA11" s="97">
        <f t="shared" si="11"/>
        <v>12.512401250011877</v>
      </c>
      <c r="AB11" s="97">
        <f t="shared" si="11"/>
        <v>2.5948754924731734</v>
      </c>
      <c r="AC11" s="97">
        <f t="shared" si="11"/>
        <v>12.412164206106766</v>
      </c>
      <c r="AD11" s="97">
        <f t="shared" si="11"/>
        <v>8.6343133541324146</v>
      </c>
      <c r="AE11" s="97">
        <f t="shared" si="11"/>
        <v>3.4685281077128178</v>
      </c>
      <c r="AF11" s="97">
        <f t="shared" si="11"/>
        <v>0.57451181211102953</v>
      </c>
      <c r="AG11" s="97">
        <f t="shared" si="11"/>
        <v>100</v>
      </c>
    </row>
    <row r="12" spans="1:33" x14ac:dyDescent="0.2">
      <c r="A12" s="10" t="str">
        <f>name!D8</f>
        <v>23 Teaching and other educational professionals</v>
      </c>
      <c r="B12" s="69">
        <f>'Basic T2'!D12</f>
        <v>1.9022170503426141</v>
      </c>
      <c r="C12" s="69">
        <f>'Basic T2'!O12</f>
        <v>10.804223848789942</v>
      </c>
      <c r="D12" s="69">
        <f>'Basic T2'!Z12</f>
        <v>6.245637640337617</v>
      </c>
      <c r="E12" s="69">
        <f>'Basic T2'!AK12</f>
        <v>0.33275615305349032</v>
      </c>
      <c r="F12" s="69">
        <f>'Basic T2'!AV12</f>
        <v>0.1537319955427176</v>
      </c>
      <c r="G12" s="69">
        <f>'Basic T2'!BG12</f>
        <v>1.1634296043237597</v>
      </c>
      <c r="H12" s="69">
        <f>'Basic T2'!BR12</f>
        <v>0.83717414822925029</v>
      </c>
      <c r="I12" s="69">
        <f>'Basic T2'!CC12</f>
        <v>0.51494349283777352</v>
      </c>
      <c r="J12" s="69">
        <f>'Basic T2'!CN12</f>
        <v>0.12863133376919597</v>
      </c>
      <c r="K12" s="309">
        <f t="shared" si="12"/>
        <v>22.082745267226361</v>
      </c>
      <c r="L12" s="97"/>
      <c r="M12" s="97">
        <f t="shared" si="0"/>
        <v>30.586575843320684</v>
      </c>
      <c r="N12" s="97">
        <f t="shared" si="1"/>
        <v>27.018840915608379</v>
      </c>
      <c r="O12" s="97">
        <f t="shared" si="2"/>
        <v>7.5475468570665658</v>
      </c>
      <c r="P12" s="97">
        <f t="shared" si="3"/>
        <v>1.3138101649844989</v>
      </c>
      <c r="Q12" s="97">
        <f t="shared" si="4"/>
        <v>0.68213159795822609</v>
      </c>
      <c r="R12" s="97">
        <f t="shared" si="5"/>
        <v>0.95479995006691121</v>
      </c>
      <c r="S12" s="97">
        <f t="shared" si="6"/>
        <v>0.77190626739679558</v>
      </c>
      <c r="T12" s="97">
        <f t="shared" si="7"/>
        <v>0.98222432765788892</v>
      </c>
      <c r="U12" s="97">
        <f t="shared" si="8"/>
        <v>0.66401628570487736</v>
      </c>
      <c r="V12" s="97">
        <f t="shared" si="9"/>
        <v>4.6108887943495134</v>
      </c>
      <c r="W12" s="97"/>
      <c r="X12" s="97">
        <f t="shared" si="10"/>
        <v>8.6140424450113517</v>
      </c>
      <c r="Y12" s="97">
        <f t="shared" si="11"/>
        <v>48.926090112649185</v>
      </c>
      <c r="Z12" s="97">
        <f t="shared" si="11"/>
        <v>28.282885867487444</v>
      </c>
      <c r="AA12" s="97">
        <f t="shared" si="11"/>
        <v>1.5068604425163719</v>
      </c>
      <c r="AB12" s="97">
        <f t="shared" si="11"/>
        <v>0.69616342389673658</v>
      </c>
      <c r="AC12" s="97">
        <f t="shared" si="11"/>
        <v>5.2685007694692709</v>
      </c>
      <c r="AD12" s="97">
        <f t="shared" si="11"/>
        <v>3.7910782291716445</v>
      </c>
      <c r="AE12" s="97">
        <f t="shared" si="11"/>
        <v>2.3318816868390728</v>
      </c>
      <c r="AF12" s="97">
        <f t="shared" si="11"/>
        <v>0.58249702295892269</v>
      </c>
      <c r="AG12" s="97">
        <f t="shared" si="11"/>
        <v>100</v>
      </c>
    </row>
    <row r="13" spans="1:33" x14ac:dyDescent="0.2">
      <c r="A13" s="10" t="str">
        <f>name!D9</f>
        <v>24 Business, media and public service professionals</v>
      </c>
      <c r="B13" s="69">
        <f>'Basic T2'!D13</f>
        <v>0.36356844855145315</v>
      </c>
      <c r="C13" s="69">
        <f>'Basic T2'!O13</f>
        <v>4.6227471089691639</v>
      </c>
      <c r="D13" s="69">
        <f>'Basic T2'!Z13</f>
        <v>8.6243320178964673</v>
      </c>
      <c r="E13" s="69">
        <f>'Basic T2'!AK13</f>
        <v>0.82820521505361333</v>
      </c>
      <c r="F13" s="69">
        <f>'Basic T2'!AV13</f>
        <v>1.2652302798954553</v>
      </c>
      <c r="G13" s="69">
        <f>'Basic T2'!BG13</f>
        <v>4.5131550638916096</v>
      </c>
      <c r="H13" s="69">
        <f>'Basic T2'!BR13</f>
        <v>2.6887170987274036</v>
      </c>
      <c r="I13" s="69">
        <f>'Basic T2'!CC13</f>
        <v>1.2104142142840084</v>
      </c>
      <c r="J13" s="69">
        <f>'Basic T2'!CN13</f>
        <v>0.37100520215712196</v>
      </c>
      <c r="K13" s="309">
        <f t="shared" si="12"/>
        <v>24.487374649426293</v>
      </c>
      <c r="L13" s="97"/>
      <c r="M13" s="97">
        <f t="shared" si="0"/>
        <v>5.8459753180398328</v>
      </c>
      <c r="N13" s="97">
        <f t="shared" si="1"/>
        <v>11.560411046492263</v>
      </c>
      <c r="O13" s="97">
        <f t="shared" si="2"/>
        <v>10.422082382040717</v>
      </c>
      <c r="P13" s="97">
        <f t="shared" si="3"/>
        <v>3.2699753866180141</v>
      </c>
      <c r="Q13" s="97">
        <f t="shared" si="4"/>
        <v>5.6140138528963766</v>
      </c>
      <c r="R13" s="97">
        <f t="shared" si="5"/>
        <v>3.7038426851383277</v>
      </c>
      <c r="S13" s="97">
        <f t="shared" si="6"/>
        <v>2.4790989833530759</v>
      </c>
      <c r="T13" s="97">
        <f t="shared" si="7"/>
        <v>2.3087936916356173</v>
      </c>
      <c r="U13" s="97">
        <f t="shared" si="8"/>
        <v>1.9151904057497602</v>
      </c>
      <c r="V13" s="97">
        <f t="shared" si="9"/>
        <v>5.1129766705976047</v>
      </c>
      <c r="W13" s="97"/>
      <c r="X13" s="97">
        <f t="shared" si="10"/>
        <v>1.4847179567286568</v>
      </c>
      <c r="Y13" s="97">
        <f t="shared" si="11"/>
        <v>18.878083809108826</v>
      </c>
      <c r="Z13" s="97">
        <f t="shared" si="11"/>
        <v>35.219504505349349</v>
      </c>
      <c r="AA13" s="97">
        <f t="shared" si="11"/>
        <v>3.3821723517143845</v>
      </c>
      <c r="AB13" s="97">
        <f t="shared" si="11"/>
        <v>5.166867816616258</v>
      </c>
      <c r="AC13" s="97">
        <f t="shared" si="11"/>
        <v>18.430538710271037</v>
      </c>
      <c r="AD13" s="97">
        <f t="shared" si="11"/>
        <v>10.980013730424126</v>
      </c>
      <c r="AE13" s="97">
        <f t="shared" si="11"/>
        <v>4.9430134165581805</v>
      </c>
      <c r="AF13" s="97">
        <f t="shared" si="11"/>
        <v>1.5150877032291989</v>
      </c>
      <c r="AG13" s="97">
        <f t="shared" si="11"/>
        <v>100</v>
      </c>
    </row>
    <row r="14" spans="1:33" x14ac:dyDescent="0.2">
      <c r="A14" s="10" t="str">
        <f>name!D10</f>
        <v>31 Science, engineering and technology associate professionals</v>
      </c>
      <c r="B14" s="69">
        <f>'Basic T2'!D14</f>
        <v>0.14184704883985894</v>
      </c>
      <c r="C14" s="69">
        <f>'Basic T2'!O14</f>
        <v>0.85264982246806098</v>
      </c>
      <c r="D14" s="69">
        <f>'Basic T2'!Z14</f>
        <v>2.120484128241769</v>
      </c>
      <c r="E14" s="69">
        <f>'Basic T2'!AK14</f>
        <v>0.43451630475624969</v>
      </c>
      <c r="F14" s="69">
        <f>'Basic T2'!AV14</f>
        <v>0.9996171180070722</v>
      </c>
      <c r="G14" s="69">
        <f>'Basic T2'!BG14</f>
        <v>2.994096612824821</v>
      </c>
      <c r="H14" s="69">
        <f>'Basic T2'!BR14</f>
        <v>1.9423501448343408</v>
      </c>
      <c r="I14" s="69">
        <f>'Basic T2'!CC14</f>
        <v>1.0285630477896444</v>
      </c>
      <c r="J14" s="69">
        <f>'Basic T2'!CN14</f>
        <v>0.19571628307944552</v>
      </c>
      <c r="K14" s="309">
        <f t="shared" si="12"/>
        <v>10.709840510841262</v>
      </c>
      <c r="L14" s="97"/>
      <c r="M14" s="97">
        <f t="shared" si="0"/>
        <v>2.2808204335620466</v>
      </c>
      <c r="N14" s="97">
        <f t="shared" si="1"/>
        <v>2.1322781008990708</v>
      </c>
      <c r="O14" s="97">
        <f t="shared" si="2"/>
        <v>2.5625010990399946</v>
      </c>
      <c r="P14" s="97">
        <f t="shared" si="3"/>
        <v>1.7155864220743529</v>
      </c>
      <c r="Q14" s="97">
        <f t="shared" si="4"/>
        <v>4.4354489749864019</v>
      </c>
      <c r="R14" s="97">
        <f t="shared" si="5"/>
        <v>2.4571863100237126</v>
      </c>
      <c r="S14" s="97">
        <f t="shared" si="6"/>
        <v>1.7909203878881987</v>
      </c>
      <c r="T14" s="97">
        <f t="shared" si="7"/>
        <v>1.9619233219191456</v>
      </c>
      <c r="U14" s="97">
        <f t="shared" si="8"/>
        <v>1.0103199238807836</v>
      </c>
      <c r="V14" s="97">
        <f t="shared" si="9"/>
        <v>2.236220316049089</v>
      </c>
      <c r="W14" s="97"/>
      <c r="X14" s="97">
        <f t="shared" si="10"/>
        <v>1.324455286670901</v>
      </c>
      <c r="Y14" s="97">
        <f t="shared" si="11"/>
        <v>7.961368067105651</v>
      </c>
      <c r="Z14" s="97">
        <f t="shared" si="11"/>
        <v>19.799399683825953</v>
      </c>
      <c r="AA14" s="97">
        <f t="shared" si="11"/>
        <v>4.0571687721810736</v>
      </c>
      <c r="AB14" s="97">
        <f t="shared" si="11"/>
        <v>9.3336321581557513</v>
      </c>
      <c r="AC14" s="97">
        <f t="shared" si="11"/>
        <v>27.956500470702466</v>
      </c>
      <c r="AD14" s="97">
        <f t="shared" si="11"/>
        <v>18.136125770203169</v>
      </c>
      <c r="AE14" s="97">
        <f t="shared" si="11"/>
        <v>9.6039063023250417</v>
      </c>
      <c r="AF14" s="97">
        <f t="shared" si="11"/>
        <v>1.8274434888299933</v>
      </c>
      <c r="AG14" s="97">
        <f t="shared" si="11"/>
        <v>100</v>
      </c>
    </row>
    <row r="15" spans="1:33" x14ac:dyDescent="0.2">
      <c r="A15" s="10" t="str">
        <f>name!D11</f>
        <v>32 Health and social care associate professionals</v>
      </c>
      <c r="B15" s="69">
        <f>'Basic T2'!D15</f>
        <v>3.274030309596928E-2</v>
      </c>
      <c r="C15" s="69">
        <f>'Basic T2'!O15</f>
        <v>0.97080852256156736</v>
      </c>
      <c r="D15" s="69">
        <f>'Basic T2'!Z15</f>
        <v>3.225121531157614</v>
      </c>
      <c r="E15" s="69">
        <f>'Basic T2'!AK15</f>
        <v>1.6275398861975479</v>
      </c>
      <c r="F15" s="69">
        <f>'Basic T2'!AV15</f>
        <v>0.44090483827789567</v>
      </c>
      <c r="G15" s="69">
        <f>'Basic T2'!BG15</f>
        <v>2.1218456166019086</v>
      </c>
      <c r="H15" s="69">
        <f>'Basic T2'!BR15</f>
        <v>1.5036898040463855</v>
      </c>
      <c r="I15" s="69">
        <f>'Basic T2'!CC15</f>
        <v>0.40396691963046338</v>
      </c>
      <c r="J15" s="69">
        <f>'Basic T2'!CN15</f>
        <v>7.653489064252314E-2</v>
      </c>
      <c r="K15" s="309">
        <f t="shared" si="12"/>
        <v>10.403152312211876</v>
      </c>
      <c r="L15" s="97"/>
      <c r="M15" s="97">
        <f t="shared" si="0"/>
        <v>0.52644558285175902</v>
      </c>
      <c r="N15" s="97">
        <f t="shared" si="1"/>
        <v>2.4277654182022093</v>
      </c>
      <c r="O15" s="97">
        <f t="shared" si="2"/>
        <v>3.8974012387357351</v>
      </c>
      <c r="P15" s="97">
        <f t="shared" si="3"/>
        <v>6.425962155117011</v>
      </c>
      <c r="Q15" s="97">
        <f t="shared" si="4"/>
        <v>1.9563599680096733</v>
      </c>
      <c r="R15" s="97">
        <f t="shared" si="5"/>
        <v>1.7413499546960278</v>
      </c>
      <c r="S15" s="97">
        <f t="shared" si="6"/>
        <v>1.3864589421676912</v>
      </c>
      <c r="T15" s="97">
        <f t="shared" si="7"/>
        <v>0.7705430625862143</v>
      </c>
      <c r="U15" s="97">
        <f t="shared" si="8"/>
        <v>0.39508580314081621</v>
      </c>
      <c r="V15" s="97">
        <f t="shared" si="9"/>
        <v>2.1721836593151913</v>
      </c>
      <c r="W15" s="97"/>
      <c r="X15" s="97">
        <f t="shared" si="10"/>
        <v>0.31471521432534105</v>
      </c>
      <c r="Y15" s="97">
        <f t="shared" si="11"/>
        <v>9.3318687781007608</v>
      </c>
      <c r="Z15" s="97">
        <f t="shared" si="11"/>
        <v>31.001387217716335</v>
      </c>
      <c r="AA15" s="97">
        <f t="shared" si="11"/>
        <v>15.644679971541308</v>
      </c>
      <c r="AB15" s="97">
        <f t="shared" si="11"/>
        <v>4.2381849755322127</v>
      </c>
      <c r="AC15" s="97">
        <f t="shared" si="11"/>
        <v>20.396179474476718</v>
      </c>
      <c r="AD15" s="97">
        <f t="shared" si="11"/>
        <v>14.454174647440848</v>
      </c>
      <c r="AE15" s="97">
        <f t="shared" si="11"/>
        <v>3.8831203034128561</v>
      </c>
      <c r="AF15" s="97">
        <f t="shared" si="11"/>
        <v>0.73568941745360839</v>
      </c>
      <c r="AG15" s="97">
        <f t="shared" si="11"/>
        <v>100</v>
      </c>
    </row>
    <row r="16" spans="1:33" x14ac:dyDescent="0.2">
      <c r="A16" s="10" t="str">
        <f>name!D12</f>
        <v>33 Protective service occupations</v>
      </c>
      <c r="B16" s="69">
        <f>'Basic T2'!D16</f>
        <v>1.5508814454848157E-2</v>
      </c>
      <c r="C16" s="69">
        <f>'Basic T2'!O16</f>
        <v>0.27251433974476058</v>
      </c>
      <c r="D16" s="69">
        <f>'Basic T2'!Z16</f>
        <v>1.5779468230751523</v>
      </c>
      <c r="E16" s="69">
        <f>'Basic T2'!AK16</f>
        <v>0.42035571903908375</v>
      </c>
      <c r="F16" s="69">
        <f>'Basic T2'!AV16</f>
        <v>0.33883245045524879</v>
      </c>
      <c r="G16" s="69">
        <f>'Basic T2'!BG16</f>
        <v>1.7713248318182044</v>
      </c>
      <c r="H16" s="69">
        <f>'Basic T2'!BR16</f>
        <v>1.7754291652312735</v>
      </c>
      <c r="I16" s="69">
        <f>'Basic T2'!CC16</f>
        <v>0.76422203440992065</v>
      </c>
      <c r="J16" s="69">
        <f>'Basic T2'!CN16</f>
        <v>0.11335893604988947</v>
      </c>
      <c r="K16" s="309">
        <f t="shared" si="12"/>
        <v>7.0494931142783823</v>
      </c>
      <c r="L16" s="97"/>
      <c r="M16" s="97">
        <f t="shared" si="0"/>
        <v>0.2493729774306053</v>
      </c>
      <c r="N16" s="97">
        <f t="shared" si="1"/>
        <v>0.68149472797255939</v>
      </c>
      <c r="O16" s="97">
        <f t="shared" si="2"/>
        <v>1.9068713670162982</v>
      </c>
      <c r="P16" s="97">
        <f t="shared" si="3"/>
        <v>1.6596766476445579</v>
      </c>
      <c r="Q16" s="97">
        <f t="shared" si="4"/>
        <v>1.5034496888770079</v>
      </c>
      <c r="R16" s="97">
        <f t="shared" si="5"/>
        <v>1.4536855987563957</v>
      </c>
      <c r="S16" s="97">
        <f t="shared" si="6"/>
        <v>1.6370129236071385</v>
      </c>
      <c r="T16" s="97">
        <f t="shared" si="7"/>
        <v>1.4577084366926978</v>
      </c>
      <c r="U16" s="97">
        <f t="shared" si="8"/>
        <v>0.58517763488611318</v>
      </c>
      <c r="V16" s="97">
        <f t="shared" si="9"/>
        <v>1.4719378597692294</v>
      </c>
      <c r="W16" s="97"/>
      <c r="X16" s="97">
        <f t="shared" si="10"/>
        <v>0.2199990013953749</v>
      </c>
      <c r="Y16" s="97">
        <f t="shared" si="11"/>
        <v>3.865729568453609</v>
      </c>
      <c r="Z16" s="97">
        <f t="shared" si="11"/>
        <v>22.383833808974192</v>
      </c>
      <c r="AA16" s="97">
        <f t="shared" si="11"/>
        <v>5.9629211948256966</v>
      </c>
      <c r="AB16" s="97">
        <f t="shared" si="11"/>
        <v>4.806479628570191</v>
      </c>
      <c r="AC16" s="97">
        <f t="shared" si="11"/>
        <v>25.126981516308994</v>
      </c>
      <c r="AD16" s="97">
        <f t="shared" si="11"/>
        <v>25.185203197592092</v>
      </c>
      <c r="AE16" s="97">
        <f t="shared" si="11"/>
        <v>10.840808296727444</v>
      </c>
      <c r="AF16" s="97">
        <f t="shared" si="11"/>
        <v>1.608043787152396</v>
      </c>
      <c r="AG16" s="97">
        <f t="shared" si="11"/>
        <v>100</v>
      </c>
    </row>
    <row r="17" spans="1:33" x14ac:dyDescent="0.2">
      <c r="A17" s="10" t="str">
        <f>name!D13</f>
        <v>34 Culture, media and sports occupations</v>
      </c>
      <c r="B17" s="69">
        <f>'Basic T2'!D17</f>
        <v>9.3877996986253723E-2</v>
      </c>
      <c r="C17" s="69">
        <f>'Basic T2'!O17</f>
        <v>1.0325343607436983</v>
      </c>
      <c r="D17" s="69">
        <f>'Basic T2'!Z17</f>
        <v>2.0976654405811703</v>
      </c>
      <c r="E17" s="69">
        <f>'Basic T2'!AK17</f>
        <v>0.28172557959455002</v>
      </c>
      <c r="F17" s="69">
        <f>'Basic T2'!AV17</f>
        <v>0.32107833930914448</v>
      </c>
      <c r="G17" s="69">
        <f>'Basic T2'!BG17</f>
        <v>1.0611962584370773</v>
      </c>
      <c r="H17" s="69">
        <f>'Basic T2'!BR17</f>
        <v>0.40532660683845295</v>
      </c>
      <c r="I17" s="69">
        <f>'Basic T2'!CC17</f>
        <v>0.29802571026515823</v>
      </c>
      <c r="J17" s="69">
        <f>'Basic T2'!CN17</f>
        <v>0.12943598380104196</v>
      </c>
      <c r="K17" s="309">
        <f t="shared" si="12"/>
        <v>5.7208662765565483</v>
      </c>
      <c r="L17" s="97"/>
      <c r="M17" s="97">
        <f t="shared" si="0"/>
        <v>1.509505171516522</v>
      </c>
      <c r="N17" s="97">
        <f t="shared" si="1"/>
        <v>2.5821273256901192</v>
      </c>
      <c r="O17" s="97">
        <f t="shared" si="2"/>
        <v>2.5349258338304321</v>
      </c>
      <c r="P17" s="97">
        <f t="shared" si="3"/>
        <v>1.1123278316899239</v>
      </c>
      <c r="Q17" s="97">
        <f t="shared" si="4"/>
        <v>1.424672072261377</v>
      </c>
      <c r="R17" s="97">
        <f t="shared" si="5"/>
        <v>0.87089939159305774</v>
      </c>
      <c r="S17" s="97">
        <f t="shared" si="6"/>
        <v>0.37372648071259096</v>
      </c>
      <c r="T17" s="97">
        <f t="shared" si="7"/>
        <v>0.56846645692477982</v>
      </c>
      <c r="U17" s="97">
        <f t="shared" si="8"/>
        <v>0.66817002266602388</v>
      </c>
      <c r="V17" s="97">
        <f t="shared" si="9"/>
        <v>1.1945198791789433</v>
      </c>
      <c r="W17" s="97"/>
      <c r="X17" s="97">
        <f t="shared" si="10"/>
        <v>1.6409752028456763</v>
      </c>
      <c r="Y17" s="97">
        <f t="shared" si="11"/>
        <v>18.048566612628321</v>
      </c>
      <c r="Z17" s="97">
        <f t="shared" si="11"/>
        <v>36.666919644270692</v>
      </c>
      <c r="AA17" s="97">
        <f t="shared" si="11"/>
        <v>4.9245265660032826</v>
      </c>
      <c r="AB17" s="97">
        <f t="shared" si="11"/>
        <v>5.6124076981992497</v>
      </c>
      <c r="AC17" s="97">
        <f t="shared" si="11"/>
        <v>18.549572864265983</v>
      </c>
      <c r="AD17" s="97">
        <f t="shared" si="11"/>
        <v>7.0850564799851163</v>
      </c>
      <c r="AE17" s="97">
        <f t="shared" si="11"/>
        <v>5.2094507345230792</v>
      </c>
      <c r="AF17" s="97">
        <f t="shared" si="11"/>
        <v>2.2625241972785788</v>
      </c>
      <c r="AG17" s="97">
        <f t="shared" si="11"/>
        <v>100</v>
      </c>
    </row>
    <row r="18" spans="1:33" x14ac:dyDescent="0.2">
      <c r="A18" s="10" t="str">
        <f>name!D14</f>
        <v>35 Business and public service associate professionals</v>
      </c>
      <c r="B18" s="69">
        <f>'Basic T2'!D18</f>
        <v>0.20542198776651316</v>
      </c>
      <c r="C18" s="69">
        <f>'Basic T2'!O18</f>
        <v>2.4391233400422716</v>
      </c>
      <c r="D18" s="69">
        <f>'Basic T2'!Z18</f>
        <v>5.2019289272298934</v>
      </c>
      <c r="E18" s="69">
        <f>'Basic T2'!AK18</f>
        <v>1.5929346413790735</v>
      </c>
      <c r="F18" s="69">
        <f>'Basic T2'!AV18</f>
        <v>1.3126705730824084</v>
      </c>
      <c r="G18" s="69">
        <f>'Basic T2'!BG18</f>
        <v>5.6013774597483419</v>
      </c>
      <c r="H18" s="69">
        <f>'Basic T2'!BR18</f>
        <v>3.7664599828221679</v>
      </c>
      <c r="I18" s="69">
        <f>'Basic T2'!CC18</f>
        <v>1.6621036205748383</v>
      </c>
      <c r="J18" s="69">
        <f>'Basic T2'!CN18</f>
        <v>0.41168348638679236</v>
      </c>
      <c r="K18" s="309">
        <f t="shared" si="12"/>
        <v>22.193704019032303</v>
      </c>
      <c r="L18" s="97"/>
      <c r="M18" s="97">
        <f t="shared" si="0"/>
        <v>3.3030695459145791</v>
      </c>
      <c r="N18" s="97">
        <f t="shared" si="1"/>
        <v>6.099677905648953</v>
      </c>
      <c r="O18" s="97">
        <f t="shared" si="2"/>
        <v>6.2862760515954754</v>
      </c>
      <c r="P18" s="97">
        <f t="shared" si="3"/>
        <v>6.2893314061824306</v>
      </c>
      <c r="Q18" s="97">
        <f t="shared" si="4"/>
        <v>5.8245134491904418</v>
      </c>
      <c r="R18" s="97">
        <f t="shared" si="5"/>
        <v>4.5969218068696662</v>
      </c>
      <c r="S18" s="97">
        <f t="shared" si="6"/>
        <v>3.4728187352525768</v>
      </c>
      <c r="T18" s="97">
        <f t="shared" si="7"/>
        <v>3.1703645815972674</v>
      </c>
      <c r="U18" s="97">
        <f t="shared" si="8"/>
        <v>2.125178457739481</v>
      </c>
      <c r="V18" s="97">
        <f t="shared" si="9"/>
        <v>4.6340570399252279</v>
      </c>
      <c r="W18" s="97"/>
      <c r="X18" s="97">
        <f t="shared" si="10"/>
        <v>0.92558676816791241</v>
      </c>
      <c r="Y18" s="97">
        <f t="shared" si="11"/>
        <v>10.990158911511983</v>
      </c>
      <c r="Z18" s="97">
        <f t="shared" si="11"/>
        <v>23.43875958140632</v>
      </c>
      <c r="AA18" s="97">
        <f t="shared" si="11"/>
        <v>7.1774168025898062</v>
      </c>
      <c r="AB18" s="97">
        <f t="shared" si="11"/>
        <v>5.9146079084262917</v>
      </c>
      <c r="AC18" s="97">
        <f t="shared" si="11"/>
        <v>25.238587731659649</v>
      </c>
      <c r="AD18" s="97">
        <f t="shared" si="11"/>
        <v>16.970848938024155</v>
      </c>
      <c r="AE18" s="97">
        <f t="shared" si="11"/>
        <v>7.4890771686848421</v>
      </c>
      <c r="AF18" s="97">
        <f t="shared" si="11"/>
        <v>1.8549561895290283</v>
      </c>
      <c r="AG18" s="97">
        <f t="shared" si="11"/>
        <v>100</v>
      </c>
    </row>
    <row r="19" spans="1:33" x14ac:dyDescent="0.2">
      <c r="A19" s="10" t="str">
        <f>name!D15</f>
        <v>41 Administrative occupations</v>
      </c>
      <c r="B19" s="69">
        <f>'Basic T2'!D19</f>
        <v>0.21078532861078525</v>
      </c>
      <c r="C19" s="69">
        <f>'Basic T2'!O19</f>
        <v>2.3441503794486467</v>
      </c>
      <c r="D19" s="69">
        <f>'Basic T2'!Z19</f>
        <v>8.1921356181683276</v>
      </c>
      <c r="E19" s="69">
        <f>'Basic T2'!AK19</f>
        <v>3.1610445425570743</v>
      </c>
      <c r="F19" s="69">
        <f>'Basic T2'!AV19</f>
        <v>2.8794539668624419</v>
      </c>
      <c r="G19" s="69">
        <f>'Basic T2'!BG19</f>
        <v>10.778413058241584</v>
      </c>
      <c r="H19" s="69">
        <f>'Basic T2'!BR19</f>
        <v>11.272895009653755</v>
      </c>
      <c r="I19" s="69">
        <f>'Basic T2'!CC19</f>
        <v>4.0763821658184796</v>
      </c>
      <c r="J19" s="69">
        <f>'Basic T2'!CN19</f>
        <v>1.2384000719676183</v>
      </c>
      <c r="K19" s="309">
        <f t="shared" si="12"/>
        <v>44.153660141328707</v>
      </c>
      <c r="L19" s="97"/>
      <c r="M19" s="97">
        <f t="shared" si="0"/>
        <v>3.3893090376052677</v>
      </c>
      <c r="N19" s="97">
        <f t="shared" si="1"/>
        <v>5.8621727086559368</v>
      </c>
      <c r="O19" s="97">
        <f t="shared" si="2"/>
        <v>9.8997942240893586</v>
      </c>
      <c r="P19" s="97">
        <f t="shared" si="3"/>
        <v>12.480648107843301</v>
      </c>
      <c r="Q19" s="97">
        <f t="shared" si="4"/>
        <v>12.776563061768403</v>
      </c>
      <c r="R19" s="97">
        <f t="shared" si="5"/>
        <v>8.8455959961508412</v>
      </c>
      <c r="S19" s="97">
        <f t="shared" si="6"/>
        <v>10.394036089221137</v>
      </c>
      <c r="T19" s="97">
        <f t="shared" si="7"/>
        <v>7.7754584489118885</v>
      </c>
      <c r="U19" s="97">
        <f t="shared" si="8"/>
        <v>6.3928266302523209</v>
      </c>
      <c r="V19" s="97">
        <f t="shared" si="9"/>
        <v>9.2193073964096115</v>
      </c>
      <c r="W19" s="97"/>
      <c r="X19" s="97">
        <f t="shared" si="10"/>
        <v>0.47739038606560719</v>
      </c>
      <c r="Y19" s="97">
        <f t="shared" si="11"/>
        <v>5.3090737482360497</v>
      </c>
      <c r="Z19" s="97">
        <f t="shared" si="11"/>
        <v>18.553695417201268</v>
      </c>
      <c r="AA19" s="97">
        <f t="shared" si="11"/>
        <v>7.159190274235665</v>
      </c>
      <c r="AB19" s="97">
        <f t="shared" si="11"/>
        <v>6.5214388969018113</v>
      </c>
      <c r="AC19" s="97">
        <f t="shared" si="11"/>
        <v>24.411142867299407</v>
      </c>
      <c r="AD19" s="97">
        <f t="shared" si="11"/>
        <v>25.531054443892188</v>
      </c>
      <c r="AE19" s="97">
        <f t="shared" si="11"/>
        <v>9.2322633112875376</v>
      </c>
      <c r="AF19" s="97">
        <f t="shared" si="11"/>
        <v>2.8047506548804795</v>
      </c>
      <c r="AG19" s="97">
        <f t="shared" si="11"/>
        <v>100</v>
      </c>
    </row>
    <row r="20" spans="1:33" x14ac:dyDescent="0.2">
      <c r="A20" s="10" t="str">
        <f>name!D16</f>
        <v>42 Secretarial and related occupations</v>
      </c>
      <c r="B20" s="69">
        <f>'Basic T2'!D20</f>
        <v>1.208102891013252E-2</v>
      </c>
      <c r="C20" s="69">
        <f>'Basic T2'!O20</f>
        <v>0.32554539433944385</v>
      </c>
      <c r="D20" s="69">
        <f>'Basic T2'!Z20</f>
        <v>1.2330948776737376</v>
      </c>
      <c r="E20" s="69">
        <f>'Basic T2'!AK20</f>
        <v>0.53937999597702635</v>
      </c>
      <c r="F20" s="69">
        <f>'Basic T2'!AV20</f>
        <v>0.45481796845397038</v>
      </c>
      <c r="G20" s="69">
        <f>'Basic T2'!BG20</f>
        <v>1.8685602008362978</v>
      </c>
      <c r="H20" s="69">
        <f>'Basic T2'!BR20</f>
        <v>1.8472679742692513</v>
      </c>
      <c r="I20" s="69">
        <f>'Basic T2'!CC20</f>
        <v>1.5944872953321207</v>
      </c>
      <c r="J20" s="69">
        <f>'Basic T2'!CN20</f>
        <v>0.47420093793176832</v>
      </c>
      <c r="K20" s="309">
        <f t="shared" si="12"/>
        <v>8.3494356737237485</v>
      </c>
      <c r="L20" s="97"/>
      <c r="M20" s="97">
        <f t="shared" si="0"/>
        <v>0.19425612180195906</v>
      </c>
      <c r="N20" s="97">
        <f t="shared" si="1"/>
        <v>0.81411301205607223</v>
      </c>
      <c r="O20" s="97">
        <f t="shared" si="2"/>
        <v>1.4901346995129556</v>
      </c>
      <c r="P20" s="97">
        <f t="shared" si="3"/>
        <v>2.1296162820766877</v>
      </c>
      <c r="Q20" s="97">
        <f t="shared" si="4"/>
        <v>2.0180945840608229</v>
      </c>
      <c r="R20" s="97">
        <f t="shared" si="5"/>
        <v>1.5334844324272792</v>
      </c>
      <c r="S20" s="97">
        <f t="shared" si="6"/>
        <v>1.7032510259852731</v>
      </c>
      <c r="T20" s="97">
        <f t="shared" si="7"/>
        <v>3.0413904309885749</v>
      </c>
      <c r="U20" s="97">
        <f t="shared" si="8"/>
        <v>2.4479039146729829</v>
      </c>
      <c r="V20" s="97">
        <f t="shared" si="9"/>
        <v>1.7433665480102869</v>
      </c>
      <c r="W20" s="97"/>
      <c r="X20" s="97">
        <f t="shared" si="10"/>
        <v>0.14469275987300978</v>
      </c>
      <c r="Y20" s="97">
        <f t="shared" si="11"/>
        <v>3.8990107482827581</v>
      </c>
      <c r="Z20" s="97">
        <f t="shared" si="11"/>
        <v>14.768601446375262</v>
      </c>
      <c r="AA20" s="97">
        <f t="shared" si="11"/>
        <v>6.4600772681498997</v>
      </c>
      <c r="AB20" s="97">
        <f t="shared" si="11"/>
        <v>5.4472899274535882</v>
      </c>
      <c r="AC20" s="97">
        <f t="shared" si="11"/>
        <v>22.37947897145655</v>
      </c>
      <c r="AD20" s="97">
        <f t="shared" si="11"/>
        <v>22.124465011242993</v>
      </c>
      <c r="AE20" s="97">
        <f t="shared" si="11"/>
        <v>19.096946879297274</v>
      </c>
      <c r="AF20" s="97">
        <f t="shared" si="11"/>
        <v>5.6794369878686704</v>
      </c>
      <c r="AG20" s="97">
        <f t="shared" si="11"/>
        <v>100</v>
      </c>
    </row>
    <row r="21" spans="1:33" x14ac:dyDescent="0.2">
      <c r="A21" s="10" t="str">
        <f>name!D17</f>
        <v>51 Skilled agricultural and related trades</v>
      </c>
      <c r="B21" s="69">
        <f>'Basic T2'!D21</f>
        <v>7.5907199553756311E-3</v>
      </c>
      <c r="C21" s="69">
        <f>'Basic T2'!O21</f>
        <v>4.4243454581404607E-2</v>
      </c>
      <c r="D21" s="69">
        <f>'Basic T2'!Z21</f>
        <v>0.40426748144108549</v>
      </c>
      <c r="E21" s="69">
        <f>'Basic T2'!AK21</f>
        <v>0.24127622910531069</v>
      </c>
      <c r="F21" s="69">
        <f>'Basic T2'!AV21</f>
        <v>0.32799438583931956</v>
      </c>
      <c r="G21" s="69">
        <f>'Basic T2'!BG21</f>
        <v>0.69782140930513803</v>
      </c>
      <c r="H21" s="69">
        <f>'Basic T2'!BR21</f>
        <v>1.0913691632942735</v>
      </c>
      <c r="I21" s="69">
        <f>'Basic T2'!CC21</f>
        <v>0.62529450429837741</v>
      </c>
      <c r="J21" s="69">
        <f>'Basic T2'!CN21</f>
        <v>0.47390901410616548</v>
      </c>
      <c r="K21" s="309">
        <f t="shared" si="12"/>
        <v>3.9137663619264504</v>
      </c>
      <c r="L21" s="97"/>
      <c r="M21" s="97">
        <f t="shared" si="0"/>
        <v>0.12205448982737641</v>
      </c>
      <c r="N21" s="97">
        <f t="shared" si="1"/>
        <v>0.11064254847198485</v>
      </c>
      <c r="O21" s="97">
        <f t="shared" si="2"/>
        <v>0.48853742959060664</v>
      </c>
      <c r="P21" s="97">
        <f t="shared" si="3"/>
        <v>0.95262299271962636</v>
      </c>
      <c r="Q21" s="97">
        <f t="shared" si="4"/>
        <v>1.4553595934538726</v>
      </c>
      <c r="R21" s="97">
        <f t="shared" si="5"/>
        <v>0.57268600032525441</v>
      </c>
      <c r="S21" s="97">
        <f t="shared" si="6"/>
        <v>1.0062836973314608</v>
      </c>
      <c r="T21" s="97">
        <f t="shared" si="7"/>
        <v>1.1927123706098295</v>
      </c>
      <c r="U21" s="97">
        <f t="shared" si="8"/>
        <v>2.4463969554531295</v>
      </c>
      <c r="V21" s="97">
        <f t="shared" si="9"/>
        <v>0.81719646916777311</v>
      </c>
      <c r="W21" s="97"/>
      <c r="X21" s="97">
        <f t="shared" si="10"/>
        <v>0.19394923593853197</v>
      </c>
      <c r="Y21" s="97">
        <f t="shared" si="11"/>
        <v>1.1304572243200257</v>
      </c>
      <c r="Z21" s="97">
        <f t="shared" si="11"/>
        <v>10.32937186475524</v>
      </c>
      <c r="AA21" s="97">
        <f t="shared" si="11"/>
        <v>6.1648092091667088</v>
      </c>
      <c r="AB21" s="97">
        <f t="shared" si="11"/>
        <v>8.3805305556837784</v>
      </c>
      <c r="AC21" s="97">
        <f t="shared" si="11"/>
        <v>17.82991994855956</v>
      </c>
      <c r="AD21" s="97">
        <f t="shared" si="11"/>
        <v>27.885393821951986</v>
      </c>
      <c r="AE21" s="97">
        <f t="shared" si="11"/>
        <v>15.976796938655081</v>
      </c>
      <c r="AF21" s="97">
        <f t="shared" si="11"/>
        <v>12.108771200969084</v>
      </c>
      <c r="AG21" s="97">
        <f t="shared" si="11"/>
        <v>100</v>
      </c>
    </row>
    <row r="22" spans="1:33" x14ac:dyDescent="0.2">
      <c r="A22" s="10" t="str">
        <f>name!D18</f>
        <v>52 Skilled metal, electrical and electronic trades</v>
      </c>
      <c r="B22" s="69">
        <f>'Basic T2'!D22</f>
        <v>1.3623826065581475E-2</v>
      </c>
      <c r="C22" s="69">
        <f>'Basic T2'!O22</f>
        <v>0.23561823240535107</v>
      </c>
      <c r="D22" s="69">
        <f>'Basic T2'!Z22</f>
        <v>0.70543092945908403</v>
      </c>
      <c r="E22" s="69">
        <f>'Basic T2'!AK22</f>
        <v>0.27831850051160739</v>
      </c>
      <c r="F22" s="69">
        <f>'Basic T2'!AV22</f>
        <v>1.1431989310028869</v>
      </c>
      <c r="G22" s="69">
        <f>'Basic T2'!BG22</f>
        <v>10.380191958519889</v>
      </c>
      <c r="H22" s="69">
        <f>'Basic T2'!BR22</f>
        <v>4.7895197567496277</v>
      </c>
      <c r="I22" s="69">
        <f>'Basic T2'!CC22</f>
        <v>1.6444347789505251</v>
      </c>
      <c r="J22" s="69">
        <f>'Basic T2'!CN22</f>
        <v>0.6250290967893728</v>
      </c>
      <c r="K22" s="309">
        <f t="shared" si="12"/>
        <v>19.815366010453925</v>
      </c>
      <c r="L22" s="97"/>
      <c r="M22" s="97">
        <f t="shared" si="0"/>
        <v>0.21906342872705445</v>
      </c>
      <c r="N22" s="97">
        <f t="shared" si="1"/>
        <v>0.58922617924933329</v>
      </c>
      <c r="O22" s="97">
        <f t="shared" si="2"/>
        <v>0.85247869010675503</v>
      </c>
      <c r="P22" s="97">
        <f t="shared" si="3"/>
        <v>1.0988757735055736</v>
      </c>
      <c r="Q22" s="97">
        <f t="shared" si="4"/>
        <v>5.072542711985081</v>
      </c>
      <c r="R22" s="97">
        <f t="shared" si="5"/>
        <v>8.5187850875090003</v>
      </c>
      <c r="S22" s="97">
        <f t="shared" si="6"/>
        <v>4.4161185887973895</v>
      </c>
      <c r="T22" s="97">
        <f t="shared" si="7"/>
        <v>3.1366623087725443</v>
      </c>
      <c r="U22" s="97">
        <f t="shared" si="8"/>
        <v>3.2265038940841873</v>
      </c>
      <c r="V22" s="97">
        <f t="shared" si="9"/>
        <v>4.1374588162793247</v>
      </c>
      <c r="W22" s="97"/>
      <c r="X22" s="97">
        <f t="shared" si="10"/>
        <v>6.8753845164373939E-2</v>
      </c>
      <c r="Y22" s="97">
        <f t="shared" si="11"/>
        <v>1.1890682830740888</v>
      </c>
      <c r="Z22" s="97">
        <f t="shared" si="11"/>
        <v>3.5600196791062162</v>
      </c>
      <c r="AA22" s="97">
        <f t="shared" si="11"/>
        <v>1.4045589688566733</v>
      </c>
      <c r="AB22" s="97">
        <f t="shared" si="11"/>
        <v>5.7692546804322129</v>
      </c>
      <c r="AC22" s="97">
        <f t="shared" si="11"/>
        <v>52.384558292002517</v>
      </c>
      <c r="AD22" s="97">
        <f t="shared" si="11"/>
        <v>24.170735752359242</v>
      </c>
      <c r="AE22" s="97">
        <f t="shared" si="11"/>
        <v>8.2987857912035352</v>
      </c>
      <c r="AF22" s="97">
        <f t="shared" si="11"/>
        <v>3.1542647078011492</v>
      </c>
      <c r="AG22" s="97">
        <f t="shared" si="11"/>
        <v>100</v>
      </c>
    </row>
    <row r="23" spans="1:33" x14ac:dyDescent="0.2">
      <c r="A23" s="10" t="str">
        <f>name!D19</f>
        <v>53 Skilled construction and building trades</v>
      </c>
      <c r="B23" s="69">
        <f>'Basic T2'!D23</f>
        <v>2.6085805616357575E-3</v>
      </c>
      <c r="C23" s="69">
        <f>'Basic T2'!O23</f>
        <v>9.8620553650703061E-2</v>
      </c>
      <c r="D23" s="69">
        <f>'Basic T2'!Z23</f>
        <v>0.32705169416069735</v>
      </c>
      <c r="E23" s="69">
        <f>'Basic T2'!AK23</f>
        <v>0.2494820599534138</v>
      </c>
      <c r="F23" s="69">
        <f>'Basic T2'!AV23</f>
        <v>0.36548720675783841</v>
      </c>
      <c r="G23" s="69">
        <f>'Basic T2'!BG23</f>
        <v>6.8205459765480834</v>
      </c>
      <c r="H23" s="69">
        <f>'Basic T2'!BR23</f>
        <v>5.5519255494629105</v>
      </c>
      <c r="I23" s="69">
        <f>'Basic T2'!CC23</f>
        <v>1.7546091812086089</v>
      </c>
      <c r="J23" s="69">
        <f>'Basic T2'!CN23</f>
        <v>0.91736049705249578</v>
      </c>
      <c r="K23" s="309">
        <f t="shared" si="12"/>
        <v>16.08769129935639</v>
      </c>
      <c r="L23" s="97"/>
      <c r="M23" s="97">
        <f t="shared" si="0"/>
        <v>4.1944502167885298E-2</v>
      </c>
      <c r="N23" s="97">
        <f t="shared" si="1"/>
        <v>0.24662697546719198</v>
      </c>
      <c r="O23" s="97">
        <f t="shared" si="2"/>
        <v>0.39522593664710787</v>
      </c>
      <c r="P23" s="97">
        <f t="shared" si="3"/>
        <v>0.98502180452656596</v>
      </c>
      <c r="Q23" s="97">
        <f t="shared" si="4"/>
        <v>1.6217207842705514</v>
      </c>
      <c r="R23" s="97">
        <f t="shared" si="5"/>
        <v>5.5974654019762653</v>
      </c>
      <c r="S23" s="97">
        <f t="shared" si="6"/>
        <v>5.1190856010251125</v>
      </c>
      <c r="T23" s="97">
        <f t="shared" si="7"/>
        <v>3.3468134800917397</v>
      </c>
      <c r="U23" s="97">
        <f t="shared" si="8"/>
        <v>4.7355670819535023</v>
      </c>
      <c r="V23" s="97">
        <f t="shared" si="9"/>
        <v>3.3591183814109873</v>
      </c>
      <c r="W23" s="97"/>
      <c r="X23" s="97">
        <f t="shared" si="10"/>
        <v>1.6214760173450853E-2</v>
      </c>
      <c r="Y23" s="97">
        <f t="shared" si="11"/>
        <v>0.61301868500328893</v>
      </c>
      <c r="Z23" s="97">
        <f t="shared" si="11"/>
        <v>2.0329311899077869</v>
      </c>
      <c r="AA23" s="97">
        <f t="shared" si="11"/>
        <v>1.550763595043589</v>
      </c>
      <c r="AB23" s="97">
        <f t="shared" si="11"/>
        <v>2.2718437341749604</v>
      </c>
      <c r="AC23" s="97">
        <f t="shared" si="11"/>
        <v>42.396052047697786</v>
      </c>
      <c r="AD23" s="97">
        <f t="shared" si="11"/>
        <v>34.510393356969885</v>
      </c>
      <c r="AE23" s="97">
        <f t="shared" si="11"/>
        <v>10.906531885521725</v>
      </c>
      <c r="AF23" s="97">
        <f t="shared" si="11"/>
        <v>5.7022507455075058</v>
      </c>
      <c r="AG23" s="97">
        <f t="shared" si="11"/>
        <v>100</v>
      </c>
    </row>
    <row r="24" spans="1:33" x14ac:dyDescent="0.2">
      <c r="A24" s="10" t="str">
        <f>name!D20</f>
        <v>54 Textiles, printing and other skilled trades</v>
      </c>
      <c r="B24" s="69">
        <f>'Basic T2'!D24</f>
        <v>1.8983834268354753E-2</v>
      </c>
      <c r="C24" s="69">
        <f>'Basic T2'!O24</f>
        <v>0.22185059896219969</v>
      </c>
      <c r="D24" s="69">
        <f>'Basic T2'!Z24</f>
        <v>0.63922009736794516</v>
      </c>
      <c r="E24" s="69">
        <f>'Basic T2'!AK24</f>
        <v>0.30933294566510278</v>
      </c>
      <c r="F24" s="69">
        <f>'Basic T2'!AV24</f>
        <v>0.26271153546926618</v>
      </c>
      <c r="G24" s="69">
        <f>'Basic T2'!BG24</f>
        <v>2.4049342472892548</v>
      </c>
      <c r="H24" s="69">
        <f>'Basic T2'!BR24</f>
        <v>2.4364927620676102</v>
      </c>
      <c r="I24" s="69">
        <f>'Basic T2'!CC24</f>
        <v>1.41321697811991</v>
      </c>
      <c r="J24" s="69">
        <f>'Basic T2'!CN24</f>
        <v>0.72214587838580624</v>
      </c>
      <c r="K24" s="309">
        <f t="shared" si="12"/>
        <v>8.4288888775954494</v>
      </c>
      <c r="L24" s="97"/>
      <c r="M24" s="97">
        <f t="shared" si="0"/>
        <v>0.30524933342463739</v>
      </c>
      <c r="N24" s="97">
        <f t="shared" si="1"/>
        <v>0.55479654293384928</v>
      </c>
      <c r="O24" s="97">
        <f t="shared" si="2"/>
        <v>0.772466145923</v>
      </c>
      <c r="P24" s="97">
        <f t="shared" si="3"/>
        <v>1.2213290863297137</v>
      </c>
      <c r="Q24" s="97">
        <f t="shared" si="4"/>
        <v>1.1656899323987131</v>
      </c>
      <c r="R24" s="97">
        <f t="shared" si="5"/>
        <v>1.9736742908142373</v>
      </c>
      <c r="S24" s="97">
        <f t="shared" si="6"/>
        <v>2.246538593535139</v>
      </c>
      <c r="T24" s="97">
        <f t="shared" si="7"/>
        <v>2.6956279970040216</v>
      </c>
      <c r="U24" s="97">
        <f t="shared" si="8"/>
        <v>3.727836833000806</v>
      </c>
      <c r="V24" s="97">
        <f t="shared" si="9"/>
        <v>1.759956418652453</v>
      </c>
      <c r="W24" s="97"/>
      <c r="X24" s="97">
        <f t="shared" si="10"/>
        <v>0.22522344930676513</v>
      </c>
      <c r="Y24" s="97">
        <f t="shared" ref="Y24:AG32" si="13">IF($K24&gt;0,C24/$K24*100,0)</f>
        <v>2.6320266192130428</v>
      </c>
      <c r="Z24" s="97">
        <f t="shared" si="13"/>
        <v>7.5836816293430438</v>
      </c>
      <c r="AA24" s="97">
        <f t="shared" si="13"/>
        <v>3.669913676135065</v>
      </c>
      <c r="AB24" s="97">
        <f t="shared" si="13"/>
        <v>3.1167991331285791</v>
      </c>
      <c r="AC24" s="97">
        <f t="shared" si="13"/>
        <v>28.532043573165744</v>
      </c>
      <c r="AD24" s="97">
        <f t="shared" si="13"/>
        <v>28.906452528327559</v>
      </c>
      <c r="AE24" s="97">
        <f t="shared" si="13"/>
        <v>16.766349617875914</v>
      </c>
      <c r="AF24" s="97">
        <f t="shared" si="13"/>
        <v>8.5675097735042911</v>
      </c>
      <c r="AG24" s="97">
        <f t="shared" si="13"/>
        <v>100</v>
      </c>
    </row>
    <row r="25" spans="1:33" x14ac:dyDescent="0.2">
      <c r="A25" s="10" t="str">
        <f>name!D21</f>
        <v>61 Caring personal service occupations</v>
      </c>
      <c r="B25" s="69">
        <f>'Basic T2'!D25</f>
        <v>1.6867160197326356E-2</v>
      </c>
      <c r="C25" s="69">
        <f>'Basic T2'!O25</f>
        <v>0.96517430013710093</v>
      </c>
      <c r="D25" s="69">
        <f>'Basic T2'!Z25</f>
        <v>3.6181946252889881</v>
      </c>
      <c r="E25" s="69">
        <f>'Basic T2'!AK25</f>
        <v>2.9435451276554838</v>
      </c>
      <c r="F25" s="69">
        <f>'Basic T2'!AV25</f>
        <v>1.6228292933725634</v>
      </c>
      <c r="G25" s="69">
        <f>'Basic T2'!BG25</f>
        <v>12.347220709712236</v>
      </c>
      <c r="H25" s="69">
        <f>'Basic T2'!BR25</f>
        <v>8.4657852009768213</v>
      </c>
      <c r="I25" s="69">
        <f>'Basic T2'!CC25</f>
        <v>1.2457354572102439</v>
      </c>
      <c r="J25" s="69">
        <f>'Basic T2'!CN25</f>
        <v>0.38482804697592632</v>
      </c>
      <c r="K25" s="309">
        <f t="shared" si="12"/>
        <v>31.61017992152669</v>
      </c>
      <c r="L25" s="97"/>
      <c r="M25" s="97">
        <f t="shared" si="0"/>
        <v>0.27121440980882838</v>
      </c>
      <c r="N25" s="97">
        <f t="shared" si="1"/>
        <v>2.4136755435846204</v>
      </c>
      <c r="O25" s="97">
        <f t="shared" si="2"/>
        <v>4.3724108001371089</v>
      </c>
      <c r="P25" s="97">
        <f t="shared" si="3"/>
        <v>11.621902327926929</v>
      </c>
      <c r="Q25" s="97">
        <f t="shared" si="4"/>
        <v>7.2007335570821214</v>
      </c>
      <c r="R25" s="97">
        <f t="shared" si="5"/>
        <v>10.133080397202692</v>
      </c>
      <c r="S25" s="97">
        <f t="shared" si="6"/>
        <v>7.8057745439119461</v>
      </c>
      <c r="T25" s="97">
        <f t="shared" si="7"/>
        <v>2.3761668783401868</v>
      </c>
      <c r="U25" s="97">
        <f t="shared" si="8"/>
        <v>1.9865462240057272</v>
      </c>
      <c r="V25" s="97">
        <f t="shared" si="9"/>
        <v>6.6002221473728042</v>
      </c>
      <c r="W25" s="97"/>
      <c r="X25" s="97">
        <f t="shared" si="10"/>
        <v>5.3359899371656971E-2</v>
      </c>
      <c r="Y25" s="97">
        <f t="shared" si="13"/>
        <v>3.0533654111845547</v>
      </c>
      <c r="Z25" s="97">
        <f t="shared" si="13"/>
        <v>11.446295573993174</v>
      </c>
      <c r="AA25" s="97">
        <f t="shared" si="13"/>
        <v>9.3120163661293009</v>
      </c>
      <c r="AB25" s="97">
        <f t="shared" si="13"/>
        <v>5.1338818614803534</v>
      </c>
      <c r="AC25" s="97">
        <f t="shared" si="13"/>
        <v>39.060899812543354</v>
      </c>
      <c r="AD25" s="97">
        <f t="shared" si="13"/>
        <v>26.781831745321956</v>
      </c>
      <c r="AE25" s="97">
        <f t="shared" si="13"/>
        <v>3.9409312452596699</v>
      </c>
      <c r="AF25" s="97">
        <f t="shared" si="13"/>
        <v>1.2174180847159826</v>
      </c>
      <c r="AG25" s="97">
        <f t="shared" si="13"/>
        <v>100</v>
      </c>
    </row>
    <row r="26" spans="1:33" x14ac:dyDescent="0.2">
      <c r="A26" s="10" t="str">
        <f>name!D22</f>
        <v>62 Leisure, travel and related personal service occupations</v>
      </c>
      <c r="B26" s="69">
        <f>'Basic T2'!D26</f>
        <v>1.2414943327238409E-2</v>
      </c>
      <c r="C26" s="69">
        <f>'Basic T2'!O26</f>
        <v>0.19568076357685518</v>
      </c>
      <c r="D26" s="69">
        <f>'Basic T2'!Z26</f>
        <v>0.99405826061593106</v>
      </c>
      <c r="E26" s="69">
        <f>'Basic T2'!AK26</f>
        <v>0.65927021827716725</v>
      </c>
      <c r="F26" s="69">
        <f>'Basic T2'!AV26</f>
        <v>0.86686385207471839</v>
      </c>
      <c r="G26" s="69">
        <f>'Basic T2'!BG26</f>
        <v>2.8843011023289353</v>
      </c>
      <c r="H26" s="69">
        <f>'Basic T2'!BR26</f>
        <v>2.8451374314048974</v>
      </c>
      <c r="I26" s="69">
        <f>'Basic T2'!CC26</f>
        <v>1.5770960339757798</v>
      </c>
      <c r="J26" s="69">
        <f>'Basic T2'!CN26</f>
        <v>0.55529456629512897</v>
      </c>
      <c r="K26" s="309">
        <f t="shared" si="12"/>
        <v>10.590117171876653</v>
      </c>
      <c r="L26" s="97"/>
      <c r="M26" s="97">
        <f t="shared" si="0"/>
        <v>0.19962527704223404</v>
      </c>
      <c r="N26" s="97">
        <f t="shared" si="1"/>
        <v>0.48935189564033044</v>
      </c>
      <c r="O26" s="97">
        <f t="shared" si="2"/>
        <v>1.2012706680574023</v>
      </c>
      <c r="P26" s="97">
        <f t="shared" si="3"/>
        <v>2.6029749000760258</v>
      </c>
      <c r="Q26" s="97">
        <f t="shared" si="4"/>
        <v>3.8464031026231096</v>
      </c>
      <c r="R26" s="97">
        <f t="shared" si="5"/>
        <v>2.3670796567724599</v>
      </c>
      <c r="S26" s="97">
        <f t="shared" si="6"/>
        <v>2.623324453522498</v>
      </c>
      <c r="T26" s="97">
        <f t="shared" si="7"/>
        <v>3.0082176261460125</v>
      </c>
      <c r="U26" s="97">
        <f t="shared" si="8"/>
        <v>2.866522678253475</v>
      </c>
      <c r="V26" s="97">
        <f t="shared" si="9"/>
        <v>2.211222020077559</v>
      </c>
      <c r="W26" s="97"/>
      <c r="X26" s="97">
        <f t="shared" si="10"/>
        <v>0.11723140665721628</v>
      </c>
      <c r="Y26" s="97">
        <f t="shared" si="13"/>
        <v>1.8477676913387635</v>
      </c>
      <c r="Z26" s="97">
        <f t="shared" si="13"/>
        <v>9.3866596986837294</v>
      </c>
      <c r="AA26" s="97">
        <f t="shared" si="13"/>
        <v>6.2253345036440173</v>
      </c>
      <c r="AB26" s="97">
        <f t="shared" si="13"/>
        <v>8.185592642702586</v>
      </c>
      <c r="AC26" s="97">
        <f t="shared" si="13"/>
        <v>27.235780827699891</v>
      </c>
      <c r="AD26" s="97">
        <f t="shared" si="13"/>
        <v>26.865967441422711</v>
      </c>
      <c r="AE26" s="97">
        <f t="shared" si="13"/>
        <v>14.892149051607765</v>
      </c>
      <c r="AF26" s="97">
        <f t="shared" si="13"/>
        <v>5.2435167362433095</v>
      </c>
      <c r="AG26" s="97">
        <f t="shared" si="13"/>
        <v>100</v>
      </c>
    </row>
    <row r="27" spans="1:33" x14ac:dyDescent="0.2">
      <c r="A27" s="10" t="str">
        <f>name!D23</f>
        <v>63 Community and civil enforcement occupations</v>
      </c>
      <c r="B27" s="69">
        <f>'Basic T2'!D27</f>
        <v>9.9632809535825611E-4</v>
      </c>
      <c r="C27" s="69">
        <f>'Basic T2'!O27</f>
        <v>1.7880874970720835E-2</v>
      </c>
      <c r="D27" s="69">
        <f>'Basic T2'!Z27</f>
        <v>9.7279137808341715E-2</v>
      </c>
      <c r="E27" s="69">
        <f>'Basic T2'!AK27</f>
        <v>2.8075962379289811E-2</v>
      </c>
      <c r="F27" s="69">
        <f>'Basic T2'!AV27</f>
        <v>2.4531096713598578E-2</v>
      </c>
      <c r="G27" s="69">
        <f>'Basic T2'!BG27</f>
        <v>0.13691433956394289</v>
      </c>
      <c r="H27" s="69">
        <f>'Basic T2'!BR27</f>
        <v>0.1860519429334889</v>
      </c>
      <c r="I27" s="69">
        <f>'Basic T2'!CC27</f>
        <v>0.1167202365727041</v>
      </c>
      <c r="J27" s="69">
        <f>'Basic T2'!CN27</f>
        <v>3.3374728564537125E-2</v>
      </c>
      <c r="K27" s="309">
        <f t="shared" si="12"/>
        <v>0.64182464760198232</v>
      </c>
      <c r="L27" s="97"/>
      <c r="M27" s="97">
        <f t="shared" si="0"/>
        <v>1.602039307134679E-2</v>
      </c>
      <c r="N27" s="97">
        <f t="shared" si="1"/>
        <v>4.4715892879237107E-2</v>
      </c>
      <c r="O27" s="97">
        <f t="shared" si="2"/>
        <v>0.117557068325822</v>
      </c>
      <c r="P27" s="97">
        <f t="shared" si="3"/>
        <v>0.11085139801968998</v>
      </c>
      <c r="Q27" s="97">
        <f t="shared" si="4"/>
        <v>0.10884810375251427</v>
      </c>
      <c r="R27" s="97">
        <f t="shared" si="5"/>
        <v>0.1123624532960727</v>
      </c>
      <c r="S27" s="97">
        <f t="shared" si="6"/>
        <v>0.17154693693716858</v>
      </c>
      <c r="T27" s="97">
        <f t="shared" si="7"/>
        <v>0.22263696402861746</v>
      </c>
      <c r="U27" s="97">
        <f t="shared" si="8"/>
        <v>0.17228588593815478</v>
      </c>
      <c r="V27" s="97">
        <f t="shared" si="9"/>
        <v>0.13401332306076141</v>
      </c>
      <c r="W27" s="97"/>
      <c r="X27" s="97">
        <f t="shared" si="10"/>
        <v>0.15523369180052332</v>
      </c>
      <c r="Y27" s="97">
        <f t="shared" si="13"/>
        <v>2.7859439548680878</v>
      </c>
      <c r="Z27" s="97">
        <f t="shared" si="13"/>
        <v>15.1566534834399</v>
      </c>
      <c r="AA27" s="97">
        <f t="shared" si="13"/>
        <v>4.3743976620699501</v>
      </c>
      <c r="AB27" s="97">
        <f t="shared" si="13"/>
        <v>3.8220870459327019</v>
      </c>
      <c r="AC27" s="97">
        <f t="shared" si="13"/>
        <v>21.332047635672634</v>
      </c>
      <c r="AD27" s="97">
        <f t="shared" si="13"/>
        <v>28.987971033618848</v>
      </c>
      <c r="AE27" s="97">
        <f t="shared" si="13"/>
        <v>18.185689348142073</v>
      </c>
      <c r="AF27" s="97">
        <f t="shared" si="13"/>
        <v>5.1999761444552606</v>
      </c>
      <c r="AG27" s="97">
        <f t="shared" si="13"/>
        <v>100</v>
      </c>
    </row>
    <row r="28" spans="1:33" x14ac:dyDescent="0.2">
      <c r="A28" s="10" t="str">
        <f>name!D24</f>
        <v>71 Sales occupations</v>
      </c>
      <c r="B28" s="69">
        <f>'Basic T2'!D28</f>
        <v>5.898375976087826E-2</v>
      </c>
      <c r="C28" s="69">
        <f>'Basic T2'!O28</f>
        <v>0.97503897091314462</v>
      </c>
      <c r="D28" s="69">
        <f>'Basic T2'!Z28</f>
        <v>4.7004423392025352</v>
      </c>
      <c r="E28" s="69">
        <f>'Basic T2'!AK28</f>
        <v>1.7902596493911516</v>
      </c>
      <c r="F28" s="69">
        <f>'Basic T2'!AV28</f>
        <v>1.2579159373850879</v>
      </c>
      <c r="G28" s="69">
        <f>'Basic T2'!BG28</f>
        <v>12.804985410345585</v>
      </c>
      <c r="H28" s="69">
        <f>'Basic T2'!BR28</f>
        <v>11.992911840563142</v>
      </c>
      <c r="I28" s="69">
        <f>'Basic T2'!CC28</f>
        <v>6.6139820606109803</v>
      </c>
      <c r="J28" s="69">
        <f>'Basic T2'!CN28</f>
        <v>2.4835491454295355</v>
      </c>
      <c r="K28" s="309">
        <f t="shared" si="12"/>
        <v>42.678069113602035</v>
      </c>
      <c r="L28" s="97"/>
      <c r="M28" s="97">
        <f t="shared" si="0"/>
        <v>0.94842554435381898</v>
      </c>
      <c r="N28" s="97">
        <f t="shared" si="1"/>
        <v>2.4383447816634507</v>
      </c>
      <c r="O28" s="97">
        <f t="shared" si="2"/>
        <v>5.6802540984675121</v>
      </c>
      <c r="P28" s="97">
        <f t="shared" si="3"/>
        <v>7.0684232395053197</v>
      </c>
      <c r="Q28" s="97">
        <f t="shared" si="4"/>
        <v>5.5815590335401533</v>
      </c>
      <c r="R28" s="97">
        <f t="shared" si="5"/>
        <v>10.508757371282412</v>
      </c>
      <c r="S28" s="97">
        <f t="shared" si="6"/>
        <v>11.057918873449132</v>
      </c>
      <c r="T28" s="97">
        <f t="shared" si="7"/>
        <v>12.615780513749636</v>
      </c>
      <c r="U28" s="97">
        <f t="shared" si="8"/>
        <v>12.820492725922161</v>
      </c>
      <c r="V28" s="97">
        <f t="shared" si="9"/>
        <v>8.9112032158625798</v>
      </c>
      <c r="W28" s="97"/>
      <c r="X28" s="97">
        <f t="shared" si="10"/>
        <v>0.13820625203045889</v>
      </c>
      <c r="Y28" s="97">
        <f t="shared" si="13"/>
        <v>2.2846370305970276</v>
      </c>
      <c r="Z28" s="97">
        <f t="shared" si="13"/>
        <v>11.013718372990883</v>
      </c>
      <c r="AA28" s="97">
        <f t="shared" si="13"/>
        <v>4.1948000145596405</v>
      </c>
      <c r="AB28" s="97">
        <f t="shared" si="13"/>
        <v>2.947452786668304</v>
      </c>
      <c r="AC28" s="97">
        <f t="shared" si="13"/>
        <v>30.003666230214893</v>
      </c>
      <c r="AD28" s="97">
        <f t="shared" si="13"/>
        <v>28.100877311576522</v>
      </c>
      <c r="AE28" s="97">
        <f t="shared" si="13"/>
        <v>15.497378859867448</v>
      </c>
      <c r="AF28" s="97">
        <f t="shared" si="13"/>
        <v>5.8192631414948366</v>
      </c>
      <c r="AG28" s="97">
        <f t="shared" si="13"/>
        <v>100</v>
      </c>
    </row>
    <row r="29" spans="1:33" x14ac:dyDescent="0.2">
      <c r="A29" s="10" t="str">
        <f>name!D25</f>
        <v>72 Customer service occupations</v>
      </c>
      <c r="B29" s="69">
        <f>'Basic T2'!D29</f>
        <v>2.5869154007025465E-2</v>
      </c>
      <c r="C29" s="69">
        <f>'Basic T2'!O29</f>
        <v>0.27400929020948533</v>
      </c>
      <c r="D29" s="69">
        <f>'Basic T2'!Z29</f>
        <v>1.3219900765935759</v>
      </c>
      <c r="E29" s="69">
        <f>'Basic T2'!AK29</f>
        <v>0.42107680067773956</v>
      </c>
      <c r="F29" s="69">
        <f>'Basic T2'!AV29</f>
        <v>0.52592571926905585</v>
      </c>
      <c r="G29" s="69">
        <f>'Basic T2'!BG29</f>
        <v>2.5038406203927721</v>
      </c>
      <c r="H29" s="69">
        <f>'Basic T2'!BR29</f>
        <v>2.5410728347510725</v>
      </c>
      <c r="I29" s="69">
        <f>'Basic T2'!CC29</f>
        <v>0.93312535828609322</v>
      </c>
      <c r="J29" s="69">
        <f>'Basic T2'!CN29</f>
        <v>0.34328225535001733</v>
      </c>
      <c r="K29" s="309">
        <f t="shared" si="12"/>
        <v>8.8901921095368373</v>
      </c>
      <c r="L29" s="97"/>
      <c r="M29" s="97">
        <f t="shared" si="0"/>
        <v>0.41596138616038236</v>
      </c>
      <c r="N29" s="97">
        <f t="shared" si="1"/>
        <v>0.68523324999398505</v>
      </c>
      <c r="O29" s="97">
        <f t="shared" si="2"/>
        <v>1.5975601887668383</v>
      </c>
      <c r="P29" s="97">
        <f t="shared" si="3"/>
        <v>1.6625236705409232</v>
      </c>
      <c r="Q29" s="97">
        <f t="shared" si="4"/>
        <v>2.3336101897710964</v>
      </c>
      <c r="R29" s="97">
        <f t="shared" si="5"/>
        <v>2.0548444791518703</v>
      </c>
      <c r="S29" s="97">
        <f t="shared" si="6"/>
        <v>2.3429653808647819</v>
      </c>
      <c r="T29" s="97">
        <f t="shared" si="7"/>
        <v>1.7798815606197564</v>
      </c>
      <c r="U29" s="97">
        <f t="shared" si="8"/>
        <v>1.7720799549114135</v>
      </c>
      <c r="V29" s="97">
        <f t="shared" si="9"/>
        <v>1.856276775438551</v>
      </c>
      <c r="W29" s="97"/>
      <c r="X29" s="97">
        <f>IF($K29&gt;0,B29/$K29*100,0)</f>
        <v>0.29098532054526322</v>
      </c>
      <c r="Y29" s="97">
        <f t="shared" si="13"/>
        <v>3.0821526332996276</v>
      </c>
      <c r="Z29" s="97">
        <f t="shared" si="13"/>
        <v>14.870208205910739</v>
      </c>
      <c r="AA29" s="97">
        <f t="shared" si="13"/>
        <v>4.7364195901462569</v>
      </c>
      <c r="AB29" s="97">
        <f t="shared" si="13"/>
        <v>5.9157970130350268</v>
      </c>
      <c r="AC29" s="97">
        <f t="shared" si="13"/>
        <v>28.164077778553398</v>
      </c>
      <c r="AD29" s="97">
        <f t="shared" si="13"/>
        <v>28.582878788695353</v>
      </c>
      <c r="AE29" s="97">
        <f t="shared" si="13"/>
        <v>10.496121419975786</v>
      </c>
      <c r="AF29" s="97">
        <f t="shared" si="13"/>
        <v>3.8613592498385474</v>
      </c>
      <c r="AG29" s="97">
        <f t="shared" si="13"/>
        <v>100</v>
      </c>
    </row>
    <row r="30" spans="1:33" x14ac:dyDescent="0.2">
      <c r="A30" s="10" t="str">
        <f>name!D26</f>
        <v>81 Process, plant and machine operatives</v>
      </c>
      <c r="B30" s="69">
        <f>'Basic T2'!D30</f>
        <v>2.4517581372656926E-2</v>
      </c>
      <c r="C30" s="69">
        <f>'Basic T2'!O30</f>
        <v>0.14724128574310238</v>
      </c>
      <c r="D30" s="69">
        <f>'Basic T2'!Z30</f>
        <v>0.44292366096436947</v>
      </c>
      <c r="E30" s="69">
        <f>'Basic T2'!AK30</f>
        <v>0.25770351501181221</v>
      </c>
      <c r="F30" s="69">
        <f>'Basic T2'!AV30</f>
        <v>0.42789478139802806</v>
      </c>
      <c r="G30" s="69">
        <f>'Basic T2'!BG30</f>
        <v>5.3489131740203817</v>
      </c>
      <c r="H30" s="69">
        <f>'Basic T2'!BR30</f>
        <v>5.4475157537852361</v>
      </c>
      <c r="I30" s="69">
        <f>'Basic T2'!CC30</f>
        <v>2.9118356364058884</v>
      </c>
      <c r="J30" s="69">
        <f>'Basic T2'!CN30</f>
        <v>1.4847258444894542</v>
      </c>
      <c r="K30" s="309">
        <f t="shared" si="12"/>
        <v>16.493271233190928</v>
      </c>
      <c r="L30" s="97"/>
      <c r="M30" s="97">
        <f t="shared" si="0"/>
        <v>0.39422886153527492</v>
      </c>
      <c r="N30" s="97">
        <f t="shared" si="1"/>
        <v>0.36821607284155655</v>
      </c>
      <c r="O30" s="97">
        <f t="shared" si="2"/>
        <v>0.53525152718455404</v>
      </c>
      <c r="P30" s="97">
        <f t="shared" si="3"/>
        <v>1.0174823048886756</v>
      </c>
      <c r="Q30" s="97">
        <f t="shared" si="4"/>
        <v>1.8986324217193793</v>
      </c>
      <c r="R30" s="97">
        <f t="shared" si="5"/>
        <v>4.3897301671598905</v>
      </c>
      <c r="S30" s="97">
        <f t="shared" si="6"/>
        <v>5.0228158155429821</v>
      </c>
      <c r="T30" s="97">
        <f t="shared" si="7"/>
        <v>5.5541546596843503</v>
      </c>
      <c r="U30" s="97">
        <f t="shared" si="8"/>
        <v>7.664401135083458</v>
      </c>
      <c r="V30" s="97">
        <f t="shared" si="9"/>
        <v>3.4438036843251196</v>
      </c>
      <c r="W30" s="97"/>
      <c r="X30" s="97">
        <f t="shared" si="10"/>
        <v>0.14865202315546683</v>
      </c>
      <c r="Y30" s="97">
        <f t="shared" si="13"/>
        <v>0.89273548989357054</v>
      </c>
      <c r="Z30" s="97">
        <f t="shared" si="13"/>
        <v>2.685480974041301</v>
      </c>
      <c r="AA30" s="97">
        <f t="shared" si="13"/>
        <v>1.5624766692323091</v>
      </c>
      <c r="AB30" s="97">
        <f t="shared" si="13"/>
        <v>2.5943596958312063</v>
      </c>
      <c r="AC30" s="97">
        <f t="shared" si="13"/>
        <v>32.430881044727329</v>
      </c>
      <c r="AD30" s="97">
        <f t="shared" si="13"/>
        <v>33.028716236853597</v>
      </c>
      <c r="AE30" s="97">
        <f t="shared" si="13"/>
        <v>17.654688358887434</v>
      </c>
      <c r="AF30" s="97">
        <f t="shared" si="13"/>
        <v>9.0020095073777959</v>
      </c>
      <c r="AG30" s="97">
        <f t="shared" si="13"/>
        <v>100</v>
      </c>
    </row>
    <row r="31" spans="1:33" x14ac:dyDescent="0.2">
      <c r="A31" s="10" t="str">
        <f>name!D27</f>
        <v>82 Transport and mobile machine drivers and operatives</v>
      </c>
      <c r="B31" s="69">
        <f>'Basic T2'!D31</f>
        <v>3.2986668932418993E-2</v>
      </c>
      <c r="C31" s="69">
        <f>'Basic T2'!O31</f>
        <v>0.18229329226058982</v>
      </c>
      <c r="D31" s="69">
        <f>'Basic T2'!Z31</f>
        <v>0.68886090161697688</v>
      </c>
      <c r="E31" s="69">
        <f>'Basic T2'!AK31</f>
        <v>0.33282471072547487</v>
      </c>
      <c r="F31" s="69">
        <f>'Basic T2'!AV31</f>
        <v>0.52105456782129933</v>
      </c>
      <c r="G31" s="69">
        <f>'Basic T2'!BG31</f>
        <v>4.9673138457962898</v>
      </c>
      <c r="H31" s="69">
        <f>'Basic T2'!BR31</f>
        <v>6.6277424921039731</v>
      </c>
      <c r="I31" s="69">
        <f>'Basic T2'!CC31</f>
        <v>3.7633327886879875</v>
      </c>
      <c r="J31" s="69">
        <f>'Basic T2'!CN31</f>
        <v>1.9695101886441775</v>
      </c>
      <c r="K31" s="309">
        <f t="shared" si="12"/>
        <v>19.085919456589188</v>
      </c>
      <c r="L31" s="97"/>
      <c r="M31" s="97">
        <f t="shared" si="0"/>
        <v>0.53040700636040383</v>
      </c>
      <c r="N31" s="97">
        <f t="shared" si="1"/>
        <v>0.45587295603126676</v>
      </c>
      <c r="O31" s="97">
        <f t="shared" si="2"/>
        <v>0.8324546239083771</v>
      </c>
      <c r="P31" s="97">
        <f t="shared" si="3"/>
        <v>1.3140808489839213</v>
      </c>
      <c r="Q31" s="97">
        <f t="shared" si="4"/>
        <v>2.3119961704563505</v>
      </c>
      <c r="R31" s="97">
        <f t="shared" si="5"/>
        <v>4.0765603645522734</v>
      </c>
      <c r="S31" s="97">
        <f t="shared" si="6"/>
        <v>6.1110295619713266</v>
      </c>
      <c r="T31" s="97">
        <f t="shared" si="7"/>
        <v>7.1783352339330611</v>
      </c>
      <c r="U31" s="97">
        <f t="shared" si="8"/>
        <v>10.166938348536364</v>
      </c>
      <c r="V31" s="97">
        <f t="shared" si="9"/>
        <v>3.985149993232604</v>
      </c>
      <c r="W31" s="97"/>
      <c r="X31" s="97">
        <f t="shared" si="10"/>
        <v>0.17283248526457937</v>
      </c>
      <c r="Y31" s="97">
        <f t="shared" si="13"/>
        <v>0.95511925781314788</v>
      </c>
      <c r="Z31" s="97">
        <f t="shared" si="13"/>
        <v>3.6092623317613119</v>
      </c>
      <c r="AA31" s="97">
        <f t="shared" si="13"/>
        <v>1.7438233011644144</v>
      </c>
      <c r="AB31" s="97">
        <f t="shared" si="13"/>
        <v>2.7300469804791687</v>
      </c>
      <c r="AC31" s="97">
        <f t="shared" si="13"/>
        <v>26.02606522098354</v>
      </c>
      <c r="AD31" s="97">
        <f t="shared" si="13"/>
        <v>34.725822390578223</v>
      </c>
      <c r="AE31" s="97">
        <f t="shared" si="13"/>
        <v>19.717849052269479</v>
      </c>
      <c r="AF31" s="97">
        <f t="shared" si="13"/>
        <v>10.319178979686134</v>
      </c>
      <c r="AG31" s="97">
        <f t="shared" si="13"/>
        <v>100</v>
      </c>
    </row>
    <row r="32" spans="1:33" x14ac:dyDescent="0.2">
      <c r="A32" s="10" t="str">
        <f>name!D28</f>
        <v>91 Elementary trades and related occupations</v>
      </c>
      <c r="B32" s="69">
        <f>'Basic T2'!D32</f>
        <v>2.7938314876907499E-4</v>
      </c>
      <c r="C32" s="69">
        <f>'Basic T2'!O32</f>
        <v>4.2784952835381009E-2</v>
      </c>
      <c r="D32" s="69">
        <f>'Basic T2'!Z32</f>
        <v>0.20566933447943417</v>
      </c>
      <c r="E32" s="69">
        <f>'Basic T2'!AK32</f>
        <v>0.14934108029291759</v>
      </c>
      <c r="F32" s="69">
        <f>'Basic T2'!AV32</f>
        <v>0.16091493039720267</v>
      </c>
      <c r="G32" s="69">
        <f>'Basic T2'!BG32</f>
        <v>1.2600979481020038</v>
      </c>
      <c r="H32" s="69">
        <f>'Basic T2'!BR32</f>
        <v>2.1490570019369923</v>
      </c>
      <c r="I32" s="69">
        <f>'Basic T2'!CC32</f>
        <v>1.8112783664148571</v>
      </c>
      <c r="J32" s="69">
        <f>'Basic T2'!CN32</f>
        <v>0.91523230898972074</v>
      </c>
      <c r="K32" s="309">
        <f t="shared" si="12"/>
        <v>6.6946553065972783</v>
      </c>
      <c r="L32" s="97"/>
      <c r="M32" s="97">
        <f t="shared" si="0"/>
        <v>4.4923232433606488E-3</v>
      </c>
      <c r="N32" s="97">
        <f t="shared" si="1"/>
        <v>0.10699517618476941</v>
      </c>
      <c r="O32" s="97">
        <f t="shared" si="2"/>
        <v>0.24854130649842088</v>
      </c>
      <c r="P32" s="97">
        <f t="shared" si="3"/>
        <v>0.58963847110908685</v>
      </c>
      <c r="Q32" s="97">
        <f t="shared" si="4"/>
        <v>0.71400334211286609</v>
      </c>
      <c r="R32" s="97">
        <f t="shared" si="5"/>
        <v>1.0341334391491035</v>
      </c>
      <c r="S32" s="97">
        <f t="shared" si="6"/>
        <v>1.9815119378648918</v>
      </c>
      <c r="T32" s="97">
        <f t="shared" si="7"/>
        <v>3.4549066070315209</v>
      </c>
      <c r="U32" s="97">
        <f t="shared" si="8"/>
        <v>4.7245810220929938</v>
      </c>
      <c r="V32" s="97">
        <f t="shared" si="9"/>
        <v>1.3978475394105303</v>
      </c>
      <c r="W32" s="97"/>
      <c r="X32" s="97">
        <f t="shared" si="10"/>
        <v>4.1732267902390074E-3</v>
      </c>
      <c r="Y32" s="97">
        <f t="shared" si="13"/>
        <v>0.63909119851500618</v>
      </c>
      <c r="Z32" s="97">
        <f t="shared" si="13"/>
        <v>3.0721422546842163</v>
      </c>
      <c r="AA32" s="97">
        <f t="shared" si="13"/>
        <v>2.2307508520378749</v>
      </c>
      <c r="AB32" s="97">
        <f t="shared" si="13"/>
        <v>2.4036327940383773</v>
      </c>
      <c r="AC32" s="97">
        <f t="shared" si="13"/>
        <v>18.822447017701339</v>
      </c>
      <c r="AD32" s="97">
        <f t="shared" si="13"/>
        <v>32.10108517191609</v>
      </c>
      <c r="AE32" s="97">
        <f t="shared" si="13"/>
        <v>27.055588129084473</v>
      </c>
      <c r="AF32" s="97">
        <f t="shared" si="13"/>
        <v>13.671089355232388</v>
      </c>
      <c r="AG32" s="97">
        <f t="shared" si="13"/>
        <v>100</v>
      </c>
    </row>
    <row r="33" spans="1:33" x14ac:dyDescent="0.2">
      <c r="A33" s="10" t="str">
        <f>name!D29</f>
        <v>92 Elementary administration and service occupations</v>
      </c>
      <c r="B33" s="69">
        <f>'Basic T2'!D33</f>
        <v>3.5064090640751826E-2</v>
      </c>
      <c r="C33" s="69">
        <f>'Basic T2'!O33</f>
        <v>0.8313320436739754</v>
      </c>
      <c r="D33" s="69">
        <f>'Basic T2'!Z33</f>
        <v>2.9819162142829074</v>
      </c>
      <c r="E33" s="69">
        <f>'Basic T2'!AK33</f>
        <v>1.5018720976809394</v>
      </c>
      <c r="F33" s="69">
        <f>'Basic T2'!AV33</f>
        <v>1.2818045656061297</v>
      </c>
      <c r="G33" s="69">
        <f>'Basic T2'!BG33</f>
        <v>9.5312698231434325</v>
      </c>
      <c r="H33" s="69">
        <f>'Basic T2'!BR33</f>
        <v>15.659190463330214</v>
      </c>
      <c r="I33" s="69">
        <f>'Basic T2'!CC33</f>
        <v>10.506256056874514</v>
      </c>
      <c r="J33" s="69">
        <f>'Basic T2'!CN33</f>
        <v>3.7745914037183552</v>
      </c>
      <c r="K33" s="309">
        <f t="shared" ref="K33" si="14">SUM(B33:J33)</f>
        <v>46.103296758951217</v>
      </c>
      <c r="L33" s="97"/>
      <c r="M33" s="97">
        <f t="shared" si="0"/>
        <v>0.56381077415285341</v>
      </c>
      <c r="N33" s="97">
        <f t="shared" si="1"/>
        <v>2.0789673141204319</v>
      </c>
      <c r="O33" s="97">
        <f t="shared" si="2"/>
        <v>3.6034995379479282</v>
      </c>
      <c r="P33" s="97">
        <f t="shared" si="3"/>
        <v>5.9297921626189254</v>
      </c>
      <c r="Q33" s="97">
        <f t="shared" si="4"/>
        <v>5.6875564095835882</v>
      </c>
      <c r="R33" s="97">
        <f t="shared" si="5"/>
        <v>7.8220941923694829</v>
      </c>
      <c r="S33" s="97">
        <f t="shared" si="6"/>
        <v>14.43836660098912</v>
      </c>
      <c r="T33" s="97">
        <f t="shared" si="7"/>
        <v>20.040063492784483</v>
      </c>
      <c r="U33" s="97">
        <f t="shared" si="8"/>
        <v>19.485067055651101</v>
      </c>
      <c r="V33" s="97">
        <f t="shared" si="9"/>
        <v>9.6263925447670839</v>
      </c>
      <c r="W33" s="97"/>
      <c r="X33" s="97">
        <f t="shared" ref="X33" si="15">IF($K33&gt;0,B33/$K33*100,0)</f>
        <v>7.6055495172249118E-2</v>
      </c>
      <c r="Y33" s="97">
        <f t="shared" ref="Y33" si="16">IF($K33&gt;0,C33/$K33*100,0)</f>
        <v>1.8031943529343539</v>
      </c>
      <c r="Z33" s="97">
        <f t="shared" ref="Z33" si="17">IF($K33&gt;0,D33/$K33*100,0)</f>
        <v>6.4679023495298127</v>
      </c>
      <c r="AA33" s="97">
        <f t="shared" ref="AA33" si="18">IF($K33&gt;0,E33/$K33*100,0)</f>
        <v>3.2576240817080881</v>
      </c>
      <c r="AB33" s="97">
        <f t="shared" ref="AB33" si="19">IF($K33&gt;0,F33/$K33*100,0)</f>
        <v>2.7802882997890168</v>
      </c>
      <c r="AC33" s="97">
        <f t="shared" ref="AC33" si="20">IF($K33&gt;0,G33/$K33*100,0)</f>
        <v>20.673727245531271</v>
      </c>
      <c r="AD33" s="97">
        <f t="shared" ref="AD33" si="21">IF($K33&gt;0,H33/$K33*100,0)</f>
        <v>33.965446213539799</v>
      </c>
      <c r="AE33" s="97">
        <f t="shared" ref="AE33" si="22">IF($K33&gt;0,I33/$K33*100,0)</f>
        <v>22.788513610655546</v>
      </c>
      <c r="AF33" s="97">
        <f>IF($K33&gt;0,J33/$K33*100,0)</f>
        <v>8.1872483511398713</v>
      </c>
      <c r="AG33" s="97">
        <f t="shared" ref="AG33" si="23">IF($K33&gt;0,K33/$K33*100,0)</f>
        <v>100</v>
      </c>
    </row>
    <row r="34" spans="1:33" x14ac:dyDescent="0.2">
      <c r="B34" s="309"/>
      <c r="C34" s="309"/>
      <c r="D34" s="309"/>
      <c r="E34" s="69"/>
      <c r="F34" s="69"/>
      <c r="G34" s="69"/>
      <c r="H34" s="69"/>
      <c r="I34" s="69"/>
      <c r="J34" s="69"/>
      <c r="K34" s="309"/>
      <c r="L34" s="97"/>
      <c r="M34" s="97"/>
      <c r="N34" s="97"/>
      <c r="O34" s="97"/>
      <c r="P34" s="97"/>
      <c r="Q34" s="97"/>
      <c r="R34" s="97"/>
      <c r="S34" s="97"/>
      <c r="T34" s="97"/>
      <c r="U34" s="97"/>
      <c r="V34" s="97"/>
      <c r="W34" s="97"/>
      <c r="X34" s="97"/>
      <c r="Y34" s="97"/>
      <c r="Z34" s="97"/>
      <c r="AA34" s="97"/>
      <c r="AB34" s="97"/>
      <c r="AC34" s="97"/>
      <c r="AD34" s="97"/>
      <c r="AE34" s="97"/>
      <c r="AF34" s="97"/>
      <c r="AG34" s="97"/>
    </row>
    <row r="35" spans="1:33" x14ac:dyDescent="0.2">
      <c r="A35" s="108" t="str">
        <f>name!D3</f>
        <v>All occupations</v>
      </c>
      <c r="B35" s="310">
        <f>SUM(B8:B33)</f>
        <v>6.2191239061433192</v>
      </c>
      <c r="C35" s="310">
        <f t="shared" ref="C35:K35" si="24">SUM(C8:C33)</f>
        <v>39.987739972030049</v>
      </c>
      <c r="D35" s="310">
        <f t="shared" si="24"/>
        <v>82.750564635315826</v>
      </c>
      <c r="E35" s="310">
        <f t="shared" si="24"/>
        <v>25.327567248455289</v>
      </c>
      <c r="F35" s="310">
        <f t="shared" si="24"/>
        <v>22.536999605775801</v>
      </c>
      <c r="G35" s="310">
        <f t="shared" si="24"/>
        <v>121.85061428231413</v>
      </c>
      <c r="H35" s="310">
        <f t="shared" si="24"/>
        <v>108.45541532556362</v>
      </c>
      <c r="I35" s="310">
        <f t="shared" si="24"/>
        <v>52.426261327252483</v>
      </c>
      <c r="J35" s="310">
        <f t="shared" si="24"/>
        <v>19.371713697149634</v>
      </c>
      <c r="K35" s="310">
        <f t="shared" si="24"/>
        <v>478.92600000000016</v>
      </c>
      <c r="L35" s="98"/>
      <c r="M35" s="98">
        <f>B35/B$35*100</f>
        <v>100</v>
      </c>
      <c r="N35" s="98">
        <f>C35/C$35*100</f>
        <v>100</v>
      </c>
      <c r="O35" s="98">
        <f>D35/D$35*100</f>
        <v>100</v>
      </c>
      <c r="P35" s="98">
        <f t="shared" ref="P35:U35" si="25">E35/E$35*100</f>
        <v>100</v>
      </c>
      <c r="Q35" s="98">
        <f t="shared" si="25"/>
        <v>100</v>
      </c>
      <c r="R35" s="98">
        <f t="shared" si="25"/>
        <v>100</v>
      </c>
      <c r="S35" s="98">
        <f t="shared" si="25"/>
        <v>100</v>
      </c>
      <c r="T35" s="98">
        <f t="shared" si="25"/>
        <v>100</v>
      </c>
      <c r="U35" s="98">
        <f t="shared" si="25"/>
        <v>100</v>
      </c>
      <c r="V35" s="98">
        <f>K35/K$35*100</f>
        <v>100</v>
      </c>
      <c r="W35" s="98"/>
      <c r="X35" s="98">
        <f>IF($K35&gt;0,B35/$K35*100,0)</f>
        <v>1.2985563335762345</v>
      </c>
      <c r="Y35" s="98">
        <f t="shared" ref="Y35:AG35" si="26">IF($K35&gt;0,C35/$K35*100,0)</f>
        <v>8.3494610800061047</v>
      </c>
      <c r="Z35" s="98">
        <f t="shared" si="26"/>
        <v>17.278361299097522</v>
      </c>
      <c r="AA35" s="98">
        <f t="shared" si="26"/>
        <v>5.2884093259616893</v>
      </c>
      <c r="AB35" s="98">
        <f t="shared" si="26"/>
        <v>4.7057373384981807</v>
      </c>
      <c r="AC35" s="98">
        <f t="shared" si="26"/>
        <v>25.442472173637281</v>
      </c>
      <c r="AD35" s="98">
        <f t="shared" si="26"/>
        <v>22.645547605593261</v>
      </c>
      <c r="AE35" s="98">
        <f t="shared" si="26"/>
        <v>10.946630863067043</v>
      </c>
      <c r="AF35" s="98">
        <f t="shared" si="26"/>
        <v>4.0448239805626809</v>
      </c>
      <c r="AG35" s="98">
        <f t="shared" si="26"/>
        <v>100</v>
      </c>
    </row>
    <row r="37" spans="1:33" x14ac:dyDescent="0.2">
      <c r="A37" s="91" t="str">
        <f ca="1">CELL("filename")</f>
        <v>M:\IE\Projects\Nuffield via NFER AI and automation\Data\Results\Workbooks\MCAs\NE_MCA\[NE_MCA_MainTables.Main.xlsm]Manager</v>
      </c>
    </row>
  </sheetData>
  <pageMargins left="0.31496062992125984" right="0.31496062992125984" top="0.74803149606299213" bottom="0.74803149606299213" header="0.31496062992125984" footer="0.31496062992125984"/>
  <pageSetup paperSize="9" scale="71" orientation="landscape" r:id="rId1"/>
  <colBreaks count="2" manualBreakCount="2">
    <brk id="12" max="33" man="1"/>
    <brk id="23" max="33" man="1"/>
  </colBreaks>
  <drawing r:id="rId2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100-000000000000}">
  <sheetPr codeName="Sheet33"/>
  <dimension ref="A1:DP101"/>
  <sheetViews>
    <sheetView zoomScale="85" zoomScaleNormal="85" workbookViewId="0">
      <selection activeCell="J103" sqref="J103"/>
    </sheetView>
  </sheetViews>
  <sheetFormatPr defaultColWidth="9.140625" defaultRowHeight="12.75" x14ac:dyDescent="0.2"/>
  <cols>
    <col min="1" max="1" width="33.7109375" style="91" customWidth="1"/>
    <col min="2" max="2" width="5.7109375" style="91" customWidth="1"/>
    <col min="3" max="3" width="11.7109375" style="91" customWidth="1"/>
    <col min="4" max="4" width="7.85546875" style="91" customWidth="1"/>
    <col min="5" max="5" width="9.85546875" style="91" customWidth="1"/>
    <col min="6" max="6" width="10" style="91" customWidth="1"/>
    <col min="7" max="7" width="2.7109375" style="91" customWidth="1"/>
    <col min="8" max="8" width="5.7109375" style="91" customWidth="1"/>
    <col min="9" max="9" width="10.7109375" style="91" customWidth="1"/>
    <col min="10" max="12" width="8.7109375" style="91" customWidth="1"/>
    <col min="13" max="13" width="2.7109375" style="91" customWidth="1"/>
    <col min="14" max="14" width="5.7109375" style="91" customWidth="1"/>
    <col min="15" max="15" width="10.7109375" style="91" customWidth="1"/>
    <col min="16" max="18" width="8.7109375" style="91" customWidth="1"/>
    <col min="19" max="19" width="2.7109375" style="91" customWidth="1"/>
    <col min="20" max="20" width="5.7109375" style="91" customWidth="1"/>
    <col min="21" max="21" width="10.7109375" style="91" customWidth="1"/>
    <col min="22" max="24" width="8.7109375" style="91" customWidth="1"/>
    <col min="25" max="25" width="33.7109375" style="91" customWidth="1"/>
    <col min="26" max="26" width="5.7109375" style="91" customWidth="1"/>
    <col min="27" max="27" width="11.7109375" style="91" customWidth="1"/>
    <col min="28" max="28" width="7.42578125" style="91" customWidth="1"/>
    <col min="29" max="30" width="8.7109375" style="91" customWidth="1"/>
    <col min="31" max="31" width="2.7109375" style="91" customWidth="1"/>
    <col min="32" max="32" width="5.7109375" style="91" customWidth="1"/>
    <col min="33" max="33" width="10.7109375" style="91" customWidth="1"/>
    <col min="34" max="36" width="8.7109375" style="91" customWidth="1"/>
    <col min="37" max="37" width="2.7109375" style="91" customWidth="1"/>
    <col min="38" max="38" width="5.7109375" style="91" customWidth="1"/>
    <col min="39" max="39" width="10.7109375" style="91" customWidth="1"/>
    <col min="40" max="42" width="8.7109375" style="91" customWidth="1"/>
    <col min="43" max="43" width="2.7109375" style="91" customWidth="1"/>
    <col min="44" max="44" width="5.7109375" style="91" customWidth="1"/>
    <col min="45" max="45" width="10.7109375" style="91" customWidth="1"/>
    <col min="46" max="48" width="8.7109375" style="91" customWidth="1"/>
    <col min="49" max="49" width="33.7109375" style="91" customWidth="1"/>
    <col min="50" max="50" width="5.7109375" style="91" customWidth="1"/>
    <col min="51" max="51" width="11.7109375" style="91" customWidth="1"/>
    <col min="52" max="52" width="7.42578125" style="91" customWidth="1"/>
    <col min="53" max="54" width="8.7109375" style="91" customWidth="1"/>
    <col min="55" max="55" width="2.7109375" style="91" customWidth="1"/>
    <col min="56" max="56" width="5.7109375" style="91" customWidth="1"/>
    <col min="57" max="57" width="10.7109375" style="91" customWidth="1"/>
    <col min="58" max="60" width="8.7109375" style="91" customWidth="1"/>
    <col min="61" max="61" width="2.7109375" style="91" customWidth="1"/>
    <col min="62" max="62" width="5.7109375" style="91" customWidth="1"/>
    <col min="63" max="63" width="10.7109375" style="91" customWidth="1"/>
    <col min="64" max="66" width="8.7109375" style="91" customWidth="1"/>
    <col min="67" max="67" width="2.7109375" style="91" customWidth="1"/>
    <col min="68" max="68" width="5.7109375" style="91" customWidth="1"/>
    <col min="69" max="69" width="10.7109375" style="91" customWidth="1"/>
    <col min="70" max="72" width="8.7109375" style="91" customWidth="1"/>
    <col min="73" max="73" width="33.7109375" style="91" customWidth="1"/>
    <col min="74" max="74" width="5.7109375" style="91" customWidth="1"/>
    <col min="75" max="75" width="11.7109375" style="91" customWidth="1"/>
    <col min="76" max="76" width="7.42578125" style="91" customWidth="1"/>
    <col min="77" max="78" width="8.7109375" style="91" customWidth="1"/>
    <col min="79" max="79" width="2.7109375" style="91" customWidth="1"/>
    <col min="80" max="80" width="5.7109375" style="91" customWidth="1"/>
    <col min="81" max="81" width="10.7109375" style="91" customWidth="1"/>
    <col min="82" max="84" width="8.7109375" style="91" customWidth="1"/>
    <col min="85" max="85" width="2.7109375" style="91" customWidth="1"/>
    <col min="86" max="86" width="5.7109375" style="91" customWidth="1"/>
    <col min="87" max="87" width="10.7109375" style="91" customWidth="1"/>
    <col min="88" max="90" width="8.7109375" style="91" customWidth="1"/>
    <col min="91" max="91" width="2.7109375" style="91" customWidth="1"/>
    <col min="92" max="92" width="5.7109375" style="91" customWidth="1"/>
    <col min="93" max="93" width="10.7109375" style="91" customWidth="1"/>
    <col min="94" max="96" width="8.7109375" style="91" customWidth="1"/>
    <col min="97" max="97" width="33.7109375" style="91" customWidth="1"/>
    <col min="98" max="98" width="5.7109375" style="91" customWidth="1"/>
    <col min="99" max="99" width="11.7109375" style="91" customWidth="1"/>
    <col min="100" max="100" width="7.42578125" style="91" customWidth="1"/>
    <col min="101" max="102" width="8.7109375" style="91" customWidth="1"/>
    <col min="103" max="103" width="2.7109375" style="91" customWidth="1"/>
    <col min="104" max="104" width="5.7109375" style="91" customWidth="1"/>
    <col min="105" max="105" width="10.7109375" style="91" customWidth="1"/>
    <col min="106" max="108" width="8.7109375" style="91" customWidth="1"/>
    <col min="109" max="109" width="2.7109375" style="91" customWidth="1"/>
    <col min="110" max="110" width="5.7109375" style="91" customWidth="1"/>
    <col min="111" max="111" width="10.7109375" style="91" customWidth="1"/>
    <col min="112" max="114" width="8.7109375" style="91" customWidth="1"/>
    <col min="115" max="115" width="2.7109375" style="91" customWidth="1"/>
    <col min="116" max="116" width="5.7109375" style="91" customWidth="1"/>
    <col min="117" max="117" width="10.7109375" style="91" customWidth="1"/>
    <col min="118" max="120" width="8.7109375" style="91" customWidth="1"/>
    <col min="121" max="16384" width="9.140625" style="91"/>
  </cols>
  <sheetData>
    <row r="1" spans="1:120" ht="15.75" x14ac:dyDescent="0.25">
      <c r="A1" s="19" t="str">
        <f>CONCATENATE("Basic Table 5  Replacement Demand, ",A100,"-",A101,", by Industry and Qualification for ",name!$H$3)</f>
        <v>Basic Table 5  Replacement Demand, 2015-2025, by Industry and Qualification for M</v>
      </c>
      <c r="Y1" s="19" t="str">
        <f>CONCATENATE("Basic Table 5  Replacement Demand, ",A100,"-",A101,", by Industry and Qualification for ",name!$H$4)</f>
        <v>Basic Table 5  Replacement Demand, 2015-2025, by Industry and Qualification for F</v>
      </c>
      <c r="AW1" s="19" t="str">
        <f>CONCATENATE("Basic Table 5  Replacement Demand, ",A100,"-",A101,", by Industry and Qualification for ",name!$H$5)</f>
        <v xml:space="preserve">Basic Table 5  Replacement Demand, 2015-2025, by Industry and Qualification for </v>
      </c>
      <c r="BU1" s="19" t="str">
        <f>CONCATENATE("Basic Table 5  Replacement Demand, ",A100,"-",A101,", by Industry and Qualification for ",name!$H$6)</f>
        <v xml:space="preserve">Basic Table 5  Replacement Demand, 2015-2025, by Industry and Qualification for </v>
      </c>
      <c r="CS1" s="19" t="str">
        <f>CONCATENATE("Basic Table 5  Replacement Demand, ",A100,"-",A101,", by Industry and Qualification for ",name!$H$7)</f>
        <v xml:space="preserve">Basic Table 5  Replacement Demand, 2015-2025, by Industry and Qualification for </v>
      </c>
    </row>
    <row r="2" spans="1:120" ht="15.75" x14ac:dyDescent="0.25">
      <c r="A2" s="19"/>
      <c r="Y2" s="19"/>
      <c r="AW2" s="19"/>
      <c r="BU2" s="19"/>
      <c r="CS2" s="19"/>
    </row>
    <row r="3" spans="1:120" x14ac:dyDescent="0.2">
      <c r="B3" s="92"/>
      <c r="C3" s="92"/>
      <c r="D3" s="92"/>
      <c r="E3" s="92"/>
      <c r="F3" s="92"/>
      <c r="G3" s="92"/>
      <c r="H3" s="92"/>
      <c r="I3" s="92"/>
      <c r="J3" s="92"/>
      <c r="K3" s="92"/>
      <c r="L3" s="92"/>
      <c r="M3" s="92"/>
      <c r="N3" s="92"/>
      <c r="O3" s="92"/>
      <c r="P3" s="92"/>
      <c r="Q3" s="92"/>
      <c r="R3" s="92"/>
      <c r="S3" s="92"/>
      <c r="T3" s="92"/>
      <c r="U3" s="92"/>
      <c r="V3" s="92"/>
      <c r="W3" s="92"/>
      <c r="X3" s="116" t="s">
        <v>36</v>
      </c>
      <c r="Z3" s="92"/>
      <c r="AA3" s="92"/>
      <c r="AB3" s="92"/>
      <c r="AC3" s="92"/>
      <c r="AD3" s="92"/>
      <c r="AE3" s="92"/>
      <c r="AF3" s="92"/>
      <c r="AG3" s="92"/>
      <c r="AH3" s="92"/>
      <c r="AI3" s="92"/>
      <c r="AJ3" s="92"/>
      <c r="AK3" s="92"/>
      <c r="AL3" s="92"/>
      <c r="AM3" s="92"/>
      <c r="AN3" s="92"/>
      <c r="AO3" s="92"/>
      <c r="AP3" s="92"/>
      <c r="AQ3" s="92"/>
      <c r="AR3" s="92"/>
      <c r="AS3" s="92"/>
      <c r="AT3" s="92"/>
      <c r="AU3" s="92"/>
      <c r="AV3" s="116" t="str">
        <f>$X$3</f>
        <v>thousands</v>
      </c>
      <c r="AX3" s="92"/>
      <c r="AY3" s="92"/>
      <c r="AZ3" s="92"/>
      <c r="BA3" s="92"/>
      <c r="BB3" s="92"/>
      <c r="BC3" s="92"/>
      <c r="BD3" s="92"/>
      <c r="BE3" s="92"/>
      <c r="BF3" s="92"/>
      <c r="BG3" s="92"/>
      <c r="BH3" s="92"/>
      <c r="BI3" s="92"/>
      <c r="BJ3" s="92"/>
      <c r="BK3" s="92"/>
      <c r="BL3" s="92"/>
      <c r="BM3" s="92"/>
      <c r="BN3" s="92"/>
      <c r="BO3" s="92"/>
      <c r="BP3" s="92"/>
      <c r="BQ3" s="92"/>
      <c r="BR3" s="92"/>
      <c r="BS3" s="92"/>
      <c r="BT3" s="116" t="str">
        <f>$X$3</f>
        <v>thousands</v>
      </c>
      <c r="BV3" s="92"/>
      <c r="BW3" s="92"/>
      <c r="BX3" s="92"/>
      <c r="BY3" s="92"/>
      <c r="BZ3" s="92"/>
      <c r="CA3" s="92"/>
      <c r="CB3" s="92"/>
      <c r="CC3" s="92"/>
      <c r="CD3" s="92"/>
      <c r="CE3" s="92"/>
      <c r="CF3" s="92"/>
      <c r="CG3" s="92"/>
      <c r="CH3" s="92"/>
      <c r="CI3" s="92"/>
      <c r="CJ3" s="92"/>
      <c r="CK3" s="92"/>
      <c r="CL3" s="92"/>
      <c r="CM3" s="92"/>
      <c r="CN3" s="92"/>
      <c r="CO3" s="92"/>
      <c r="CP3" s="92"/>
      <c r="CQ3" s="92"/>
      <c r="CR3" s="116" t="str">
        <f>$X$3</f>
        <v>thousands</v>
      </c>
      <c r="CT3" s="92"/>
      <c r="CU3" s="92"/>
      <c r="CV3" s="92"/>
      <c r="CW3" s="92"/>
      <c r="CX3" s="92"/>
      <c r="CY3" s="92"/>
      <c r="CZ3" s="92"/>
      <c r="DA3" s="92"/>
      <c r="DB3" s="92"/>
      <c r="DC3" s="92"/>
      <c r="DD3" s="92"/>
      <c r="DE3" s="92"/>
      <c r="DF3" s="92"/>
      <c r="DG3" s="92"/>
      <c r="DH3" s="92"/>
      <c r="DI3" s="92"/>
      <c r="DJ3" s="92"/>
      <c r="DK3" s="92"/>
      <c r="DL3" s="92"/>
      <c r="DM3" s="92"/>
      <c r="DN3" s="92"/>
      <c r="DO3" s="92"/>
      <c r="DP3" s="116" t="str">
        <f>$X$3</f>
        <v>thousands</v>
      </c>
    </row>
    <row r="4" spans="1:120" x14ac:dyDescent="0.2">
      <c r="A4" s="96"/>
      <c r="B4" s="385" t="str">
        <f>name!F3</f>
        <v>All qualifications</v>
      </c>
      <c r="C4" s="385"/>
      <c r="D4" s="385"/>
      <c r="E4" s="385"/>
      <c r="F4" s="385"/>
      <c r="G4" s="103"/>
      <c r="H4" s="385" t="str">
        <f>name!F4</f>
        <v>RQF8 Doctorate</v>
      </c>
      <c r="I4" s="385"/>
      <c r="J4" s="385"/>
      <c r="K4" s="385"/>
      <c r="L4" s="385"/>
      <c r="N4" s="384" t="str">
        <f>name!F5</f>
        <v>RQF7 Other higher degree</v>
      </c>
      <c r="O4" s="384"/>
      <c r="P4" s="384"/>
      <c r="Q4" s="384"/>
      <c r="R4" s="384"/>
      <c r="S4" s="111"/>
      <c r="T4" s="384" t="str">
        <f>name!F6</f>
        <v>RQF6 First degree</v>
      </c>
      <c r="U4" s="384"/>
      <c r="V4" s="384"/>
      <c r="W4" s="384"/>
      <c r="X4" s="384"/>
      <c r="Y4" s="96"/>
      <c r="Z4" s="385" t="str">
        <f>$B$4</f>
        <v>All qualifications</v>
      </c>
      <c r="AA4" s="385"/>
      <c r="AB4" s="385"/>
      <c r="AC4" s="385"/>
      <c r="AD4" s="385"/>
      <c r="AE4" s="103"/>
      <c r="AF4" s="385" t="str">
        <f>$H$4</f>
        <v>RQF8 Doctorate</v>
      </c>
      <c r="AG4" s="385"/>
      <c r="AH4" s="385"/>
      <c r="AI4" s="385"/>
      <c r="AJ4" s="385"/>
      <c r="AL4" s="384" t="str">
        <f>$N$4</f>
        <v>RQF7 Other higher degree</v>
      </c>
      <c r="AM4" s="384"/>
      <c r="AN4" s="384"/>
      <c r="AO4" s="384"/>
      <c r="AP4" s="384"/>
      <c r="AQ4" s="111"/>
      <c r="AR4" s="384" t="str">
        <f>$T$4</f>
        <v>RQF6 First degree</v>
      </c>
      <c r="AS4" s="384"/>
      <c r="AT4" s="384"/>
      <c r="AU4" s="384"/>
      <c r="AV4" s="384"/>
      <c r="AW4" s="96"/>
      <c r="AX4" s="385" t="str">
        <f>$B$4</f>
        <v>All qualifications</v>
      </c>
      <c r="AY4" s="385"/>
      <c r="AZ4" s="385"/>
      <c r="BA4" s="385"/>
      <c r="BB4" s="385"/>
      <c r="BC4" s="103"/>
      <c r="BD4" s="385" t="str">
        <f>$H$4</f>
        <v>RQF8 Doctorate</v>
      </c>
      <c r="BE4" s="385"/>
      <c r="BF4" s="385"/>
      <c r="BG4" s="385"/>
      <c r="BH4" s="385"/>
      <c r="BJ4" s="384" t="str">
        <f>$N$4</f>
        <v>RQF7 Other higher degree</v>
      </c>
      <c r="BK4" s="384"/>
      <c r="BL4" s="384"/>
      <c r="BM4" s="384"/>
      <c r="BN4" s="384"/>
      <c r="BO4" s="111"/>
      <c r="BP4" s="384" t="str">
        <f>$T$4</f>
        <v>RQF6 First degree</v>
      </c>
      <c r="BQ4" s="384"/>
      <c r="BR4" s="384"/>
      <c r="BS4" s="384"/>
      <c r="BT4" s="384"/>
      <c r="BU4" s="96"/>
      <c r="BV4" s="385" t="str">
        <f>$B$4</f>
        <v>All qualifications</v>
      </c>
      <c r="BW4" s="385"/>
      <c r="BX4" s="385"/>
      <c r="BY4" s="385"/>
      <c r="BZ4" s="385"/>
      <c r="CA4" s="103"/>
      <c r="CB4" s="385" t="str">
        <f>$H$4</f>
        <v>RQF8 Doctorate</v>
      </c>
      <c r="CC4" s="385"/>
      <c r="CD4" s="385"/>
      <c r="CE4" s="385"/>
      <c r="CF4" s="385"/>
      <c r="CH4" s="384" t="str">
        <f>$N$4</f>
        <v>RQF7 Other higher degree</v>
      </c>
      <c r="CI4" s="384"/>
      <c r="CJ4" s="384"/>
      <c r="CK4" s="384"/>
      <c r="CL4" s="384"/>
      <c r="CM4" s="111"/>
      <c r="CN4" s="384" t="str">
        <f>$T$4</f>
        <v>RQF6 First degree</v>
      </c>
      <c r="CO4" s="384"/>
      <c r="CP4" s="384"/>
      <c r="CQ4" s="384"/>
      <c r="CR4" s="384"/>
      <c r="CS4" s="96"/>
      <c r="CT4" s="385" t="str">
        <f>$B$4</f>
        <v>All qualifications</v>
      </c>
      <c r="CU4" s="385"/>
      <c r="CV4" s="385"/>
      <c r="CW4" s="385"/>
      <c r="CX4" s="385"/>
      <c r="CY4" s="103"/>
      <c r="CZ4" s="385" t="str">
        <f>$H$4</f>
        <v>RQF8 Doctorate</v>
      </c>
      <c r="DA4" s="385"/>
      <c r="DB4" s="385"/>
      <c r="DC4" s="385"/>
      <c r="DD4" s="385"/>
      <c r="DF4" s="384" t="str">
        <f>$N$4</f>
        <v>RQF7 Other higher degree</v>
      </c>
      <c r="DG4" s="384"/>
      <c r="DH4" s="384"/>
      <c r="DI4" s="384"/>
      <c r="DJ4" s="384"/>
      <c r="DK4" s="111"/>
      <c r="DL4" s="384" t="str">
        <f>$T$4</f>
        <v>RQF6 First degree</v>
      </c>
      <c r="DM4" s="384"/>
      <c r="DN4" s="384"/>
      <c r="DO4" s="384"/>
      <c r="DP4" s="384"/>
    </row>
    <row r="6" spans="1:120" s="102" customFormat="1" ht="38.25" x14ac:dyDescent="0.2">
      <c r="A6" s="101"/>
      <c r="B6" s="106" t="s">
        <v>48</v>
      </c>
      <c r="C6" s="115" t="str">
        <f>CONCATENATE($A$100," Level")</f>
        <v>2015 Level</v>
      </c>
      <c r="D6" s="105" t="s">
        <v>43</v>
      </c>
      <c r="E6" s="115" t="s">
        <v>49</v>
      </c>
      <c r="F6" s="115" t="s">
        <v>50</v>
      </c>
      <c r="G6" s="104"/>
      <c r="H6" s="105" t="str">
        <f>B6</f>
        <v>RD p.a%</v>
      </c>
      <c r="I6" s="105" t="str">
        <f>C6</f>
        <v>2015 Level</v>
      </c>
      <c r="J6" s="105" t="str">
        <f>D6</f>
        <v>Net Change</v>
      </c>
      <c r="K6" s="105" t="str">
        <f>E6</f>
        <v>Replace-ment Demand</v>
      </c>
      <c r="L6" s="105" t="str">
        <f>F6</f>
        <v>Total Require-ment</v>
      </c>
      <c r="M6" s="104"/>
      <c r="N6" s="106" t="str">
        <f>H6</f>
        <v>RD p.a%</v>
      </c>
      <c r="O6" s="106" t="str">
        <f>I6</f>
        <v>2015 Level</v>
      </c>
      <c r="P6" s="106" t="str">
        <f>J6</f>
        <v>Net Change</v>
      </c>
      <c r="Q6" s="106" t="str">
        <f>K6</f>
        <v>Replace-ment Demand</v>
      </c>
      <c r="R6" s="106" t="str">
        <f>L6</f>
        <v>Total Require-ment</v>
      </c>
      <c r="S6" s="104"/>
      <c r="T6" s="106" t="str">
        <f>N6</f>
        <v>RD p.a%</v>
      </c>
      <c r="U6" s="106" t="str">
        <f>O6</f>
        <v>2015 Level</v>
      </c>
      <c r="V6" s="106" t="str">
        <f>P6</f>
        <v>Net Change</v>
      </c>
      <c r="W6" s="106" t="str">
        <f>Q6</f>
        <v>Replace-ment Demand</v>
      </c>
      <c r="X6" s="106" t="str">
        <f>R6</f>
        <v>Total Require-ment</v>
      </c>
      <c r="Y6" s="101"/>
      <c r="Z6" s="106" t="s">
        <v>48</v>
      </c>
      <c r="AA6" s="115" t="str">
        <f>CONCATENATE($A$100," Level")</f>
        <v>2015 Level</v>
      </c>
      <c r="AB6" s="105" t="s">
        <v>43</v>
      </c>
      <c r="AC6" s="115" t="s">
        <v>49</v>
      </c>
      <c r="AD6" s="115" t="s">
        <v>50</v>
      </c>
      <c r="AE6" s="104"/>
      <c r="AF6" s="105" t="str">
        <f>Z6</f>
        <v>RD p.a%</v>
      </c>
      <c r="AG6" s="105" t="str">
        <f>AA6</f>
        <v>2015 Level</v>
      </c>
      <c r="AH6" s="105" t="str">
        <f>AB6</f>
        <v>Net Change</v>
      </c>
      <c r="AI6" s="105" t="str">
        <f>AC6</f>
        <v>Replace-ment Demand</v>
      </c>
      <c r="AJ6" s="105" t="str">
        <f>AD6</f>
        <v>Total Require-ment</v>
      </c>
      <c r="AK6" s="104"/>
      <c r="AL6" s="106" t="str">
        <f>AF6</f>
        <v>RD p.a%</v>
      </c>
      <c r="AM6" s="106" t="str">
        <f>AG6</f>
        <v>2015 Level</v>
      </c>
      <c r="AN6" s="106" t="str">
        <f>AH6</f>
        <v>Net Change</v>
      </c>
      <c r="AO6" s="106" t="str">
        <f>AI6</f>
        <v>Replace-ment Demand</v>
      </c>
      <c r="AP6" s="106" t="str">
        <f>AJ6</f>
        <v>Total Require-ment</v>
      </c>
      <c r="AQ6" s="104"/>
      <c r="AR6" s="106" t="str">
        <f>AL6</f>
        <v>RD p.a%</v>
      </c>
      <c r="AS6" s="106" t="str">
        <f>AM6</f>
        <v>2015 Level</v>
      </c>
      <c r="AT6" s="106" t="str">
        <f>AN6</f>
        <v>Net Change</v>
      </c>
      <c r="AU6" s="106" t="str">
        <f>AO6</f>
        <v>Replace-ment Demand</v>
      </c>
      <c r="AV6" s="106" t="str">
        <f>AP6</f>
        <v>Total Require-ment</v>
      </c>
      <c r="AW6" s="101"/>
      <c r="AX6" s="106" t="s">
        <v>48</v>
      </c>
      <c r="AY6" s="115" t="str">
        <f>CONCATENATE($A$100," Level")</f>
        <v>2015 Level</v>
      </c>
      <c r="AZ6" s="105" t="s">
        <v>43</v>
      </c>
      <c r="BA6" s="115" t="s">
        <v>49</v>
      </c>
      <c r="BB6" s="115" t="s">
        <v>50</v>
      </c>
      <c r="BC6" s="104"/>
      <c r="BD6" s="105" t="str">
        <f>AX6</f>
        <v>RD p.a%</v>
      </c>
      <c r="BE6" s="105" t="str">
        <f>AY6</f>
        <v>2015 Level</v>
      </c>
      <c r="BF6" s="105" t="str">
        <f>AZ6</f>
        <v>Net Change</v>
      </c>
      <c r="BG6" s="105" t="str">
        <f>BA6</f>
        <v>Replace-ment Demand</v>
      </c>
      <c r="BH6" s="105" t="str">
        <f>BB6</f>
        <v>Total Require-ment</v>
      </c>
      <c r="BI6" s="104"/>
      <c r="BJ6" s="106" t="str">
        <f>BD6</f>
        <v>RD p.a%</v>
      </c>
      <c r="BK6" s="106" t="str">
        <f>BE6</f>
        <v>2015 Level</v>
      </c>
      <c r="BL6" s="106" t="str">
        <f>BF6</f>
        <v>Net Change</v>
      </c>
      <c r="BM6" s="106" t="str">
        <f>BG6</f>
        <v>Replace-ment Demand</v>
      </c>
      <c r="BN6" s="106" t="str">
        <f>BH6</f>
        <v>Total Require-ment</v>
      </c>
      <c r="BO6" s="104"/>
      <c r="BP6" s="106" t="str">
        <f>BJ6</f>
        <v>RD p.a%</v>
      </c>
      <c r="BQ6" s="106" t="str">
        <f>BK6</f>
        <v>2015 Level</v>
      </c>
      <c r="BR6" s="106" t="str">
        <f>BL6</f>
        <v>Net Change</v>
      </c>
      <c r="BS6" s="106" t="str">
        <f>BM6</f>
        <v>Replace-ment Demand</v>
      </c>
      <c r="BT6" s="106" t="str">
        <f>BN6</f>
        <v>Total Require-ment</v>
      </c>
      <c r="BU6" s="101"/>
      <c r="BV6" s="106" t="s">
        <v>48</v>
      </c>
      <c r="BW6" s="115" t="str">
        <f>CONCATENATE($A$100," Level")</f>
        <v>2015 Level</v>
      </c>
      <c r="BX6" s="105" t="s">
        <v>43</v>
      </c>
      <c r="BY6" s="115" t="s">
        <v>49</v>
      </c>
      <c r="BZ6" s="115" t="s">
        <v>50</v>
      </c>
      <c r="CA6" s="104"/>
      <c r="CB6" s="105" t="str">
        <f>BV6</f>
        <v>RD p.a%</v>
      </c>
      <c r="CC6" s="105" t="str">
        <f>BW6</f>
        <v>2015 Level</v>
      </c>
      <c r="CD6" s="105" t="str">
        <f>BX6</f>
        <v>Net Change</v>
      </c>
      <c r="CE6" s="105" t="str">
        <f>BY6</f>
        <v>Replace-ment Demand</v>
      </c>
      <c r="CF6" s="105" t="str">
        <f>BZ6</f>
        <v>Total Require-ment</v>
      </c>
      <c r="CG6" s="104"/>
      <c r="CH6" s="106" t="str">
        <f>CB6</f>
        <v>RD p.a%</v>
      </c>
      <c r="CI6" s="106" t="str">
        <f>CC6</f>
        <v>2015 Level</v>
      </c>
      <c r="CJ6" s="106" t="str">
        <f>CD6</f>
        <v>Net Change</v>
      </c>
      <c r="CK6" s="106" t="str">
        <f>CE6</f>
        <v>Replace-ment Demand</v>
      </c>
      <c r="CL6" s="106" t="str">
        <f>CF6</f>
        <v>Total Require-ment</v>
      </c>
      <c r="CM6" s="104"/>
      <c r="CN6" s="106" t="str">
        <f>CH6</f>
        <v>RD p.a%</v>
      </c>
      <c r="CO6" s="106" t="str">
        <f>CI6</f>
        <v>2015 Level</v>
      </c>
      <c r="CP6" s="106" t="str">
        <f>CJ6</f>
        <v>Net Change</v>
      </c>
      <c r="CQ6" s="106" t="str">
        <f>CK6</f>
        <v>Replace-ment Demand</v>
      </c>
      <c r="CR6" s="106" t="str">
        <f>CL6</f>
        <v>Total Require-ment</v>
      </c>
      <c r="CS6" s="101"/>
      <c r="CT6" s="106" t="s">
        <v>48</v>
      </c>
      <c r="CU6" s="115" t="str">
        <f>CONCATENATE($A$100," Level")</f>
        <v>2015 Level</v>
      </c>
      <c r="CV6" s="105" t="s">
        <v>43</v>
      </c>
      <c r="CW6" s="115" t="s">
        <v>49</v>
      </c>
      <c r="CX6" s="115" t="s">
        <v>50</v>
      </c>
      <c r="CY6" s="104"/>
      <c r="CZ6" s="105" t="str">
        <f>CT6</f>
        <v>RD p.a%</v>
      </c>
      <c r="DA6" s="105" t="str">
        <f>CU6</f>
        <v>2015 Level</v>
      </c>
      <c r="DB6" s="105" t="str">
        <f>CV6</f>
        <v>Net Change</v>
      </c>
      <c r="DC6" s="105" t="str">
        <f>CW6</f>
        <v>Replace-ment Demand</v>
      </c>
      <c r="DD6" s="105" t="str">
        <f>CX6</f>
        <v>Total Require-ment</v>
      </c>
      <c r="DE6" s="104"/>
      <c r="DF6" s="106" t="str">
        <f>CZ6</f>
        <v>RD p.a%</v>
      </c>
      <c r="DG6" s="106" t="str">
        <f>DA6</f>
        <v>2015 Level</v>
      </c>
      <c r="DH6" s="106" t="str">
        <f>DB6</f>
        <v>Net Change</v>
      </c>
      <c r="DI6" s="106" t="str">
        <f>DC6</f>
        <v>Replace-ment Demand</v>
      </c>
      <c r="DJ6" s="106" t="str">
        <f>DD6</f>
        <v>Total Require-ment</v>
      </c>
      <c r="DK6" s="104"/>
      <c r="DL6" s="106" t="str">
        <f>DF6</f>
        <v>RD p.a%</v>
      </c>
      <c r="DM6" s="106" t="str">
        <f>DG6</f>
        <v>2015 Level</v>
      </c>
      <c r="DN6" s="106" t="str">
        <f>DH6</f>
        <v>Net Change</v>
      </c>
      <c r="DO6" s="106" t="str">
        <f>DI6</f>
        <v>Replace-ment Demand</v>
      </c>
      <c r="DP6" s="106" t="str">
        <f>DJ6</f>
        <v>Total Require-ment</v>
      </c>
    </row>
    <row r="8" spans="1:120" x14ac:dyDescent="0.2">
      <c r="A8" s="91" t="str">
        <f>name!B4</f>
        <v>Agriculture</v>
      </c>
      <c r="B8" s="40">
        <f>IF(C8&gt;0,((1+(E8/C8))^(1/($A$101-$A$100))-1)*100,0)</f>
        <v>3.6286528043839583</v>
      </c>
      <c r="C8" s="11">
        <v>55.936999999999848</v>
      </c>
      <c r="D8" s="94">
        <v>-6.9799999999999773</v>
      </c>
      <c r="E8" s="94">
        <v>23.953969842292668</v>
      </c>
      <c r="F8" s="94">
        <f>SUM(D8:E8)</f>
        <v>16.973969842292689</v>
      </c>
      <c r="G8" s="94"/>
      <c r="H8" s="40">
        <f>IF(I8&gt;0,((1+(K8/I8))^(1/($A$101-$A$100))-1)*100,0)</f>
        <v>3.5263839839017708</v>
      </c>
      <c r="I8" s="94">
        <v>17.246149343314809</v>
      </c>
      <c r="J8" s="94">
        <v>-6.8895887133768028</v>
      </c>
      <c r="K8" s="94">
        <v>7.1433335785126539</v>
      </c>
      <c r="L8" s="94">
        <f>SUM(J8:K8)</f>
        <v>0.25374486513585115</v>
      </c>
      <c r="N8" s="40">
        <f>IF(O8&gt;0,((1+(Q8/O8))^(1/($A$101-$A$100))-1)*100,0)</f>
        <v>3.688575763403712</v>
      </c>
      <c r="O8" s="94">
        <v>26.89476620234856</v>
      </c>
      <c r="P8" s="94">
        <v>-1.7755328024279793</v>
      </c>
      <c r="Q8" s="94">
        <v>11.739873371498375</v>
      </c>
      <c r="R8" s="94">
        <f>SUM(P8:Q8)</f>
        <v>9.9643405690703943</v>
      </c>
      <c r="S8" s="107"/>
      <c r="T8" s="40">
        <f>IF(U8&gt;0,((1+(W8/U8))^(1/($A$101-$A$100))-1)*100,0)</f>
        <v>3.6405249613346236</v>
      </c>
      <c r="U8" s="94">
        <v>11.79608445433648</v>
      </c>
      <c r="V8" s="94">
        <v>1.6851215158048036</v>
      </c>
      <c r="W8" s="94">
        <v>5.0707628922816417</v>
      </c>
      <c r="X8" s="94">
        <f>SUM(V8:W8)</f>
        <v>6.7558844080864455</v>
      </c>
      <c r="Y8" s="91" t="str">
        <f t="shared" ref="Y8:Y48" si="0">A8</f>
        <v>Agriculture</v>
      </c>
      <c r="Z8" s="40">
        <f>IF(AA8&gt;0,((1+(AC8/AA8))^(1/($A$101-$A$100))-1)*100,0)</f>
        <v>3.2278133961415545</v>
      </c>
      <c r="AA8" s="11">
        <v>4.3826960714462242</v>
      </c>
      <c r="AB8" s="94">
        <v>3.8928451595904385</v>
      </c>
      <c r="AC8" s="94">
        <v>1.6388586204918438</v>
      </c>
      <c r="AD8" s="94">
        <f>SUM(AB8:AC8)</f>
        <v>5.5317037800822826</v>
      </c>
      <c r="AE8" s="94"/>
      <c r="AF8" s="40">
        <f>IF(AG8&gt;0,((1+(AI8/AG8))^(1/($A$101-$A$100))-1)*100,0)</f>
        <v>3.7281488295962228</v>
      </c>
      <c r="AG8" s="94">
        <v>0.36786575366769064</v>
      </c>
      <c r="AH8" s="94">
        <v>0.72586367094203585</v>
      </c>
      <c r="AI8" s="94">
        <v>0.16259790102888269</v>
      </c>
      <c r="AJ8" s="94">
        <f>SUM(AH8:AI8)</f>
        <v>0.88846157197091857</v>
      </c>
      <c r="AL8" s="40">
        <f>IF(AM8&gt;0,((1+(AO8/AM8))^(1/($A$101-$A$100))-1)*100,0)</f>
        <v>3.4098436752145078</v>
      </c>
      <c r="AM8" s="94">
        <v>1.6324139933768864</v>
      </c>
      <c r="AN8" s="94">
        <v>2.2923856880061342</v>
      </c>
      <c r="AO8" s="94">
        <v>0.65028751093123516</v>
      </c>
      <c r="AP8" s="94">
        <f>SUM(AN8:AO8)</f>
        <v>2.9426731989373693</v>
      </c>
      <c r="AQ8" s="107"/>
      <c r="AR8" s="40">
        <f>IF(AS8&gt;0,((1+(AU8/AS8))^(1/($A$101-$A$100))-1)*100,0)</f>
        <v>3.0212804601292831</v>
      </c>
      <c r="AS8" s="94">
        <v>2.382416324401647</v>
      </c>
      <c r="AT8" s="94">
        <v>0.87459580064226849</v>
      </c>
      <c r="AU8" s="94">
        <v>0.82597320853172596</v>
      </c>
      <c r="AV8" s="94">
        <f>SUM(AT8:AU8)</f>
        <v>1.7005690091739945</v>
      </c>
      <c r="AW8" s="91" t="str">
        <f>Y8</f>
        <v>Agriculture</v>
      </c>
      <c r="AX8" s="40">
        <f>IF(AY8&gt;0,((1+(BA8/AY8))^(1/($A$101-$A$100))-1)*100,0)</f>
        <v>2.6560490695816119</v>
      </c>
      <c r="AY8" s="11">
        <v>1.9992749386487922</v>
      </c>
      <c r="AZ8" s="94">
        <v>0.50024802314102146</v>
      </c>
      <c r="BA8" s="94">
        <v>0.59919667769333007</v>
      </c>
      <c r="BB8" s="94">
        <f>SUM(AZ8:BA8)</f>
        <v>1.0994447008343515</v>
      </c>
      <c r="BC8" s="94"/>
      <c r="BD8" s="40">
        <f>IF(BE8&gt;0,((1+(BG8/BE8))^(1/($A$101-$A$100))-1)*100,0)</f>
        <v>2.5886964610706498</v>
      </c>
      <c r="BE8" s="94">
        <v>0.35374225719986674</v>
      </c>
      <c r="BF8" s="94">
        <v>0.49967527486298247</v>
      </c>
      <c r="BG8" s="94">
        <v>0.1030114256045692</v>
      </c>
      <c r="BH8" s="94">
        <f>SUM(BF8:BG8)</f>
        <v>0.60268670046755168</v>
      </c>
      <c r="BJ8" s="40">
        <f>IF(BK8&gt;0,((1+(BM8/BK8))^(1/($A$101-$A$100))-1)*100,0)</f>
        <v>2.6156756899814892</v>
      </c>
      <c r="BK8" s="94">
        <v>0.79083739900797367</v>
      </c>
      <c r="BL8" s="94">
        <v>8.9741026511377109E-2</v>
      </c>
      <c r="BM8" s="94">
        <v>0.2329842080987119</v>
      </c>
      <c r="BN8" s="94">
        <f>SUM(BL8:BM8)</f>
        <v>0.32272523461008901</v>
      </c>
      <c r="BO8" s="107"/>
      <c r="BP8" s="40">
        <f>IF(BQ8&gt;0,((1+(BS8/BQ8))^(1/($A$101-$A$100))-1)*100,0)</f>
        <v>2.7209488084197098</v>
      </c>
      <c r="BQ8" s="94">
        <v>0.85469528244095183</v>
      </c>
      <c r="BR8" s="94">
        <v>-8.91682782333382E-2</v>
      </c>
      <c r="BS8" s="94">
        <v>0.26320104399004901</v>
      </c>
      <c r="BT8" s="94">
        <f>SUM(BR8:BS8)</f>
        <v>0.17403276575671081</v>
      </c>
      <c r="BU8" s="91" t="str">
        <f>AW8</f>
        <v>Agriculture</v>
      </c>
      <c r="BV8" s="40">
        <f>IF(BW8&gt;0,((1+(BY8/BW8))^(1/($A$101-$A$100))-1)*100,0)</f>
        <v>4.0147443282656514</v>
      </c>
      <c r="BW8" s="11">
        <v>39.351032099647234</v>
      </c>
      <c r="BX8" s="94">
        <v>-10.192568070379561</v>
      </c>
      <c r="BY8" s="94">
        <v>18.980742173027217</v>
      </c>
      <c r="BZ8" s="94">
        <f>SUM(BX8:BY8)</f>
        <v>8.7881741026476554</v>
      </c>
      <c r="CA8" s="94"/>
      <c r="CB8" s="40">
        <f>IF(CC8&gt;0,((1+(CE8/CC8))^(1/($A$101-$A$100))-1)*100,0)</f>
        <v>3.9264502862225381</v>
      </c>
      <c r="CC8" s="94">
        <v>12.261822191887621</v>
      </c>
      <c r="CD8" s="94">
        <v>-6.5032966118226403</v>
      </c>
      <c r="CE8" s="94">
        <v>5.7607158890505197</v>
      </c>
      <c r="CF8" s="94">
        <f>SUM(CD8:CE8)</f>
        <v>-0.74258072277212062</v>
      </c>
      <c r="CH8" s="40">
        <f>IF(CI8&gt;0,((1+(CK8/CI8))^(1/($A$101-$A$100))-1)*100,0)</f>
        <v>3.9924360846625317</v>
      </c>
      <c r="CI8" s="94">
        <v>20.383214444648981</v>
      </c>
      <c r="CJ8" s="94">
        <v>-4.2877513599355161</v>
      </c>
      <c r="CK8" s="94">
        <v>9.7669852444241734</v>
      </c>
      <c r="CL8" s="94">
        <f>SUM(CJ8:CK8)</f>
        <v>5.4792338844886572</v>
      </c>
      <c r="CM8" s="107"/>
      <c r="CN8" s="40">
        <f>IF(CO8&gt;0,((1+(CQ8/CO8))^(1/($A$101-$A$100))-1)*100,0)</f>
        <v>4.2410858263209894</v>
      </c>
      <c r="CO8" s="94">
        <v>6.7059954631106375</v>
      </c>
      <c r="CP8" s="94">
        <v>0.59847990137859675</v>
      </c>
      <c r="CQ8" s="94">
        <v>3.4530410395525251</v>
      </c>
      <c r="CR8" s="94">
        <f>SUM(CP8:CQ8)</f>
        <v>4.0515209409311215</v>
      </c>
      <c r="CS8" s="91" t="str">
        <f>BU8</f>
        <v>Agriculture</v>
      </c>
      <c r="CT8" s="40">
        <f>IF(CU8&gt;0,((1+(CW8/CU8))^(1/($A$101-$A$100))-1)*100,0)</f>
        <v>2.4032187492160517</v>
      </c>
      <c r="CU8" s="11">
        <v>10.203996890257596</v>
      </c>
      <c r="CV8" s="94">
        <v>-1.1805251123518785</v>
      </c>
      <c r="CW8" s="94">
        <v>2.7351723710802771</v>
      </c>
      <c r="CX8" s="94">
        <f>SUM(CV8:CW8)</f>
        <v>1.5546472587283986</v>
      </c>
      <c r="CY8" s="94"/>
      <c r="CZ8" s="40">
        <f>IF(DA8&gt;0,((1+(DC8/DA8))^(1/($A$101-$A$100))-1)*100,0)</f>
        <v>2.3545977595102796</v>
      </c>
      <c r="DA8" s="94">
        <v>4.2627191405596321</v>
      </c>
      <c r="DB8" s="94">
        <v>-1.6118310473591806</v>
      </c>
      <c r="DC8" s="94">
        <v>1.1170083628286818</v>
      </c>
      <c r="DD8" s="94">
        <f>SUM(DB8:DC8)</f>
        <v>-0.49482268453049882</v>
      </c>
      <c r="DF8" s="40">
        <f>IF(DG8&gt;0,((1+(DI8/DG8))^(1/($A$101-$A$100))-1)*100,0)</f>
        <v>2.3908685473913449</v>
      </c>
      <c r="DG8" s="94">
        <v>4.088300365314721</v>
      </c>
      <c r="DH8" s="94">
        <v>0.13009184299002535</v>
      </c>
      <c r="DI8" s="94">
        <v>1.0896164080442534</v>
      </c>
      <c r="DJ8" s="94">
        <f>SUM(DH8:DI8)</f>
        <v>1.2197082510342787</v>
      </c>
      <c r="DK8" s="107"/>
      <c r="DL8" s="40">
        <f>IF(DM8&gt;0,((1+(DO8/DM8))^(1/($A$101-$A$100))-1)*100,0)</f>
        <v>2.5412252196502561</v>
      </c>
      <c r="DM8" s="94">
        <v>1.8529773843832451</v>
      </c>
      <c r="DN8" s="94">
        <v>0.30121409201727667</v>
      </c>
      <c r="DO8" s="94">
        <v>0.52854760020734193</v>
      </c>
      <c r="DP8" s="94">
        <f>SUM(DN8:DO8)</f>
        <v>0.8297616922246186</v>
      </c>
    </row>
    <row r="9" spans="1:120" x14ac:dyDescent="0.2">
      <c r="A9" s="91" t="str">
        <f>name!B5</f>
        <v>Mining and quarrying</v>
      </c>
      <c r="B9" s="40">
        <f t="shared" ref="B9:B50" si="1">IF(C9&gt;0,((1+(E9/C9))^(1/($A$101-$A$100))-1)*100,0)</f>
        <v>2.5879456250919697</v>
      </c>
      <c r="C9" s="11">
        <v>2.8879999999999906</v>
      </c>
      <c r="D9" s="94">
        <v>0.31300000000000278</v>
      </c>
      <c r="E9" s="94">
        <v>0.84072640567762824</v>
      </c>
      <c r="F9" s="94">
        <f t="shared" ref="F9:F50" si="2">SUM(D9:E9)</f>
        <v>1.1537264056776311</v>
      </c>
      <c r="G9" s="94"/>
      <c r="H9" s="40">
        <f t="shared" ref="H9:H50" si="3">IF(I9&gt;0,((1+(K9/I9))^(1/($A$101-$A$100))-1)*100,0)</f>
        <v>2.4436532378282472</v>
      </c>
      <c r="I9" s="94">
        <v>0.56134327419487429</v>
      </c>
      <c r="J9" s="94">
        <v>-0.21770904065899815</v>
      </c>
      <c r="K9" s="94">
        <v>0.15328319439040927</v>
      </c>
      <c r="L9" s="94">
        <f t="shared" ref="L9:L48" si="4">SUM(J9:K9)</f>
        <v>-6.4425846268588882E-2</v>
      </c>
      <c r="N9" s="40">
        <f t="shared" ref="N9:N50" si="5">IF(O9&gt;0,((1+(Q9/O9))^(1/($A$101-$A$100))-1)*100,0)</f>
        <v>2.5068914334568815</v>
      </c>
      <c r="O9" s="94">
        <v>1.5400906331410087</v>
      </c>
      <c r="P9" s="94">
        <v>0.28375808682996728</v>
      </c>
      <c r="Q9" s="94">
        <v>0.43268145633424426</v>
      </c>
      <c r="R9" s="94">
        <f t="shared" ref="R9:R48" si="6">SUM(P9:Q9)</f>
        <v>0.71643954316421155</v>
      </c>
      <c r="S9" s="107"/>
      <c r="T9" s="40">
        <f t="shared" ref="T9:T50" si="7">IF(U9&gt;0,((1+(W9/U9))^(1/($A$101-$A$100))-1)*100,0)</f>
        <v>2.8454839589988623</v>
      </c>
      <c r="U9" s="94">
        <v>0.78656609266410804</v>
      </c>
      <c r="V9" s="94">
        <v>0.24695095382903356</v>
      </c>
      <c r="W9" s="94">
        <v>0.25476175495297482</v>
      </c>
      <c r="X9" s="94">
        <f t="shared" ref="X9:X48" si="8">SUM(V9:W9)</f>
        <v>0.50171270878200835</v>
      </c>
      <c r="Y9" s="91" t="str">
        <f t="shared" si="0"/>
        <v>Mining and quarrying</v>
      </c>
      <c r="Z9" s="40">
        <f t="shared" ref="Z9:Z48" si="9">IF(AA9&gt;0,((1+(AC9/AA9))^(1/($A$101-$A$100))-1)*100,0)</f>
        <v>2.8484964339744012</v>
      </c>
      <c r="AA9" s="11">
        <v>0.91916274125036446</v>
      </c>
      <c r="AB9" s="94">
        <v>0.31532613098932155</v>
      </c>
      <c r="AC9" s="94">
        <v>0.29806511305958167</v>
      </c>
      <c r="AD9" s="94">
        <f t="shared" ref="AD9:AD48" si="10">SUM(AB9:AC9)</f>
        <v>0.61339124404890322</v>
      </c>
      <c r="AE9" s="94"/>
      <c r="AF9" s="40">
        <f t="shared" ref="AF9:AF48" si="11">IF(AG9&gt;0,((1+(AI9/AG9))^(1/($A$101-$A$100))-1)*100,0)</f>
        <v>2.5647482470575023</v>
      </c>
      <c r="AG9" s="94">
        <v>6.0971942881735838E-2</v>
      </c>
      <c r="AH9" s="94">
        <v>-2.5168577316816716E-2</v>
      </c>
      <c r="AI9" s="94">
        <v>1.7571732105538661E-2</v>
      </c>
      <c r="AJ9" s="94">
        <f t="shared" ref="AJ9:AJ48" si="12">SUM(AH9:AI9)</f>
        <v>-7.5968452112780555E-3</v>
      </c>
      <c r="AL9" s="40">
        <f t="shared" ref="AL9:AL48" si="13">IF(AM9&gt;0,((1+(AO9/AM9))^(1/($A$101-$A$100))-1)*100,0)</f>
        <v>2.6969613560046124</v>
      </c>
      <c r="AM9" s="94">
        <v>0.23935227172586462</v>
      </c>
      <c r="AN9" s="94">
        <v>0.14142536362746669</v>
      </c>
      <c r="AO9" s="94">
        <v>7.2977576857019638E-2</v>
      </c>
      <c r="AP9" s="94">
        <f t="shared" ref="AP9:AP48" si="14">SUM(AN9:AO9)</f>
        <v>0.21440294048448633</v>
      </c>
      <c r="AQ9" s="107"/>
      <c r="AR9" s="40">
        <f t="shared" ref="AR9:AR48" si="15">IF(AS9&gt;0,((1+(AU9/AS9))^(1/($A$101-$A$100))-1)*100,0)</f>
        <v>2.9340110632854799</v>
      </c>
      <c r="AS9" s="94">
        <v>0.61883852664276406</v>
      </c>
      <c r="AT9" s="94">
        <v>0.19906934467867154</v>
      </c>
      <c r="AU9" s="94">
        <v>0.20751580409702336</v>
      </c>
      <c r="AV9" s="94">
        <f t="shared" ref="AV9:AV48" si="16">SUM(AT9:AU9)</f>
        <v>0.4065851487756949</v>
      </c>
      <c r="AW9" s="91" t="str">
        <f t="shared" ref="AW9:AW48" si="17">Y9</f>
        <v>Mining and quarrying</v>
      </c>
      <c r="AX9" s="40">
        <f t="shared" ref="AX9:AX48" si="18">IF(AY9&gt;0,((1+(BA9/AY9))^(1/($A$101-$A$100))-1)*100,0)</f>
        <v>2.6726206587082579</v>
      </c>
      <c r="AY9" s="11">
        <v>0.3067194252346826</v>
      </c>
      <c r="AZ9" s="94">
        <v>6.8760264538259452E-2</v>
      </c>
      <c r="BA9" s="94">
        <v>9.2569950318502167E-2</v>
      </c>
      <c r="BB9" s="94">
        <f t="shared" ref="BB9:BB48" si="19">SUM(AZ9:BA9)</f>
        <v>0.16133021485676163</v>
      </c>
      <c r="BC9" s="94"/>
      <c r="BD9" s="40">
        <f t="shared" ref="BD9:BD48" si="20">IF(BE9&gt;0,((1+(BG9/BE9))^(1/($A$101-$A$100))-1)*100,0)</f>
        <v>2.5499994113037161</v>
      </c>
      <c r="BE9" s="94">
        <v>4.8330458353493297E-2</v>
      </c>
      <c r="BF9" s="94">
        <v>1.4245064889474328E-2</v>
      </c>
      <c r="BG9" s="94">
        <v>1.3839064758290531E-2</v>
      </c>
      <c r="BH9" s="94">
        <f t="shared" ref="BH9:BH48" si="21">SUM(BF9:BG9)</f>
        <v>2.8084129647764858E-2</v>
      </c>
      <c r="BJ9" s="40">
        <f t="shared" ref="BJ9:BJ48" si="22">IF(BK9&gt;0,((1+(BM9/BK9))^(1/($A$101-$A$100))-1)*100,0)</f>
        <v>2.6327433470687112</v>
      </c>
      <c r="BK9" s="94">
        <v>0.1678509941154788</v>
      </c>
      <c r="BL9" s="94">
        <v>9.5539598382306211E-3</v>
      </c>
      <c r="BM9" s="94">
        <v>4.9811346068916303E-2</v>
      </c>
      <c r="BN9" s="94">
        <f t="shared" ref="BN9:BN48" si="23">SUM(BL9:BM9)</f>
        <v>5.936530590714692E-2</v>
      </c>
      <c r="BO9" s="107"/>
      <c r="BP9" s="40">
        <f t="shared" ref="BP9:BP48" si="24">IF(BQ9&gt;0,((1+(BS9/BQ9))^(1/($A$101-$A$100))-1)*100,0)</f>
        <v>2.8106890888395686</v>
      </c>
      <c r="BQ9" s="94">
        <v>9.0537972765710545E-2</v>
      </c>
      <c r="BR9" s="94">
        <v>4.4961239810554506E-2</v>
      </c>
      <c r="BS9" s="94">
        <v>2.8919539491295328E-2</v>
      </c>
      <c r="BT9" s="94">
        <f t="shared" ref="BT9:BT48" si="25">SUM(BR9:BS9)</f>
        <v>7.388077930184983E-2</v>
      </c>
      <c r="BU9" s="91" t="str">
        <f t="shared" ref="BU9:BU48" si="26">AW9</f>
        <v>Mining and quarrying</v>
      </c>
      <c r="BV9" s="40">
        <f t="shared" ref="BV9:BV48" si="27">IF(BW9&gt;0,((1+(BY9/BW9))^(1/($A$101-$A$100))-1)*100,0)</f>
        <v>2.4107447061383347</v>
      </c>
      <c r="BW9" s="11">
        <v>1.5632668821604008</v>
      </c>
      <c r="BX9" s="94">
        <v>-0.15103332096346828</v>
      </c>
      <c r="BY9" s="94">
        <v>0.42048964990866566</v>
      </c>
      <c r="BZ9" s="94">
        <f t="shared" ref="BZ9:BZ48" si="28">SUM(BX9:BY9)</f>
        <v>0.26945632894519739</v>
      </c>
      <c r="CA9" s="94"/>
      <c r="CB9" s="40">
        <f t="shared" ref="CB9:CB48" si="29">IF(CC9&gt;0,((1+(CE9/CC9))^(1/($A$101-$A$100))-1)*100,0)</f>
        <v>2.407525741530181</v>
      </c>
      <c r="CC9" s="94">
        <v>0.42499848743780899</v>
      </c>
      <c r="CD9" s="94">
        <v>-0.17974314270981959</v>
      </c>
      <c r="CE9" s="94">
        <v>0.11414717753563779</v>
      </c>
      <c r="CF9" s="94">
        <f t="shared" ref="CF9:CF48" si="30">SUM(CD9:CE9)</f>
        <v>-6.55959651741818E-2</v>
      </c>
      <c r="CH9" s="40">
        <f t="shared" ref="CH9:CH48" si="31">IF(CI9&gt;0,((1+(CK9/CI9))^(1/($A$101-$A$100))-1)*100,0)</f>
        <v>2.4305453687403666</v>
      </c>
      <c r="CI9" s="94">
        <v>1.0610788014669583</v>
      </c>
      <c r="CJ9" s="94">
        <v>2.578945240654381E-2</v>
      </c>
      <c r="CK9" s="94">
        <v>0.28801606100837185</v>
      </c>
      <c r="CL9" s="94">
        <f t="shared" ref="CL9:CL48" si="32">SUM(CJ9:CK9)</f>
        <v>0.31380551341491564</v>
      </c>
      <c r="CM9" s="107"/>
      <c r="CN9" s="40">
        <f t="shared" ref="CN9:CN48" si="33">IF(CO9&gt;0,((1+(CQ9/CO9))^(1/($A$101-$A$100))-1)*100,0)</f>
        <v>2.1531444581060377</v>
      </c>
      <c r="CO9" s="94">
        <v>7.7189593255633515E-2</v>
      </c>
      <c r="CP9" s="94">
        <v>2.9203693398075089E-3</v>
      </c>
      <c r="CQ9" s="94">
        <v>1.8326411364656129E-2</v>
      </c>
      <c r="CR9" s="94">
        <f t="shared" ref="CR9:CR48" si="34">SUM(CP9:CQ9)</f>
        <v>2.1246780704463637E-2</v>
      </c>
      <c r="CS9" s="91" t="str">
        <f t="shared" ref="CS9:CS48" si="35">BU9</f>
        <v>Mining and quarrying</v>
      </c>
      <c r="CT9" s="40">
        <f t="shared" ref="CT9:CT48" si="36">IF(CU9&gt;0,((1+(CW9/CU9))^(1/($A$101-$A$100))-1)*100,0)</f>
        <v>2.6540810004833215</v>
      </c>
      <c r="CU9" s="11">
        <v>9.8850951354543179E-2</v>
      </c>
      <c r="CV9" s="94">
        <v>7.9946925435890021E-2</v>
      </c>
      <c r="CW9" s="94">
        <v>2.9601692390878832E-2</v>
      </c>
      <c r="CX9" s="94">
        <f t="shared" ref="CX9:CX48" si="37">SUM(CV9:CW9)</f>
        <v>0.10954861782676885</v>
      </c>
      <c r="CY9" s="94"/>
      <c r="CZ9" s="40">
        <f t="shared" ref="CZ9:CZ48" si="38">IF(DA9&gt;0,((1+(DC9/DA9))^(1/($A$101-$A$100))-1)*100,0)</f>
        <v>2.5446431599745356</v>
      </c>
      <c r="DA9" s="94">
        <v>2.7042385521836187E-2</v>
      </c>
      <c r="DB9" s="94">
        <v>-2.7042385521836187E-2</v>
      </c>
      <c r="DC9" s="94">
        <v>7.7252199909423136E-3</v>
      </c>
      <c r="DD9" s="94">
        <f t="shared" ref="DD9:DD48" si="39">SUM(DB9:DC9)</f>
        <v>-1.9317165530893875E-2</v>
      </c>
      <c r="DF9" s="40">
        <f t="shared" ref="DF9:DF48" si="40">IF(DG9&gt;0,((1+(DI9/DG9))^(1/($A$101-$A$100))-1)*100,0)</f>
        <v>2.695023478374603</v>
      </c>
      <c r="DG9" s="94">
        <v>7.1808565832706991E-2</v>
      </c>
      <c r="DH9" s="94">
        <v>0.10698931095772621</v>
      </c>
      <c r="DI9" s="94">
        <v>2.1876472399936519E-2</v>
      </c>
      <c r="DJ9" s="94">
        <f t="shared" ref="DJ9:DJ48" si="41">SUM(DH9:DI9)</f>
        <v>0.12886578335766272</v>
      </c>
      <c r="DK9" s="107"/>
      <c r="DL9" s="40">
        <f t="shared" ref="DL9:DL48" si="42">IF(DM9&gt;0,((1+(DO9/DM9))^(1/($A$101-$A$100))-1)*100,0)</f>
        <v>0</v>
      </c>
      <c r="DM9" s="94">
        <v>0</v>
      </c>
      <c r="DN9" s="94">
        <v>0</v>
      </c>
      <c r="DO9" s="94">
        <v>0</v>
      </c>
      <c r="DP9" s="94">
        <f t="shared" ref="DP9:DP48" si="43">SUM(DN9:DO9)</f>
        <v>0</v>
      </c>
    </row>
    <row r="10" spans="1:120" x14ac:dyDescent="0.2">
      <c r="A10" s="91" t="str">
        <f>name!B6</f>
        <v>Food drink and tobacco</v>
      </c>
      <c r="B10" s="40">
        <f t="shared" si="1"/>
        <v>2.4974565282579464</v>
      </c>
      <c r="C10" s="11">
        <v>95.045497362862733</v>
      </c>
      <c r="D10" s="94">
        <v>-5.3306461845042801</v>
      </c>
      <c r="E10" s="94">
        <v>26.590587472903774</v>
      </c>
      <c r="F10" s="94">
        <f t="shared" si="2"/>
        <v>21.259941288399496</v>
      </c>
      <c r="G10" s="94"/>
      <c r="H10" s="40">
        <f t="shared" si="3"/>
        <v>2.284281579929015</v>
      </c>
      <c r="I10" s="94">
        <v>28.557886141186682</v>
      </c>
      <c r="J10" s="94">
        <v>-7.0859124796803128</v>
      </c>
      <c r="K10" s="94">
        <v>7.2365107328119995</v>
      </c>
      <c r="L10" s="94">
        <f t="shared" si="4"/>
        <v>0.15059825313168673</v>
      </c>
      <c r="N10" s="40">
        <f t="shared" si="5"/>
        <v>2.4310099949182096</v>
      </c>
      <c r="O10" s="94">
        <v>47.02342038156808</v>
      </c>
      <c r="P10" s="94">
        <v>2.711005058419897</v>
      </c>
      <c r="Q10" s="94">
        <v>12.766608810353613</v>
      </c>
      <c r="R10" s="94">
        <f t="shared" si="6"/>
        <v>15.47761386877351</v>
      </c>
      <c r="S10" s="107"/>
      <c r="T10" s="40">
        <f t="shared" si="7"/>
        <v>2.9579537866369021</v>
      </c>
      <c r="U10" s="94">
        <v>19.464190840107968</v>
      </c>
      <c r="V10" s="94">
        <v>-0.95573876324386542</v>
      </c>
      <c r="W10" s="94">
        <v>6.5874679297381604</v>
      </c>
      <c r="X10" s="94">
        <f t="shared" si="8"/>
        <v>5.6317291664942948</v>
      </c>
      <c r="Y10" s="91" t="str">
        <f t="shared" si="0"/>
        <v>Food drink and tobacco</v>
      </c>
      <c r="Z10" s="40">
        <f t="shared" si="9"/>
        <v>3.1266976916814349</v>
      </c>
      <c r="AA10" s="11">
        <v>21.34292323603459</v>
      </c>
      <c r="AB10" s="94">
        <v>-5.4147809911053627E-2</v>
      </c>
      <c r="AC10" s="94">
        <v>7.6949639013979727</v>
      </c>
      <c r="AD10" s="94">
        <f t="shared" si="10"/>
        <v>7.6408160914869194</v>
      </c>
      <c r="AE10" s="94"/>
      <c r="AF10" s="40">
        <f t="shared" si="11"/>
        <v>3.009575633743844</v>
      </c>
      <c r="AG10" s="94">
        <v>1.8592043302087065</v>
      </c>
      <c r="AH10" s="94">
        <v>-0.39908371390288427</v>
      </c>
      <c r="AI10" s="94">
        <v>0.64173468922880073</v>
      </c>
      <c r="AJ10" s="94">
        <f t="shared" si="12"/>
        <v>0.24265097532591645</v>
      </c>
      <c r="AL10" s="40">
        <f t="shared" si="13"/>
        <v>3.0478152738149689</v>
      </c>
      <c r="AM10" s="94">
        <v>7.0494146420033079</v>
      </c>
      <c r="AN10" s="94">
        <v>0.77249580975616283</v>
      </c>
      <c r="AO10" s="94">
        <v>2.4684810982893786</v>
      </c>
      <c r="AP10" s="94">
        <f t="shared" si="14"/>
        <v>3.2409769080455413</v>
      </c>
      <c r="AQ10" s="107"/>
      <c r="AR10" s="40">
        <f t="shared" si="15"/>
        <v>3.1885211674371972</v>
      </c>
      <c r="AS10" s="94">
        <v>12.434304263822574</v>
      </c>
      <c r="AT10" s="94">
        <v>-0.42755990576433228</v>
      </c>
      <c r="AU10" s="94">
        <v>4.5847481138797939</v>
      </c>
      <c r="AV10" s="94">
        <f t="shared" si="16"/>
        <v>4.1571882081154614</v>
      </c>
      <c r="AW10" s="91" t="str">
        <f t="shared" si="17"/>
        <v>Food drink and tobacco</v>
      </c>
      <c r="AX10" s="40">
        <f t="shared" si="18"/>
        <v>2.5235241914950635</v>
      </c>
      <c r="AY10" s="11">
        <v>17.336358924907866</v>
      </c>
      <c r="AZ10" s="94">
        <v>-0.12728232767007444</v>
      </c>
      <c r="BA10" s="94">
        <v>4.9066304279196737</v>
      </c>
      <c r="BB10" s="94">
        <f t="shared" si="19"/>
        <v>4.7793481002495994</v>
      </c>
      <c r="BC10" s="94"/>
      <c r="BD10" s="40">
        <f t="shared" si="20"/>
        <v>2.4363702313833224</v>
      </c>
      <c r="BE10" s="94">
        <v>3.9959783673326772</v>
      </c>
      <c r="BF10" s="94">
        <v>-0.83348086360043461</v>
      </c>
      <c r="BG10" s="94">
        <v>1.0875463509002989</v>
      </c>
      <c r="BH10" s="94">
        <f t="shared" si="21"/>
        <v>0.25406548729986433</v>
      </c>
      <c r="BJ10" s="40">
        <f t="shared" si="22"/>
        <v>2.5027216432235821</v>
      </c>
      <c r="BK10" s="94">
        <v>10.073083832716854</v>
      </c>
      <c r="BL10" s="94">
        <v>1.512717786678091</v>
      </c>
      <c r="BM10" s="94">
        <v>2.8247393034036694</v>
      </c>
      <c r="BN10" s="94">
        <f t="shared" si="23"/>
        <v>4.3374570900817604</v>
      </c>
      <c r="BO10" s="107"/>
      <c r="BP10" s="40">
        <f t="shared" si="24"/>
        <v>2.6925252680388922</v>
      </c>
      <c r="BQ10" s="94">
        <v>3.2672967248583333</v>
      </c>
      <c r="BR10" s="94">
        <v>-0.80651925074773079</v>
      </c>
      <c r="BS10" s="94">
        <v>0.9943447736157055</v>
      </c>
      <c r="BT10" s="94">
        <f t="shared" si="25"/>
        <v>0.18782552286797471</v>
      </c>
      <c r="BU10" s="91" t="str">
        <f t="shared" si="26"/>
        <v>Food drink and tobacco</v>
      </c>
      <c r="BV10" s="40">
        <f t="shared" si="27"/>
        <v>2.2441836744385046</v>
      </c>
      <c r="BW10" s="11">
        <v>49.598564072912936</v>
      </c>
      <c r="BX10" s="94">
        <v>-3.6306790931946717</v>
      </c>
      <c r="BY10" s="94">
        <v>12.324896934512662</v>
      </c>
      <c r="BZ10" s="94">
        <f t="shared" si="28"/>
        <v>8.6942178413179896</v>
      </c>
      <c r="CA10" s="94"/>
      <c r="CB10" s="40">
        <f t="shared" si="29"/>
        <v>2.1888664422200721</v>
      </c>
      <c r="CC10" s="94">
        <v>19.525240563492041</v>
      </c>
      <c r="CD10" s="94">
        <v>-4.8301674544914821</v>
      </c>
      <c r="CE10" s="94">
        <v>4.7203188998071877</v>
      </c>
      <c r="CF10" s="94">
        <f t="shared" si="30"/>
        <v>-0.10984855468429444</v>
      </c>
      <c r="CH10" s="40">
        <f t="shared" si="31"/>
        <v>2.2613705769742198</v>
      </c>
      <c r="CI10" s="94">
        <v>26.537310513901321</v>
      </c>
      <c r="CJ10" s="94">
        <v>0.90730570853380754</v>
      </c>
      <c r="CK10" s="94">
        <v>6.6500717395964477</v>
      </c>
      <c r="CL10" s="94">
        <f t="shared" si="32"/>
        <v>7.5573774481302554</v>
      </c>
      <c r="CM10" s="107"/>
      <c r="CN10" s="40">
        <f t="shared" si="33"/>
        <v>2.4184670868230285</v>
      </c>
      <c r="CO10" s="94">
        <v>3.5360129955195734</v>
      </c>
      <c r="CP10" s="94">
        <v>0.29218265276300265</v>
      </c>
      <c r="CQ10" s="94">
        <v>0.95450629510902829</v>
      </c>
      <c r="CR10" s="94">
        <f t="shared" si="34"/>
        <v>1.2466889478720309</v>
      </c>
      <c r="CS10" s="91" t="str">
        <f t="shared" si="35"/>
        <v>Food drink and tobacco</v>
      </c>
      <c r="CT10" s="40">
        <f t="shared" si="36"/>
        <v>2.2228446109720412</v>
      </c>
      <c r="CU10" s="11">
        <v>6.7676511290073389</v>
      </c>
      <c r="CV10" s="94">
        <v>-1.5185369537284803</v>
      </c>
      <c r="CW10" s="94">
        <v>1.6640962090734628</v>
      </c>
      <c r="CX10" s="94">
        <f t="shared" si="37"/>
        <v>0.14555925534498249</v>
      </c>
      <c r="CY10" s="94"/>
      <c r="CZ10" s="40">
        <f t="shared" si="38"/>
        <v>2.2373089799467394</v>
      </c>
      <c r="DA10" s="94">
        <v>3.1774628801532612</v>
      </c>
      <c r="DB10" s="94">
        <v>-1.0231804476855118</v>
      </c>
      <c r="DC10" s="94">
        <v>0.78691079287571253</v>
      </c>
      <c r="DD10" s="94">
        <f t="shared" si="39"/>
        <v>-0.23626965480979922</v>
      </c>
      <c r="DF10" s="40">
        <f t="shared" si="40"/>
        <v>2.2136668085149358</v>
      </c>
      <c r="DG10" s="94">
        <v>3.3636113929465901</v>
      </c>
      <c r="DH10" s="94">
        <v>-0.48151424654816377</v>
      </c>
      <c r="DI10" s="94">
        <v>0.82331666906411805</v>
      </c>
      <c r="DJ10" s="94">
        <f t="shared" si="41"/>
        <v>0.34180242251595427</v>
      </c>
      <c r="DK10" s="107"/>
      <c r="DL10" s="40">
        <f t="shared" si="42"/>
        <v>2.1558658032539757</v>
      </c>
      <c r="DM10" s="94">
        <v>0.22657685590748641</v>
      </c>
      <c r="DN10" s="94">
        <v>-1.3842259494804953E-2</v>
      </c>
      <c r="DO10" s="94">
        <v>5.3868747133632294E-2</v>
      </c>
      <c r="DP10" s="94">
        <f t="shared" si="43"/>
        <v>4.0026487638827338E-2</v>
      </c>
    </row>
    <row r="11" spans="1:120" x14ac:dyDescent="0.2">
      <c r="A11" s="91" t="str">
        <f>name!B7</f>
        <v>Engineering</v>
      </c>
      <c r="B11" s="40">
        <f t="shared" si="1"/>
        <v>2.3974240716110096</v>
      </c>
      <c r="C11" s="11">
        <v>26.682999999999964</v>
      </c>
      <c r="D11" s="94">
        <v>2.1359999999999681</v>
      </c>
      <c r="E11" s="94">
        <v>7.1332131341977885</v>
      </c>
      <c r="F11" s="94">
        <f t="shared" si="2"/>
        <v>9.2692131341977557</v>
      </c>
      <c r="G11" s="94"/>
      <c r="H11" s="40">
        <f t="shared" si="3"/>
        <v>2.1428388473321736</v>
      </c>
      <c r="I11" s="94">
        <v>7.7290127378228242</v>
      </c>
      <c r="J11" s="94">
        <v>-0.85964814638885922</v>
      </c>
      <c r="K11" s="94">
        <v>1.8253838239565419</v>
      </c>
      <c r="L11" s="94">
        <f t="shared" si="4"/>
        <v>0.96573567756768264</v>
      </c>
      <c r="N11" s="40">
        <f t="shared" si="5"/>
        <v>2.2704847424125818</v>
      </c>
      <c r="O11" s="94">
        <v>12.694060205112665</v>
      </c>
      <c r="P11" s="94">
        <v>1.750762648197131</v>
      </c>
      <c r="Q11" s="94">
        <v>3.1952007619921963</v>
      </c>
      <c r="R11" s="94">
        <f t="shared" si="6"/>
        <v>4.9459634101893268</v>
      </c>
      <c r="S11" s="107"/>
      <c r="T11" s="40">
        <f t="shared" si="7"/>
        <v>2.9505987528880562</v>
      </c>
      <c r="U11" s="94">
        <v>6.2599270570644734</v>
      </c>
      <c r="V11" s="94">
        <v>1.2448854981916966</v>
      </c>
      <c r="W11" s="94">
        <v>2.112628548249051</v>
      </c>
      <c r="X11" s="94">
        <f t="shared" si="8"/>
        <v>3.3575140464407474</v>
      </c>
      <c r="Y11" s="91" t="str">
        <f t="shared" si="0"/>
        <v>Engineering</v>
      </c>
      <c r="Z11" s="40">
        <f t="shared" si="9"/>
        <v>2.9893837262348733</v>
      </c>
      <c r="AA11" s="11">
        <v>6.5504971882441936</v>
      </c>
      <c r="AB11" s="94">
        <v>0.7414598842641813</v>
      </c>
      <c r="AC11" s="94">
        <v>2.243753846340574</v>
      </c>
      <c r="AD11" s="94">
        <f t="shared" si="10"/>
        <v>2.9852137306047553</v>
      </c>
      <c r="AE11" s="94"/>
      <c r="AF11" s="40">
        <f t="shared" si="11"/>
        <v>2.6484123810696314</v>
      </c>
      <c r="AG11" s="94">
        <v>0.62605054755772271</v>
      </c>
      <c r="AH11" s="94">
        <v>-4.0708044204614172E-2</v>
      </c>
      <c r="AI11" s="94">
        <v>0.18702662236296508</v>
      </c>
      <c r="AJ11" s="94">
        <f t="shared" si="12"/>
        <v>0.14631857815835092</v>
      </c>
      <c r="AL11" s="40">
        <f t="shared" si="13"/>
        <v>2.8200029669356086</v>
      </c>
      <c r="AM11" s="94">
        <v>1.9725323922654858</v>
      </c>
      <c r="AN11" s="94">
        <v>5.7186726837409781E-2</v>
      </c>
      <c r="AO11" s="94">
        <v>0.63242284192617815</v>
      </c>
      <c r="AP11" s="94">
        <f t="shared" si="14"/>
        <v>0.68960956876358792</v>
      </c>
      <c r="AQ11" s="107"/>
      <c r="AR11" s="40">
        <f t="shared" si="15"/>
        <v>3.1257074628290971</v>
      </c>
      <c r="AS11" s="94">
        <v>3.9519142484209846</v>
      </c>
      <c r="AT11" s="94">
        <v>0.72498120163138557</v>
      </c>
      <c r="AU11" s="94">
        <v>1.4243043820514307</v>
      </c>
      <c r="AV11" s="94">
        <f t="shared" si="16"/>
        <v>2.1492855836828162</v>
      </c>
      <c r="AW11" s="91" t="str">
        <f t="shared" si="17"/>
        <v>Engineering</v>
      </c>
      <c r="AX11" s="40">
        <f t="shared" si="18"/>
        <v>2.6610076636430335</v>
      </c>
      <c r="AY11" s="11">
        <v>3.2443503982662985</v>
      </c>
      <c r="AZ11" s="94">
        <v>0.14772454699359541</v>
      </c>
      <c r="BA11" s="94">
        <v>0.97439173559588765</v>
      </c>
      <c r="BB11" s="94">
        <f t="shared" si="19"/>
        <v>1.122116282589483</v>
      </c>
      <c r="BC11" s="94"/>
      <c r="BD11" s="40">
        <f t="shared" si="20"/>
        <v>2.5177966298219889</v>
      </c>
      <c r="BE11" s="94">
        <v>0.76061810370622518</v>
      </c>
      <c r="BF11" s="94">
        <v>-8.6613615501482388E-2</v>
      </c>
      <c r="BG11" s="94">
        <v>0.21472921204151713</v>
      </c>
      <c r="BH11" s="94">
        <f t="shared" si="21"/>
        <v>0.12811559654003474</v>
      </c>
      <c r="BJ11" s="40">
        <f t="shared" si="22"/>
        <v>2.6414518363808703</v>
      </c>
      <c r="BK11" s="94">
        <v>1.3612202522776553</v>
      </c>
      <c r="BL11" s="94">
        <v>-9.1457270541903425E-3</v>
      </c>
      <c r="BM11" s="94">
        <v>0.40545313032121294</v>
      </c>
      <c r="BN11" s="94">
        <f t="shared" si="23"/>
        <v>0.39630740326702257</v>
      </c>
      <c r="BO11" s="107"/>
      <c r="BP11" s="40">
        <f t="shared" si="24"/>
        <v>2.7805073211446985</v>
      </c>
      <c r="BQ11" s="94">
        <v>1.122512042282418</v>
      </c>
      <c r="BR11" s="94">
        <v>0.24348388954926817</v>
      </c>
      <c r="BS11" s="94">
        <v>0.35420939323315764</v>
      </c>
      <c r="BT11" s="94">
        <f t="shared" si="25"/>
        <v>0.59769328278242584</v>
      </c>
      <c r="BU11" s="91" t="str">
        <f t="shared" si="26"/>
        <v>Engineering</v>
      </c>
      <c r="BV11" s="40">
        <f t="shared" si="27"/>
        <v>2.0986442989320508</v>
      </c>
      <c r="BW11" s="11">
        <v>15.307841962071205</v>
      </c>
      <c r="BX11" s="94">
        <v>0.41022057712335003</v>
      </c>
      <c r="BY11" s="94">
        <v>3.5335820893340286</v>
      </c>
      <c r="BZ11" s="94">
        <f t="shared" si="28"/>
        <v>3.9438026664573789</v>
      </c>
      <c r="CA11" s="94"/>
      <c r="CB11" s="40">
        <f t="shared" si="29"/>
        <v>2.0210770566263747</v>
      </c>
      <c r="CC11" s="94">
        <v>5.8033468392667986</v>
      </c>
      <c r="CD11" s="94">
        <v>-0.34664652297871712</v>
      </c>
      <c r="CE11" s="94">
        <v>1.2855322454287512</v>
      </c>
      <c r="CF11" s="94">
        <f t="shared" si="30"/>
        <v>0.9388857224500341</v>
      </c>
      <c r="CH11" s="40">
        <f t="shared" si="31"/>
        <v>2.0955416811876404</v>
      </c>
      <c r="CI11" s="94">
        <v>8.3881190579667813</v>
      </c>
      <c r="CJ11" s="94">
        <v>0.46878350843430538</v>
      </c>
      <c r="CK11" s="94">
        <v>1.9331324937867693</v>
      </c>
      <c r="CL11" s="94">
        <f t="shared" si="32"/>
        <v>2.4019160022210748</v>
      </c>
      <c r="CM11" s="107"/>
      <c r="CN11" s="40">
        <f t="shared" si="33"/>
        <v>2.5160385347847258</v>
      </c>
      <c r="CO11" s="94">
        <v>1.1163760648376253</v>
      </c>
      <c r="CP11" s="94">
        <v>0.28808359166776182</v>
      </c>
      <c r="CQ11" s="94">
        <v>0.31491735011850813</v>
      </c>
      <c r="CR11" s="94">
        <f t="shared" si="34"/>
        <v>0.60300094178626995</v>
      </c>
      <c r="CS11" s="91" t="str">
        <f t="shared" si="35"/>
        <v>Engineering</v>
      </c>
      <c r="CT11" s="40">
        <f t="shared" si="36"/>
        <v>2.1859392974191483</v>
      </c>
      <c r="CU11" s="11">
        <v>1.5803104514182647</v>
      </c>
      <c r="CV11" s="94">
        <v>0.83659499161884154</v>
      </c>
      <c r="CW11" s="94">
        <v>0.38148546292729896</v>
      </c>
      <c r="CX11" s="94">
        <f t="shared" si="37"/>
        <v>1.2180804545461406</v>
      </c>
      <c r="CY11" s="94"/>
      <c r="CZ11" s="40">
        <f t="shared" si="38"/>
        <v>2.307194889511166</v>
      </c>
      <c r="DA11" s="94">
        <v>0.53899724729207821</v>
      </c>
      <c r="DB11" s="94">
        <v>-0.3856799637040455</v>
      </c>
      <c r="DC11" s="94">
        <v>0.13809574412330866</v>
      </c>
      <c r="DD11" s="94">
        <f t="shared" si="39"/>
        <v>-0.24758421958073684</v>
      </c>
      <c r="DF11" s="40">
        <f t="shared" si="40"/>
        <v>2.0967447677556317</v>
      </c>
      <c r="DG11" s="94">
        <v>0.97218850260274148</v>
      </c>
      <c r="DH11" s="94">
        <v>1.2339381399796061</v>
      </c>
      <c r="DI11" s="94">
        <v>0.22419229595803594</v>
      </c>
      <c r="DJ11" s="94">
        <f t="shared" si="41"/>
        <v>1.4581304359376421</v>
      </c>
      <c r="DK11" s="107"/>
      <c r="DL11" s="40">
        <f t="shared" si="42"/>
        <v>2.4810635165479544</v>
      </c>
      <c r="DM11" s="94">
        <v>6.9124701523444784E-2</v>
      </c>
      <c r="DN11" s="94">
        <v>-1.1663184656719028E-2</v>
      </c>
      <c r="DO11" s="94">
        <v>1.9197422845954378E-2</v>
      </c>
      <c r="DP11" s="94">
        <f t="shared" si="43"/>
        <v>7.53423818923535E-3</v>
      </c>
    </row>
    <row r="12" spans="1:120" x14ac:dyDescent="0.2">
      <c r="A12" s="91" t="str">
        <f>name!B8</f>
        <v>Rest of manufacturing</v>
      </c>
      <c r="B12" s="40">
        <f t="shared" si="1"/>
        <v>2.6164350010096316</v>
      </c>
      <c r="C12" s="11">
        <v>42.15199999999993</v>
      </c>
      <c r="D12" s="94">
        <v>-3.3299999999999712</v>
      </c>
      <c r="E12" s="94">
        <v>12.422204390941479</v>
      </c>
      <c r="F12" s="94">
        <f t="shared" si="2"/>
        <v>9.0922043909415073</v>
      </c>
      <c r="G12" s="94"/>
      <c r="H12" s="40">
        <f t="shared" si="3"/>
        <v>2.4469808961299799</v>
      </c>
      <c r="I12" s="94">
        <v>9.6089439679508644</v>
      </c>
      <c r="J12" s="94">
        <v>-2.1975561779706503</v>
      </c>
      <c r="K12" s="94">
        <v>2.6278403106316235</v>
      </c>
      <c r="L12" s="94">
        <f t="shared" si="4"/>
        <v>0.43028413266097321</v>
      </c>
      <c r="N12" s="40">
        <f t="shared" si="5"/>
        <v>2.5333579555699037</v>
      </c>
      <c r="O12" s="94">
        <v>22.575808590792999</v>
      </c>
      <c r="P12" s="94">
        <v>-0.95500589125711122</v>
      </c>
      <c r="Q12" s="94">
        <v>6.4173226387381153</v>
      </c>
      <c r="R12" s="94">
        <f t="shared" si="6"/>
        <v>5.4623167474810037</v>
      </c>
      <c r="S12" s="107"/>
      <c r="T12" s="40">
        <f t="shared" si="7"/>
        <v>2.9608263556274439</v>
      </c>
      <c r="U12" s="94">
        <v>9.9672474412560668</v>
      </c>
      <c r="V12" s="94">
        <v>-0.17743793077220946</v>
      </c>
      <c r="W12" s="94">
        <v>3.3770414415717394</v>
      </c>
      <c r="X12" s="94">
        <f t="shared" si="8"/>
        <v>3.19960351079953</v>
      </c>
      <c r="Y12" s="91" t="str">
        <f t="shared" si="0"/>
        <v>Rest of manufacturing</v>
      </c>
      <c r="Z12" s="40">
        <f t="shared" si="9"/>
        <v>2.9763942733826543</v>
      </c>
      <c r="AA12" s="11">
        <v>10.498945664126412</v>
      </c>
      <c r="AB12" s="94">
        <v>0.34529888283838883</v>
      </c>
      <c r="AC12" s="94">
        <v>3.5784558313106598</v>
      </c>
      <c r="AD12" s="94">
        <f t="shared" si="10"/>
        <v>3.9237547141490485</v>
      </c>
      <c r="AE12" s="94"/>
      <c r="AF12" s="40">
        <f t="shared" si="11"/>
        <v>2.7040649618628176</v>
      </c>
      <c r="AG12" s="94">
        <v>0.75816764967198691</v>
      </c>
      <c r="AH12" s="94">
        <v>-0.14426412804349217</v>
      </c>
      <c r="AI12" s="94">
        <v>0.23184690614128767</v>
      </c>
      <c r="AJ12" s="94">
        <f t="shared" si="12"/>
        <v>8.7582778097795494E-2</v>
      </c>
      <c r="AL12" s="40">
        <f t="shared" si="13"/>
        <v>2.8324908960291717</v>
      </c>
      <c r="AM12" s="94">
        <v>3.7458067354035878</v>
      </c>
      <c r="AN12" s="94">
        <v>-2.1430511128079324E-2</v>
      </c>
      <c r="AO12" s="94">
        <v>1.2069719734322446</v>
      </c>
      <c r="AP12" s="94">
        <f t="shared" si="14"/>
        <v>1.1855414623041653</v>
      </c>
      <c r="AQ12" s="107"/>
      <c r="AR12" s="40">
        <f t="shared" si="15"/>
        <v>3.0991188393576063</v>
      </c>
      <c r="AS12" s="94">
        <v>5.9949712790508363</v>
      </c>
      <c r="AT12" s="94">
        <v>0.51099352200996029</v>
      </c>
      <c r="AU12" s="94">
        <v>2.1396369517371276</v>
      </c>
      <c r="AV12" s="94">
        <f t="shared" si="16"/>
        <v>2.6506304737470878</v>
      </c>
      <c r="AW12" s="91" t="str">
        <f t="shared" si="17"/>
        <v>Rest of manufacturing</v>
      </c>
      <c r="AX12" s="40">
        <f t="shared" si="18"/>
        <v>2.667464938337738</v>
      </c>
      <c r="AY12" s="11">
        <v>4.3775371772570599</v>
      </c>
      <c r="AZ12" s="94">
        <v>-1.2645538867862174</v>
      </c>
      <c r="BA12" s="94">
        <v>1.3183086935944921</v>
      </c>
      <c r="BB12" s="94">
        <f t="shared" si="19"/>
        <v>5.3754806808274713E-2</v>
      </c>
      <c r="BC12" s="94"/>
      <c r="BD12" s="40">
        <f t="shared" si="20"/>
        <v>2.5806373974742502</v>
      </c>
      <c r="BE12" s="94">
        <v>0.50445012564800362</v>
      </c>
      <c r="BF12" s="94">
        <v>-0.13667993756951582</v>
      </c>
      <c r="BG12" s="94">
        <v>0.14638677364194702</v>
      </c>
      <c r="BH12" s="94">
        <f t="shared" si="21"/>
        <v>9.7068360724311964E-3</v>
      </c>
      <c r="BJ12" s="40">
        <f t="shared" si="22"/>
        <v>2.6049115123564892</v>
      </c>
      <c r="BK12" s="94">
        <v>2.2466979729709307</v>
      </c>
      <c r="BL12" s="94">
        <v>-0.58280055442252565</v>
      </c>
      <c r="BM12" s="94">
        <v>0.65883758800710124</v>
      </c>
      <c r="BN12" s="94">
        <f t="shared" si="23"/>
        <v>7.6037033584575586E-2</v>
      </c>
      <c r="BO12" s="107"/>
      <c r="BP12" s="40">
        <f t="shared" si="24"/>
        <v>2.779912687566588</v>
      </c>
      <c r="BQ12" s="94">
        <v>1.6263890786381248</v>
      </c>
      <c r="BR12" s="94">
        <v>-0.54507339479417605</v>
      </c>
      <c r="BS12" s="94">
        <v>0.51308433194544378</v>
      </c>
      <c r="BT12" s="94">
        <f t="shared" si="25"/>
        <v>-3.1989062848732264E-2</v>
      </c>
      <c r="BU12" s="91" t="str">
        <f t="shared" si="26"/>
        <v>Rest of manufacturing</v>
      </c>
      <c r="BV12" s="40">
        <f t="shared" si="27"/>
        <v>2.4731834060013336</v>
      </c>
      <c r="BW12" s="11">
        <v>26.112763020344723</v>
      </c>
      <c r="BX12" s="94">
        <v>-1.8174984546461121</v>
      </c>
      <c r="BY12" s="94">
        <v>7.2264319158956178</v>
      </c>
      <c r="BZ12" s="94">
        <f t="shared" si="28"/>
        <v>5.4089334612495055</v>
      </c>
      <c r="CA12" s="94"/>
      <c r="CB12" s="40">
        <f t="shared" si="29"/>
        <v>2.4168124747555364</v>
      </c>
      <c r="CC12" s="94">
        <v>7.7759473470029352</v>
      </c>
      <c r="CD12" s="94">
        <v>-1.7158164744931881</v>
      </c>
      <c r="CE12" s="94">
        <v>2.0974328886080462</v>
      </c>
      <c r="CF12" s="94">
        <f t="shared" si="30"/>
        <v>0.38161641411485814</v>
      </c>
      <c r="CH12" s="40">
        <f t="shared" si="31"/>
        <v>2.4638206980051702</v>
      </c>
      <c r="CI12" s="94">
        <v>16.01397145403611</v>
      </c>
      <c r="CJ12" s="94">
        <v>5.414488253187176E-2</v>
      </c>
      <c r="CK12" s="94">
        <v>4.4130248025048795</v>
      </c>
      <c r="CL12" s="94">
        <f t="shared" si="32"/>
        <v>4.467169685036751</v>
      </c>
      <c r="CM12" s="107"/>
      <c r="CN12" s="40">
        <f t="shared" si="33"/>
        <v>2.7231827177615964</v>
      </c>
      <c r="CO12" s="94">
        <v>2.3228442193056784</v>
      </c>
      <c r="CP12" s="94">
        <v>-0.15582686268479601</v>
      </c>
      <c r="CQ12" s="94">
        <v>0.71597422478269179</v>
      </c>
      <c r="CR12" s="94">
        <f t="shared" si="34"/>
        <v>0.56014736209789584</v>
      </c>
      <c r="CS12" s="91" t="str">
        <f t="shared" si="35"/>
        <v>Rest of manufacturing</v>
      </c>
      <c r="CT12" s="40">
        <f t="shared" si="36"/>
        <v>2.3148990339762587</v>
      </c>
      <c r="CU12" s="11">
        <v>1.1627541382717359</v>
      </c>
      <c r="CV12" s="94">
        <v>-0.59324654140603028</v>
      </c>
      <c r="CW12" s="94">
        <v>0.2990079501407093</v>
      </c>
      <c r="CX12" s="94">
        <f t="shared" si="37"/>
        <v>-0.29423859126532098</v>
      </c>
      <c r="CY12" s="94"/>
      <c r="CZ12" s="40">
        <f t="shared" si="38"/>
        <v>2.3930795875785948</v>
      </c>
      <c r="DA12" s="94">
        <v>0.57037884562794017</v>
      </c>
      <c r="DB12" s="94">
        <v>-0.20079563786445448</v>
      </c>
      <c r="DC12" s="94">
        <v>0.15217374224034305</v>
      </c>
      <c r="DD12" s="94">
        <f t="shared" si="39"/>
        <v>-4.8621895624111428E-2</v>
      </c>
      <c r="DF12" s="40">
        <f t="shared" si="40"/>
        <v>2.201138550303483</v>
      </c>
      <c r="DG12" s="94">
        <v>0.56933242838237019</v>
      </c>
      <c r="DH12" s="94">
        <v>-0.40491970823837808</v>
      </c>
      <c r="DI12" s="94">
        <v>0.13848827479389025</v>
      </c>
      <c r="DJ12" s="94">
        <f t="shared" si="41"/>
        <v>-0.26643143344448783</v>
      </c>
      <c r="DK12" s="107"/>
      <c r="DL12" s="40">
        <f t="shared" si="42"/>
        <v>3.1392149650770529</v>
      </c>
      <c r="DM12" s="94">
        <v>2.3042864261425509E-2</v>
      </c>
      <c r="DN12" s="94">
        <v>1.2468804696802241E-2</v>
      </c>
      <c r="DO12" s="94">
        <v>8.3459331064760084E-3</v>
      </c>
      <c r="DP12" s="94">
        <f t="shared" si="43"/>
        <v>2.0814737803278249E-2</v>
      </c>
    </row>
    <row r="13" spans="1:120" x14ac:dyDescent="0.2">
      <c r="A13" s="91" t="str">
        <f>name!B9</f>
        <v>Electricity and gas</v>
      </c>
      <c r="B13" s="40">
        <f t="shared" si="1"/>
        <v>2.751547529508569</v>
      </c>
      <c r="C13" s="11">
        <v>5.0589999999999913</v>
      </c>
      <c r="D13" s="94">
        <v>2.0489999999999946</v>
      </c>
      <c r="E13" s="94">
        <v>1.5776420433154477</v>
      </c>
      <c r="F13" s="94">
        <f t="shared" si="2"/>
        <v>3.6266420433154423</v>
      </c>
      <c r="G13" s="94"/>
      <c r="H13" s="40">
        <f t="shared" si="3"/>
        <v>2.5733600826927994</v>
      </c>
      <c r="I13" s="94">
        <v>0.31361419735656709</v>
      </c>
      <c r="J13" s="94">
        <v>7.8773033073184756E-2</v>
      </c>
      <c r="K13" s="94">
        <v>9.0720990468516644E-2</v>
      </c>
      <c r="L13" s="94">
        <f t="shared" si="4"/>
        <v>0.1694940235417014</v>
      </c>
      <c r="N13" s="40">
        <f t="shared" si="5"/>
        <v>2.5323926518590278</v>
      </c>
      <c r="O13" s="94">
        <v>1.1279969424904663</v>
      </c>
      <c r="P13" s="94">
        <v>0.17361487914005555</v>
      </c>
      <c r="Q13" s="94">
        <v>0.32050420132079388</v>
      </c>
      <c r="R13" s="94">
        <f t="shared" si="6"/>
        <v>0.4941190804608494</v>
      </c>
      <c r="S13" s="107"/>
      <c r="T13" s="40">
        <f t="shared" si="7"/>
        <v>2.8342615174113073</v>
      </c>
      <c r="U13" s="94">
        <v>3.6173888601529574</v>
      </c>
      <c r="V13" s="94">
        <v>1.7966120877867537</v>
      </c>
      <c r="W13" s="94">
        <v>1.1664168515261377</v>
      </c>
      <c r="X13" s="94">
        <f t="shared" si="8"/>
        <v>2.9630289393128915</v>
      </c>
      <c r="Y13" s="91" t="str">
        <f t="shared" si="0"/>
        <v>Electricity and gas</v>
      </c>
      <c r="Z13" s="40">
        <f t="shared" si="9"/>
        <v>2.8458192992028453</v>
      </c>
      <c r="AA13" s="11">
        <v>3.4150679378844369</v>
      </c>
      <c r="AB13" s="94">
        <v>1.4840300025780557</v>
      </c>
      <c r="AC13" s="94">
        <v>1.1062575228637768</v>
      </c>
      <c r="AD13" s="94">
        <f t="shared" si="10"/>
        <v>2.5902875254418323</v>
      </c>
      <c r="AE13" s="94"/>
      <c r="AF13" s="40">
        <f t="shared" si="11"/>
        <v>2.7430555154363878</v>
      </c>
      <c r="AG13" s="94">
        <v>0.11612647673624334</v>
      </c>
      <c r="AH13" s="94">
        <v>0.11035323287716786</v>
      </c>
      <c r="AI13" s="94">
        <v>3.6088022100809053E-2</v>
      </c>
      <c r="AJ13" s="94">
        <f t="shared" si="12"/>
        <v>0.14644125497797691</v>
      </c>
      <c r="AL13" s="40">
        <f t="shared" si="13"/>
        <v>2.6040221070196878</v>
      </c>
      <c r="AM13" s="94">
        <v>0.78807550212350175</v>
      </c>
      <c r="AN13" s="94">
        <v>0.1640515512066609</v>
      </c>
      <c r="AO13" s="94">
        <v>0.23101248718210923</v>
      </c>
      <c r="AP13" s="94">
        <f t="shared" si="14"/>
        <v>0.39506403838877013</v>
      </c>
      <c r="AQ13" s="107"/>
      <c r="AR13" s="40">
        <f t="shared" si="15"/>
        <v>2.9253673336995467</v>
      </c>
      <c r="AS13" s="94">
        <v>2.510865959024692</v>
      </c>
      <c r="AT13" s="94">
        <v>1.2096252184942269</v>
      </c>
      <c r="AU13" s="94">
        <v>0.83915701358085859</v>
      </c>
      <c r="AV13" s="94">
        <f t="shared" si="16"/>
        <v>2.0487822320750855</v>
      </c>
      <c r="AW13" s="91" t="str">
        <f t="shared" si="17"/>
        <v>Electricity and gas</v>
      </c>
      <c r="AX13" s="40">
        <f t="shared" si="18"/>
        <v>2.7527088286745105</v>
      </c>
      <c r="AY13" s="11">
        <v>0.957602688269793</v>
      </c>
      <c r="AZ13" s="94">
        <v>0.25026458116444267</v>
      </c>
      <c r="BA13" s="94">
        <v>0.29876903958455009</v>
      </c>
      <c r="BB13" s="94">
        <f t="shared" si="19"/>
        <v>0.54903362074899276</v>
      </c>
      <c r="BC13" s="94"/>
      <c r="BD13" s="40">
        <f t="shared" si="20"/>
        <v>2.6027440742423469</v>
      </c>
      <c r="BE13" s="94">
        <v>6.6675648433861312E-2</v>
      </c>
      <c r="BF13" s="94">
        <v>1.2223965695389253E-2</v>
      </c>
      <c r="BG13" s="94">
        <v>1.953422506429308E-2</v>
      </c>
      <c r="BH13" s="94">
        <f t="shared" si="21"/>
        <v>3.1758190759682337E-2</v>
      </c>
      <c r="BJ13" s="40">
        <f t="shared" si="22"/>
        <v>2.595302754086215</v>
      </c>
      <c r="BK13" s="94">
        <v>0.10025366029317774</v>
      </c>
      <c r="BL13" s="94">
        <v>-4.2143802914000279E-2</v>
      </c>
      <c r="BM13" s="94">
        <v>2.9277725477586596E-2</v>
      </c>
      <c r="BN13" s="94">
        <f t="shared" si="23"/>
        <v>-1.2866077436413683E-2</v>
      </c>
      <c r="BO13" s="107"/>
      <c r="BP13" s="40">
        <f t="shared" si="24"/>
        <v>2.7850477621075731</v>
      </c>
      <c r="BQ13" s="94">
        <v>0.79067337954275396</v>
      </c>
      <c r="BR13" s="94">
        <v>0.28018441838305369</v>
      </c>
      <c r="BS13" s="94">
        <v>0.24995708904267042</v>
      </c>
      <c r="BT13" s="94">
        <f t="shared" si="25"/>
        <v>0.53014150742572408</v>
      </c>
      <c r="BU13" s="91" t="str">
        <f t="shared" si="26"/>
        <v>Electricity and gas</v>
      </c>
      <c r="BV13" s="40">
        <f t="shared" si="27"/>
        <v>2.30166568848158</v>
      </c>
      <c r="BW13" s="11">
        <v>0.58372112403374876</v>
      </c>
      <c r="BX13" s="94">
        <v>0.29400518186205293</v>
      </c>
      <c r="BY13" s="94">
        <v>0.14915818412575702</v>
      </c>
      <c r="BZ13" s="94">
        <f t="shared" si="28"/>
        <v>0.44316336598780992</v>
      </c>
      <c r="CA13" s="94"/>
      <c r="CB13" s="40">
        <f t="shared" si="29"/>
        <v>2.5209593858770862</v>
      </c>
      <c r="CC13" s="94">
        <v>7.9538399802440748E-2</v>
      </c>
      <c r="CD13" s="94">
        <v>-3.8996824091237468E-2</v>
      </c>
      <c r="CE13" s="94">
        <v>2.2485863083774052E-2</v>
      </c>
      <c r="CF13" s="94">
        <f t="shared" si="30"/>
        <v>-1.6510961007463416E-2</v>
      </c>
      <c r="CH13" s="40">
        <f t="shared" si="31"/>
        <v>2.2948013168675008</v>
      </c>
      <c r="CI13" s="94">
        <v>0.22333516849225249</v>
      </c>
      <c r="CJ13" s="94">
        <v>4.7374479843118752E-2</v>
      </c>
      <c r="CK13" s="94">
        <v>5.6880714680897067E-2</v>
      </c>
      <c r="CL13" s="94">
        <f t="shared" si="32"/>
        <v>0.10425519452401583</v>
      </c>
      <c r="CM13" s="107"/>
      <c r="CN13" s="40">
        <f t="shared" si="33"/>
        <v>2.2442696745849977</v>
      </c>
      <c r="CO13" s="94">
        <v>0.28084755573905562</v>
      </c>
      <c r="CP13" s="94">
        <v>0.28562752611017167</v>
      </c>
      <c r="CQ13" s="94">
        <v>6.9791606361085889E-2</v>
      </c>
      <c r="CR13" s="94">
        <f t="shared" si="34"/>
        <v>0.35541913247125756</v>
      </c>
      <c r="CS13" s="91" t="str">
        <f t="shared" si="35"/>
        <v>Electricity and gas</v>
      </c>
      <c r="CT13" s="40">
        <f t="shared" si="36"/>
        <v>2.0801766936642485</v>
      </c>
      <c r="CU13" s="11">
        <v>0.10260824981201205</v>
      </c>
      <c r="CV13" s="94">
        <v>2.0700234395443017E-2</v>
      </c>
      <c r="CW13" s="94">
        <v>2.3457296741363907E-2</v>
      </c>
      <c r="CX13" s="94">
        <f t="shared" si="37"/>
        <v>4.4157531136806927E-2</v>
      </c>
      <c r="CY13" s="94"/>
      <c r="CZ13" s="40">
        <f t="shared" si="38"/>
        <v>2.2236780417191238</v>
      </c>
      <c r="DA13" s="94">
        <v>5.1273672384021723E-2</v>
      </c>
      <c r="DB13" s="94">
        <v>-4.8073414081348711E-3</v>
      </c>
      <c r="DC13" s="94">
        <v>1.2612880219640452E-2</v>
      </c>
      <c r="DD13" s="94">
        <f t="shared" si="39"/>
        <v>7.8055388115055805E-3</v>
      </c>
      <c r="DF13" s="40">
        <f t="shared" si="40"/>
        <v>1.8745697006633089</v>
      </c>
      <c r="DG13" s="94">
        <v>1.6332611581534422E-2</v>
      </c>
      <c r="DH13" s="94">
        <v>4.3326510042762225E-3</v>
      </c>
      <c r="DI13" s="94">
        <v>3.3332739802009429E-3</v>
      </c>
      <c r="DJ13" s="94">
        <f t="shared" si="41"/>
        <v>7.6659249844771658E-3</v>
      </c>
      <c r="DK13" s="107"/>
      <c r="DL13" s="40">
        <f t="shared" si="42"/>
        <v>1.9631026785993377</v>
      </c>
      <c r="DM13" s="94">
        <v>3.5001965846455901E-2</v>
      </c>
      <c r="DN13" s="94">
        <v>2.1174924799301664E-2</v>
      </c>
      <c r="DO13" s="94">
        <v>7.5111425415225128E-3</v>
      </c>
      <c r="DP13" s="94">
        <f t="shared" si="43"/>
        <v>2.8686067340824177E-2</v>
      </c>
    </row>
    <row r="14" spans="1:120" x14ac:dyDescent="0.2">
      <c r="A14" s="91" t="str">
        <f>name!B10</f>
        <v>Water and sewerage</v>
      </c>
      <c r="B14" s="40">
        <f t="shared" si="1"/>
        <v>2.6630267727114409</v>
      </c>
      <c r="C14" s="11">
        <v>34.689999999999941</v>
      </c>
      <c r="D14" s="94">
        <v>3.4039999999999937</v>
      </c>
      <c r="E14" s="94">
        <v>10.427491197200341</v>
      </c>
      <c r="F14" s="94">
        <f t="shared" si="2"/>
        <v>13.831491197200336</v>
      </c>
      <c r="G14" s="94"/>
      <c r="H14" s="40">
        <f t="shared" si="3"/>
        <v>2.3746340922261355</v>
      </c>
      <c r="I14" s="94">
        <v>2.9582746497764263</v>
      </c>
      <c r="J14" s="94">
        <v>-1.2426718264022578</v>
      </c>
      <c r="K14" s="94">
        <v>0.78250491573356684</v>
      </c>
      <c r="L14" s="94">
        <f t="shared" si="4"/>
        <v>-0.46016691066869098</v>
      </c>
      <c r="N14" s="40">
        <f t="shared" si="5"/>
        <v>2.45146859998846</v>
      </c>
      <c r="O14" s="94">
        <v>15.931406757331569</v>
      </c>
      <c r="P14" s="94">
        <v>2.6141692288467828</v>
      </c>
      <c r="Q14" s="94">
        <v>4.3657875010183442</v>
      </c>
      <c r="R14" s="94">
        <f t="shared" si="6"/>
        <v>6.9799567298651271</v>
      </c>
      <c r="S14" s="107"/>
      <c r="T14" s="40">
        <f t="shared" si="7"/>
        <v>2.9246696914869474</v>
      </c>
      <c r="U14" s="94">
        <v>15.800318592891939</v>
      </c>
      <c r="V14" s="94">
        <v>2.0325025975554691</v>
      </c>
      <c r="W14" s="94">
        <v>5.2791987804484268</v>
      </c>
      <c r="X14" s="94">
        <f t="shared" si="8"/>
        <v>7.311701378003896</v>
      </c>
      <c r="Y14" s="91" t="str">
        <f t="shared" si="0"/>
        <v>Water and sewerage</v>
      </c>
      <c r="Z14" s="40">
        <f t="shared" si="9"/>
        <v>2.8935452968317898</v>
      </c>
      <c r="AA14" s="11">
        <v>20.179018387941738</v>
      </c>
      <c r="AB14" s="94">
        <v>3.7043393079638052</v>
      </c>
      <c r="AC14" s="94">
        <v>6.6609099076503337</v>
      </c>
      <c r="AD14" s="94">
        <f t="shared" si="10"/>
        <v>10.365249215614138</v>
      </c>
      <c r="AE14" s="94"/>
      <c r="AF14" s="40">
        <f t="shared" si="11"/>
        <v>2.7725711511966233</v>
      </c>
      <c r="AG14" s="94">
        <v>0.72465647374450293</v>
      </c>
      <c r="AH14" s="94">
        <v>-0.21196589918901296</v>
      </c>
      <c r="AI14" s="94">
        <v>0.227929964406863</v>
      </c>
      <c r="AJ14" s="94">
        <f t="shared" si="12"/>
        <v>1.5964065217850043E-2</v>
      </c>
      <c r="AL14" s="40">
        <f t="shared" si="13"/>
        <v>2.6836776039042443</v>
      </c>
      <c r="AM14" s="94">
        <v>7.1689586080821419</v>
      </c>
      <c r="AN14" s="94">
        <v>1.9626686993660245</v>
      </c>
      <c r="AO14" s="94">
        <v>2.1736943685039085</v>
      </c>
      <c r="AP14" s="94">
        <f t="shared" si="14"/>
        <v>4.136363067869933</v>
      </c>
      <c r="AQ14" s="107"/>
      <c r="AR14" s="40">
        <f t="shared" si="15"/>
        <v>3.0212745785094253</v>
      </c>
      <c r="AS14" s="94">
        <v>12.285403306115091</v>
      </c>
      <c r="AT14" s="94">
        <v>1.9536365077867941</v>
      </c>
      <c r="AU14" s="94">
        <v>4.2592855747395628</v>
      </c>
      <c r="AV14" s="94">
        <f t="shared" si="16"/>
        <v>6.2129220825263571</v>
      </c>
      <c r="AW14" s="91" t="str">
        <f t="shared" si="17"/>
        <v>Water and sewerage</v>
      </c>
      <c r="AX14" s="40">
        <f t="shared" si="18"/>
        <v>2.6934634376716282</v>
      </c>
      <c r="AY14" s="11">
        <v>3.8772019161776843</v>
      </c>
      <c r="AZ14" s="94">
        <v>-0.76962711358062519</v>
      </c>
      <c r="BA14" s="94">
        <v>1.1804208080754564</v>
      </c>
      <c r="BB14" s="94">
        <f t="shared" si="19"/>
        <v>0.41079369449483116</v>
      </c>
      <c r="BC14" s="94"/>
      <c r="BD14" s="40">
        <f t="shared" si="20"/>
        <v>2.5916879181504093</v>
      </c>
      <c r="BE14" s="94">
        <v>0.39518397605304539</v>
      </c>
      <c r="BF14" s="94">
        <v>-0.11728323585066727</v>
      </c>
      <c r="BG14" s="94">
        <v>0.11522826186981429</v>
      </c>
      <c r="BH14" s="94">
        <f t="shared" si="21"/>
        <v>-2.0549739808529838E-3</v>
      </c>
      <c r="BJ14" s="40">
        <f t="shared" si="22"/>
        <v>2.6108631762737033</v>
      </c>
      <c r="BK14" s="94">
        <v>1.6388021332720251</v>
      </c>
      <c r="BL14" s="94">
        <v>-0.45140915346675231</v>
      </c>
      <c r="BM14" s="94">
        <v>0.48180359544498619</v>
      </c>
      <c r="BN14" s="94">
        <f t="shared" si="23"/>
        <v>3.0394441978233877E-2</v>
      </c>
      <c r="BO14" s="107"/>
      <c r="BP14" s="40">
        <f t="shared" si="24"/>
        <v>2.7879692353027563</v>
      </c>
      <c r="BQ14" s="94">
        <v>1.8432158068526141</v>
      </c>
      <c r="BR14" s="94">
        <v>-0.20093472426320558</v>
      </c>
      <c r="BS14" s="94">
        <v>0.58338895076065578</v>
      </c>
      <c r="BT14" s="94">
        <f t="shared" si="25"/>
        <v>0.3824542264974502</v>
      </c>
      <c r="BU14" s="91" t="str">
        <f t="shared" si="26"/>
        <v>Water and sewerage</v>
      </c>
      <c r="BV14" s="40">
        <f t="shared" si="27"/>
        <v>2.1639959971873068</v>
      </c>
      <c r="BW14" s="11">
        <v>9.217599475239167</v>
      </c>
      <c r="BX14" s="94">
        <v>0.61442646269312895</v>
      </c>
      <c r="BY14" s="94">
        <v>2.2005716372862962</v>
      </c>
      <c r="BZ14" s="94">
        <f t="shared" si="28"/>
        <v>2.8149980999794253</v>
      </c>
      <c r="CA14" s="94"/>
      <c r="CB14" s="40">
        <f t="shared" si="29"/>
        <v>2.1322524388695197</v>
      </c>
      <c r="CC14" s="94">
        <v>1.3746236467462931</v>
      </c>
      <c r="CD14" s="94">
        <v>-0.6797332330802186</v>
      </c>
      <c r="CE14" s="94">
        <v>0.32288857798608317</v>
      </c>
      <c r="CF14" s="94">
        <f t="shared" si="30"/>
        <v>-0.35684465509413543</v>
      </c>
      <c r="CH14" s="40">
        <f t="shared" si="31"/>
        <v>2.1183476609150542</v>
      </c>
      <c r="CI14" s="94">
        <v>6.2987020393754678</v>
      </c>
      <c r="CJ14" s="94">
        <v>1.0586789669999686</v>
      </c>
      <c r="CK14" s="94">
        <v>1.4689337630531381</v>
      </c>
      <c r="CL14" s="94">
        <f t="shared" si="32"/>
        <v>2.5276127300531064</v>
      </c>
      <c r="CM14" s="107"/>
      <c r="CN14" s="40">
        <f t="shared" si="33"/>
        <v>2.3760355283215739</v>
      </c>
      <c r="CO14" s="94">
        <v>1.5442737891174063</v>
      </c>
      <c r="CP14" s="94">
        <v>0.23548072877337922</v>
      </c>
      <c r="CQ14" s="94">
        <v>0.40874929624707479</v>
      </c>
      <c r="CR14" s="94">
        <f t="shared" si="34"/>
        <v>0.64423002502045401</v>
      </c>
      <c r="CS14" s="91" t="str">
        <f t="shared" si="35"/>
        <v>Water and sewerage</v>
      </c>
      <c r="CT14" s="40">
        <f t="shared" si="36"/>
        <v>2.4372851811505392</v>
      </c>
      <c r="CU14" s="11">
        <v>1.4161802206413483</v>
      </c>
      <c r="CV14" s="94">
        <v>-0.14513865707631529</v>
      </c>
      <c r="CW14" s="94">
        <v>0.38558884418825223</v>
      </c>
      <c r="CX14" s="94">
        <f t="shared" si="37"/>
        <v>0.24045018711193694</v>
      </c>
      <c r="CY14" s="94"/>
      <c r="CZ14" s="40">
        <f t="shared" si="38"/>
        <v>2.2654301118374853</v>
      </c>
      <c r="DA14" s="94">
        <v>0.46381055323258502</v>
      </c>
      <c r="DB14" s="94">
        <v>-0.23368945828235915</v>
      </c>
      <c r="DC14" s="94">
        <v>0.11645811147080638</v>
      </c>
      <c r="DD14" s="94">
        <f t="shared" si="39"/>
        <v>-0.11723134681155277</v>
      </c>
      <c r="DF14" s="40">
        <f t="shared" si="40"/>
        <v>2.5995569001085794</v>
      </c>
      <c r="DG14" s="94">
        <v>0.82494397660193552</v>
      </c>
      <c r="DH14" s="94">
        <v>4.4230715947542278E-2</v>
      </c>
      <c r="DI14" s="94">
        <v>0.24135577401631172</v>
      </c>
      <c r="DJ14" s="94">
        <f t="shared" si="41"/>
        <v>0.285586489963854</v>
      </c>
      <c r="DK14" s="107"/>
      <c r="DL14" s="40">
        <f t="shared" si="42"/>
        <v>1.9914236116268524</v>
      </c>
      <c r="DM14" s="94">
        <v>0.12742569080682786</v>
      </c>
      <c r="DN14" s="94">
        <v>4.4320085258501563E-2</v>
      </c>
      <c r="DO14" s="94">
        <v>2.7774958701134087E-2</v>
      </c>
      <c r="DP14" s="94">
        <f t="shared" si="43"/>
        <v>7.2095043959635646E-2</v>
      </c>
    </row>
    <row r="15" spans="1:120" x14ac:dyDescent="0.2">
      <c r="A15" s="91" t="str">
        <f>name!B11</f>
        <v>Construction</v>
      </c>
      <c r="B15" s="40">
        <f t="shared" si="1"/>
        <v>2.6332713124259444</v>
      </c>
      <c r="C15" s="11">
        <v>24.70699999999993</v>
      </c>
      <c r="D15" s="94">
        <v>2.4850000000000203</v>
      </c>
      <c r="E15" s="94">
        <v>7.3336805968811847</v>
      </c>
      <c r="F15" s="94">
        <f t="shared" si="2"/>
        <v>9.8186805968812045</v>
      </c>
      <c r="G15" s="94"/>
      <c r="H15" s="40">
        <f t="shared" si="3"/>
        <v>2.4423074235861542</v>
      </c>
      <c r="I15" s="94">
        <v>2.0674298031287628</v>
      </c>
      <c r="J15" s="94">
        <v>-0.8828890757342569</v>
      </c>
      <c r="K15" s="94">
        <v>0.56419694936710085</v>
      </c>
      <c r="L15" s="94">
        <f t="shared" si="4"/>
        <v>-0.31869212636715605</v>
      </c>
      <c r="N15" s="40">
        <f t="shared" si="5"/>
        <v>2.3615173214244889</v>
      </c>
      <c r="O15" s="94">
        <v>11.395959885205716</v>
      </c>
      <c r="P15" s="94">
        <v>1.9703829749125323</v>
      </c>
      <c r="Q15" s="94">
        <v>2.9959377256495925</v>
      </c>
      <c r="R15" s="94">
        <f t="shared" si="6"/>
        <v>4.9663207005621253</v>
      </c>
      <c r="S15" s="107"/>
      <c r="T15" s="40">
        <f t="shared" si="7"/>
        <v>2.9362141326216173</v>
      </c>
      <c r="U15" s="94">
        <v>11.243610311665455</v>
      </c>
      <c r="V15" s="94">
        <v>1.3975061008217451</v>
      </c>
      <c r="W15" s="94">
        <v>3.7735459218644927</v>
      </c>
      <c r="X15" s="94">
        <f t="shared" si="8"/>
        <v>5.1710520226862382</v>
      </c>
      <c r="Y15" s="91" t="str">
        <f t="shared" si="0"/>
        <v>Construction</v>
      </c>
      <c r="Z15" s="40">
        <f t="shared" si="9"/>
        <v>2.9275517647755267</v>
      </c>
      <c r="AA15" s="11">
        <v>13.046434238680172</v>
      </c>
      <c r="AB15" s="94">
        <v>2.1329718598151204</v>
      </c>
      <c r="AC15" s="94">
        <v>4.3639460437985305</v>
      </c>
      <c r="AD15" s="94">
        <f t="shared" si="10"/>
        <v>6.4969179036136513</v>
      </c>
      <c r="AE15" s="94"/>
      <c r="AF15" s="40">
        <f t="shared" si="11"/>
        <v>2.9029598767563725</v>
      </c>
      <c r="AG15" s="94">
        <v>0.51780999831305174</v>
      </c>
      <c r="AH15" s="94">
        <v>-0.14508224440278034</v>
      </c>
      <c r="AI15" s="94">
        <v>0.17155479671456894</v>
      </c>
      <c r="AJ15" s="94">
        <f t="shared" si="12"/>
        <v>2.6472552311788605E-2</v>
      </c>
      <c r="AL15" s="40">
        <f t="shared" si="13"/>
        <v>2.7138731733564292</v>
      </c>
      <c r="AM15" s="94">
        <v>3.3696565084990735</v>
      </c>
      <c r="AN15" s="94">
        <v>0.87665708871403969</v>
      </c>
      <c r="AO15" s="94">
        <v>1.0346414621905302</v>
      </c>
      <c r="AP15" s="94">
        <f t="shared" si="14"/>
        <v>1.9112985509045699</v>
      </c>
      <c r="AQ15" s="107"/>
      <c r="AR15" s="40">
        <f t="shared" si="15"/>
        <v>3.0065508595138457</v>
      </c>
      <c r="AS15" s="94">
        <v>9.1589677318680476</v>
      </c>
      <c r="AT15" s="94">
        <v>1.4013970155038609</v>
      </c>
      <c r="AU15" s="94">
        <v>3.1577497848934315</v>
      </c>
      <c r="AV15" s="94">
        <f t="shared" si="16"/>
        <v>4.5591468003972926</v>
      </c>
      <c r="AW15" s="91" t="str">
        <f t="shared" si="17"/>
        <v>Construction</v>
      </c>
      <c r="AX15" s="40">
        <f t="shared" si="18"/>
        <v>2.6925526136312605</v>
      </c>
      <c r="AY15" s="11">
        <v>3.651919924567808</v>
      </c>
      <c r="AZ15" s="94">
        <v>-0.23040618198892773</v>
      </c>
      <c r="BA15" s="94">
        <v>1.1114108203418209</v>
      </c>
      <c r="BB15" s="94">
        <f t="shared" si="19"/>
        <v>0.88100463835289322</v>
      </c>
      <c r="BC15" s="94"/>
      <c r="BD15" s="40">
        <f t="shared" si="20"/>
        <v>2.6003566607783579</v>
      </c>
      <c r="BE15" s="94">
        <v>0.34954045938527362</v>
      </c>
      <c r="BF15" s="94">
        <v>-0.11400742632184735</v>
      </c>
      <c r="BG15" s="94">
        <v>0.10230108293418085</v>
      </c>
      <c r="BH15" s="94">
        <f t="shared" si="21"/>
        <v>-1.1706343387666504E-2</v>
      </c>
      <c r="BJ15" s="40">
        <f t="shared" si="22"/>
        <v>2.6391873139546718</v>
      </c>
      <c r="BK15" s="94">
        <v>2.0072722798125366</v>
      </c>
      <c r="BL15" s="94">
        <v>2.1946743765527334E-2</v>
      </c>
      <c r="BM15" s="94">
        <v>0.59731151369132662</v>
      </c>
      <c r="BN15" s="94">
        <f t="shared" si="23"/>
        <v>0.61925825745685392</v>
      </c>
      <c r="BO15" s="107"/>
      <c r="BP15" s="40">
        <f t="shared" si="24"/>
        <v>2.799351314050047</v>
      </c>
      <c r="BQ15" s="94">
        <v>1.2951071853699978</v>
      </c>
      <c r="BR15" s="94">
        <v>-0.13834549943260771</v>
      </c>
      <c r="BS15" s="94">
        <v>0.41179822371631336</v>
      </c>
      <c r="BT15" s="94">
        <f t="shared" si="25"/>
        <v>0.27345272428370565</v>
      </c>
      <c r="BU15" s="91" t="str">
        <f t="shared" si="26"/>
        <v>Construction</v>
      </c>
      <c r="BV15" s="40">
        <f t="shared" si="27"/>
        <v>2.0481137979190267</v>
      </c>
      <c r="BW15" s="11">
        <v>6.6723347132595512</v>
      </c>
      <c r="BX15" s="94">
        <v>0.63046525507421236</v>
      </c>
      <c r="BY15" s="94">
        <v>1.4996518315416651</v>
      </c>
      <c r="BZ15" s="94">
        <f t="shared" si="28"/>
        <v>2.1301170866158774</v>
      </c>
      <c r="CA15" s="94"/>
      <c r="CB15" s="40">
        <f t="shared" si="29"/>
        <v>1.885726525584519</v>
      </c>
      <c r="CC15" s="94">
        <v>0.79401322796632245</v>
      </c>
      <c r="CD15" s="94">
        <v>-0.42251424724113457</v>
      </c>
      <c r="CE15" s="94">
        <v>0.16309534060812603</v>
      </c>
      <c r="CF15" s="94">
        <f t="shared" si="30"/>
        <v>-0.25941890663300854</v>
      </c>
      <c r="CH15" s="40">
        <f t="shared" si="31"/>
        <v>2.0349710354922612</v>
      </c>
      <c r="CI15" s="94">
        <v>5.1117136268203991</v>
      </c>
      <c r="CJ15" s="94">
        <v>0.94026718064231962</v>
      </c>
      <c r="CK15" s="94">
        <v>1.1408334558665532</v>
      </c>
      <c r="CL15" s="94">
        <f t="shared" si="32"/>
        <v>2.0811006365088729</v>
      </c>
      <c r="CM15" s="107"/>
      <c r="CN15" s="40">
        <f t="shared" si="33"/>
        <v>2.2998780793422213</v>
      </c>
      <c r="CO15" s="94">
        <v>0.7666078584728292</v>
      </c>
      <c r="CP15" s="94">
        <v>0.11271232167302715</v>
      </c>
      <c r="CQ15" s="94">
        <v>0.19572303506698607</v>
      </c>
      <c r="CR15" s="94">
        <f t="shared" si="34"/>
        <v>0.30843535674001321</v>
      </c>
      <c r="CS15" s="91" t="str">
        <f t="shared" si="35"/>
        <v>Construction</v>
      </c>
      <c r="CT15" s="40">
        <f t="shared" si="36"/>
        <v>2.406088217429958</v>
      </c>
      <c r="CU15" s="11">
        <v>1.3363111234924001</v>
      </c>
      <c r="CV15" s="94">
        <v>-4.8030932900384203E-2</v>
      </c>
      <c r="CW15" s="94">
        <v>0.3586719011991692</v>
      </c>
      <c r="CX15" s="94">
        <f t="shared" si="37"/>
        <v>0.31064096829878501</v>
      </c>
      <c r="CY15" s="94"/>
      <c r="CZ15" s="40">
        <f t="shared" si="38"/>
        <v>2.7633959791856677</v>
      </c>
      <c r="DA15" s="94">
        <v>0.40606611746411458</v>
      </c>
      <c r="DB15" s="94">
        <v>-0.20128515776849468</v>
      </c>
      <c r="DC15" s="94">
        <v>0.12724572911022497</v>
      </c>
      <c r="DD15" s="94">
        <f t="shared" si="39"/>
        <v>-7.4039428658269707E-2</v>
      </c>
      <c r="DF15" s="40">
        <f t="shared" si="40"/>
        <v>2.2233076528841211</v>
      </c>
      <c r="DG15" s="94">
        <v>0.90731747007370689</v>
      </c>
      <c r="DH15" s="94">
        <v>0.1315119617906455</v>
      </c>
      <c r="DI15" s="94">
        <v>0.22315129390118218</v>
      </c>
      <c r="DJ15" s="94">
        <f t="shared" si="41"/>
        <v>0.35466325569182766</v>
      </c>
      <c r="DK15" s="107"/>
      <c r="DL15" s="40">
        <f t="shared" si="42"/>
        <v>3.1295401767871711</v>
      </c>
      <c r="DM15" s="94">
        <v>2.2927535954578668E-2</v>
      </c>
      <c r="DN15" s="94">
        <v>2.174226307746498E-2</v>
      </c>
      <c r="DO15" s="94">
        <v>8.2748781877620605E-3</v>
      </c>
      <c r="DP15" s="94">
        <f t="shared" si="43"/>
        <v>3.0017141265227039E-2</v>
      </c>
    </row>
    <row r="16" spans="1:120" x14ac:dyDescent="0.2">
      <c r="A16" s="91" t="str">
        <f>name!B12</f>
        <v>Wholesale and retail trade</v>
      </c>
      <c r="B16" s="40">
        <f t="shared" si="1"/>
        <v>2.48357468355489</v>
      </c>
      <c r="C16" s="11">
        <v>49.360999999999891</v>
      </c>
      <c r="D16" s="94">
        <v>-3.0089999999999963</v>
      </c>
      <c r="E16" s="94">
        <v>13.724072101712224</v>
      </c>
      <c r="F16" s="94">
        <f t="shared" si="2"/>
        <v>10.715072101712227</v>
      </c>
      <c r="G16" s="94"/>
      <c r="H16" s="40">
        <f t="shared" si="3"/>
        <v>2.319061330483807</v>
      </c>
      <c r="I16" s="94">
        <v>11.754763181562106</v>
      </c>
      <c r="J16" s="94">
        <v>-3.3383043230730345</v>
      </c>
      <c r="K16" s="94">
        <v>3.0288080072024135</v>
      </c>
      <c r="L16" s="94">
        <f t="shared" si="4"/>
        <v>-0.30949631587062099</v>
      </c>
      <c r="N16" s="40">
        <f t="shared" si="5"/>
        <v>2.3679923975928441</v>
      </c>
      <c r="O16" s="94">
        <v>27.464527750604109</v>
      </c>
      <c r="P16" s="94">
        <v>1.036637643813106</v>
      </c>
      <c r="Q16" s="94">
        <v>7.242226228936425</v>
      </c>
      <c r="R16" s="94">
        <f t="shared" si="6"/>
        <v>8.2788638727495307</v>
      </c>
      <c r="S16" s="107"/>
      <c r="T16" s="40">
        <f t="shared" si="7"/>
        <v>2.9736241479119574</v>
      </c>
      <c r="U16" s="94">
        <v>10.141709067833677</v>
      </c>
      <c r="V16" s="94">
        <v>-0.70733332074006794</v>
      </c>
      <c r="W16" s="94">
        <v>3.4530378655733838</v>
      </c>
      <c r="X16" s="94">
        <f t="shared" si="8"/>
        <v>2.7457045448333157</v>
      </c>
      <c r="Y16" s="91" t="str">
        <f t="shared" si="0"/>
        <v>Wholesale and retail trade</v>
      </c>
      <c r="Z16" s="40">
        <f t="shared" si="9"/>
        <v>2.9998517165961136</v>
      </c>
      <c r="AA16" s="11">
        <v>14.421904529312432</v>
      </c>
      <c r="AB16" s="94">
        <v>-7.9946079548302407E-2</v>
      </c>
      <c r="AC16" s="94">
        <v>4.9596501612339017</v>
      </c>
      <c r="AD16" s="94">
        <f t="shared" si="10"/>
        <v>4.879704081685599</v>
      </c>
      <c r="AE16" s="94"/>
      <c r="AF16" s="40">
        <f t="shared" si="11"/>
        <v>2.9265331251565607</v>
      </c>
      <c r="AG16" s="94">
        <v>1.7446046239912303</v>
      </c>
      <c r="AH16" s="94">
        <v>-0.27919872461291689</v>
      </c>
      <c r="AI16" s="94">
        <v>0.58332831832535181</v>
      </c>
      <c r="AJ16" s="94">
        <f t="shared" si="12"/>
        <v>0.30412959371243492</v>
      </c>
      <c r="AL16" s="40">
        <f t="shared" si="13"/>
        <v>2.8733806306549425</v>
      </c>
      <c r="AM16" s="94">
        <v>5.4383562760409712</v>
      </c>
      <c r="AN16" s="94">
        <v>0.60778084248681408</v>
      </c>
      <c r="AO16" s="94">
        <v>1.780988355750744</v>
      </c>
      <c r="AP16" s="94">
        <f t="shared" si="14"/>
        <v>2.3887691982375578</v>
      </c>
      <c r="AQ16" s="107"/>
      <c r="AR16" s="40">
        <f t="shared" si="15"/>
        <v>3.111409774959073</v>
      </c>
      <c r="AS16" s="94">
        <v>7.2389436292802296</v>
      </c>
      <c r="AT16" s="94">
        <v>-0.40852819742219959</v>
      </c>
      <c r="AU16" s="94">
        <v>2.5953334871578053</v>
      </c>
      <c r="AV16" s="94">
        <f t="shared" si="16"/>
        <v>2.1868052897356058</v>
      </c>
      <c r="AW16" s="91" t="str">
        <f t="shared" si="17"/>
        <v>Wholesale and retail trade</v>
      </c>
      <c r="AX16" s="40">
        <f t="shared" si="18"/>
        <v>2.6838321004912791</v>
      </c>
      <c r="AY16" s="11">
        <v>4.7602092359720407</v>
      </c>
      <c r="AZ16" s="94">
        <v>-1.3205133909931142</v>
      </c>
      <c r="BA16" s="94">
        <v>1.4434326816980343</v>
      </c>
      <c r="BB16" s="94">
        <f t="shared" si="19"/>
        <v>0.12291929070492014</v>
      </c>
      <c r="BC16" s="94"/>
      <c r="BD16" s="40">
        <f t="shared" si="20"/>
        <v>2.6307138684356079</v>
      </c>
      <c r="BE16" s="94">
        <v>0.55533861181731692</v>
      </c>
      <c r="BF16" s="94">
        <v>-0.19194769411417067</v>
      </c>
      <c r="BG16" s="94">
        <v>0.16465951691361003</v>
      </c>
      <c r="BH16" s="94">
        <f t="shared" si="21"/>
        <v>-2.7288177200560648E-2</v>
      </c>
      <c r="BJ16" s="40">
        <f t="shared" si="22"/>
        <v>2.6257921936491346</v>
      </c>
      <c r="BK16" s="94">
        <v>2.4972687404973635</v>
      </c>
      <c r="BL16" s="94">
        <v>-0.56905832335257489</v>
      </c>
      <c r="BM16" s="94">
        <v>0.73889514198640793</v>
      </c>
      <c r="BN16" s="94">
        <f t="shared" si="23"/>
        <v>0.16983681863383304</v>
      </c>
      <c r="BO16" s="107"/>
      <c r="BP16" s="40">
        <f t="shared" si="24"/>
        <v>2.7852790413730899</v>
      </c>
      <c r="BQ16" s="94">
        <v>1.7076018836573603</v>
      </c>
      <c r="BR16" s="94">
        <v>-0.55950737352636859</v>
      </c>
      <c r="BS16" s="94">
        <v>0.53987802279801622</v>
      </c>
      <c r="BT16" s="94">
        <f t="shared" si="25"/>
        <v>-1.9629350728352368E-2</v>
      </c>
      <c r="BU16" s="91" t="str">
        <f t="shared" si="26"/>
        <v>Wholesale and retail trade</v>
      </c>
      <c r="BV16" s="40">
        <f t="shared" si="27"/>
        <v>2.1993314042800582</v>
      </c>
      <c r="BW16" s="11">
        <v>28.021593521784599</v>
      </c>
      <c r="BX16" s="94">
        <v>-1.4714034279099568</v>
      </c>
      <c r="BY16" s="94">
        <v>6.8100025319772302</v>
      </c>
      <c r="BZ16" s="94">
        <f t="shared" si="28"/>
        <v>5.3385991040672733</v>
      </c>
      <c r="CA16" s="94"/>
      <c r="CB16" s="40">
        <f t="shared" si="29"/>
        <v>2.1988160207137231</v>
      </c>
      <c r="CC16" s="94">
        <v>8.4984348827263929</v>
      </c>
      <c r="CD16" s="94">
        <v>-2.4130544809912187</v>
      </c>
      <c r="CE16" s="94">
        <v>2.0648160354020404</v>
      </c>
      <c r="CF16" s="94">
        <f t="shared" si="30"/>
        <v>-0.34823844558917827</v>
      </c>
      <c r="CH16" s="40">
        <f t="shared" si="31"/>
        <v>2.1891934571730776</v>
      </c>
      <c r="CI16" s="94">
        <v>18.363284813948471</v>
      </c>
      <c r="CJ16" s="94">
        <v>0.79472514229380931</v>
      </c>
      <c r="CK16" s="94">
        <v>4.4401403431475641</v>
      </c>
      <c r="CL16" s="94">
        <f t="shared" si="32"/>
        <v>5.2348654854413734</v>
      </c>
      <c r="CM16" s="107"/>
      <c r="CN16" s="40">
        <f t="shared" si="33"/>
        <v>2.3623659563032362</v>
      </c>
      <c r="CO16" s="94">
        <v>1.1598738251097345</v>
      </c>
      <c r="CP16" s="94">
        <v>0.14692591078745226</v>
      </c>
      <c r="CQ16" s="94">
        <v>0.30504615342762553</v>
      </c>
      <c r="CR16" s="94">
        <f t="shared" si="34"/>
        <v>0.4519720642150778</v>
      </c>
      <c r="CS16" s="91" t="str">
        <f t="shared" si="35"/>
        <v>Wholesale and retail trade</v>
      </c>
      <c r="CT16" s="40">
        <f t="shared" si="36"/>
        <v>2.1485540302156547</v>
      </c>
      <c r="CU16" s="11">
        <v>2.1572927129308224</v>
      </c>
      <c r="CV16" s="94">
        <v>-0.13713710154862277</v>
      </c>
      <c r="CW16" s="94">
        <v>0.51098672680305779</v>
      </c>
      <c r="CX16" s="94">
        <f t="shared" si="37"/>
        <v>0.37384962525443499</v>
      </c>
      <c r="CY16" s="94"/>
      <c r="CZ16" s="40">
        <f t="shared" si="38"/>
        <v>2.0572595476436195</v>
      </c>
      <c r="DA16" s="94">
        <v>0.95638506302716597</v>
      </c>
      <c r="DB16" s="94">
        <v>-0.4541034233547282</v>
      </c>
      <c r="DC16" s="94">
        <v>0.2160041365614109</v>
      </c>
      <c r="DD16" s="94">
        <f t="shared" si="39"/>
        <v>-0.23809928679331729</v>
      </c>
      <c r="DF16" s="40">
        <f t="shared" si="40"/>
        <v>2.1917519950891196</v>
      </c>
      <c r="DG16" s="94">
        <v>1.1656179201173043</v>
      </c>
      <c r="DH16" s="94">
        <v>0.20318998238505742</v>
      </c>
      <c r="DI16" s="94">
        <v>0.28220238805171</v>
      </c>
      <c r="DJ16" s="94">
        <f t="shared" si="41"/>
        <v>0.48539237043676742</v>
      </c>
      <c r="DK16" s="107"/>
      <c r="DL16" s="40">
        <f t="shared" si="42"/>
        <v>3.1389052752660129</v>
      </c>
      <c r="DM16" s="94">
        <v>3.5289729786351975E-2</v>
      </c>
      <c r="DN16" s="94">
        <v>0.11377633942104799</v>
      </c>
      <c r="DO16" s="94">
        <v>1.2780202189936939E-2</v>
      </c>
      <c r="DP16" s="94">
        <f t="shared" si="43"/>
        <v>0.12655654161098492</v>
      </c>
    </row>
    <row r="17" spans="1:120" x14ac:dyDescent="0.2">
      <c r="A17" s="91" t="str">
        <f>name!B13</f>
        <v>Transport and storage</v>
      </c>
      <c r="B17" s="40">
        <f t="shared" si="1"/>
        <v>2.5826643707438812</v>
      </c>
      <c r="C17" s="11">
        <v>92.525231401581493</v>
      </c>
      <c r="D17" s="94">
        <v>4.8062010655220337</v>
      </c>
      <c r="E17" s="94">
        <v>26.873559144521298</v>
      </c>
      <c r="F17" s="94">
        <f t="shared" si="2"/>
        <v>31.679760210043334</v>
      </c>
      <c r="G17" s="94"/>
      <c r="H17" s="40">
        <f t="shared" si="3"/>
        <v>2.4248789617356659</v>
      </c>
      <c r="I17" s="94">
        <v>21.198729637120138</v>
      </c>
      <c r="J17" s="94">
        <v>-6.0725510822499817</v>
      </c>
      <c r="K17" s="94">
        <v>5.7392133920891153</v>
      </c>
      <c r="L17" s="94">
        <f t="shared" si="4"/>
        <v>-0.33333769016086645</v>
      </c>
      <c r="N17" s="40">
        <f t="shared" si="5"/>
        <v>2.5234952437853897</v>
      </c>
      <c r="O17" s="94">
        <v>52.658868908190932</v>
      </c>
      <c r="P17" s="94">
        <v>7.0048539847493405</v>
      </c>
      <c r="Q17" s="94">
        <v>14.903608217095815</v>
      </c>
      <c r="R17" s="94">
        <f t="shared" si="6"/>
        <v>21.908462201845154</v>
      </c>
      <c r="S17" s="107"/>
      <c r="T17" s="40">
        <f t="shared" si="7"/>
        <v>2.9219882284781784</v>
      </c>
      <c r="U17" s="94">
        <v>18.667632856270426</v>
      </c>
      <c r="V17" s="94">
        <v>3.8738981630226754</v>
      </c>
      <c r="W17" s="94">
        <v>6.230737535336365</v>
      </c>
      <c r="X17" s="94">
        <f t="shared" si="8"/>
        <v>10.10463569835904</v>
      </c>
      <c r="Y17" s="91" t="str">
        <f t="shared" si="0"/>
        <v>Transport and storage</v>
      </c>
      <c r="Z17" s="40">
        <f t="shared" si="9"/>
        <v>2.9241425329038728</v>
      </c>
      <c r="AA17" s="11">
        <v>29.870782206299452</v>
      </c>
      <c r="AB17" s="94">
        <v>4.3408339188767497</v>
      </c>
      <c r="AC17" s="94">
        <v>9.9783777687739459</v>
      </c>
      <c r="AD17" s="94">
        <f t="shared" si="10"/>
        <v>14.319211687650697</v>
      </c>
      <c r="AE17" s="94"/>
      <c r="AF17" s="40">
        <f t="shared" si="11"/>
        <v>2.7318686124567781</v>
      </c>
      <c r="AG17" s="94">
        <v>3.8081615228264192</v>
      </c>
      <c r="AH17" s="94">
        <v>-0.6689481531577417</v>
      </c>
      <c r="AI17" s="94">
        <v>1.1780102671881654</v>
      </c>
      <c r="AJ17" s="94">
        <f t="shared" si="12"/>
        <v>0.50906211403042367</v>
      </c>
      <c r="AL17" s="40">
        <f t="shared" si="13"/>
        <v>2.8609218734994002</v>
      </c>
      <c r="AM17" s="94">
        <v>13.572153033741255</v>
      </c>
      <c r="AN17" s="94">
        <v>3.0025944902352135</v>
      </c>
      <c r="AO17" s="94">
        <v>4.4228892241268012</v>
      </c>
      <c r="AP17" s="94">
        <f t="shared" si="14"/>
        <v>7.4254837143620147</v>
      </c>
      <c r="AQ17" s="107"/>
      <c r="AR17" s="40">
        <f t="shared" si="15"/>
        <v>3.0500840000298179</v>
      </c>
      <c r="AS17" s="94">
        <v>12.490467649731778</v>
      </c>
      <c r="AT17" s="94">
        <v>2.0071875817992777</v>
      </c>
      <c r="AU17" s="94">
        <v>4.3774782774589784</v>
      </c>
      <c r="AV17" s="94">
        <f t="shared" si="16"/>
        <v>6.3846658592582557</v>
      </c>
      <c r="AW17" s="91" t="str">
        <f t="shared" si="17"/>
        <v>Transport and storage</v>
      </c>
      <c r="AX17" s="40">
        <f t="shared" si="18"/>
        <v>2.6816272634551552</v>
      </c>
      <c r="AY17" s="11">
        <v>8.998417639409773</v>
      </c>
      <c r="AZ17" s="94">
        <v>0.46368333377022369</v>
      </c>
      <c r="BA17" s="94">
        <v>2.7260618724368122</v>
      </c>
      <c r="BB17" s="94">
        <f t="shared" si="19"/>
        <v>3.1897452062070357</v>
      </c>
      <c r="BC17" s="94"/>
      <c r="BD17" s="40">
        <f t="shared" si="20"/>
        <v>2.6174041078364407</v>
      </c>
      <c r="BE17" s="94">
        <v>1.0668407233699537</v>
      </c>
      <c r="BF17" s="94">
        <v>3.2513509332090844E-2</v>
      </c>
      <c r="BG17" s="94">
        <v>0.31452866341566049</v>
      </c>
      <c r="BH17" s="94">
        <f t="shared" si="21"/>
        <v>0.34704217274775134</v>
      </c>
      <c r="BJ17" s="40">
        <f t="shared" si="22"/>
        <v>2.6363264722116364</v>
      </c>
      <c r="BK17" s="94">
        <v>4.9047319312804847</v>
      </c>
      <c r="BL17" s="94">
        <v>0.14017890795839225</v>
      </c>
      <c r="BM17" s="94">
        <v>1.4577457375951082</v>
      </c>
      <c r="BN17" s="94">
        <f t="shared" si="23"/>
        <v>1.5979246455535003</v>
      </c>
      <c r="BO17" s="107"/>
      <c r="BP17" s="40">
        <f t="shared" si="24"/>
        <v>2.7770599340433355</v>
      </c>
      <c r="BQ17" s="94">
        <v>3.0268449847593342</v>
      </c>
      <c r="BR17" s="94">
        <v>0.29099091647974057</v>
      </c>
      <c r="BS17" s="94">
        <v>0.95378747142604337</v>
      </c>
      <c r="BT17" s="94">
        <f t="shared" si="25"/>
        <v>1.2447783879057839</v>
      </c>
      <c r="BU17" s="91" t="str">
        <f t="shared" si="26"/>
        <v>Transport and storage</v>
      </c>
      <c r="BV17" s="40">
        <f t="shared" si="27"/>
        <v>2.3754907319287089</v>
      </c>
      <c r="BW17" s="11">
        <v>50.110811503507264</v>
      </c>
      <c r="BX17" s="94">
        <v>0.37983071614327241</v>
      </c>
      <c r="BY17" s="94">
        <v>13.260311196398852</v>
      </c>
      <c r="BZ17" s="94">
        <f t="shared" si="28"/>
        <v>13.640141912542125</v>
      </c>
      <c r="CA17" s="94"/>
      <c r="CB17" s="40">
        <f t="shared" si="29"/>
        <v>2.3338534370635156</v>
      </c>
      <c r="CC17" s="94">
        <v>14.74166253806875</v>
      </c>
      <c r="CD17" s="94">
        <v>-4.5191002676533572</v>
      </c>
      <c r="CE17" s="94">
        <v>3.8252523053004484</v>
      </c>
      <c r="CF17" s="94">
        <f t="shared" si="30"/>
        <v>-0.6938479623529088</v>
      </c>
      <c r="CH17" s="40">
        <f t="shared" si="31"/>
        <v>2.3772663395688065</v>
      </c>
      <c r="CI17" s="94">
        <v>32.323025931939064</v>
      </c>
      <c r="CJ17" s="94">
        <v>3.459835793309614</v>
      </c>
      <c r="CK17" s="94">
        <v>8.5604017208804635</v>
      </c>
      <c r="CL17" s="94">
        <f t="shared" si="32"/>
        <v>12.020237514190077</v>
      </c>
      <c r="CM17" s="107"/>
      <c r="CN17" s="40">
        <f t="shared" si="33"/>
        <v>2.5563381424586806</v>
      </c>
      <c r="CO17" s="94">
        <v>3.0461230334994571</v>
      </c>
      <c r="CP17" s="94">
        <v>1.4390951904870155</v>
      </c>
      <c r="CQ17" s="94">
        <v>0.87465717021794065</v>
      </c>
      <c r="CR17" s="94">
        <f t="shared" si="34"/>
        <v>2.3137523607049562</v>
      </c>
      <c r="CS17" s="91" t="str">
        <f t="shared" si="35"/>
        <v>Transport and storage</v>
      </c>
      <c r="CT17" s="40">
        <f t="shared" si="36"/>
        <v>2.3083258626595438</v>
      </c>
      <c r="CU17" s="11">
        <v>3.5452200523650017</v>
      </c>
      <c r="CV17" s="94">
        <v>-0.37814690326821171</v>
      </c>
      <c r="CW17" s="94">
        <v>0.90880830691168701</v>
      </c>
      <c r="CX17" s="94">
        <f t="shared" si="37"/>
        <v>0.53066140364347536</v>
      </c>
      <c r="CY17" s="94"/>
      <c r="CZ17" s="40">
        <f t="shared" si="38"/>
        <v>2.3896892286912941</v>
      </c>
      <c r="DA17" s="94">
        <v>1.5820648528550136</v>
      </c>
      <c r="DB17" s="94">
        <v>-0.91701617077097408</v>
      </c>
      <c r="DC17" s="94">
        <v>0.42142215618484119</v>
      </c>
      <c r="DD17" s="94">
        <f t="shared" si="39"/>
        <v>-0.49559401458613289</v>
      </c>
      <c r="DF17" s="40">
        <f t="shared" si="40"/>
        <v>2.2469738978732945</v>
      </c>
      <c r="DG17" s="94">
        <v>1.8589580112301323</v>
      </c>
      <c r="DH17" s="94">
        <v>0.40224479324612111</v>
      </c>
      <c r="DI17" s="94">
        <v>0.4625715344934439</v>
      </c>
      <c r="DJ17" s="94">
        <f t="shared" si="41"/>
        <v>0.86481632773956507</v>
      </c>
      <c r="DK17" s="107"/>
      <c r="DL17" s="40">
        <f t="shared" si="42"/>
        <v>2.1591674565122787</v>
      </c>
      <c r="DM17" s="94">
        <v>0.10419718827985559</v>
      </c>
      <c r="DN17" s="94">
        <v>0.13662447425664134</v>
      </c>
      <c r="DO17" s="94">
        <v>2.4814616233402073E-2</v>
      </c>
      <c r="DP17" s="94">
        <f t="shared" si="43"/>
        <v>0.1614390904900434</v>
      </c>
    </row>
    <row r="18" spans="1:120" x14ac:dyDescent="0.2">
      <c r="A18" s="91" t="str">
        <f>name!B14</f>
        <v>Accommodation and food</v>
      </c>
      <c r="B18" s="40">
        <f t="shared" si="1"/>
        <v>2.7290326750703198</v>
      </c>
      <c r="C18" s="11">
        <v>12.952999999999982</v>
      </c>
      <c r="D18" s="94">
        <v>0.38799999999999019</v>
      </c>
      <c r="E18" s="94">
        <v>4.0021779615326993</v>
      </c>
      <c r="F18" s="94">
        <f t="shared" si="2"/>
        <v>4.3901779615326895</v>
      </c>
      <c r="G18" s="94"/>
      <c r="H18" s="40">
        <f t="shared" si="3"/>
        <v>2.439043046528111</v>
      </c>
      <c r="I18" s="94">
        <v>0.98180011788807253</v>
      </c>
      <c r="J18" s="94">
        <v>-0.31823538887421476</v>
      </c>
      <c r="K18" s="94">
        <v>0.26753287063716108</v>
      </c>
      <c r="L18" s="94">
        <f t="shared" si="4"/>
        <v>-5.0702518237053684E-2</v>
      </c>
      <c r="N18" s="40">
        <f t="shared" si="5"/>
        <v>2.4753153877203893</v>
      </c>
      <c r="O18" s="94">
        <v>4.3897999117505364</v>
      </c>
      <c r="P18" s="94">
        <v>-3.3729018992914917E-3</v>
      </c>
      <c r="Q18" s="94">
        <v>1.2159970209281907</v>
      </c>
      <c r="R18" s="94">
        <f t="shared" si="6"/>
        <v>1.2126241190288993</v>
      </c>
      <c r="S18" s="107"/>
      <c r="T18" s="40">
        <f t="shared" si="7"/>
        <v>2.9099584906887133</v>
      </c>
      <c r="U18" s="94">
        <v>7.5813999703613737</v>
      </c>
      <c r="V18" s="94">
        <v>0.70960829077349641</v>
      </c>
      <c r="W18" s="94">
        <v>2.5186480699673486</v>
      </c>
      <c r="X18" s="94">
        <f t="shared" si="8"/>
        <v>3.2282563607408452</v>
      </c>
      <c r="Y18" s="91" t="str">
        <f t="shared" si="0"/>
        <v>Accommodation and food</v>
      </c>
      <c r="Z18" s="40">
        <f t="shared" si="9"/>
        <v>2.9001988046052141</v>
      </c>
      <c r="AA18" s="11">
        <v>8.41715005869405</v>
      </c>
      <c r="AB18" s="94">
        <v>1.2401845545007941</v>
      </c>
      <c r="AC18" s="94">
        <v>2.7856660704349108</v>
      </c>
      <c r="AD18" s="94">
        <f t="shared" si="10"/>
        <v>4.0258506249357051</v>
      </c>
      <c r="AE18" s="94"/>
      <c r="AF18" s="40">
        <f t="shared" si="11"/>
        <v>2.6294544068126147</v>
      </c>
      <c r="AG18" s="94">
        <v>0.26152951231038224</v>
      </c>
      <c r="AH18" s="94">
        <v>-4.5405475739936016E-2</v>
      </c>
      <c r="AI18" s="94">
        <v>7.7502654523601097E-2</v>
      </c>
      <c r="AJ18" s="94">
        <f t="shared" si="12"/>
        <v>3.2097178783665081E-2</v>
      </c>
      <c r="AL18" s="40">
        <f t="shared" si="13"/>
        <v>2.7712915947119443</v>
      </c>
      <c r="AM18" s="94">
        <v>1.603753842229815</v>
      </c>
      <c r="AN18" s="94">
        <v>0.37014463186933377</v>
      </c>
      <c r="AO18" s="94">
        <v>0.50417456272407901</v>
      </c>
      <c r="AP18" s="94">
        <f t="shared" si="14"/>
        <v>0.87431919459341279</v>
      </c>
      <c r="AQ18" s="107"/>
      <c r="AR18" s="40">
        <f t="shared" si="15"/>
        <v>2.9421782199993585</v>
      </c>
      <c r="AS18" s="94">
        <v>6.5518667041538512</v>
      </c>
      <c r="AT18" s="94">
        <v>0.91544539837139627</v>
      </c>
      <c r="AU18" s="94">
        <v>2.2039888531872305</v>
      </c>
      <c r="AV18" s="94">
        <f t="shared" si="16"/>
        <v>3.1194342515586269</v>
      </c>
      <c r="AW18" s="91" t="str">
        <f t="shared" si="17"/>
        <v>Accommodation and food</v>
      </c>
      <c r="AX18" s="40">
        <f t="shared" si="18"/>
        <v>2.6824624047876666</v>
      </c>
      <c r="AY18" s="11">
        <v>1.5529698962248977</v>
      </c>
      <c r="AZ18" s="94">
        <v>-0.46999464299830562</v>
      </c>
      <c r="BA18" s="94">
        <v>0.47063529840578655</v>
      </c>
      <c r="BB18" s="94">
        <f t="shared" si="19"/>
        <v>6.4065540748092786E-4</v>
      </c>
      <c r="BC18" s="94"/>
      <c r="BD18" s="40">
        <f t="shared" si="20"/>
        <v>2.5523204536911814</v>
      </c>
      <c r="BE18" s="94">
        <v>0.13614442022126955</v>
      </c>
      <c r="BF18" s="94">
        <v>-6.3296157131409597E-2</v>
      </c>
      <c r="BG18" s="94">
        <v>3.9023576340022549E-2</v>
      </c>
      <c r="BH18" s="94">
        <f t="shared" si="21"/>
        <v>-2.4272580791387048E-2</v>
      </c>
      <c r="BJ18" s="40">
        <f t="shared" si="22"/>
        <v>2.6286177015529599</v>
      </c>
      <c r="BK18" s="94">
        <v>0.68908932411816504</v>
      </c>
      <c r="BL18" s="94">
        <v>-0.20218556619821521</v>
      </c>
      <c r="BM18" s="94">
        <v>0.20413453714844726</v>
      </c>
      <c r="BN18" s="94">
        <f t="shared" si="23"/>
        <v>1.948970950232054E-3</v>
      </c>
      <c r="BO18" s="107"/>
      <c r="BP18" s="40">
        <f t="shared" si="24"/>
        <v>2.7572901368161595</v>
      </c>
      <c r="BQ18" s="94">
        <v>0.72773615188546292</v>
      </c>
      <c r="BR18" s="94">
        <v>-0.20451291966868082</v>
      </c>
      <c r="BS18" s="94">
        <v>0.22747718491731678</v>
      </c>
      <c r="BT18" s="94">
        <f t="shared" si="25"/>
        <v>2.2964265248635957E-2</v>
      </c>
      <c r="BU18" s="91" t="str">
        <f t="shared" si="26"/>
        <v>Accommodation and food</v>
      </c>
      <c r="BV18" s="40">
        <f t="shared" si="27"/>
        <v>2.2597619936791435</v>
      </c>
      <c r="BW18" s="11">
        <v>2.763662773835291</v>
      </c>
      <c r="BX18" s="94">
        <v>-0.23042163432403942</v>
      </c>
      <c r="BY18" s="94">
        <v>0.69201169643440363</v>
      </c>
      <c r="BZ18" s="94">
        <f t="shared" si="28"/>
        <v>0.46159006211036424</v>
      </c>
      <c r="CA18" s="94"/>
      <c r="CB18" s="40">
        <f t="shared" si="29"/>
        <v>2.2744187655870496</v>
      </c>
      <c r="CC18" s="94">
        <v>0.53420672462394658</v>
      </c>
      <c r="CD18" s="94">
        <v>-0.18314245506199275</v>
      </c>
      <c r="CE18" s="94">
        <v>0.13472154653176011</v>
      </c>
      <c r="CF18" s="94">
        <f t="shared" si="30"/>
        <v>-4.8420908530232648E-2</v>
      </c>
      <c r="CH18" s="40">
        <f t="shared" si="31"/>
        <v>2.2063029939758838</v>
      </c>
      <c r="CI18" s="94">
        <v>1.9276589348892854</v>
      </c>
      <c r="CJ18" s="94">
        <v>-4.5954991332827419E-2</v>
      </c>
      <c r="CK18" s="94">
        <v>0.47010811803984248</v>
      </c>
      <c r="CL18" s="94">
        <f t="shared" si="32"/>
        <v>0.42415312670701505</v>
      </c>
      <c r="CM18" s="107"/>
      <c r="CN18" s="40">
        <f t="shared" si="33"/>
        <v>2.5701813988873834</v>
      </c>
      <c r="CO18" s="94">
        <v>0.30179711432205908</v>
      </c>
      <c r="CP18" s="94">
        <v>-1.3241879292192368E-3</v>
      </c>
      <c r="CQ18" s="94">
        <v>8.7182031862801102E-2</v>
      </c>
      <c r="CR18" s="94">
        <f t="shared" si="34"/>
        <v>8.5857843933581868E-2</v>
      </c>
      <c r="CS18" s="91" t="str">
        <f t="shared" si="35"/>
        <v>Accommodation and food</v>
      </c>
      <c r="CT18" s="40">
        <f t="shared" si="36"/>
        <v>2.2214077027330692</v>
      </c>
      <c r="CU18" s="11">
        <v>0.21921727124574525</v>
      </c>
      <c r="CV18" s="94">
        <v>-0.15176827717845895</v>
      </c>
      <c r="CW18" s="94">
        <v>5.386489625759925E-2</v>
      </c>
      <c r="CX18" s="94">
        <f t="shared" si="37"/>
        <v>-9.7903380920859706E-2</v>
      </c>
      <c r="CY18" s="94"/>
      <c r="CZ18" s="40">
        <f t="shared" si="38"/>
        <v>2.8636185424038896</v>
      </c>
      <c r="DA18" s="94">
        <v>4.9919460732474302E-2</v>
      </c>
      <c r="DB18" s="94">
        <v>-2.6391300940876338E-2</v>
      </c>
      <c r="DC18" s="94">
        <v>1.6285093241777283E-2</v>
      </c>
      <c r="DD18" s="94">
        <f t="shared" si="39"/>
        <v>-1.0106207699099055E-2</v>
      </c>
      <c r="DF18" s="40">
        <f t="shared" si="40"/>
        <v>2.0249088908695478</v>
      </c>
      <c r="DG18" s="94">
        <v>0.16929781051327095</v>
      </c>
      <c r="DH18" s="94">
        <v>-0.12537697623758262</v>
      </c>
      <c r="DI18" s="94">
        <v>3.7579803015821964E-2</v>
      </c>
      <c r="DJ18" s="94">
        <f t="shared" si="41"/>
        <v>-8.7797173221760658E-2</v>
      </c>
      <c r="DK18" s="107"/>
      <c r="DL18" s="40">
        <f t="shared" si="42"/>
        <v>0</v>
      </c>
      <c r="DM18" s="94">
        <v>0</v>
      </c>
      <c r="DN18" s="94">
        <v>0</v>
      </c>
      <c r="DO18" s="94">
        <v>0</v>
      </c>
      <c r="DP18" s="94">
        <f t="shared" si="43"/>
        <v>0</v>
      </c>
    </row>
    <row r="19" spans="1:120" x14ac:dyDescent="0.2">
      <c r="A19" s="91" t="str">
        <f>name!B15</f>
        <v>Media</v>
      </c>
      <c r="B19" s="40">
        <f t="shared" si="1"/>
        <v>2.650879874909351</v>
      </c>
      <c r="C19" s="11">
        <v>16.661999999999964</v>
      </c>
      <c r="D19" s="94">
        <v>-1.8919999999999957</v>
      </c>
      <c r="E19" s="94">
        <v>4.9828157385534926</v>
      </c>
      <c r="F19" s="94">
        <f t="shared" si="2"/>
        <v>3.0908157385534967</v>
      </c>
      <c r="G19" s="94"/>
      <c r="H19" s="40">
        <f t="shared" si="3"/>
        <v>2.421853726448564</v>
      </c>
      <c r="I19" s="94">
        <v>1.9434405643167627</v>
      </c>
      <c r="J19" s="94">
        <v>-0.90855133713639524</v>
      </c>
      <c r="K19" s="94">
        <v>0.52542579270375545</v>
      </c>
      <c r="L19" s="94">
        <f t="shared" si="4"/>
        <v>-0.3831255444326398</v>
      </c>
      <c r="N19" s="40">
        <f t="shared" si="5"/>
        <v>2.4061732586688978</v>
      </c>
      <c r="O19" s="94">
        <v>7.733476770699653</v>
      </c>
      <c r="P19" s="94">
        <v>-1.0294803032346584</v>
      </c>
      <c r="Q19" s="94">
        <v>2.0757813219951484</v>
      </c>
      <c r="R19" s="94">
        <f t="shared" si="6"/>
        <v>1.04630101876049</v>
      </c>
      <c r="S19" s="107"/>
      <c r="T19" s="40">
        <f t="shared" si="7"/>
        <v>2.9772916903296753</v>
      </c>
      <c r="U19" s="94">
        <v>6.9850826649835493</v>
      </c>
      <c r="V19" s="94">
        <v>4.6031640371057968E-2</v>
      </c>
      <c r="W19" s="94">
        <v>2.3816086238545888</v>
      </c>
      <c r="X19" s="94">
        <f t="shared" si="8"/>
        <v>2.4276402642256469</v>
      </c>
      <c r="Y19" s="91" t="str">
        <f t="shared" si="0"/>
        <v>Media</v>
      </c>
      <c r="Z19" s="40">
        <f t="shared" si="9"/>
        <v>2.9185657815322896</v>
      </c>
      <c r="AA19" s="11">
        <v>8.3794062941985281</v>
      </c>
      <c r="AB19" s="94">
        <v>-0.17587640052692693</v>
      </c>
      <c r="AC19" s="94">
        <v>2.7930973117040807</v>
      </c>
      <c r="AD19" s="94">
        <f t="shared" si="10"/>
        <v>2.6172209111771538</v>
      </c>
      <c r="AE19" s="94"/>
      <c r="AF19" s="40">
        <f t="shared" si="11"/>
        <v>2.7459576371490213</v>
      </c>
      <c r="AG19" s="94">
        <v>0.31243496317011898</v>
      </c>
      <c r="AH19" s="94">
        <v>-0.10738960201360218</v>
      </c>
      <c r="AI19" s="94">
        <v>9.7209482795084096E-2</v>
      </c>
      <c r="AJ19" s="94">
        <f t="shared" si="12"/>
        <v>-1.018011921851808E-2</v>
      </c>
      <c r="AL19" s="40">
        <f t="shared" si="13"/>
        <v>2.6372520747176109</v>
      </c>
      <c r="AM19" s="94">
        <v>2.000766979672798</v>
      </c>
      <c r="AN19" s="94">
        <v>-0.14537129206384908</v>
      </c>
      <c r="AO19" s="94">
        <v>0.59488625177063192</v>
      </c>
      <c r="AP19" s="94">
        <f t="shared" si="14"/>
        <v>0.44951495970678285</v>
      </c>
      <c r="AQ19" s="107"/>
      <c r="AR19" s="40">
        <f t="shared" si="15"/>
        <v>3.0186007978292295</v>
      </c>
      <c r="AS19" s="94">
        <v>6.0662043513556112</v>
      </c>
      <c r="AT19" s="94">
        <v>7.6884493550524291E-2</v>
      </c>
      <c r="AU19" s="94">
        <v>2.1010015771383648</v>
      </c>
      <c r="AV19" s="94">
        <f t="shared" si="16"/>
        <v>2.177886070688889</v>
      </c>
      <c r="AW19" s="91" t="str">
        <f t="shared" si="17"/>
        <v>Media</v>
      </c>
      <c r="AX19" s="40">
        <f t="shared" si="18"/>
        <v>2.6651859485115947</v>
      </c>
      <c r="AY19" s="11">
        <v>1.664971822536162</v>
      </c>
      <c r="AZ19" s="94">
        <v>-0.7022088254799439</v>
      </c>
      <c r="BA19" s="94">
        <v>0.50093050963156127</v>
      </c>
      <c r="BB19" s="94">
        <f t="shared" si="19"/>
        <v>-0.20127831584838263</v>
      </c>
      <c r="BC19" s="94"/>
      <c r="BD19" s="40">
        <f t="shared" si="20"/>
        <v>2.581820000482149</v>
      </c>
      <c r="BE19" s="94">
        <v>0.26372544688368038</v>
      </c>
      <c r="BF19" s="94">
        <v>-0.10831956062703628</v>
      </c>
      <c r="BG19" s="94">
        <v>7.6569920735424277E-2</v>
      </c>
      <c r="BH19" s="94">
        <f t="shared" si="21"/>
        <v>-3.1749639891612003E-2</v>
      </c>
      <c r="BJ19" s="40">
        <f t="shared" si="22"/>
        <v>2.6382225672916038</v>
      </c>
      <c r="BK19" s="94">
        <v>0.90622693590093328</v>
      </c>
      <c r="BL19" s="94">
        <v>-0.31112932759164502</v>
      </c>
      <c r="BM19" s="94">
        <v>0.26955881347514621</v>
      </c>
      <c r="BN19" s="94">
        <f t="shared" si="23"/>
        <v>-4.1570514116498813E-2</v>
      </c>
      <c r="BO19" s="107"/>
      <c r="BP19" s="40">
        <f t="shared" si="24"/>
        <v>2.7583597057282416</v>
      </c>
      <c r="BQ19" s="94">
        <v>0.4950194397515485</v>
      </c>
      <c r="BR19" s="94">
        <v>-0.28275993726126269</v>
      </c>
      <c r="BS19" s="94">
        <v>0.15480177542099077</v>
      </c>
      <c r="BT19" s="94">
        <f t="shared" si="25"/>
        <v>-0.12795816184027192</v>
      </c>
      <c r="BU19" s="91" t="str">
        <f t="shared" si="26"/>
        <v>Media</v>
      </c>
      <c r="BV19" s="40">
        <f t="shared" si="27"/>
        <v>2.301250253200271</v>
      </c>
      <c r="BW19" s="11">
        <v>5.9165033698801821</v>
      </c>
      <c r="BX19" s="94">
        <v>-1.0278366832146471</v>
      </c>
      <c r="BY19" s="94">
        <v>1.5115416978807021</v>
      </c>
      <c r="BZ19" s="94">
        <f t="shared" si="28"/>
        <v>0.48370501466605509</v>
      </c>
      <c r="CA19" s="94"/>
      <c r="CB19" s="40">
        <f t="shared" si="29"/>
        <v>2.3115008885774335</v>
      </c>
      <c r="CC19" s="94">
        <v>1.2498018824231734</v>
      </c>
      <c r="CD19" s="94">
        <v>-0.61465964280907215</v>
      </c>
      <c r="CE19" s="94">
        <v>0.32087094919664594</v>
      </c>
      <c r="CF19" s="94">
        <f t="shared" si="30"/>
        <v>-0.29378869361242621</v>
      </c>
      <c r="CH19" s="40">
        <f t="shared" si="31"/>
        <v>2.2668844506140928</v>
      </c>
      <c r="CI19" s="94">
        <v>4.2539717403366248</v>
      </c>
      <c r="CJ19" s="94">
        <v>-0.61145217832122922</v>
      </c>
      <c r="CK19" s="94">
        <v>1.0688859433031883</v>
      </c>
      <c r="CL19" s="94">
        <f t="shared" si="32"/>
        <v>0.45743376498195909</v>
      </c>
      <c r="CM19" s="107"/>
      <c r="CN19" s="40">
        <f t="shared" si="33"/>
        <v>2.6193775887513038</v>
      </c>
      <c r="CO19" s="94">
        <v>0.41272974712038374</v>
      </c>
      <c r="CP19" s="94">
        <v>0.19827513791565432</v>
      </c>
      <c r="CQ19" s="94">
        <v>0.12178480538086794</v>
      </c>
      <c r="CR19" s="94">
        <f t="shared" si="34"/>
        <v>0.32005994329652226</v>
      </c>
      <c r="CS19" s="91" t="str">
        <f t="shared" si="35"/>
        <v>Media</v>
      </c>
      <c r="CT19" s="40">
        <f t="shared" si="36"/>
        <v>2.2794409399427673</v>
      </c>
      <c r="CU19" s="11">
        <v>0.70111851338509235</v>
      </c>
      <c r="CV19" s="94">
        <v>1.3921909221522149E-2</v>
      </c>
      <c r="CW19" s="94">
        <v>0.17724621933714907</v>
      </c>
      <c r="CX19" s="94">
        <f t="shared" si="37"/>
        <v>0.19116812855867121</v>
      </c>
      <c r="CY19" s="94"/>
      <c r="CZ19" s="40">
        <f t="shared" si="38"/>
        <v>2.3539960057005649</v>
      </c>
      <c r="DA19" s="94">
        <v>0.11747827183979</v>
      </c>
      <c r="DB19" s="94">
        <v>-7.8182531686684584E-2</v>
      </c>
      <c r="DC19" s="94">
        <v>3.0775439976601052E-2</v>
      </c>
      <c r="DD19" s="94">
        <f t="shared" si="39"/>
        <v>-4.7407091710083532E-2</v>
      </c>
      <c r="DF19" s="40">
        <f t="shared" si="40"/>
        <v>2.2468339355165234</v>
      </c>
      <c r="DG19" s="94">
        <v>0.57251111478929684</v>
      </c>
      <c r="DH19" s="94">
        <v>3.8472494742064697E-2</v>
      </c>
      <c r="DI19" s="94">
        <v>0.14245031344618231</v>
      </c>
      <c r="DJ19" s="94">
        <f t="shared" si="41"/>
        <v>0.18092280818824702</v>
      </c>
      <c r="DK19" s="107"/>
      <c r="DL19" s="40">
        <f t="shared" si="42"/>
        <v>3.132129843378717</v>
      </c>
      <c r="DM19" s="94">
        <v>1.1129126756005558E-2</v>
      </c>
      <c r="DN19" s="94">
        <v>5.3631946166142037E-2</v>
      </c>
      <c r="DO19" s="94">
        <v>4.0204659143656838E-3</v>
      </c>
      <c r="DP19" s="94">
        <f t="shared" si="43"/>
        <v>5.7652412080507719E-2</v>
      </c>
    </row>
    <row r="20" spans="1:120" x14ac:dyDescent="0.2">
      <c r="A20" s="91" t="str">
        <f>name!B16</f>
        <v>Information technology</v>
      </c>
      <c r="B20" s="40">
        <f t="shared" si="1"/>
        <v>2.630000270050048</v>
      </c>
      <c r="C20" s="11">
        <v>34.601999999999876</v>
      </c>
      <c r="D20" s="94">
        <v>-3.8549999999999471</v>
      </c>
      <c r="E20" s="94">
        <v>10.256474686233423</v>
      </c>
      <c r="F20" s="94">
        <f t="shared" si="2"/>
        <v>6.4014746862334757</v>
      </c>
      <c r="G20" s="94"/>
      <c r="H20" s="40">
        <f t="shared" si="3"/>
        <v>2.4896239324975644</v>
      </c>
      <c r="I20" s="94">
        <v>6.3842523172142389</v>
      </c>
      <c r="J20" s="94">
        <v>-1.3027470433857931</v>
      </c>
      <c r="K20" s="94">
        <v>1.7798612708286927</v>
      </c>
      <c r="L20" s="94">
        <f t="shared" si="4"/>
        <v>0.47711422744289966</v>
      </c>
      <c r="N20" s="40">
        <f t="shared" si="5"/>
        <v>2.5461854565335118</v>
      </c>
      <c r="O20" s="94">
        <v>18.08880807286123</v>
      </c>
      <c r="P20" s="94">
        <v>-2.1012037936311048</v>
      </c>
      <c r="Q20" s="94">
        <v>5.1709423641740262</v>
      </c>
      <c r="R20" s="94">
        <f t="shared" si="6"/>
        <v>3.0697385705429214</v>
      </c>
      <c r="S20" s="107"/>
      <c r="T20" s="40">
        <f t="shared" si="7"/>
        <v>2.8646399549337564</v>
      </c>
      <c r="U20" s="94">
        <v>10.128939609924409</v>
      </c>
      <c r="V20" s="94">
        <v>-0.45104916298304948</v>
      </c>
      <c r="W20" s="94">
        <v>3.3056710512307044</v>
      </c>
      <c r="X20" s="94">
        <f t="shared" si="8"/>
        <v>2.8546218882476548</v>
      </c>
      <c r="Y20" s="91" t="str">
        <f t="shared" si="0"/>
        <v>Information technology</v>
      </c>
      <c r="Z20" s="40">
        <f t="shared" si="9"/>
        <v>2.8552821094793401</v>
      </c>
      <c r="AA20" s="11">
        <v>13.953182859548033</v>
      </c>
      <c r="AB20" s="94">
        <v>-1.67980428374619</v>
      </c>
      <c r="AC20" s="94">
        <v>4.5369181113981396</v>
      </c>
      <c r="AD20" s="94">
        <f t="shared" si="10"/>
        <v>2.8571138276519497</v>
      </c>
      <c r="AE20" s="94"/>
      <c r="AF20" s="40">
        <f t="shared" si="11"/>
        <v>2.798663449076022</v>
      </c>
      <c r="AG20" s="94">
        <v>1.2847958755225881</v>
      </c>
      <c r="AH20" s="94">
        <v>-0.12384047360641834</v>
      </c>
      <c r="AI20" s="94">
        <v>0.40840629030865233</v>
      </c>
      <c r="AJ20" s="94">
        <f t="shared" si="12"/>
        <v>0.28456581670223402</v>
      </c>
      <c r="AL20" s="40">
        <f t="shared" si="13"/>
        <v>2.7559320611477256</v>
      </c>
      <c r="AM20" s="94">
        <v>4.8268191334861674</v>
      </c>
      <c r="AN20" s="94">
        <v>-0.57107107367591969</v>
      </c>
      <c r="AO20" s="94">
        <v>1.5079392492593697</v>
      </c>
      <c r="AP20" s="94">
        <f t="shared" si="14"/>
        <v>0.93686817558345004</v>
      </c>
      <c r="AQ20" s="107"/>
      <c r="AR20" s="40">
        <f t="shared" si="15"/>
        <v>2.9252105333952505</v>
      </c>
      <c r="AS20" s="94">
        <v>7.8415678505392767</v>
      </c>
      <c r="AT20" s="94">
        <v>-0.98489273646385189</v>
      </c>
      <c r="AU20" s="94">
        <v>2.6205725718301167</v>
      </c>
      <c r="AV20" s="94">
        <f t="shared" si="16"/>
        <v>1.6356798353662647</v>
      </c>
      <c r="AW20" s="91" t="str">
        <f t="shared" si="17"/>
        <v>Information technology</v>
      </c>
      <c r="AX20" s="40">
        <f t="shared" si="18"/>
        <v>2.6748514920266198</v>
      </c>
      <c r="AY20" s="11">
        <v>4.2099312351777032</v>
      </c>
      <c r="AZ20" s="94">
        <v>-0.56161412539516631</v>
      </c>
      <c r="BA20" s="94">
        <v>1.2717759825285015</v>
      </c>
      <c r="BB20" s="94">
        <f t="shared" si="19"/>
        <v>0.71016185713333524</v>
      </c>
      <c r="BC20" s="94"/>
      <c r="BD20" s="40">
        <f t="shared" si="20"/>
        <v>2.5994582145060452</v>
      </c>
      <c r="BE20" s="94">
        <v>0.53565838194452042</v>
      </c>
      <c r="BF20" s="94">
        <v>-7.8618004194655866E-2</v>
      </c>
      <c r="BG20" s="94">
        <v>0.15671215650903289</v>
      </c>
      <c r="BH20" s="94">
        <f t="shared" si="21"/>
        <v>7.8094152314377024E-2</v>
      </c>
      <c r="BJ20" s="40">
        <f t="shared" si="22"/>
        <v>2.6483527756445246</v>
      </c>
      <c r="BK20" s="94">
        <v>2.2560634885597532</v>
      </c>
      <c r="BL20" s="94">
        <v>-0.30542322205299727</v>
      </c>
      <c r="BM20" s="94">
        <v>0.67396040804007895</v>
      </c>
      <c r="BN20" s="94">
        <f t="shared" si="23"/>
        <v>0.36853718598708168</v>
      </c>
      <c r="BO20" s="107"/>
      <c r="BP20" s="40">
        <f t="shared" si="24"/>
        <v>2.7451216362557762</v>
      </c>
      <c r="BQ20" s="94">
        <v>1.4182093646734297</v>
      </c>
      <c r="BR20" s="94">
        <v>-0.17757289914751315</v>
      </c>
      <c r="BS20" s="94">
        <v>0.44110341797938962</v>
      </c>
      <c r="BT20" s="94">
        <f t="shared" si="25"/>
        <v>0.2635305188318765</v>
      </c>
      <c r="BU20" s="91" t="str">
        <f t="shared" si="26"/>
        <v>Information technology</v>
      </c>
      <c r="BV20" s="40">
        <f t="shared" si="27"/>
        <v>2.4242377604531073</v>
      </c>
      <c r="BW20" s="11">
        <v>15.223628532016798</v>
      </c>
      <c r="BX20" s="94">
        <v>-1.9724996964398605</v>
      </c>
      <c r="BY20" s="94">
        <v>4.1203403348407761</v>
      </c>
      <c r="BZ20" s="94">
        <f t="shared" si="28"/>
        <v>2.1478406384009157</v>
      </c>
      <c r="CA20" s="94"/>
      <c r="CB20" s="40">
        <f t="shared" si="29"/>
        <v>2.4043230891266143</v>
      </c>
      <c r="CC20" s="94">
        <v>4.0549670831540263</v>
      </c>
      <c r="CD20" s="94">
        <v>-0.87521384736118646</v>
      </c>
      <c r="CE20" s="94">
        <v>1.0874848929554206</v>
      </c>
      <c r="CF20" s="94">
        <f t="shared" si="30"/>
        <v>0.21227104559423415</v>
      </c>
      <c r="CH20" s="40">
        <f t="shared" si="31"/>
        <v>2.4287404250380895</v>
      </c>
      <c r="CI20" s="94">
        <v>10.383652468950638</v>
      </c>
      <c r="CJ20" s="94">
        <v>-1.3016002996443403</v>
      </c>
      <c r="CK20" s="94">
        <v>2.8161814283025186</v>
      </c>
      <c r="CL20" s="94">
        <f t="shared" si="32"/>
        <v>1.5145811286581783</v>
      </c>
      <c r="CM20" s="107"/>
      <c r="CN20" s="40">
        <f t="shared" si="33"/>
        <v>2.4673648385086233</v>
      </c>
      <c r="CO20" s="94">
        <v>0.78500897991213381</v>
      </c>
      <c r="CP20" s="94">
        <v>0.20431445056566661</v>
      </c>
      <c r="CQ20" s="94">
        <v>0.21667401358283661</v>
      </c>
      <c r="CR20" s="94">
        <f t="shared" si="34"/>
        <v>0.42098846414850322</v>
      </c>
      <c r="CS20" s="91" t="str">
        <f t="shared" si="35"/>
        <v>Information technology</v>
      </c>
      <c r="CT20" s="40">
        <f t="shared" si="36"/>
        <v>2.4144541847002987</v>
      </c>
      <c r="CU20" s="11">
        <v>1.2152573732573435</v>
      </c>
      <c r="CV20" s="94">
        <v>0.35891810558126896</v>
      </c>
      <c r="CW20" s="94">
        <v>0.32744025746600702</v>
      </c>
      <c r="CX20" s="94">
        <f t="shared" si="37"/>
        <v>0.68635836304727604</v>
      </c>
      <c r="CY20" s="94"/>
      <c r="CZ20" s="40">
        <f t="shared" si="38"/>
        <v>2.2573250871402939</v>
      </c>
      <c r="DA20" s="94">
        <v>0.50883097659310417</v>
      </c>
      <c r="DB20" s="94">
        <v>-0.22507471822353237</v>
      </c>
      <c r="DC20" s="94">
        <v>0.12725793105558686</v>
      </c>
      <c r="DD20" s="94">
        <f t="shared" si="39"/>
        <v>-9.7816787167945507E-2</v>
      </c>
      <c r="DF20" s="40">
        <f t="shared" si="40"/>
        <v>2.4816129596337833</v>
      </c>
      <c r="DG20" s="94">
        <v>0.62227298186467062</v>
      </c>
      <c r="DH20" s="94">
        <v>7.6890801742152348E-2</v>
      </c>
      <c r="DI20" s="94">
        <v>0.1728612785720591</v>
      </c>
      <c r="DJ20" s="94">
        <f t="shared" si="41"/>
        <v>0.24975208031421145</v>
      </c>
      <c r="DK20" s="107"/>
      <c r="DL20" s="40">
        <f t="shared" si="42"/>
        <v>2.8514371248256065</v>
      </c>
      <c r="DM20" s="94">
        <v>8.4153414799568824E-2</v>
      </c>
      <c r="DN20" s="94">
        <v>0.50710202206264898</v>
      </c>
      <c r="DO20" s="94">
        <v>2.7321047838361107E-2</v>
      </c>
      <c r="DP20" s="94">
        <f t="shared" si="43"/>
        <v>0.53442306990101007</v>
      </c>
    </row>
    <row r="21" spans="1:120" x14ac:dyDescent="0.2">
      <c r="A21" s="91" t="str">
        <f>name!B17</f>
        <v>Finance and insurance</v>
      </c>
      <c r="B21" s="40">
        <f t="shared" si="1"/>
        <v>2.4812804219719098</v>
      </c>
      <c r="C21" s="11">
        <v>33.322999999999901</v>
      </c>
      <c r="D21" s="94">
        <v>-3.4569999999999741</v>
      </c>
      <c r="E21" s="94">
        <v>9.2554181233713848</v>
      </c>
      <c r="F21" s="94">
        <f t="shared" si="2"/>
        <v>5.7984181233714107</v>
      </c>
      <c r="G21" s="94"/>
      <c r="H21" s="40">
        <f t="shared" si="3"/>
        <v>2.3436986854765918</v>
      </c>
      <c r="I21" s="94">
        <v>7.7779668974735596</v>
      </c>
      <c r="J21" s="94">
        <v>-2.1913610207501648</v>
      </c>
      <c r="K21" s="94">
        <v>2.0277008362964004</v>
      </c>
      <c r="L21" s="94">
        <f t="shared" si="4"/>
        <v>-0.1636601844537644</v>
      </c>
      <c r="N21" s="40">
        <f t="shared" si="5"/>
        <v>2.3961637037624106</v>
      </c>
      <c r="O21" s="94">
        <v>18.946833896500934</v>
      </c>
      <c r="P21" s="94">
        <v>-1.9125527829377933</v>
      </c>
      <c r="Q21" s="94">
        <v>5.0621349318084921</v>
      </c>
      <c r="R21" s="94">
        <f t="shared" si="6"/>
        <v>3.1495821488706985</v>
      </c>
      <c r="S21" s="107"/>
      <c r="T21" s="40">
        <f t="shared" si="7"/>
        <v>2.878971077935244</v>
      </c>
      <c r="U21" s="94">
        <v>6.5981992060254084</v>
      </c>
      <c r="V21" s="94">
        <v>0.64691380368798412</v>
      </c>
      <c r="W21" s="94">
        <v>2.1655823552664915</v>
      </c>
      <c r="X21" s="94">
        <f t="shared" si="8"/>
        <v>2.8124961589544757</v>
      </c>
      <c r="Y21" s="91" t="str">
        <f t="shared" si="0"/>
        <v>Finance and insurance</v>
      </c>
      <c r="Z21" s="40">
        <f t="shared" si="9"/>
        <v>2.798959749955654</v>
      </c>
      <c r="AA21" s="11">
        <v>12.270868694716109</v>
      </c>
      <c r="AB21" s="94">
        <v>2.9764862885854111</v>
      </c>
      <c r="AC21" s="94">
        <v>3.9010857145843958</v>
      </c>
      <c r="AD21" s="94">
        <f t="shared" si="10"/>
        <v>6.8775720031698064</v>
      </c>
      <c r="AE21" s="94"/>
      <c r="AF21" s="40">
        <f t="shared" si="11"/>
        <v>2.7178804906447418</v>
      </c>
      <c r="AG21" s="94">
        <v>1.4082979674661906</v>
      </c>
      <c r="AH21" s="94">
        <v>5.2896058974020416E-2</v>
      </c>
      <c r="AI21" s="94">
        <v>0.43313132387053488</v>
      </c>
      <c r="AJ21" s="94">
        <f t="shared" si="12"/>
        <v>0.48602738284455527</v>
      </c>
      <c r="AL21" s="40">
        <f t="shared" si="13"/>
        <v>2.6905674486324749</v>
      </c>
      <c r="AM21" s="94">
        <v>5.7129298402976092</v>
      </c>
      <c r="AN21" s="94">
        <v>2.2476050941027323</v>
      </c>
      <c r="AO21" s="94">
        <v>1.737210049999393</v>
      </c>
      <c r="AP21" s="94">
        <f t="shared" si="14"/>
        <v>3.9848151441021251</v>
      </c>
      <c r="AQ21" s="107"/>
      <c r="AR21" s="40">
        <f t="shared" si="15"/>
        <v>2.939861842779945</v>
      </c>
      <c r="AS21" s="94">
        <v>5.1496408869523096</v>
      </c>
      <c r="AT21" s="94">
        <v>0.67598513550865802</v>
      </c>
      <c r="AU21" s="94">
        <v>1.7307443407144678</v>
      </c>
      <c r="AV21" s="94">
        <f t="shared" si="16"/>
        <v>2.4067294762231257</v>
      </c>
      <c r="AW21" s="91" t="str">
        <f t="shared" si="17"/>
        <v>Finance and insurance</v>
      </c>
      <c r="AX21" s="40">
        <f t="shared" si="18"/>
        <v>2.6672196716569507</v>
      </c>
      <c r="AY21" s="11">
        <v>3.1291828896233556</v>
      </c>
      <c r="AZ21" s="94">
        <v>4.7662543576286416E-2</v>
      </c>
      <c r="BA21" s="94">
        <v>0.94226572050611046</v>
      </c>
      <c r="BB21" s="94">
        <f t="shared" si="19"/>
        <v>0.98992826408239687</v>
      </c>
      <c r="BC21" s="94"/>
      <c r="BD21" s="40">
        <f t="shared" si="20"/>
        <v>2.6037899995889902</v>
      </c>
      <c r="BE21" s="94">
        <v>0.61592438154919227</v>
      </c>
      <c r="BF21" s="94">
        <v>-3.7382232284277769E-2</v>
      </c>
      <c r="BG21" s="94">
        <v>0.18053095656887813</v>
      </c>
      <c r="BH21" s="94">
        <f t="shared" si="21"/>
        <v>0.14314872428460035</v>
      </c>
      <c r="BJ21" s="40">
        <f t="shared" si="22"/>
        <v>2.6401755891724665</v>
      </c>
      <c r="BK21" s="94">
        <v>1.812577752323878</v>
      </c>
      <c r="BL21" s="94">
        <v>-1.6849737964863366E-2</v>
      </c>
      <c r="BM21" s="94">
        <v>0.53960200635034938</v>
      </c>
      <c r="BN21" s="94">
        <f t="shared" si="23"/>
        <v>0.52275226838548605</v>
      </c>
      <c r="BO21" s="107"/>
      <c r="BP21" s="40">
        <f t="shared" si="24"/>
        <v>2.7920140765933743</v>
      </c>
      <c r="BQ21" s="94">
        <v>0.70068075575028521</v>
      </c>
      <c r="BR21" s="94">
        <v>0.10189451382542755</v>
      </c>
      <c r="BS21" s="94">
        <v>0.22213275758688292</v>
      </c>
      <c r="BT21" s="94">
        <f t="shared" si="25"/>
        <v>0.32402727141231047</v>
      </c>
      <c r="BU21" s="91" t="str">
        <f t="shared" si="26"/>
        <v>Finance and insurance</v>
      </c>
      <c r="BV21" s="40">
        <f t="shared" si="27"/>
        <v>2.2225807612637372</v>
      </c>
      <c r="BW21" s="11">
        <v>17.010496310706994</v>
      </c>
      <c r="BX21" s="94">
        <v>-6.2268929517639569</v>
      </c>
      <c r="BY21" s="94">
        <v>4.1821600833902677</v>
      </c>
      <c r="BZ21" s="94">
        <f t="shared" si="28"/>
        <v>-2.0447328683736892</v>
      </c>
      <c r="CA21" s="94"/>
      <c r="CB21" s="40">
        <f t="shared" si="29"/>
        <v>2.2178133748506523</v>
      </c>
      <c r="CC21" s="94">
        <v>5.361386794682045</v>
      </c>
      <c r="CD21" s="94">
        <v>-2.3999699747148724</v>
      </c>
      <c r="CE21" s="94">
        <v>1.3150232829970165</v>
      </c>
      <c r="CF21" s="94">
        <f t="shared" si="30"/>
        <v>-1.0849466917178558</v>
      </c>
      <c r="CH21" s="40">
        <f t="shared" si="31"/>
        <v>2.2046166739490669</v>
      </c>
      <c r="CI21" s="94">
        <v>10.966559197882978</v>
      </c>
      <c r="CJ21" s="94">
        <v>-3.7501749723874718</v>
      </c>
      <c r="CK21" s="94">
        <v>2.6722208134635381</v>
      </c>
      <c r="CL21" s="94">
        <f t="shared" si="32"/>
        <v>-1.0779541589239336</v>
      </c>
      <c r="CM21" s="107"/>
      <c r="CN21" s="40">
        <f t="shared" si="33"/>
        <v>2.5438402112385017</v>
      </c>
      <c r="CO21" s="94">
        <v>0.68255031814196876</v>
      </c>
      <c r="CP21" s="94">
        <v>-7.6748004661612662E-2</v>
      </c>
      <c r="CQ21" s="94">
        <v>0.19491598692971274</v>
      </c>
      <c r="CR21" s="94">
        <f t="shared" si="34"/>
        <v>0.11816798226810007</v>
      </c>
      <c r="CS21" s="91" t="str">
        <f t="shared" si="35"/>
        <v>Finance and insurance</v>
      </c>
      <c r="CT21" s="40">
        <f t="shared" si="36"/>
        <v>2.2725870846393104</v>
      </c>
      <c r="CU21" s="11">
        <v>0.91245210495344775</v>
      </c>
      <c r="CV21" s="94">
        <v>-0.25425588039771407</v>
      </c>
      <c r="CW21" s="94">
        <v>0.22990660489061099</v>
      </c>
      <c r="CX21" s="94">
        <f t="shared" si="37"/>
        <v>-2.4349275507103085E-2</v>
      </c>
      <c r="CY21" s="94"/>
      <c r="CZ21" s="40">
        <f t="shared" si="38"/>
        <v>2.2758052007650242</v>
      </c>
      <c r="DA21" s="94">
        <v>0.3923577537761323</v>
      </c>
      <c r="DB21" s="94">
        <v>0.19309512727496547</v>
      </c>
      <c r="DC21" s="94">
        <v>9.9015272859970554E-2</v>
      </c>
      <c r="DD21" s="94">
        <f t="shared" si="39"/>
        <v>0.29211040013493605</v>
      </c>
      <c r="DF21" s="40">
        <f t="shared" si="40"/>
        <v>2.2459052950809522</v>
      </c>
      <c r="DG21" s="94">
        <v>0.4547671059964703</v>
      </c>
      <c r="DH21" s="94">
        <v>-0.3931331666881907</v>
      </c>
      <c r="DI21" s="94">
        <v>0.11310206199521274</v>
      </c>
      <c r="DJ21" s="94">
        <f t="shared" si="41"/>
        <v>-0.28003110469297798</v>
      </c>
      <c r="DK21" s="107"/>
      <c r="DL21" s="40">
        <f t="shared" si="42"/>
        <v>2.4375771949586511</v>
      </c>
      <c r="DM21" s="94">
        <v>6.5327245180845164E-2</v>
      </c>
      <c r="DN21" s="94">
        <v>-5.4217840984488806E-2</v>
      </c>
      <c r="DO21" s="94">
        <v>1.7789270035427705E-2</v>
      </c>
      <c r="DP21" s="94">
        <f t="shared" si="43"/>
        <v>-3.6428570949061101E-2</v>
      </c>
    </row>
    <row r="22" spans="1:120" x14ac:dyDescent="0.2">
      <c r="A22" s="91" t="str">
        <f>name!B18</f>
        <v>Real estate</v>
      </c>
      <c r="B22" s="40">
        <f t="shared" si="1"/>
        <v>2.6116897758494684</v>
      </c>
      <c r="C22" s="11">
        <v>6.1683349428474763</v>
      </c>
      <c r="D22" s="94">
        <v>0.196627540592925</v>
      </c>
      <c r="E22" s="94">
        <v>1.8141175570326864</v>
      </c>
      <c r="F22" s="94">
        <f t="shared" si="2"/>
        <v>2.0107450976256116</v>
      </c>
      <c r="G22" s="94"/>
      <c r="H22" s="40">
        <f t="shared" si="3"/>
        <v>2.514226030268718</v>
      </c>
      <c r="I22" s="94">
        <v>1.4414399971181822</v>
      </c>
      <c r="J22" s="94">
        <v>-0.35250015246161959</v>
      </c>
      <c r="K22" s="94">
        <v>0.40628757914793828</v>
      </c>
      <c r="L22" s="94">
        <f t="shared" si="4"/>
        <v>5.3787426686318696E-2</v>
      </c>
      <c r="N22" s="40">
        <f t="shared" si="5"/>
        <v>2.6214470082087438</v>
      </c>
      <c r="O22" s="94">
        <v>2.3753843717507803</v>
      </c>
      <c r="P22" s="94">
        <v>0.12579529520222252</v>
      </c>
      <c r="Q22" s="94">
        <v>0.701528764239294</v>
      </c>
      <c r="R22" s="94">
        <f t="shared" si="6"/>
        <v>0.82732405944151655</v>
      </c>
      <c r="S22" s="107"/>
      <c r="T22" s="40">
        <f t="shared" si="7"/>
        <v>2.6612106513108635</v>
      </c>
      <c r="U22" s="94">
        <v>2.3515105739785147</v>
      </c>
      <c r="V22" s="94">
        <v>0.42333239785232213</v>
      </c>
      <c r="W22" s="94">
        <v>0.70630121364545417</v>
      </c>
      <c r="X22" s="94">
        <f t="shared" si="8"/>
        <v>1.1296336114977763</v>
      </c>
      <c r="Y22" s="91" t="str">
        <f t="shared" si="0"/>
        <v>Real estate</v>
      </c>
      <c r="Z22" s="40">
        <f t="shared" si="9"/>
        <v>2.7183631629002836</v>
      </c>
      <c r="AA22" s="11">
        <v>3.1732901245624543</v>
      </c>
      <c r="AB22" s="94">
        <v>0.6841817025054634</v>
      </c>
      <c r="AC22" s="94">
        <v>0.97616127527036756</v>
      </c>
      <c r="AD22" s="94">
        <f t="shared" si="10"/>
        <v>1.660342977775831</v>
      </c>
      <c r="AE22" s="94"/>
      <c r="AF22" s="40">
        <f t="shared" si="11"/>
        <v>2.6131607505413434</v>
      </c>
      <c r="AG22" s="94">
        <v>0.19250680994422617</v>
      </c>
      <c r="AH22" s="94">
        <v>0.16401414967811412</v>
      </c>
      <c r="AI22" s="94">
        <v>5.6652287723932618E-2</v>
      </c>
      <c r="AJ22" s="94">
        <f t="shared" si="12"/>
        <v>0.22066643740204672</v>
      </c>
      <c r="AL22" s="40">
        <f t="shared" si="13"/>
        <v>2.8445633977957741</v>
      </c>
      <c r="AM22" s="94">
        <v>0.85860730100895899</v>
      </c>
      <c r="AN22" s="94">
        <v>4.2190547756578954E-2</v>
      </c>
      <c r="AO22" s="94">
        <v>0.27799351979985232</v>
      </c>
      <c r="AP22" s="94">
        <f t="shared" si="14"/>
        <v>0.32018406755643125</v>
      </c>
      <c r="AQ22" s="107"/>
      <c r="AR22" s="40">
        <f t="shared" si="15"/>
        <v>2.6764431790775811</v>
      </c>
      <c r="AS22" s="94">
        <v>2.1221760136092689</v>
      </c>
      <c r="AT22" s="94">
        <v>0.47797700507077023</v>
      </c>
      <c r="AU22" s="94">
        <v>0.64151546774658263</v>
      </c>
      <c r="AV22" s="94">
        <f t="shared" si="16"/>
        <v>1.119492472817353</v>
      </c>
      <c r="AW22" s="91" t="str">
        <f t="shared" si="17"/>
        <v>Real estate</v>
      </c>
      <c r="AX22" s="40">
        <f t="shared" si="18"/>
        <v>2.6817205379647824</v>
      </c>
      <c r="AY22" s="11">
        <v>0.48397528340046003</v>
      </c>
      <c r="AZ22" s="94">
        <v>-0.12994053725972496</v>
      </c>
      <c r="BA22" s="94">
        <v>0.14662556967400292</v>
      </c>
      <c r="BB22" s="94">
        <f t="shared" si="19"/>
        <v>1.6685032414277962E-2</v>
      </c>
      <c r="BC22" s="94"/>
      <c r="BD22" s="40">
        <f t="shared" si="20"/>
        <v>2.6291172026759568</v>
      </c>
      <c r="BE22" s="94">
        <v>9.4966037850212306E-2</v>
      </c>
      <c r="BF22" s="94">
        <v>-2.1192060628218386E-2</v>
      </c>
      <c r="BG22" s="94">
        <v>2.8138553500052236E-2</v>
      </c>
      <c r="BH22" s="94">
        <f t="shared" si="21"/>
        <v>6.9464928718338502E-3</v>
      </c>
      <c r="BJ22" s="40">
        <f t="shared" si="22"/>
        <v>2.6564659717416284</v>
      </c>
      <c r="BK22" s="94">
        <v>0.28934641044130943</v>
      </c>
      <c r="BL22" s="94">
        <v>-6.9725317303981571E-2</v>
      </c>
      <c r="BM22" s="94">
        <v>8.6734415154016753E-2</v>
      </c>
      <c r="BN22" s="94">
        <f t="shared" si="23"/>
        <v>1.7009097850035182E-2</v>
      </c>
      <c r="BO22" s="107"/>
      <c r="BP22" s="40">
        <f t="shared" si="24"/>
        <v>2.8043080569318812</v>
      </c>
      <c r="BQ22" s="94">
        <v>9.9662835108938322E-2</v>
      </c>
      <c r="BR22" s="94">
        <v>-3.9023159327524995E-2</v>
      </c>
      <c r="BS22" s="94">
        <v>3.1752601019933914E-2</v>
      </c>
      <c r="BT22" s="94">
        <f t="shared" si="25"/>
        <v>-7.270558307591081E-3</v>
      </c>
      <c r="BU22" s="91" t="str">
        <f t="shared" si="26"/>
        <v>Real estate</v>
      </c>
      <c r="BV22" s="40">
        <f t="shared" si="27"/>
        <v>2.4416221739186561</v>
      </c>
      <c r="BW22" s="11">
        <v>2.2997640416194169</v>
      </c>
      <c r="BX22" s="94">
        <v>-0.8033658212946152</v>
      </c>
      <c r="BY22" s="94">
        <v>0.6274046319250105</v>
      </c>
      <c r="BZ22" s="94">
        <f t="shared" si="28"/>
        <v>-0.1759611893696047</v>
      </c>
      <c r="CA22" s="94"/>
      <c r="CB22" s="40">
        <f t="shared" si="29"/>
        <v>2.4552545911513901</v>
      </c>
      <c r="CC22" s="94">
        <v>1.0388676866360598</v>
      </c>
      <c r="CD22" s="94">
        <v>-0.38022277882383149</v>
      </c>
      <c r="CE22" s="94">
        <v>0.285176888828165</v>
      </c>
      <c r="CF22" s="94">
        <f t="shared" si="30"/>
        <v>-9.5045889995666488E-2</v>
      </c>
      <c r="CH22" s="40">
        <f t="shared" si="31"/>
        <v>2.4368885305120269</v>
      </c>
      <c r="CI22" s="94">
        <v>1.1528693059881228</v>
      </c>
      <c r="CJ22" s="94">
        <v>-0.40179371550567344</v>
      </c>
      <c r="CK22" s="94">
        <v>0.31383937301156528</v>
      </c>
      <c r="CL22" s="94">
        <f t="shared" si="32"/>
        <v>-8.7954342494108162E-2</v>
      </c>
      <c r="CM22" s="107"/>
      <c r="CN22" s="40">
        <f t="shared" si="33"/>
        <v>2.3606641104796822</v>
      </c>
      <c r="CO22" s="94">
        <v>0.10802704899523392</v>
      </c>
      <c r="CP22" s="94">
        <v>-2.134932696511032E-2</v>
      </c>
      <c r="CQ22" s="94">
        <v>2.8388370085280102E-2</v>
      </c>
      <c r="CR22" s="94">
        <f t="shared" si="34"/>
        <v>7.0390431201697821E-3</v>
      </c>
      <c r="CS22" s="91" t="str">
        <f t="shared" si="35"/>
        <v>Real estate</v>
      </c>
      <c r="CT22" s="40">
        <f t="shared" si="36"/>
        <v>2.6783181831917302</v>
      </c>
      <c r="CU22" s="11">
        <v>0.21130549326514642</v>
      </c>
      <c r="CV22" s="94">
        <v>0.44575219664180188</v>
      </c>
      <c r="CW22" s="94">
        <v>6.3926080163305615E-2</v>
      </c>
      <c r="CX22" s="94">
        <f t="shared" si="37"/>
        <v>0.50967827680510747</v>
      </c>
      <c r="CY22" s="94"/>
      <c r="CZ22" s="40">
        <f t="shared" si="38"/>
        <v>2.7805168236047173</v>
      </c>
      <c r="DA22" s="94">
        <v>0.11509946268768383</v>
      </c>
      <c r="DB22" s="94">
        <v>-0.11509946268768383</v>
      </c>
      <c r="DC22" s="94">
        <v>3.6319849095788476E-2</v>
      </c>
      <c r="DD22" s="94">
        <f t="shared" si="39"/>
        <v>-7.8779613591895351E-2</v>
      </c>
      <c r="DF22" s="40">
        <f t="shared" si="40"/>
        <v>2.7210008218849335</v>
      </c>
      <c r="DG22" s="94">
        <v>7.4561354312388889E-2</v>
      </c>
      <c r="DH22" s="94">
        <v>0.55512378025529863</v>
      </c>
      <c r="DI22" s="94">
        <v>2.2961456273859673E-2</v>
      </c>
      <c r="DJ22" s="94">
        <f t="shared" si="41"/>
        <v>0.57808523652915833</v>
      </c>
      <c r="DK22" s="107"/>
      <c r="DL22" s="40">
        <f t="shared" si="42"/>
        <v>1.9631026785993377</v>
      </c>
      <c r="DM22" s="94">
        <v>2.1644676265073697E-2</v>
      </c>
      <c r="DN22" s="94">
        <v>5.7278790741871642E-3</v>
      </c>
      <c r="DO22" s="94">
        <v>4.64477479365746E-3</v>
      </c>
      <c r="DP22" s="94">
        <f t="shared" si="43"/>
        <v>1.0372653867844625E-2</v>
      </c>
    </row>
    <row r="23" spans="1:120" x14ac:dyDescent="0.2">
      <c r="A23" s="91" t="str">
        <f>name!B19</f>
        <v>Professional services</v>
      </c>
      <c r="B23" s="40">
        <f t="shared" si="1"/>
        <v>2.6743157766083714</v>
      </c>
      <c r="C23" s="11">
        <v>38.965266386568921</v>
      </c>
      <c r="D23" s="94">
        <v>11.458986137276469</v>
      </c>
      <c r="E23" s="94">
        <v>11.768350327197798</v>
      </c>
      <c r="F23" s="94">
        <f t="shared" si="2"/>
        <v>23.227336464474266</v>
      </c>
      <c r="G23" s="94"/>
      <c r="H23" s="40">
        <f t="shared" si="3"/>
        <v>2.5161455631662166</v>
      </c>
      <c r="I23" s="94">
        <v>10.746753519096059</v>
      </c>
      <c r="J23" s="94">
        <v>0.60470899426028668</v>
      </c>
      <c r="K23" s="94">
        <v>3.0316842468873038</v>
      </c>
      <c r="L23" s="94">
        <f t="shared" si="4"/>
        <v>3.6363932411475903</v>
      </c>
      <c r="N23" s="40">
        <f t="shared" si="5"/>
        <v>2.6382849635641303</v>
      </c>
      <c r="O23" s="94">
        <v>19.377813500619759</v>
      </c>
      <c r="P23" s="94">
        <v>6.3961252707032488</v>
      </c>
      <c r="Q23" s="94">
        <v>5.7641179254827515</v>
      </c>
      <c r="R23" s="94">
        <f t="shared" si="6"/>
        <v>12.160243196186</v>
      </c>
      <c r="S23" s="107"/>
      <c r="T23" s="40">
        <f t="shared" si="7"/>
        <v>2.9409728215002984</v>
      </c>
      <c r="U23" s="94">
        <v>8.8406993668531033</v>
      </c>
      <c r="V23" s="94">
        <v>4.4581518723129312</v>
      </c>
      <c r="W23" s="94">
        <v>2.972548154827741</v>
      </c>
      <c r="X23" s="94">
        <f t="shared" si="8"/>
        <v>7.4307000271406718</v>
      </c>
      <c r="Y23" s="91" t="str">
        <f t="shared" si="0"/>
        <v>Professional services</v>
      </c>
      <c r="Z23" s="40">
        <f t="shared" si="9"/>
        <v>3.0111146972381153</v>
      </c>
      <c r="AA23" s="11">
        <v>12.983727410431358</v>
      </c>
      <c r="AB23" s="94">
        <v>7.3161535468635082</v>
      </c>
      <c r="AC23" s="94">
        <v>4.4841548751658866</v>
      </c>
      <c r="AD23" s="94">
        <f t="shared" si="10"/>
        <v>11.800308422029396</v>
      </c>
      <c r="AE23" s="94"/>
      <c r="AF23" s="40">
        <f t="shared" si="11"/>
        <v>2.8731628500449968</v>
      </c>
      <c r="AG23" s="94">
        <v>1.9378479390650463</v>
      </c>
      <c r="AH23" s="94">
        <v>1.549926671508655</v>
      </c>
      <c r="AI23" s="94">
        <v>0.63456461426776711</v>
      </c>
      <c r="AJ23" s="94">
        <f t="shared" si="12"/>
        <v>2.184491285776422</v>
      </c>
      <c r="AL23" s="40">
        <f t="shared" si="13"/>
        <v>3.0369546647093459</v>
      </c>
      <c r="AM23" s="94">
        <v>4.9791010176174728</v>
      </c>
      <c r="AN23" s="94">
        <v>2.6541784276946645</v>
      </c>
      <c r="AO23" s="94">
        <v>1.7364411510950009</v>
      </c>
      <c r="AP23" s="94">
        <f t="shared" si="14"/>
        <v>4.3906195787896651</v>
      </c>
      <c r="AQ23" s="107"/>
      <c r="AR23" s="40">
        <f t="shared" si="15"/>
        <v>3.0336611731275553</v>
      </c>
      <c r="AS23" s="94">
        <v>6.0667784537488378</v>
      </c>
      <c r="AT23" s="94">
        <v>3.1120484476601886</v>
      </c>
      <c r="AU23" s="94">
        <v>2.113149109803119</v>
      </c>
      <c r="AV23" s="94">
        <f t="shared" si="16"/>
        <v>5.2251975574633072</v>
      </c>
      <c r="AW23" s="91" t="str">
        <f t="shared" si="17"/>
        <v>Professional services</v>
      </c>
      <c r="AX23" s="40">
        <f t="shared" si="18"/>
        <v>2.6662390167296435</v>
      </c>
      <c r="AY23" s="11">
        <v>4.377709221482184</v>
      </c>
      <c r="AZ23" s="94">
        <v>0.80308463988107726</v>
      </c>
      <c r="BA23" s="94">
        <v>1.3176803910698349</v>
      </c>
      <c r="BB23" s="94">
        <f t="shared" si="19"/>
        <v>2.1207650309509121</v>
      </c>
      <c r="BC23" s="94"/>
      <c r="BD23" s="40">
        <f t="shared" si="20"/>
        <v>2.5700639379084178</v>
      </c>
      <c r="BE23" s="94">
        <v>0.73699369082515398</v>
      </c>
      <c r="BF23" s="94">
        <v>8.1502387714943961E-2</v>
      </c>
      <c r="BG23" s="94">
        <v>0.21288912804948243</v>
      </c>
      <c r="BH23" s="94">
        <f t="shared" si="21"/>
        <v>0.2943915157644264</v>
      </c>
      <c r="BJ23" s="40">
        <f t="shared" si="22"/>
        <v>2.6279165568233287</v>
      </c>
      <c r="BK23" s="94">
        <v>2.307013712695364</v>
      </c>
      <c r="BL23" s="94">
        <v>0.55219489458428639</v>
      </c>
      <c r="BM23" s="94">
        <v>0.6832211463125315</v>
      </c>
      <c r="BN23" s="94">
        <f t="shared" si="23"/>
        <v>1.2354160408968178</v>
      </c>
      <c r="BO23" s="107"/>
      <c r="BP23" s="40">
        <f t="shared" si="24"/>
        <v>2.784722232207959</v>
      </c>
      <c r="BQ23" s="94">
        <v>1.3337018179616666</v>
      </c>
      <c r="BR23" s="94">
        <v>0.16938735758184675</v>
      </c>
      <c r="BS23" s="94">
        <v>0.42157011670782107</v>
      </c>
      <c r="BT23" s="94">
        <f t="shared" si="25"/>
        <v>0.59095747428966783</v>
      </c>
      <c r="BU23" s="91" t="str">
        <f t="shared" si="26"/>
        <v>Professional services</v>
      </c>
      <c r="BV23" s="40">
        <f t="shared" si="27"/>
        <v>2.4703617034511627</v>
      </c>
      <c r="BW23" s="11">
        <v>20.365934087380882</v>
      </c>
      <c r="BX23" s="94">
        <v>2.1048678580900813</v>
      </c>
      <c r="BY23" s="94">
        <v>5.6288985612392128</v>
      </c>
      <c r="BZ23" s="94">
        <f t="shared" si="28"/>
        <v>7.7337664193292941</v>
      </c>
      <c r="CA23" s="94"/>
      <c r="CB23" s="40">
        <f t="shared" si="29"/>
        <v>2.4286762007679874</v>
      </c>
      <c r="CC23" s="94">
        <v>7.4477312798356223</v>
      </c>
      <c r="CD23" s="94">
        <v>-0.68225133953011141</v>
      </c>
      <c r="CE23" s="94">
        <v>2.0198621022347334</v>
      </c>
      <c r="CF23" s="94">
        <f t="shared" si="30"/>
        <v>1.3376107627046219</v>
      </c>
      <c r="CH23" s="40">
        <f t="shared" si="31"/>
        <v>2.4720591117074919</v>
      </c>
      <c r="CI23" s="94">
        <v>11.586627461599615</v>
      </c>
      <c r="CJ23" s="94">
        <v>1.943280535192967</v>
      </c>
      <c r="CK23" s="94">
        <v>3.2048540580010663</v>
      </c>
      <c r="CL23" s="94">
        <f t="shared" si="32"/>
        <v>5.1481345931940332</v>
      </c>
      <c r="CM23" s="107"/>
      <c r="CN23" s="40">
        <f t="shared" si="33"/>
        <v>2.6862600536722958</v>
      </c>
      <c r="CO23" s="94">
        <v>1.3315753459456456</v>
      </c>
      <c r="CP23" s="94">
        <v>0.84383866242722605</v>
      </c>
      <c r="CQ23" s="94">
        <v>0.40418240100341252</v>
      </c>
      <c r="CR23" s="94">
        <f t="shared" si="34"/>
        <v>1.2480210634306386</v>
      </c>
      <c r="CS23" s="91" t="str">
        <f t="shared" si="35"/>
        <v>Professional services</v>
      </c>
      <c r="CT23" s="40">
        <f t="shared" si="36"/>
        <v>2.4409911721383182</v>
      </c>
      <c r="CU23" s="11">
        <v>1.2378956672744925</v>
      </c>
      <c r="CV23" s="94">
        <v>1.2348800924418006</v>
      </c>
      <c r="CW23" s="94">
        <v>0.33761649972286273</v>
      </c>
      <c r="CX23" s="94">
        <f t="shared" si="37"/>
        <v>1.5724965921646634</v>
      </c>
      <c r="CY23" s="94"/>
      <c r="CZ23" s="40">
        <f t="shared" si="38"/>
        <v>2.365082760893733</v>
      </c>
      <c r="DA23" s="94">
        <v>0.62418060937023667</v>
      </c>
      <c r="DB23" s="94">
        <v>-0.34446872543320101</v>
      </c>
      <c r="DC23" s="94">
        <v>0.16436840233532063</v>
      </c>
      <c r="DD23" s="94">
        <f t="shared" si="39"/>
        <v>-0.18010032309788038</v>
      </c>
      <c r="DF23" s="40">
        <f t="shared" si="40"/>
        <v>2.4704563056764162</v>
      </c>
      <c r="DG23" s="94">
        <v>0.50507130870730466</v>
      </c>
      <c r="DH23" s="94">
        <v>1.2464714132313313</v>
      </c>
      <c r="DI23" s="94">
        <v>0.13960157007415316</v>
      </c>
      <c r="DJ23" s="94">
        <f t="shared" si="41"/>
        <v>1.3860729833054843</v>
      </c>
      <c r="DK23" s="107"/>
      <c r="DL23" s="40">
        <f t="shared" si="42"/>
        <v>2.7346741769566751</v>
      </c>
      <c r="DM23" s="94">
        <v>0.10864374919695106</v>
      </c>
      <c r="DN23" s="94">
        <v>0.33287740464367022</v>
      </c>
      <c r="DO23" s="94">
        <v>3.3646527313388873E-2</v>
      </c>
      <c r="DP23" s="94">
        <f t="shared" si="43"/>
        <v>0.36652393195705907</v>
      </c>
    </row>
    <row r="24" spans="1:120" x14ac:dyDescent="0.2">
      <c r="A24" s="91" t="str">
        <f>name!B20</f>
        <v>Support services</v>
      </c>
      <c r="B24" s="40">
        <f t="shared" si="1"/>
        <v>2.784566936730104</v>
      </c>
      <c r="C24" s="11">
        <v>18.720999999999954</v>
      </c>
      <c r="D24" s="94">
        <v>-3.057999999999971</v>
      </c>
      <c r="E24" s="94">
        <v>5.9171529721011353</v>
      </c>
      <c r="F24" s="94">
        <f t="shared" si="2"/>
        <v>2.8591529721011644</v>
      </c>
      <c r="G24" s="94"/>
      <c r="H24" s="40">
        <f t="shared" si="3"/>
        <v>2.6966927781337358</v>
      </c>
      <c r="I24" s="94">
        <v>1.8191700717908714</v>
      </c>
      <c r="J24" s="94">
        <v>6.4644504245958259E-2</v>
      </c>
      <c r="K24" s="94">
        <v>0.55459579978511464</v>
      </c>
      <c r="L24" s="94">
        <f t="shared" si="4"/>
        <v>0.61924030403107289</v>
      </c>
      <c r="N24" s="40">
        <f t="shared" si="5"/>
        <v>2.6438542588397285</v>
      </c>
      <c r="O24" s="94">
        <v>7.3253420053436527</v>
      </c>
      <c r="P24" s="94">
        <v>-2.4007825753231029</v>
      </c>
      <c r="Q24" s="94">
        <v>2.1841522273672624</v>
      </c>
      <c r="R24" s="94">
        <f t="shared" si="6"/>
        <v>-0.21663034795584046</v>
      </c>
      <c r="S24" s="107"/>
      <c r="T24" s="40">
        <f t="shared" si="7"/>
        <v>2.9075064601009837</v>
      </c>
      <c r="U24" s="94">
        <v>9.5764879228654252</v>
      </c>
      <c r="V24" s="94">
        <v>-0.72186192892282663</v>
      </c>
      <c r="W24" s="94">
        <v>3.1784049449487575</v>
      </c>
      <c r="X24" s="94">
        <f t="shared" si="8"/>
        <v>2.4565430160259307</v>
      </c>
      <c r="Y24" s="91" t="str">
        <f t="shared" si="0"/>
        <v>Support services</v>
      </c>
      <c r="Z24" s="40">
        <f t="shared" si="9"/>
        <v>2.8851376822058405</v>
      </c>
      <c r="AA24" s="11">
        <v>10.861879630593116</v>
      </c>
      <c r="AB24" s="94">
        <v>-1.2989925832272919</v>
      </c>
      <c r="AC24" s="94">
        <v>3.5736065944117534</v>
      </c>
      <c r="AD24" s="94">
        <f t="shared" si="10"/>
        <v>2.2746140111844615</v>
      </c>
      <c r="AE24" s="94"/>
      <c r="AF24" s="40">
        <f t="shared" si="11"/>
        <v>2.8363041726111371</v>
      </c>
      <c r="AG24" s="94">
        <v>0.7258796023165236</v>
      </c>
      <c r="AH24" s="94">
        <v>0.20317213116103808</v>
      </c>
      <c r="AI24" s="94">
        <v>0.23424852857398526</v>
      </c>
      <c r="AJ24" s="94">
        <f t="shared" si="12"/>
        <v>0.43742065973502331</v>
      </c>
      <c r="AL24" s="40">
        <f t="shared" si="13"/>
        <v>2.7318188913306285</v>
      </c>
      <c r="AM24" s="94">
        <v>2.8702469151779071</v>
      </c>
      <c r="AN24" s="94">
        <v>-1.1155443530893807</v>
      </c>
      <c r="AO24" s="94">
        <v>0.88785915434127438</v>
      </c>
      <c r="AP24" s="94">
        <f t="shared" si="14"/>
        <v>-0.22768519874810633</v>
      </c>
      <c r="AQ24" s="107"/>
      <c r="AR24" s="40">
        <f t="shared" si="15"/>
        <v>2.949983891234198</v>
      </c>
      <c r="AS24" s="94">
        <v>7.2657531130986843</v>
      </c>
      <c r="AT24" s="94">
        <v>-0.38662036129894933</v>
      </c>
      <c r="AU24" s="94">
        <v>2.4514989114964938</v>
      </c>
      <c r="AV24" s="94">
        <f t="shared" si="16"/>
        <v>2.0648785501975446</v>
      </c>
      <c r="AW24" s="91" t="str">
        <f t="shared" si="17"/>
        <v>Support services</v>
      </c>
      <c r="AX24" s="40">
        <f t="shared" si="18"/>
        <v>2.6712682976482327</v>
      </c>
      <c r="AY24" s="11">
        <v>4.6040936604188767</v>
      </c>
      <c r="AZ24" s="94">
        <v>-0.6550004254648718</v>
      </c>
      <c r="BA24" s="94">
        <v>1.3887564948003865</v>
      </c>
      <c r="BB24" s="94">
        <f t="shared" si="19"/>
        <v>0.73375606933551474</v>
      </c>
      <c r="BC24" s="94"/>
      <c r="BD24" s="40">
        <f t="shared" si="20"/>
        <v>2.5535596624300272</v>
      </c>
      <c r="BE24" s="94">
        <v>0.37306162643140794</v>
      </c>
      <c r="BF24" s="94">
        <v>1.7209773799081063E-3</v>
      </c>
      <c r="BG24" s="94">
        <v>0.10699003130978606</v>
      </c>
      <c r="BH24" s="94">
        <f t="shared" si="21"/>
        <v>0.10871100868969416</v>
      </c>
      <c r="BJ24" s="40">
        <f t="shared" si="22"/>
        <v>2.6033003151062717</v>
      </c>
      <c r="BK24" s="94">
        <v>2.3193614224732308</v>
      </c>
      <c r="BL24" s="94">
        <v>-0.3840544144532913</v>
      </c>
      <c r="BM24" s="94">
        <v>0.67967495424035318</v>
      </c>
      <c r="BN24" s="94">
        <f t="shared" si="23"/>
        <v>0.29562053978706188</v>
      </c>
      <c r="BO24" s="107"/>
      <c r="BP24" s="40">
        <f t="shared" si="24"/>
        <v>2.7758580766296781</v>
      </c>
      <c r="BQ24" s="94">
        <v>1.9116706115142377</v>
      </c>
      <c r="BR24" s="94">
        <v>-0.27266698839148851</v>
      </c>
      <c r="BS24" s="94">
        <v>0.60209150925024713</v>
      </c>
      <c r="BT24" s="94">
        <f t="shared" si="25"/>
        <v>0.32942452085875862</v>
      </c>
      <c r="BU24" s="91" t="str">
        <f t="shared" si="26"/>
        <v>Support services</v>
      </c>
      <c r="BV24" s="40">
        <f t="shared" si="27"/>
        <v>2.5698479897015236</v>
      </c>
      <c r="BW24" s="11">
        <v>2.8786585131525628</v>
      </c>
      <c r="BX24" s="94">
        <v>-1.0291019906527104</v>
      </c>
      <c r="BY24" s="94">
        <v>0.83145560121971473</v>
      </c>
      <c r="BZ24" s="94">
        <f t="shared" si="28"/>
        <v>-0.19764638943299562</v>
      </c>
      <c r="CA24" s="94"/>
      <c r="CB24" s="40">
        <f t="shared" si="29"/>
        <v>2.5646022644531197</v>
      </c>
      <c r="CC24" s="94">
        <v>0.59910933522220677</v>
      </c>
      <c r="CD24" s="94">
        <v>-0.12449271037143683</v>
      </c>
      <c r="CE24" s="94">
        <v>0.17264857384459545</v>
      </c>
      <c r="CF24" s="94">
        <f t="shared" si="30"/>
        <v>4.8155863473158617E-2</v>
      </c>
      <c r="CH24" s="40">
        <f t="shared" si="31"/>
        <v>2.551043008047893</v>
      </c>
      <c r="CI24" s="94">
        <v>1.9475203609870202</v>
      </c>
      <c r="CJ24" s="94">
        <v>-0.84938831927492153</v>
      </c>
      <c r="CK24" s="94">
        <v>0.55791281892363431</v>
      </c>
      <c r="CL24" s="94">
        <f t="shared" si="32"/>
        <v>-0.29147550035128722</v>
      </c>
      <c r="CM24" s="107"/>
      <c r="CN24" s="40">
        <f t="shared" si="33"/>
        <v>2.6888973859664045</v>
      </c>
      <c r="CO24" s="94">
        <v>0.33202881694333602</v>
      </c>
      <c r="CP24" s="94">
        <v>-5.5220961006352098E-2</v>
      </c>
      <c r="CQ24" s="94">
        <v>0.10089420845148493</v>
      </c>
      <c r="CR24" s="94">
        <f t="shared" si="34"/>
        <v>4.5673247445132834E-2</v>
      </c>
      <c r="CS24" s="91" t="str">
        <f t="shared" si="35"/>
        <v>Support services</v>
      </c>
      <c r="CT24" s="40">
        <f t="shared" si="36"/>
        <v>2.8750024457964374</v>
      </c>
      <c r="CU24" s="11">
        <v>0.37636819583539599</v>
      </c>
      <c r="CV24" s="94">
        <v>-7.4905000655096768E-2</v>
      </c>
      <c r="CW24" s="94">
        <v>0.12333428166928057</v>
      </c>
      <c r="CX24" s="94">
        <f t="shared" si="37"/>
        <v>4.8429281014183798E-2</v>
      </c>
      <c r="CY24" s="94"/>
      <c r="CZ24" s="40">
        <f t="shared" si="38"/>
        <v>2.9399620026260287</v>
      </c>
      <c r="DA24" s="94">
        <v>0.12111950782073322</v>
      </c>
      <c r="DB24" s="94">
        <v>-1.5755893923551086E-2</v>
      </c>
      <c r="DC24" s="94">
        <v>4.0708666056747972E-2</v>
      </c>
      <c r="DD24" s="94">
        <f t="shared" si="39"/>
        <v>2.4952772133196886E-2</v>
      </c>
      <c r="DF24" s="40">
        <f t="shared" si="40"/>
        <v>2.7520154670829022</v>
      </c>
      <c r="DG24" s="94">
        <v>0.18821330670549469</v>
      </c>
      <c r="DH24" s="94">
        <v>-5.1795488505508955E-2</v>
      </c>
      <c r="DI24" s="94">
        <v>5.8705299862000827E-2</v>
      </c>
      <c r="DJ24" s="94">
        <f t="shared" si="41"/>
        <v>6.9098113564918726E-3</v>
      </c>
      <c r="DK24" s="107"/>
      <c r="DL24" s="40">
        <f t="shared" si="42"/>
        <v>3.0985559180604971</v>
      </c>
      <c r="DM24" s="94">
        <v>6.7035381309168043E-2</v>
      </c>
      <c r="DN24" s="94">
        <v>-7.3536182260367233E-3</v>
      </c>
      <c r="DO24" s="94">
        <v>2.3920315750531766E-2</v>
      </c>
      <c r="DP24" s="94">
        <f t="shared" si="43"/>
        <v>1.6566697524495043E-2</v>
      </c>
    </row>
    <row r="25" spans="1:120" x14ac:dyDescent="0.2">
      <c r="A25" s="91" t="str">
        <f>name!B21</f>
        <v>Public admin. and defence</v>
      </c>
      <c r="B25" s="40">
        <f t="shared" si="1"/>
        <v>2.7845669367305037</v>
      </c>
      <c r="C25" s="11">
        <v>1.4539999999999971</v>
      </c>
      <c r="D25" s="94">
        <v>0.21500000000000094</v>
      </c>
      <c r="E25" s="94">
        <v>0.45956628499740532</v>
      </c>
      <c r="F25" s="94">
        <f t="shared" si="2"/>
        <v>0.67456628499740623</v>
      </c>
      <c r="G25" s="94"/>
      <c r="H25" s="40">
        <f t="shared" si="3"/>
        <v>2.6966927781336025</v>
      </c>
      <c r="I25" s="94">
        <v>0.14128910231210851</v>
      </c>
      <c r="J25" s="94">
        <v>5.9444251924195786E-2</v>
      </c>
      <c r="K25" s="94">
        <v>4.3073676239935618E-2</v>
      </c>
      <c r="L25" s="94">
        <f t="shared" si="4"/>
        <v>0.10251792816413141</v>
      </c>
      <c r="N25" s="40">
        <f t="shared" si="5"/>
        <v>2.6438542588399061</v>
      </c>
      <c r="O25" s="94">
        <v>0.56893580875873839</v>
      </c>
      <c r="P25" s="94">
        <v>-4.4190249880834614E-2</v>
      </c>
      <c r="Q25" s="94">
        <v>0.1696360952189005</v>
      </c>
      <c r="R25" s="94">
        <f t="shared" si="6"/>
        <v>0.12544584533806588</v>
      </c>
      <c r="S25" s="107"/>
      <c r="T25" s="40">
        <f t="shared" si="7"/>
        <v>2.9075064601016942</v>
      </c>
      <c r="U25" s="94">
        <v>0.74377508892915023</v>
      </c>
      <c r="V25" s="94">
        <v>0.1997459979566398</v>
      </c>
      <c r="W25" s="94">
        <v>0.24685651353856922</v>
      </c>
      <c r="X25" s="94">
        <f t="shared" si="8"/>
        <v>0.44660251149520902</v>
      </c>
      <c r="Y25" s="91" t="str">
        <f t="shared" si="0"/>
        <v>Public admin. and defence</v>
      </c>
      <c r="Z25" s="40">
        <f t="shared" si="9"/>
        <v>2.8851376822067953</v>
      </c>
      <c r="AA25" s="11">
        <v>0.84360733843630331</v>
      </c>
      <c r="AB25" s="94">
        <v>0.17538381792273638</v>
      </c>
      <c r="AC25" s="94">
        <v>0.27755055757017433</v>
      </c>
      <c r="AD25" s="94">
        <f t="shared" si="10"/>
        <v>0.45293437549291071</v>
      </c>
      <c r="AE25" s="94"/>
      <c r="AF25" s="40">
        <f t="shared" si="11"/>
        <v>2.8363041726107818</v>
      </c>
      <c r="AG25" s="94">
        <v>5.6376739584906382E-2</v>
      </c>
      <c r="AH25" s="94">
        <v>4.262009008845738E-2</v>
      </c>
      <c r="AI25" s="94">
        <v>1.819333158200891E-2</v>
      </c>
      <c r="AJ25" s="94">
        <f t="shared" si="12"/>
        <v>6.0813421670466286E-2</v>
      </c>
      <c r="AL25" s="40">
        <f t="shared" si="13"/>
        <v>2.7318188913314945</v>
      </c>
      <c r="AM25" s="94">
        <v>0.2229228681509284</v>
      </c>
      <c r="AN25" s="94">
        <v>-3.594728389981916E-2</v>
      </c>
      <c r="AO25" s="94">
        <v>6.895717164724055E-2</v>
      </c>
      <c r="AP25" s="94">
        <f t="shared" si="14"/>
        <v>3.300988774742139E-2</v>
      </c>
      <c r="AQ25" s="107"/>
      <c r="AR25" s="40">
        <f t="shared" si="15"/>
        <v>2.9499838912350862</v>
      </c>
      <c r="AS25" s="94">
        <v>0.56430773070046847</v>
      </c>
      <c r="AT25" s="94">
        <v>0.16871101173409817</v>
      </c>
      <c r="AU25" s="94">
        <v>0.1904000543409248</v>
      </c>
      <c r="AV25" s="94">
        <f t="shared" si="16"/>
        <v>0.35911106607502297</v>
      </c>
      <c r="AW25" s="91" t="str">
        <f t="shared" si="17"/>
        <v>Public admin. and defence</v>
      </c>
      <c r="AX25" s="40">
        <f t="shared" si="18"/>
        <v>2.6712682976481661</v>
      </c>
      <c r="AY25" s="11">
        <v>0.35758518146798612</v>
      </c>
      <c r="AZ25" s="94">
        <v>6.3217768742032318E-2</v>
      </c>
      <c r="BA25" s="94">
        <v>0.10786026085378261</v>
      </c>
      <c r="BB25" s="94">
        <f t="shared" si="19"/>
        <v>0.17107802959581492</v>
      </c>
      <c r="BC25" s="94"/>
      <c r="BD25" s="40">
        <f t="shared" si="20"/>
        <v>2.5535596624299828</v>
      </c>
      <c r="BE25" s="94">
        <v>2.8974499483491539E-2</v>
      </c>
      <c r="BF25" s="94">
        <v>1.0961155611916022E-2</v>
      </c>
      <c r="BG25" s="94">
        <v>8.3095724333202906E-3</v>
      </c>
      <c r="BH25" s="94">
        <f t="shared" si="21"/>
        <v>1.9270728045236312E-2</v>
      </c>
      <c r="BJ25" s="40">
        <f t="shared" si="22"/>
        <v>2.6033003151064049</v>
      </c>
      <c r="BK25" s="94">
        <v>0.18013735955834875</v>
      </c>
      <c r="BL25" s="94">
        <v>2.6082866221255052E-2</v>
      </c>
      <c r="BM25" s="94">
        <v>5.2788172825711882E-2</v>
      </c>
      <c r="BN25" s="94">
        <f t="shared" si="23"/>
        <v>7.8871039046966934E-2</v>
      </c>
      <c r="BO25" s="107"/>
      <c r="BP25" s="40">
        <f t="shared" si="24"/>
        <v>2.7758580766297891</v>
      </c>
      <c r="BQ25" s="94">
        <v>0.1484733224261458</v>
      </c>
      <c r="BR25" s="94">
        <v>2.6173746908861251E-2</v>
      </c>
      <c r="BS25" s="94">
        <v>4.6762515594750455E-2</v>
      </c>
      <c r="BT25" s="94">
        <f t="shared" si="25"/>
        <v>7.293626250361171E-2</v>
      </c>
      <c r="BU25" s="91" t="str">
        <f t="shared" si="26"/>
        <v>Public admin. and defence</v>
      </c>
      <c r="BV25" s="40">
        <f t="shared" si="27"/>
        <v>2.5698479897014792</v>
      </c>
      <c r="BW25" s="11">
        <v>0.22357616997639901</v>
      </c>
      <c r="BX25" s="94">
        <v>-2.6493246139725597E-2</v>
      </c>
      <c r="BY25" s="94">
        <v>6.4576488658442441E-2</v>
      </c>
      <c r="BZ25" s="94">
        <f t="shared" si="28"/>
        <v>3.8083242518716844E-2</v>
      </c>
      <c r="CA25" s="94"/>
      <c r="CB25" s="40">
        <f t="shared" si="29"/>
        <v>2.5646022644530531</v>
      </c>
      <c r="CC25" s="94">
        <v>4.6530899706966611E-2</v>
      </c>
      <c r="CD25" s="94">
        <v>4.0427545658888358E-3</v>
      </c>
      <c r="CE25" s="94">
        <v>1.3409060753716812E-2</v>
      </c>
      <c r="CF25" s="94">
        <f t="shared" si="30"/>
        <v>1.7451815319605646E-2</v>
      </c>
      <c r="CH25" s="40">
        <f t="shared" si="31"/>
        <v>2.5510430080478264</v>
      </c>
      <c r="CI25" s="94">
        <v>0.1512576574370198</v>
      </c>
      <c r="CJ25" s="94">
        <v>-3.4244162090111052E-2</v>
      </c>
      <c r="CK25" s="94">
        <v>4.3331298473152743E-2</v>
      </c>
      <c r="CL25" s="94">
        <f t="shared" si="32"/>
        <v>9.0871363830416912E-3</v>
      </c>
      <c r="CM25" s="107"/>
      <c r="CN25" s="40">
        <f t="shared" si="33"/>
        <v>2.6888973859667598</v>
      </c>
      <c r="CO25" s="94">
        <v>2.5787612832412595E-2</v>
      </c>
      <c r="CP25" s="94">
        <v>3.7081613844966248E-3</v>
      </c>
      <c r="CQ25" s="94">
        <v>7.836129431572891E-3</v>
      </c>
      <c r="CR25" s="94">
        <f t="shared" si="34"/>
        <v>1.1544290816069516E-2</v>
      </c>
      <c r="CS25" s="91" t="str">
        <f t="shared" si="35"/>
        <v>Public admin. and defence</v>
      </c>
      <c r="CT25" s="40">
        <f t="shared" si="36"/>
        <v>2.8750024457971257</v>
      </c>
      <c r="CU25" s="11">
        <v>2.9231310119308785E-2</v>
      </c>
      <c r="CV25" s="94">
        <v>2.8916594749578122E-3</v>
      </c>
      <c r="CW25" s="94">
        <v>9.578977915005971E-3</v>
      </c>
      <c r="CX25" s="94">
        <f t="shared" si="37"/>
        <v>1.2470637389963783E-2</v>
      </c>
      <c r="CY25" s="94"/>
      <c r="CZ25" s="40">
        <f t="shared" si="38"/>
        <v>2.9399620026260287</v>
      </c>
      <c r="DA25" s="94">
        <v>9.4069635367439817E-3</v>
      </c>
      <c r="DB25" s="94">
        <v>1.8202516579335466E-3</v>
      </c>
      <c r="DC25" s="94">
        <v>3.1617114708896062E-3</v>
      </c>
      <c r="DD25" s="94">
        <f t="shared" si="39"/>
        <v>4.9819631288231525E-3</v>
      </c>
      <c r="DF25" s="40">
        <f t="shared" si="40"/>
        <v>2.7520154670842789</v>
      </c>
      <c r="DG25" s="94">
        <v>1.4617923612441512E-2</v>
      </c>
      <c r="DH25" s="94">
        <v>-8.1670112159448079E-5</v>
      </c>
      <c r="DI25" s="94">
        <v>4.5594522727953144E-3</v>
      </c>
      <c r="DJ25" s="94">
        <f t="shared" si="41"/>
        <v>4.4777821606358662E-3</v>
      </c>
      <c r="DK25" s="107"/>
      <c r="DL25" s="40">
        <f t="shared" si="42"/>
        <v>3.0985559180585875</v>
      </c>
      <c r="DM25" s="94">
        <v>5.2064229701232886E-3</v>
      </c>
      <c r="DN25" s="94">
        <v>1.1530779291837137E-3</v>
      </c>
      <c r="DO25" s="94">
        <v>1.8578141713210513E-3</v>
      </c>
      <c r="DP25" s="94">
        <f t="shared" si="43"/>
        <v>3.0108921005047649E-3</v>
      </c>
    </row>
    <row r="26" spans="1:120" x14ac:dyDescent="0.2">
      <c r="A26" s="91" t="str">
        <f>name!B22</f>
        <v>Education</v>
      </c>
      <c r="B26" s="40">
        <f t="shared" si="1"/>
        <v>2.7941946420653396</v>
      </c>
      <c r="C26" s="11">
        <v>27.519999999999932</v>
      </c>
      <c r="D26" s="94">
        <v>5.4400000000000306</v>
      </c>
      <c r="E26" s="94">
        <v>8.7321954612186001</v>
      </c>
      <c r="F26" s="94">
        <f t="shared" si="2"/>
        <v>14.172195461218632</v>
      </c>
      <c r="G26" s="94"/>
      <c r="H26" s="40">
        <f t="shared" si="3"/>
        <v>2.7029013910380817</v>
      </c>
      <c r="I26" s="94">
        <v>4.1940595367848887</v>
      </c>
      <c r="J26" s="94">
        <v>0.48827775119455635</v>
      </c>
      <c r="K26" s="94">
        <v>1.2819187642232284</v>
      </c>
      <c r="L26" s="94">
        <f t="shared" si="4"/>
        <v>1.7701965154177848</v>
      </c>
      <c r="N26" s="40">
        <f t="shared" si="5"/>
        <v>2.6641720196424856</v>
      </c>
      <c r="O26" s="94">
        <v>13.503625138933433</v>
      </c>
      <c r="P26" s="94">
        <v>0.84821921937760381</v>
      </c>
      <c r="Q26" s="94">
        <v>4.0610233469695309</v>
      </c>
      <c r="R26" s="94">
        <f t="shared" si="6"/>
        <v>4.9092425663471344</v>
      </c>
      <c r="S26" s="107"/>
      <c r="T26" s="40">
        <f t="shared" si="7"/>
        <v>3.008734431358584</v>
      </c>
      <c r="U26" s="94">
        <v>9.822315324281611</v>
      </c>
      <c r="V26" s="94">
        <v>4.1035030294278707</v>
      </c>
      <c r="W26" s="94">
        <v>3.3892533500258399</v>
      </c>
      <c r="X26" s="94">
        <f t="shared" si="8"/>
        <v>7.4927563794537111</v>
      </c>
      <c r="Y26" s="91" t="str">
        <f t="shared" si="0"/>
        <v>Education</v>
      </c>
      <c r="Z26" s="40">
        <f t="shared" si="9"/>
        <v>2.9117760664267189</v>
      </c>
      <c r="AA26" s="11">
        <v>12.395569669075353</v>
      </c>
      <c r="AB26" s="94">
        <v>5.0801062397678249</v>
      </c>
      <c r="AC26" s="94">
        <v>4.1209000120001473</v>
      </c>
      <c r="AD26" s="94">
        <f t="shared" si="10"/>
        <v>9.2010062517679714</v>
      </c>
      <c r="AE26" s="94"/>
      <c r="AF26" s="40">
        <f t="shared" si="11"/>
        <v>2.5937636321570645</v>
      </c>
      <c r="AG26" s="94">
        <v>0.81258397047140074</v>
      </c>
      <c r="AH26" s="94">
        <v>0.63966731573933144</v>
      </c>
      <c r="AI26" s="94">
        <v>0.23714666545277929</v>
      </c>
      <c r="AJ26" s="94">
        <f t="shared" si="12"/>
        <v>0.87681398119211074</v>
      </c>
      <c r="AL26" s="40">
        <f t="shared" si="13"/>
        <v>2.6939990649745837</v>
      </c>
      <c r="AM26" s="94">
        <v>4.0463139611233547</v>
      </c>
      <c r="AN26" s="94">
        <v>0.77655527040304539</v>
      </c>
      <c r="AO26" s="94">
        <v>1.2321825690004835</v>
      </c>
      <c r="AP26" s="94">
        <f t="shared" si="14"/>
        <v>2.0087378394035289</v>
      </c>
      <c r="AQ26" s="107"/>
      <c r="AR26" s="40">
        <f t="shared" si="15"/>
        <v>3.0604341026309489</v>
      </c>
      <c r="AS26" s="94">
        <v>7.5366717374805985</v>
      </c>
      <c r="AT26" s="94">
        <v>3.6638836536254487</v>
      </c>
      <c r="AU26" s="94">
        <v>2.6515707775468846</v>
      </c>
      <c r="AV26" s="94">
        <f t="shared" si="16"/>
        <v>6.3154544311723333</v>
      </c>
      <c r="AW26" s="91" t="str">
        <f t="shared" si="17"/>
        <v>Education</v>
      </c>
      <c r="AX26" s="40">
        <f t="shared" si="18"/>
        <v>2.6688337014858732</v>
      </c>
      <c r="AY26" s="11">
        <v>4.0745695684818486</v>
      </c>
      <c r="AZ26" s="94">
        <v>-0.65076923691411093</v>
      </c>
      <c r="BA26" s="94">
        <v>1.227775929825986</v>
      </c>
      <c r="BB26" s="94">
        <f t="shared" si="19"/>
        <v>0.57700669291187512</v>
      </c>
      <c r="BC26" s="94"/>
      <c r="BD26" s="40">
        <f t="shared" si="20"/>
        <v>2.5882032430875057</v>
      </c>
      <c r="BE26" s="94">
        <v>0.26691123725535981</v>
      </c>
      <c r="BF26" s="94">
        <v>-0.19380533282346687</v>
      </c>
      <c r="BG26" s="94">
        <v>7.7709251306618335E-2</v>
      </c>
      <c r="BH26" s="94">
        <f t="shared" si="21"/>
        <v>-0.11609608151684854</v>
      </c>
      <c r="BJ26" s="40">
        <f t="shared" si="22"/>
        <v>2.6104632834062169</v>
      </c>
      <c r="BK26" s="94">
        <v>2.4396136341847261</v>
      </c>
      <c r="BL26" s="94">
        <v>-0.51114595901616455</v>
      </c>
      <c r="BM26" s="94">
        <v>0.7171170827738349</v>
      </c>
      <c r="BN26" s="94">
        <f t="shared" si="23"/>
        <v>0.20597112375767035</v>
      </c>
      <c r="BO26" s="107"/>
      <c r="BP26" s="40">
        <f t="shared" si="24"/>
        <v>2.7877134101330858</v>
      </c>
      <c r="BQ26" s="94">
        <v>1.3680446970417623</v>
      </c>
      <c r="BR26" s="94">
        <v>5.4182054925520501E-2</v>
      </c>
      <c r="BS26" s="94">
        <v>0.43294959574553271</v>
      </c>
      <c r="BT26" s="94">
        <f t="shared" si="25"/>
        <v>0.48713165067105324</v>
      </c>
      <c r="BU26" s="91" t="str">
        <f t="shared" si="26"/>
        <v>Education</v>
      </c>
      <c r="BV26" s="40">
        <f t="shared" si="27"/>
        <v>2.5719174756100083</v>
      </c>
      <c r="BW26" s="11">
        <v>6.5723358416890418</v>
      </c>
      <c r="BX26" s="94">
        <v>-0.15751225654061013</v>
      </c>
      <c r="BY26" s="94">
        <v>1.9000258963583028</v>
      </c>
      <c r="BZ26" s="94">
        <f t="shared" si="28"/>
        <v>1.7425136398176926</v>
      </c>
      <c r="CA26" s="94"/>
      <c r="CB26" s="40">
        <f t="shared" si="29"/>
        <v>2.5863835000538682</v>
      </c>
      <c r="CC26" s="94">
        <v>1.6317851440554909</v>
      </c>
      <c r="CD26" s="94">
        <v>-0.43279551678413736</v>
      </c>
      <c r="CE26" s="94">
        <v>0.47470859686707906</v>
      </c>
      <c r="CF26" s="94">
        <f t="shared" si="30"/>
        <v>4.1913080082941701E-2</v>
      </c>
      <c r="CH26" s="40">
        <f t="shared" si="31"/>
        <v>2.542118825536166</v>
      </c>
      <c r="CI26" s="94">
        <v>4.3810752206434573</v>
      </c>
      <c r="CJ26" s="94">
        <v>2.5793305536142896E-2</v>
      </c>
      <c r="CK26" s="94">
        <v>1.250158852183944</v>
      </c>
      <c r="CL26" s="94">
        <f t="shared" si="32"/>
        <v>1.275952157720087</v>
      </c>
      <c r="CM26" s="107"/>
      <c r="CN26" s="40">
        <f t="shared" si="33"/>
        <v>2.7611586651374198</v>
      </c>
      <c r="CO26" s="94">
        <v>0.55947547699009315</v>
      </c>
      <c r="CP26" s="94">
        <v>0.24948995470738433</v>
      </c>
      <c r="CQ26" s="94">
        <v>0.17515844730727984</v>
      </c>
      <c r="CR26" s="94">
        <f t="shared" si="34"/>
        <v>0.42464840201466414</v>
      </c>
      <c r="CS26" s="91" t="str">
        <f t="shared" si="35"/>
        <v>Education</v>
      </c>
      <c r="CT26" s="40">
        <f t="shared" si="36"/>
        <v>2.9030497321535176</v>
      </c>
      <c r="CU26" s="11">
        <v>4.4775249207536891</v>
      </c>
      <c r="CV26" s="94">
        <v>1.168175253686927</v>
      </c>
      <c r="CW26" s="94">
        <v>1.4834936230341631</v>
      </c>
      <c r="CX26" s="94">
        <f t="shared" si="37"/>
        <v>2.6516688767210903</v>
      </c>
      <c r="CY26" s="94"/>
      <c r="CZ26" s="40">
        <f t="shared" si="38"/>
        <v>2.9086772572280095</v>
      </c>
      <c r="DA26" s="94">
        <v>1.4827791850026377</v>
      </c>
      <c r="DB26" s="94">
        <v>0.47521128506282911</v>
      </c>
      <c r="DC26" s="94">
        <v>0.4923542505967517</v>
      </c>
      <c r="DD26" s="94">
        <f t="shared" si="39"/>
        <v>0.96756553565958081</v>
      </c>
      <c r="DF26" s="40">
        <f t="shared" si="40"/>
        <v>2.8678141931647749</v>
      </c>
      <c r="DG26" s="94">
        <v>2.6366223229818955</v>
      </c>
      <c r="DH26" s="94">
        <v>0.55701660245458018</v>
      </c>
      <c r="DI26" s="94">
        <v>0.86156484301126879</v>
      </c>
      <c r="DJ26" s="94">
        <f t="shared" si="41"/>
        <v>1.418581445465849</v>
      </c>
      <c r="DK26" s="107"/>
      <c r="DL26" s="40">
        <f t="shared" si="42"/>
        <v>3.1363650139041965</v>
      </c>
      <c r="DM26" s="94">
        <v>0.35812341276915594</v>
      </c>
      <c r="DN26" s="94">
        <v>0.13594736616951764</v>
      </c>
      <c r="DO26" s="94">
        <v>0.12957452942614286</v>
      </c>
      <c r="DP26" s="94">
        <f t="shared" si="43"/>
        <v>0.26552189559566053</v>
      </c>
    </row>
    <row r="27" spans="1:120" x14ac:dyDescent="0.2">
      <c r="A27" s="91" t="str">
        <f>name!B23</f>
        <v>Health and social work</v>
      </c>
      <c r="B27" s="40">
        <f t="shared" si="1"/>
        <v>2.5950961839178666</v>
      </c>
      <c r="C27" s="11">
        <v>275.60199999999969</v>
      </c>
      <c r="D27" s="94">
        <v>-1.6730000000003524</v>
      </c>
      <c r="E27" s="94">
        <v>80.47866678861341</v>
      </c>
      <c r="F27" s="94">
        <f t="shared" si="2"/>
        <v>78.805666788613053</v>
      </c>
      <c r="G27" s="94"/>
      <c r="H27" s="40">
        <f t="shared" si="3"/>
        <v>2.4695756737683316</v>
      </c>
      <c r="I27" s="94">
        <v>81.511675089783012</v>
      </c>
      <c r="J27" s="94">
        <v>-19.797720579312639</v>
      </c>
      <c r="K27" s="94">
        <v>22.520863469623457</v>
      </c>
      <c r="L27" s="94">
        <f t="shared" si="4"/>
        <v>2.7231428903108181</v>
      </c>
      <c r="N27" s="40">
        <f t="shared" si="5"/>
        <v>2.5552337751491017</v>
      </c>
      <c r="O27" s="94">
        <v>150.28991841904894</v>
      </c>
      <c r="P27" s="94">
        <v>8.7057795230669974</v>
      </c>
      <c r="Q27" s="94">
        <v>43.133091870505552</v>
      </c>
      <c r="R27" s="94">
        <f t="shared" si="6"/>
        <v>51.838871393572546</v>
      </c>
      <c r="S27" s="107"/>
      <c r="T27" s="40">
        <f t="shared" si="7"/>
        <v>2.9581093378684198</v>
      </c>
      <c r="U27" s="94">
        <v>43.800406491167763</v>
      </c>
      <c r="V27" s="94">
        <v>9.418941056245286</v>
      </c>
      <c r="W27" s="94">
        <v>14.824711448484381</v>
      </c>
      <c r="X27" s="94">
        <f t="shared" si="8"/>
        <v>24.243652504729667</v>
      </c>
      <c r="Y27" s="91" t="str">
        <f t="shared" si="0"/>
        <v>Health and social work</v>
      </c>
      <c r="Z27" s="40">
        <f t="shared" si="9"/>
        <v>3.1186773432537507</v>
      </c>
      <c r="AA27" s="11">
        <v>64.293915126009693</v>
      </c>
      <c r="AB27" s="94">
        <v>17.722549991381833</v>
      </c>
      <c r="AC27" s="94">
        <v>23.112480454512202</v>
      </c>
      <c r="AD27" s="94">
        <f t="shared" si="10"/>
        <v>40.835030445894034</v>
      </c>
      <c r="AE27" s="94"/>
      <c r="AF27" s="40">
        <f t="shared" si="11"/>
        <v>3.0783063740929206</v>
      </c>
      <c r="AG27" s="94">
        <v>9.9195473983854772</v>
      </c>
      <c r="AH27" s="94">
        <v>1.4973424642898829</v>
      </c>
      <c r="AI27" s="94">
        <v>3.5131923201060649</v>
      </c>
      <c r="AJ27" s="94">
        <f t="shared" si="12"/>
        <v>5.010534784395948</v>
      </c>
      <c r="AL27" s="40">
        <f t="shared" si="13"/>
        <v>3.1315372831501653</v>
      </c>
      <c r="AM27" s="94">
        <v>25.525698517196087</v>
      </c>
      <c r="AN27" s="94">
        <v>10.147584573449684</v>
      </c>
      <c r="AO27" s="94">
        <v>9.2193201705336563</v>
      </c>
      <c r="AP27" s="94">
        <f t="shared" si="14"/>
        <v>19.366904743983341</v>
      </c>
      <c r="AQ27" s="107"/>
      <c r="AR27" s="40">
        <f t="shared" si="15"/>
        <v>3.121149070624285</v>
      </c>
      <c r="AS27" s="94">
        <v>28.848669210428131</v>
      </c>
      <c r="AT27" s="94">
        <v>6.0776229536422628</v>
      </c>
      <c r="AU27" s="94">
        <v>10.379967963872479</v>
      </c>
      <c r="AV27" s="94">
        <f t="shared" si="16"/>
        <v>16.457590917514743</v>
      </c>
      <c r="AW27" s="91" t="str">
        <f t="shared" si="17"/>
        <v>Health and social work</v>
      </c>
      <c r="AX27" s="40">
        <f t="shared" si="18"/>
        <v>2.6759668403012915</v>
      </c>
      <c r="AY27" s="11">
        <v>16.521747365931887</v>
      </c>
      <c r="AZ27" s="94">
        <v>-0.90533997621618789</v>
      </c>
      <c r="BA27" s="94">
        <v>4.9933832774217386</v>
      </c>
      <c r="BB27" s="94">
        <f t="shared" si="19"/>
        <v>4.088043301205551</v>
      </c>
      <c r="BC27" s="94"/>
      <c r="BD27" s="40">
        <f t="shared" si="20"/>
        <v>2.5787165892088737</v>
      </c>
      <c r="BE27" s="94">
        <v>2.1756544236878499</v>
      </c>
      <c r="BF27" s="94">
        <v>-0.17162265131127769</v>
      </c>
      <c r="BG27" s="94">
        <v>0.63082928217437373</v>
      </c>
      <c r="BH27" s="94">
        <f t="shared" si="21"/>
        <v>0.45920663086309604</v>
      </c>
      <c r="BJ27" s="40">
        <f t="shared" si="22"/>
        <v>2.6312555462310261</v>
      </c>
      <c r="BK27" s="94">
        <v>8.5774116106248197</v>
      </c>
      <c r="BL27" s="94">
        <v>-1.3110321038488253</v>
      </c>
      <c r="BM27" s="94">
        <v>2.5438144946044696</v>
      </c>
      <c r="BN27" s="94">
        <f t="shared" si="23"/>
        <v>1.2327823907556443</v>
      </c>
      <c r="BO27" s="107"/>
      <c r="BP27" s="40">
        <f t="shared" si="24"/>
        <v>2.7783786676990552</v>
      </c>
      <c r="BQ27" s="94">
        <v>5.7686813316192156</v>
      </c>
      <c r="BR27" s="94">
        <v>0.57731477894391503</v>
      </c>
      <c r="BS27" s="94">
        <v>1.8187395006428966</v>
      </c>
      <c r="BT27" s="94">
        <f t="shared" si="25"/>
        <v>2.3960542795868118</v>
      </c>
      <c r="BU27" s="91" t="str">
        <f t="shared" si="26"/>
        <v>Health and social work</v>
      </c>
      <c r="BV27" s="40">
        <f t="shared" si="27"/>
        <v>2.4185311777933372</v>
      </c>
      <c r="BW27" s="11">
        <v>185.64731569674743</v>
      </c>
      <c r="BX27" s="94">
        <v>-20.042065793695048</v>
      </c>
      <c r="BY27" s="94">
        <v>50.114846449207548</v>
      </c>
      <c r="BZ27" s="94">
        <f t="shared" si="28"/>
        <v>30.072780655512499</v>
      </c>
      <c r="CA27" s="94"/>
      <c r="CB27" s="40">
        <f t="shared" si="29"/>
        <v>2.3870453919311752</v>
      </c>
      <c r="CC27" s="94">
        <v>65.07948365464064</v>
      </c>
      <c r="CD27" s="94">
        <v>-20.422001047817911</v>
      </c>
      <c r="CE27" s="94">
        <v>17.314254108560334</v>
      </c>
      <c r="CF27" s="94">
        <f t="shared" si="30"/>
        <v>-3.1077469392575772</v>
      </c>
      <c r="CH27" s="40">
        <f t="shared" si="31"/>
        <v>2.4258065702267961</v>
      </c>
      <c r="CI27" s="94">
        <v>111.69445579336453</v>
      </c>
      <c r="CJ27" s="94">
        <v>-1.7999732059359685</v>
      </c>
      <c r="CK27" s="94">
        <v>30.252323208272195</v>
      </c>
      <c r="CL27" s="94">
        <f t="shared" si="32"/>
        <v>28.452350002336225</v>
      </c>
      <c r="CM27" s="107"/>
      <c r="CN27" s="40">
        <f t="shared" si="33"/>
        <v>2.5566857264312626</v>
      </c>
      <c r="CO27" s="94">
        <v>8.8733762487422378</v>
      </c>
      <c r="CP27" s="94">
        <v>2.1799084600588299</v>
      </c>
      <c r="CQ27" s="94">
        <v>2.5482691323750268</v>
      </c>
      <c r="CR27" s="94">
        <f t="shared" si="34"/>
        <v>4.7281775924338572</v>
      </c>
      <c r="CS27" s="91" t="str">
        <f t="shared" si="35"/>
        <v>Health and social work</v>
      </c>
      <c r="CT27" s="40">
        <f t="shared" si="36"/>
        <v>2.2325047123997521</v>
      </c>
      <c r="CU27" s="11">
        <v>9.139021811310748</v>
      </c>
      <c r="CV27" s="94">
        <v>1.5518557785290545</v>
      </c>
      <c r="CW27" s="94">
        <v>2.2579566074718973</v>
      </c>
      <c r="CX27" s="94">
        <f t="shared" si="37"/>
        <v>3.8098123860009521</v>
      </c>
      <c r="CY27" s="94"/>
      <c r="CZ27" s="40">
        <f t="shared" si="38"/>
        <v>2.2155897378276945</v>
      </c>
      <c r="DA27" s="94">
        <v>4.3369896130690391</v>
      </c>
      <c r="DB27" s="94">
        <v>-0.70143934447333278</v>
      </c>
      <c r="DC27" s="94">
        <v>1.0625877587826875</v>
      </c>
      <c r="DD27" s="94">
        <f t="shared" si="39"/>
        <v>0.36114841430935474</v>
      </c>
      <c r="DF27" s="40">
        <f t="shared" si="40"/>
        <v>2.2465820104417666</v>
      </c>
      <c r="DG27" s="94">
        <v>4.4923524978635268</v>
      </c>
      <c r="DH27" s="94">
        <v>1.6692002594021076</v>
      </c>
      <c r="DI27" s="94">
        <v>1.1176339970952323</v>
      </c>
      <c r="DJ27" s="94">
        <f t="shared" si="41"/>
        <v>2.7868342564973396</v>
      </c>
      <c r="DK27" s="107"/>
      <c r="DL27" s="40">
        <f t="shared" si="42"/>
        <v>2.2648343335861076</v>
      </c>
      <c r="DM27" s="94">
        <v>0.30967970037818215</v>
      </c>
      <c r="DN27" s="94">
        <v>0.58409486360027985</v>
      </c>
      <c r="DO27" s="94">
        <v>7.7734851593977319E-2</v>
      </c>
      <c r="DP27" s="94">
        <f t="shared" si="43"/>
        <v>0.66182971519425715</v>
      </c>
    </row>
    <row r="28" spans="1:120" x14ac:dyDescent="0.2">
      <c r="A28" s="91" t="str">
        <f>name!B24</f>
        <v>Arts and entertainment</v>
      </c>
      <c r="B28" s="40">
        <f t="shared" si="1"/>
        <v>2.6894345447805668</v>
      </c>
      <c r="C28" s="11">
        <v>583.99199872311158</v>
      </c>
      <c r="D28" s="94">
        <v>22.974992839555728</v>
      </c>
      <c r="E28" s="94">
        <v>177.49855672479771</v>
      </c>
      <c r="F28" s="94">
        <f t="shared" si="2"/>
        <v>200.47354956435345</v>
      </c>
      <c r="G28" s="94"/>
      <c r="H28" s="40">
        <f t="shared" si="3"/>
        <v>2.5241340757117703</v>
      </c>
      <c r="I28" s="94">
        <v>112.61142831364945</v>
      </c>
      <c r="J28" s="94">
        <v>-19.950461975362895</v>
      </c>
      <c r="K28" s="94">
        <v>31.880492992433172</v>
      </c>
      <c r="L28" s="94">
        <f t="shared" si="4"/>
        <v>11.930031017070277</v>
      </c>
      <c r="N28" s="40">
        <f t="shared" si="5"/>
        <v>2.5965813402446081</v>
      </c>
      <c r="O28" s="94">
        <v>322.09728549501801</v>
      </c>
      <c r="P28" s="94">
        <v>22.98072850143604</v>
      </c>
      <c r="Q28" s="94">
        <v>94.116022316887069</v>
      </c>
      <c r="R28" s="94">
        <f t="shared" si="6"/>
        <v>117.0967508183231</v>
      </c>
      <c r="S28" s="107"/>
      <c r="T28" s="40">
        <f t="shared" si="7"/>
        <v>3.0082665428908584</v>
      </c>
      <c r="U28" s="94">
        <v>149.28328491444404</v>
      </c>
      <c r="V28" s="94">
        <v>19.94472631348258</v>
      </c>
      <c r="W28" s="94">
        <v>51.5020414154775</v>
      </c>
      <c r="X28" s="94">
        <f t="shared" si="8"/>
        <v>71.446767728960083</v>
      </c>
      <c r="Y28" s="91" t="str">
        <f t="shared" si="0"/>
        <v>Arts and entertainment</v>
      </c>
      <c r="Z28" s="40">
        <f t="shared" si="9"/>
        <v>3.2588943559272998</v>
      </c>
      <c r="AA28" s="11">
        <v>161.66137310285907</v>
      </c>
      <c r="AB28" s="94">
        <v>1.3326548882882316</v>
      </c>
      <c r="AC28" s="94">
        <v>61.121073231490051</v>
      </c>
      <c r="AD28" s="94">
        <f t="shared" si="10"/>
        <v>62.453728119778283</v>
      </c>
      <c r="AE28" s="94"/>
      <c r="AF28" s="40">
        <f t="shared" si="11"/>
        <v>3.2768095159466437</v>
      </c>
      <c r="AG28" s="94">
        <v>13.303128548274954</v>
      </c>
      <c r="AH28" s="94">
        <v>-1.9338514027227476</v>
      </c>
      <c r="AI28" s="94">
        <v>5.0614902397360089</v>
      </c>
      <c r="AJ28" s="94">
        <f t="shared" si="12"/>
        <v>3.1276388370132615</v>
      </c>
      <c r="AL28" s="40">
        <f t="shared" si="13"/>
        <v>3.2222682296140004</v>
      </c>
      <c r="AM28" s="94">
        <v>61.167755464113846</v>
      </c>
      <c r="AN28" s="94">
        <v>-4.1267654969595462</v>
      </c>
      <c r="AO28" s="94">
        <v>22.827842408062001</v>
      </c>
      <c r="AP28" s="94">
        <f t="shared" si="14"/>
        <v>18.701076911102454</v>
      </c>
      <c r="AQ28" s="107"/>
      <c r="AR28" s="40">
        <f t="shared" si="15"/>
        <v>3.2817897264484586</v>
      </c>
      <c r="AS28" s="94">
        <v>87.190489090470265</v>
      </c>
      <c r="AT28" s="94">
        <v>7.3932717879705248</v>
      </c>
      <c r="AU28" s="94">
        <v>33.231740583692044</v>
      </c>
      <c r="AV28" s="94">
        <f t="shared" si="16"/>
        <v>40.625012371662571</v>
      </c>
      <c r="AW28" s="91" t="str">
        <f t="shared" si="17"/>
        <v>Arts and entertainment</v>
      </c>
      <c r="AX28" s="40">
        <f t="shared" si="18"/>
        <v>2.4581982255185597</v>
      </c>
      <c r="AY28" s="11">
        <v>274.12096692663408</v>
      </c>
      <c r="AZ28" s="94">
        <v>19.909375624336565</v>
      </c>
      <c r="BA28" s="94">
        <v>75.348629505054475</v>
      </c>
      <c r="BB28" s="94">
        <f t="shared" si="19"/>
        <v>95.258005129391037</v>
      </c>
      <c r="BC28" s="94"/>
      <c r="BD28" s="40">
        <f t="shared" si="20"/>
        <v>2.3965751535212299</v>
      </c>
      <c r="BE28" s="94">
        <v>52.434042602494252</v>
      </c>
      <c r="BF28" s="94">
        <v>-10.478560037555006</v>
      </c>
      <c r="BG28" s="94">
        <v>14.01177557326081</v>
      </c>
      <c r="BH28" s="94">
        <f t="shared" si="21"/>
        <v>3.5332155357058035</v>
      </c>
      <c r="BJ28" s="40">
        <f t="shared" si="22"/>
        <v>2.4303568044377055</v>
      </c>
      <c r="BK28" s="94">
        <v>169.82026195600062</v>
      </c>
      <c r="BL28" s="94">
        <v>22.045877770222617</v>
      </c>
      <c r="BM28" s="94">
        <v>46.091529986569107</v>
      </c>
      <c r="BN28" s="94">
        <f t="shared" si="23"/>
        <v>68.137407756791731</v>
      </c>
      <c r="BO28" s="107"/>
      <c r="BP28" s="40">
        <f t="shared" si="24"/>
        <v>2.6103523894776215</v>
      </c>
      <c r="BQ28" s="94">
        <v>51.866662368139195</v>
      </c>
      <c r="BR28" s="94">
        <v>8.3420578916689543</v>
      </c>
      <c r="BS28" s="94">
        <v>15.245323945224559</v>
      </c>
      <c r="BT28" s="94">
        <f t="shared" si="25"/>
        <v>23.587381836893513</v>
      </c>
      <c r="BU28" s="91" t="str">
        <f t="shared" si="26"/>
        <v>Arts and entertainment</v>
      </c>
      <c r="BV28" s="40">
        <f t="shared" si="27"/>
        <v>2.5546872517099084</v>
      </c>
      <c r="BW28" s="11">
        <v>107.2598983032326</v>
      </c>
      <c r="BX28" s="94">
        <v>-4.6347125764802879</v>
      </c>
      <c r="BY28" s="94">
        <v>30.776152696349076</v>
      </c>
      <c r="BZ28" s="94">
        <f t="shared" si="28"/>
        <v>26.14144011986879</v>
      </c>
      <c r="CA28" s="94"/>
      <c r="CB28" s="40">
        <f t="shared" si="29"/>
        <v>2.4937117735407188</v>
      </c>
      <c r="CC28" s="94">
        <v>30.58519142119675</v>
      </c>
      <c r="CD28" s="94">
        <v>-4.9664708583329622</v>
      </c>
      <c r="CE28" s="94">
        <v>8.5424270700257328</v>
      </c>
      <c r="CF28" s="94">
        <f t="shared" si="30"/>
        <v>3.5759562116927706</v>
      </c>
      <c r="CH28" s="40">
        <f t="shared" si="31"/>
        <v>2.5657893609980054</v>
      </c>
      <c r="CI28" s="94">
        <v>68.527793794387208</v>
      </c>
      <c r="CJ28" s="94">
        <v>-2.6111534978573356</v>
      </c>
      <c r="CK28" s="94">
        <v>19.75824225652681</v>
      </c>
      <c r="CL28" s="94">
        <f t="shared" si="32"/>
        <v>17.147088758669476</v>
      </c>
      <c r="CM28" s="107"/>
      <c r="CN28" s="40">
        <f t="shared" si="33"/>
        <v>2.6887677275016175</v>
      </c>
      <c r="CO28" s="94">
        <v>8.1469130876486417</v>
      </c>
      <c r="CP28" s="94">
        <v>2.9429117797100104</v>
      </c>
      <c r="CQ28" s="94">
        <v>2.4754833697965344</v>
      </c>
      <c r="CR28" s="94">
        <f t="shared" si="34"/>
        <v>5.4183951495065443</v>
      </c>
      <c r="CS28" s="91" t="str">
        <f t="shared" si="35"/>
        <v>Arts and entertainment</v>
      </c>
      <c r="CT28" s="40">
        <f t="shared" si="36"/>
        <v>2.2595665716523383</v>
      </c>
      <c r="CU28" s="11">
        <v>40.949760390385762</v>
      </c>
      <c r="CV28" s="94">
        <v>6.3676749034112179</v>
      </c>
      <c r="CW28" s="94">
        <v>10.252701291904129</v>
      </c>
      <c r="CX28" s="94">
        <f t="shared" si="37"/>
        <v>16.620376195315348</v>
      </c>
      <c r="CY28" s="94"/>
      <c r="CZ28" s="40">
        <f t="shared" si="38"/>
        <v>2.3528014807572273</v>
      </c>
      <c r="DA28" s="94">
        <v>16.289065741683487</v>
      </c>
      <c r="DB28" s="94">
        <v>-2.5715796767521768</v>
      </c>
      <c r="DC28" s="94">
        <v>4.264800109410622</v>
      </c>
      <c r="DD28" s="94">
        <f t="shared" si="39"/>
        <v>1.6932204326584452</v>
      </c>
      <c r="DF28" s="40">
        <f t="shared" si="40"/>
        <v>2.1812946342883111</v>
      </c>
      <c r="DG28" s="94">
        <v>22.581474280516332</v>
      </c>
      <c r="DH28" s="94">
        <v>7.6727697260303049</v>
      </c>
      <c r="DI28" s="94">
        <v>5.438407665729156</v>
      </c>
      <c r="DJ28" s="94">
        <f t="shared" si="41"/>
        <v>13.111177391759462</v>
      </c>
      <c r="DK28" s="107"/>
      <c r="DL28" s="40">
        <f t="shared" si="42"/>
        <v>2.372728806531299</v>
      </c>
      <c r="DM28" s="94">
        <v>2.0792203681859425</v>
      </c>
      <c r="DN28" s="94">
        <v>1.2664848541330906</v>
      </c>
      <c r="DO28" s="94">
        <v>0.54949351676435321</v>
      </c>
      <c r="DP28" s="94">
        <f t="shared" si="43"/>
        <v>1.8159783708974437</v>
      </c>
    </row>
    <row r="29" spans="1:120" x14ac:dyDescent="0.2">
      <c r="A29" s="91" t="str">
        <f>name!B25</f>
        <v>Other services</v>
      </c>
      <c r="B29" s="40">
        <f t="shared" si="1"/>
        <v>2.7838069142694266</v>
      </c>
      <c r="C29" s="11">
        <v>108.16125170522943</v>
      </c>
      <c r="D29" s="94">
        <v>8.1774730396989117</v>
      </c>
      <c r="E29" s="94">
        <v>34.176039083117807</v>
      </c>
      <c r="F29" s="94">
        <f t="shared" si="2"/>
        <v>42.353512122816717</v>
      </c>
      <c r="G29" s="94"/>
      <c r="H29" s="40">
        <f t="shared" si="3"/>
        <v>2.6834266880037649</v>
      </c>
      <c r="I29" s="94">
        <v>32.326959698464499</v>
      </c>
      <c r="J29" s="94">
        <v>-6.1167969801013387</v>
      </c>
      <c r="K29" s="94">
        <v>9.8008028887364027</v>
      </c>
      <c r="L29" s="94">
        <f t="shared" si="4"/>
        <v>3.6840059086350641</v>
      </c>
      <c r="N29" s="40">
        <f t="shared" si="5"/>
        <v>2.7760834170330817</v>
      </c>
      <c r="O29" s="94">
        <v>57.398886868822629</v>
      </c>
      <c r="P29" s="94">
        <v>7.6406602287910461</v>
      </c>
      <c r="Q29" s="94">
        <v>18.079760081959783</v>
      </c>
      <c r="R29" s="94">
        <f t="shared" si="6"/>
        <v>25.720420310750828</v>
      </c>
      <c r="S29" s="107"/>
      <c r="T29" s="40">
        <f t="shared" si="7"/>
        <v>2.981376043016648</v>
      </c>
      <c r="U29" s="94">
        <v>18.435405137942325</v>
      </c>
      <c r="V29" s="94">
        <v>6.6536097910092034</v>
      </c>
      <c r="W29" s="94">
        <v>6.2954761124216301</v>
      </c>
      <c r="X29" s="94">
        <f t="shared" si="8"/>
        <v>12.949085903430834</v>
      </c>
      <c r="Y29" s="91" t="str">
        <f t="shared" si="0"/>
        <v>Other services</v>
      </c>
      <c r="Z29" s="40">
        <f t="shared" si="9"/>
        <v>3.3946693153821483</v>
      </c>
      <c r="AA29" s="11">
        <v>18.73707769261355</v>
      </c>
      <c r="AB29" s="94">
        <v>3.9696712217231607</v>
      </c>
      <c r="AC29" s="94">
        <v>7.4256694078981278</v>
      </c>
      <c r="AD29" s="94">
        <f t="shared" si="10"/>
        <v>11.395340629621288</v>
      </c>
      <c r="AE29" s="94"/>
      <c r="AF29" s="40">
        <f t="shared" si="11"/>
        <v>3.6016336348735356</v>
      </c>
      <c r="AG29" s="94">
        <v>2.3415431027696858</v>
      </c>
      <c r="AH29" s="94">
        <v>0.24514900613498003</v>
      </c>
      <c r="AI29" s="94">
        <v>0.99401256180311637</v>
      </c>
      <c r="AJ29" s="94">
        <f t="shared" si="12"/>
        <v>1.2391615679380963</v>
      </c>
      <c r="AL29" s="40">
        <f t="shared" si="13"/>
        <v>3.5014338519299582</v>
      </c>
      <c r="AM29" s="94">
        <v>8.1965364975682427</v>
      </c>
      <c r="AN29" s="94">
        <v>1.8824630168780692</v>
      </c>
      <c r="AO29" s="94">
        <v>3.3670895885720658</v>
      </c>
      <c r="AP29" s="94">
        <f t="shared" si="14"/>
        <v>5.2495526054501349</v>
      </c>
      <c r="AQ29" s="107"/>
      <c r="AR29" s="40">
        <f t="shared" si="15"/>
        <v>3.2265730612790922</v>
      </c>
      <c r="AS29" s="94">
        <v>8.1989980922756232</v>
      </c>
      <c r="AT29" s="94">
        <v>1.8420591987101114</v>
      </c>
      <c r="AU29" s="94">
        <v>3.0645672575229463</v>
      </c>
      <c r="AV29" s="94">
        <f t="shared" si="16"/>
        <v>4.9066264562330577</v>
      </c>
      <c r="AW29" s="91" t="str">
        <f t="shared" si="17"/>
        <v>Other services</v>
      </c>
      <c r="AX29" s="40">
        <f t="shared" si="18"/>
        <v>2.6483238273837584</v>
      </c>
      <c r="AY29" s="11">
        <v>19.032176889267678</v>
      </c>
      <c r="AZ29" s="94">
        <v>1.0956652491419592</v>
      </c>
      <c r="BA29" s="94">
        <v>5.685467852803928</v>
      </c>
      <c r="BB29" s="94">
        <f t="shared" si="19"/>
        <v>6.7811331019458869</v>
      </c>
      <c r="BC29" s="94"/>
      <c r="BD29" s="40">
        <f t="shared" si="20"/>
        <v>2.5698311582555533</v>
      </c>
      <c r="BE29" s="94">
        <v>3.4123327833961343</v>
      </c>
      <c r="BF29" s="94">
        <v>-0.44962292514756064</v>
      </c>
      <c r="BG29" s="94">
        <v>0.9855918713750732</v>
      </c>
      <c r="BH29" s="94">
        <f t="shared" si="21"/>
        <v>0.53596894622751257</v>
      </c>
      <c r="BJ29" s="40">
        <f t="shared" si="22"/>
        <v>2.6113519594407553</v>
      </c>
      <c r="BK29" s="94">
        <v>10.441678809376455</v>
      </c>
      <c r="BL29" s="94">
        <v>0.67813132541245391</v>
      </c>
      <c r="BM29" s="94">
        <v>3.0704702368243959</v>
      </c>
      <c r="BN29" s="94">
        <f t="shared" si="23"/>
        <v>3.7486015622368498</v>
      </c>
      <c r="BO29" s="107"/>
      <c r="BP29" s="40">
        <f t="shared" si="24"/>
        <v>2.7736136732418482</v>
      </c>
      <c r="BQ29" s="94">
        <v>5.1781652964950879</v>
      </c>
      <c r="BR29" s="94">
        <v>0.86715684887706568</v>
      </c>
      <c r="BS29" s="94">
        <v>1.6294057446044583</v>
      </c>
      <c r="BT29" s="94">
        <f t="shared" si="25"/>
        <v>2.4965625934815239</v>
      </c>
      <c r="BU29" s="91" t="str">
        <f t="shared" si="26"/>
        <v>Other services</v>
      </c>
      <c r="BV29" s="40">
        <f t="shared" si="27"/>
        <v>2.6772484709001398</v>
      </c>
      <c r="BW29" s="11">
        <v>66.201397878138252</v>
      </c>
      <c r="BX29" s="94">
        <v>1.2456325163985658</v>
      </c>
      <c r="BY29" s="94">
        <v>20.01887239295467</v>
      </c>
      <c r="BZ29" s="94">
        <f t="shared" si="28"/>
        <v>21.264504909353235</v>
      </c>
      <c r="CA29" s="94"/>
      <c r="CB29" s="40">
        <f t="shared" si="29"/>
        <v>2.6461497895164943</v>
      </c>
      <c r="CC29" s="94">
        <v>24.360601420401576</v>
      </c>
      <c r="CD29" s="94">
        <v>-5.6900213912272246</v>
      </c>
      <c r="CE29" s="94">
        <v>7.2705240080694988</v>
      </c>
      <c r="CF29" s="94">
        <f t="shared" si="30"/>
        <v>1.5805026168422742</v>
      </c>
      <c r="CH29" s="40">
        <f t="shared" si="31"/>
        <v>2.6783758996457463</v>
      </c>
      <c r="CI29" s="94">
        <v>37.050128855405674</v>
      </c>
      <c r="CJ29" s="94">
        <v>3.896536363658667</v>
      </c>
      <c r="CK29" s="94">
        <v>11.209016818125267</v>
      </c>
      <c r="CL29" s="94">
        <f t="shared" si="32"/>
        <v>15.105553181783934</v>
      </c>
      <c r="CM29" s="107"/>
      <c r="CN29" s="40">
        <f t="shared" si="33"/>
        <v>2.8254837692558654</v>
      </c>
      <c r="CO29" s="94">
        <v>4.7906676023310046</v>
      </c>
      <c r="CP29" s="94">
        <v>3.0391175439671234</v>
      </c>
      <c r="CQ29" s="94">
        <v>1.5393315667599037</v>
      </c>
      <c r="CR29" s="94">
        <f t="shared" si="34"/>
        <v>4.5784491107270266</v>
      </c>
      <c r="CS29" s="91" t="str">
        <f t="shared" si="35"/>
        <v>Other services</v>
      </c>
      <c r="CT29" s="40">
        <f t="shared" si="36"/>
        <v>2.2533546481934286</v>
      </c>
      <c r="CU29" s="11">
        <v>4.1905992452099587</v>
      </c>
      <c r="CV29" s="94">
        <v>1.8665040524352257</v>
      </c>
      <c r="CW29" s="94">
        <v>1.046029429461087</v>
      </c>
      <c r="CX29" s="94">
        <f t="shared" si="37"/>
        <v>2.9125334818963129</v>
      </c>
      <c r="CY29" s="94"/>
      <c r="CZ29" s="40">
        <f t="shared" si="38"/>
        <v>2.2474701591650437</v>
      </c>
      <c r="DA29" s="94">
        <v>2.2124823918971015</v>
      </c>
      <c r="DB29" s="94">
        <v>-0.22230166986153393</v>
      </c>
      <c r="DC29" s="94">
        <v>0.55067444748871397</v>
      </c>
      <c r="DD29" s="94">
        <f t="shared" si="39"/>
        <v>0.32837277762718003</v>
      </c>
      <c r="DF29" s="40">
        <f t="shared" si="40"/>
        <v>2.2830190168655617</v>
      </c>
      <c r="DG29" s="94">
        <v>1.7105427064722503</v>
      </c>
      <c r="DH29" s="94">
        <v>1.1835295228418568</v>
      </c>
      <c r="DI29" s="94">
        <v>0.43318343843805091</v>
      </c>
      <c r="DJ29" s="94">
        <f t="shared" si="41"/>
        <v>1.6167129612799076</v>
      </c>
      <c r="DK29" s="107"/>
      <c r="DL29" s="40">
        <f t="shared" si="42"/>
        <v>2.1112277164391235</v>
      </c>
      <c r="DM29" s="94">
        <v>0.26757414684060715</v>
      </c>
      <c r="DN29" s="94">
        <v>0.90527619945490279</v>
      </c>
      <c r="DO29" s="94">
        <v>6.2171543534321853E-2</v>
      </c>
      <c r="DP29" s="94">
        <f t="shared" si="43"/>
        <v>0.96744774298922465</v>
      </c>
    </row>
    <row r="30" spans="1:120" x14ac:dyDescent="0.2">
      <c r="A30" s="91">
        <f>name!B26</f>
        <v>0</v>
      </c>
      <c r="B30" s="40">
        <f t="shared" si="1"/>
        <v>2.81853341281606</v>
      </c>
      <c r="C30" s="11">
        <v>3.6239999999999957</v>
      </c>
      <c r="D30" s="94">
        <v>0.24699999999999425</v>
      </c>
      <c r="E30" s="94">
        <v>1.161223619177874</v>
      </c>
      <c r="F30" s="94">
        <f t="shared" si="2"/>
        <v>1.4082236191778683</v>
      </c>
      <c r="G30" s="94"/>
      <c r="H30" s="40">
        <f t="shared" si="3"/>
        <v>2.6181998345442992</v>
      </c>
      <c r="I30" s="94">
        <v>0.8854137576985297</v>
      </c>
      <c r="J30" s="94">
        <v>-0.37920842251297887</v>
      </c>
      <c r="K30" s="94">
        <v>0.26112881202833382</v>
      </c>
      <c r="L30" s="94">
        <f t="shared" si="4"/>
        <v>-0.11807961048464505</v>
      </c>
      <c r="N30" s="40">
        <f t="shared" si="5"/>
        <v>2.6529788153066836</v>
      </c>
      <c r="O30" s="94">
        <v>1.3832584282800451</v>
      </c>
      <c r="P30" s="94">
        <v>0.23337200314420425</v>
      </c>
      <c r="Q30" s="94">
        <v>0.41403459662136033</v>
      </c>
      <c r="R30" s="94">
        <f t="shared" si="6"/>
        <v>0.64740659976556458</v>
      </c>
      <c r="S30" s="107"/>
      <c r="T30" s="40">
        <f t="shared" si="7"/>
        <v>3.1122102767148885</v>
      </c>
      <c r="U30" s="94">
        <v>1.3553278140214204</v>
      </c>
      <c r="V30" s="94">
        <v>0.39283641936876895</v>
      </c>
      <c r="W30" s="94">
        <v>0.48606021052817994</v>
      </c>
      <c r="X30" s="94">
        <f t="shared" si="8"/>
        <v>0.87889662989694894</v>
      </c>
      <c r="Y30" s="91">
        <f t="shared" si="0"/>
        <v>0</v>
      </c>
      <c r="Z30" s="40">
        <f t="shared" si="9"/>
        <v>2.9443653428279148</v>
      </c>
      <c r="AA30" s="11">
        <v>1.8811280324430137</v>
      </c>
      <c r="AB30" s="94">
        <v>0.12648602226143923</v>
      </c>
      <c r="AC30" s="94">
        <v>0.63332866226922047</v>
      </c>
      <c r="AD30" s="94">
        <f t="shared" si="10"/>
        <v>0.7598146845306597</v>
      </c>
      <c r="AE30" s="94"/>
      <c r="AF30" s="40">
        <f t="shared" si="11"/>
        <v>2.5616056481945648</v>
      </c>
      <c r="AG30" s="94">
        <v>0.39195326978431944</v>
      </c>
      <c r="AH30" s="94">
        <v>-0.20952388317933862</v>
      </c>
      <c r="AI30" s="94">
        <v>0.11280379340146277</v>
      </c>
      <c r="AJ30" s="94">
        <f t="shared" si="12"/>
        <v>-9.6720089777875856E-2</v>
      </c>
      <c r="AL30" s="40">
        <f t="shared" si="13"/>
        <v>2.6346340495356335</v>
      </c>
      <c r="AM30" s="94">
        <v>0.4129117991411031</v>
      </c>
      <c r="AN30" s="94">
        <v>-1.2440580648808345E-2</v>
      </c>
      <c r="AO30" s="94">
        <v>0.1226340711227917</v>
      </c>
      <c r="AP30" s="94">
        <f t="shared" si="14"/>
        <v>0.11019349047398336</v>
      </c>
      <c r="AQ30" s="107"/>
      <c r="AR30" s="40">
        <f t="shared" si="15"/>
        <v>3.1958990333170068</v>
      </c>
      <c r="AS30" s="94">
        <v>1.0762629635175913</v>
      </c>
      <c r="AT30" s="94">
        <v>0.34845048608958623</v>
      </c>
      <c r="AU30" s="94">
        <v>0.39789079774496594</v>
      </c>
      <c r="AV30" s="94">
        <f t="shared" si="16"/>
        <v>0.74634128383455223</v>
      </c>
      <c r="AW30" s="91">
        <f t="shared" si="17"/>
        <v>0</v>
      </c>
      <c r="AX30" s="40">
        <f t="shared" si="18"/>
        <v>2.6556901882889949</v>
      </c>
      <c r="AY30" s="11">
        <v>0.79016052016002847</v>
      </c>
      <c r="AZ30" s="94">
        <v>-5.5512159780558507E-3</v>
      </c>
      <c r="BA30" s="94">
        <v>0.23678073042517134</v>
      </c>
      <c r="BB30" s="94">
        <f t="shared" si="19"/>
        <v>0.23122951444711548</v>
      </c>
      <c r="BC30" s="94"/>
      <c r="BD30" s="40">
        <f t="shared" si="20"/>
        <v>2.6320188411371737</v>
      </c>
      <c r="BE30" s="94">
        <v>0.10890628043772764</v>
      </c>
      <c r="BF30" s="94">
        <v>-3.6714040606319942E-2</v>
      </c>
      <c r="BG30" s="94">
        <v>3.2308984136424024E-2</v>
      </c>
      <c r="BH30" s="94">
        <f t="shared" si="21"/>
        <v>-4.4050564698959183E-3</v>
      </c>
      <c r="BJ30" s="40">
        <f t="shared" si="22"/>
        <v>2.632798184440821</v>
      </c>
      <c r="BK30" s="94">
        <v>0.54343409949213617</v>
      </c>
      <c r="BL30" s="94">
        <v>6.5977065103502874E-2</v>
      </c>
      <c r="BM30" s="94">
        <v>0.16127289650651028</v>
      </c>
      <c r="BN30" s="94">
        <f t="shared" si="23"/>
        <v>0.22724996161001315</v>
      </c>
      <c r="BO30" s="107"/>
      <c r="BP30" s="40">
        <f t="shared" si="24"/>
        <v>2.7640342004974006</v>
      </c>
      <c r="BQ30" s="94">
        <v>0.13782014023016467</v>
      </c>
      <c r="BR30" s="94">
        <v>-3.4814240475238789E-2</v>
      </c>
      <c r="BS30" s="94">
        <v>4.319884978223705E-2</v>
      </c>
      <c r="BT30" s="94">
        <f t="shared" si="25"/>
        <v>8.3846093069982613E-3</v>
      </c>
      <c r="BU30" s="91">
        <f t="shared" si="26"/>
        <v>0</v>
      </c>
      <c r="BV30" s="40">
        <f t="shared" si="27"/>
        <v>2.7443857826882523</v>
      </c>
      <c r="BW30" s="11">
        <v>0.71149816309577474</v>
      </c>
      <c r="BX30" s="94">
        <v>0.24504437900903087</v>
      </c>
      <c r="BY30" s="94">
        <v>0.22122934558787391</v>
      </c>
      <c r="BZ30" s="94">
        <f t="shared" si="28"/>
        <v>0.46627372459690475</v>
      </c>
      <c r="CA30" s="94"/>
      <c r="CB30" s="40">
        <f t="shared" si="29"/>
        <v>2.6198589066564582</v>
      </c>
      <c r="CC30" s="94">
        <v>0.18443335988879814</v>
      </c>
      <c r="CD30" s="94">
        <v>-4.0323210155314967E-2</v>
      </c>
      <c r="CE30" s="94">
        <v>5.4432240278174497E-2</v>
      </c>
      <c r="CF30" s="94">
        <f t="shared" si="30"/>
        <v>1.410903012285953E-2</v>
      </c>
      <c r="CH30" s="40">
        <f t="shared" si="31"/>
        <v>2.782142672137855</v>
      </c>
      <c r="CI30" s="94">
        <v>0.38582009293331226</v>
      </c>
      <c r="CJ30" s="94">
        <v>0.20616741540992439</v>
      </c>
      <c r="CK30" s="94">
        <v>0.12182654230872253</v>
      </c>
      <c r="CL30" s="94">
        <f t="shared" si="32"/>
        <v>0.32799395771864692</v>
      </c>
      <c r="CM30" s="107"/>
      <c r="CN30" s="40">
        <f t="shared" si="33"/>
        <v>2.802650191366185</v>
      </c>
      <c r="CO30" s="94">
        <v>0.14124471027366434</v>
      </c>
      <c r="CP30" s="94">
        <v>7.9200173754421455E-2</v>
      </c>
      <c r="CQ30" s="94">
        <v>4.4970563000976925E-2</v>
      </c>
      <c r="CR30" s="94">
        <f t="shared" si="34"/>
        <v>0.12417073675539839</v>
      </c>
      <c r="CS30" s="91">
        <f t="shared" si="35"/>
        <v>0</v>
      </c>
      <c r="CT30" s="40">
        <f t="shared" si="36"/>
        <v>2.5769124618272299</v>
      </c>
      <c r="CU30" s="11">
        <v>0.24121328430117833</v>
      </c>
      <c r="CV30" s="94">
        <v>-0.11897918529242003</v>
      </c>
      <c r="CW30" s="94">
        <v>6.9884880895608265E-2</v>
      </c>
      <c r="CX30" s="94">
        <f t="shared" si="37"/>
        <v>-4.9094304396811769E-2</v>
      </c>
      <c r="CY30" s="94"/>
      <c r="CZ30" s="40">
        <f t="shared" si="38"/>
        <v>2.7192664271063816</v>
      </c>
      <c r="DA30" s="94">
        <v>0.20012084758768453</v>
      </c>
      <c r="DB30" s="94">
        <v>-9.2647288572005396E-2</v>
      </c>
      <c r="DC30" s="94">
        <v>6.1583794212272509E-2</v>
      </c>
      <c r="DD30" s="94">
        <f t="shared" si="39"/>
        <v>-3.1063494359732886E-2</v>
      </c>
      <c r="DF30" s="40">
        <f t="shared" si="40"/>
        <v>1.8569836908540527</v>
      </c>
      <c r="DG30" s="94">
        <v>4.1092436713493816E-2</v>
      </c>
      <c r="DH30" s="94">
        <v>-2.6331896720414642E-2</v>
      </c>
      <c r="DI30" s="94">
        <v>8.3010866833357552E-3</v>
      </c>
      <c r="DJ30" s="94">
        <f t="shared" si="41"/>
        <v>-1.8030810037078886E-2</v>
      </c>
      <c r="DK30" s="107"/>
      <c r="DL30" s="40">
        <f t="shared" si="42"/>
        <v>0</v>
      </c>
      <c r="DM30" s="94">
        <v>0</v>
      </c>
      <c r="DN30" s="94">
        <v>0</v>
      </c>
      <c r="DO30" s="94">
        <v>0</v>
      </c>
      <c r="DP30" s="94">
        <f t="shared" si="43"/>
        <v>0</v>
      </c>
    </row>
    <row r="31" spans="1:120" x14ac:dyDescent="0.2">
      <c r="A31" s="91">
        <f>name!B27</f>
        <v>0</v>
      </c>
      <c r="B31" s="40">
        <f t="shared" si="1"/>
        <v>2.6734729787020628</v>
      </c>
      <c r="C31" s="11">
        <v>5.3973840679838156</v>
      </c>
      <c r="D31" s="94">
        <v>1.1408021816129781</v>
      </c>
      <c r="E31" s="94">
        <v>1.6295494976716494</v>
      </c>
      <c r="F31" s="94">
        <f t="shared" si="2"/>
        <v>2.7703516792846274</v>
      </c>
      <c r="G31" s="94"/>
      <c r="H31" s="40">
        <f t="shared" si="3"/>
        <v>2.4242144760953321</v>
      </c>
      <c r="I31" s="94">
        <v>0.66792410715744144</v>
      </c>
      <c r="J31" s="94">
        <v>8.7081733597755159E-2</v>
      </c>
      <c r="K31" s="94">
        <v>0.18077459401533136</v>
      </c>
      <c r="L31" s="94">
        <f t="shared" si="4"/>
        <v>0.26785632761308653</v>
      </c>
      <c r="N31" s="40">
        <f t="shared" si="5"/>
        <v>2.609263332573919</v>
      </c>
      <c r="O31" s="94">
        <v>2.0775695012091084</v>
      </c>
      <c r="P31" s="94">
        <v>0.2544737074116219</v>
      </c>
      <c r="Q31" s="94">
        <v>0.6103809444492555</v>
      </c>
      <c r="R31" s="94">
        <f t="shared" si="6"/>
        <v>0.8648546518608774</v>
      </c>
      <c r="S31" s="107"/>
      <c r="T31" s="40">
        <f t="shared" si="7"/>
        <v>2.7851854419137734</v>
      </c>
      <c r="U31" s="94">
        <v>2.6518904596172663</v>
      </c>
      <c r="V31" s="94">
        <v>0.79924674060360146</v>
      </c>
      <c r="W31" s="94">
        <v>0.83839395920706195</v>
      </c>
      <c r="X31" s="94">
        <f t="shared" si="8"/>
        <v>1.6376406998106634</v>
      </c>
      <c r="Y31" s="91">
        <f t="shared" si="0"/>
        <v>0</v>
      </c>
      <c r="Z31" s="40">
        <f t="shared" si="9"/>
        <v>2.8165513572584899</v>
      </c>
      <c r="AA31" s="11">
        <v>2.214362158393115</v>
      </c>
      <c r="AB31" s="94">
        <v>0.76697330164247091</v>
      </c>
      <c r="AC31" s="94">
        <v>0.7089754858112105</v>
      </c>
      <c r="AD31" s="94">
        <f t="shared" si="10"/>
        <v>1.4759487874536814</v>
      </c>
      <c r="AE31" s="94"/>
      <c r="AF31" s="40">
        <f t="shared" si="11"/>
        <v>2.4947991741868014</v>
      </c>
      <c r="AG31" s="94">
        <v>9.3295900311954727E-2</v>
      </c>
      <c r="AH31" s="94">
        <v>7.3611029159494539E-3</v>
      </c>
      <c r="AI31" s="94">
        <v>2.6070156753053058E-2</v>
      </c>
      <c r="AJ31" s="94">
        <f t="shared" si="12"/>
        <v>3.3431259669002511E-2</v>
      </c>
      <c r="AL31" s="40">
        <f t="shared" si="13"/>
        <v>2.7753358006801676</v>
      </c>
      <c r="AM31" s="94">
        <v>0.4972447918516455</v>
      </c>
      <c r="AN31" s="94">
        <v>9.6394295735497987E-2</v>
      </c>
      <c r="AO31" s="94">
        <v>0.15657684325353696</v>
      </c>
      <c r="AP31" s="94">
        <f t="shared" si="14"/>
        <v>0.25297113898903495</v>
      </c>
      <c r="AQ31" s="107"/>
      <c r="AR31" s="40">
        <f t="shared" si="15"/>
        <v>2.8473360407721415</v>
      </c>
      <c r="AS31" s="94">
        <v>1.6238214662295147</v>
      </c>
      <c r="AT31" s="94">
        <v>0.66321790299102346</v>
      </c>
      <c r="AU31" s="94">
        <v>0.52632848580462055</v>
      </c>
      <c r="AV31" s="94">
        <f t="shared" si="16"/>
        <v>1.1895463887956441</v>
      </c>
      <c r="AW31" s="91">
        <f t="shared" si="17"/>
        <v>0</v>
      </c>
      <c r="AX31" s="40">
        <f t="shared" si="18"/>
        <v>2.6299606183572521</v>
      </c>
      <c r="AY31" s="11">
        <v>2.2783095768098032</v>
      </c>
      <c r="AZ31" s="94">
        <v>0.28087299486229567</v>
      </c>
      <c r="BA31" s="94">
        <v>0.67530864231188981</v>
      </c>
      <c r="BB31" s="94">
        <f t="shared" si="19"/>
        <v>0.95618163717418547</v>
      </c>
      <c r="BC31" s="94"/>
      <c r="BD31" s="40">
        <f t="shared" si="20"/>
        <v>2.5631080985660804</v>
      </c>
      <c r="BE31" s="94">
        <v>0.22101247964060855</v>
      </c>
      <c r="BF31" s="94">
        <v>-1.6947941898083588E-2</v>
      </c>
      <c r="BG31" s="94">
        <v>6.3648887364331108E-2</v>
      </c>
      <c r="BH31" s="94">
        <f t="shared" si="21"/>
        <v>4.670094546624752E-2</v>
      </c>
      <c r="BJ31" s="40">
        <f t="shared" si="22"/>
        <v>2.5856877347969265</v>
      </c>
      <c r="BK31" s="94">
        <v>1.1148096584511451</v>
      </c>
      <c r="BL31" s="94">
        <v>0.19268434666122614</v>
      </c>
      <c r="BM31" s="94">
        <v>0.32421576182958223</v>
      </c>
      <c r="BN31" s="94">
        <f t="shared" si="23"/>
        <v>0.51690010849080836</v>
      </c>
      <c r="BO31" s="107"/>
      <c r="BP31" s="40">
        <f t="shared" si="24"/>
        <v>2.6976564051442775</v>
      </c>
      <c r="BQ31" s="94">
        <v>0.94248743871804974</v>
      </c>
      <c r="BR31" s="94">
        <v>0.10513659009915316</v>
      </c>
      <c r="BS31" s="94">
        <v>0.28744399311797653</v>
      </c>
      <c r="BT31" s="94">
        <f t="shared" si="25"/>
        <v>0.39258058321712969</v>
      </c>
      <c r="BU31" s="91">
        <f t="shared" si="26"/>
        <v>0</v>
      </c>
      <c r="BV31" s="40">
        <f t="shared" si="27"/>
        <v>2.6073314286228833</v>
      </c>
      <c r="BW31" s="11">
        <v>0.44551231145339021</v>
      </c>
      <c r="BX31" s="94">
        <v>-8.3373030656131442E-3</v>
      </c>
      <c r="BY31" s="94">
        <v>0.13078107806231981</v>
      </c>
      <c r="BZ31" s="94">
        <f t="shared" si="28"/>
        <v>0.12244377499670667</v>
      </c>
      <c r="CA31" s="94"/>
      <c r="CB31" s="40">
        <f t="shared" si="29"/>
        <v>2.4365291604826034</v>
      </c>
      <c r="CC31" s="94">
        <v>8.6276945213152031E-2</v>
      </c>
      <c r="CD31" s="94">
        <v>-4.2074055456051036E-2</v>
      </c>
      <c r="CE31" s="94">
        <v>2.3482855274529982E-2</v>
      </c>
      <c r="CF31" s="94">
        <f t="shared" si="30"/>
        <v>-1.8591200181521054E-2</v>
      </c>
      <c r="CH31" s="40">
        <f t="shared" si="31"/>
        <v>2.6262299218310803</v>
      </c>
      <c r="CI31" s="94">
        <v>0.29498731949520918</v>
      </c>
      <c r="CJ31" s="94">
        <v>2.0855293533474064E-2</v>
      </c>
      <c r="CK31" s="94">
        <v>8.7297539162572352E-2</v>
      </c>
      <c r="CL31" s="94">
        <f t="shared" si="32"/>
        <v>0.10815283269604642</v>
      </c>
      <c r="CM31" s="107"/>
      <c r="CN31" s="40">
        <f t="shared" si="33"/>
        <v>2.7472823291570414</v>
      </c>
      <c r="CO31" s="94">
        <v>6.4248046745029E-2</v>
      </c>
      <c r="CP31" s="94">
        <v>1.2881458856963826E-2</v>
      </c>
      <c r="CQ31" s="94">
        <v>2.000068362521747E-2</v>
      </c>
      <c r="CR31" s="94">
        <f t="shared" si="34"/>
        <v>3.2882142482181298E-2</v>
      </c>
      <c r="CS31" s="91">
        <f t="shared" si="35"/>
        <v>0</v>
      </c>
      <c r="CT31" s="40">
        <f t="shared" si="36"/>
        <v>2.2508925088840614</v>
      </c>
      <c r="CU31" s="11">
        <v>0.45920002132750753</v>
      </c>
      <c r="CV31" s="94">
        <v>0.10129318817382489</v>
      </c>
      <c r="CW31" s="94">
        <v>0.11448429148622874</v>
      </c>
      <c r="CX31" s="94">
        <f t="shared" si="37"/>
        <v>0.21577747966005362</v>
      </c>
      <c r="CY31" s="94"/>
      <c r="CZ31" s="40">
        <f t="shared" si="38"/>
        <v>2.2790784934704211</v>
      </c>
      <c r="DA31" s="94">
        <v>0.26733878199172612</v>
      </c>
      <c r="DB31" s="94">
        <v>0.13874262803594034</v>
      </c>
      <c r="DC31" s="94">
        <v>6.7572694623417223E-2</v>
      </c>
      <c r="DD31" s="94">
        <f t="shared" si="39"/>
        <v>0.20631532265935756</v>
      </c>
      <c r="DF31" s="40">
        <f t="shared" si="40"/>
        <v>2.2401417134240154</v>
      </c>
      <c r="DG31" s="94">
        <v>0.17052773141110822</v>
      </c>
      <c r="DH31" s="94">
        <v>-5.5460228518576328E-2</v>
      </c>
      <c r="DI31" s="94">
        <v>4.2290800203563968E-2</v>
      </c>
      <c r="DJ31" s="94">
        <f t="shared" si="41"/>
        <v>-1.316942831501236E-2</v>
      </c>
      <c r="DK31" s="107"/>
      <c r="DL31" s="40">
        <f t="shared" si="42"/>
        <v>1.9799306613629053</v>
      </c>
      <c r="DM31" s="94">
        <v>2.1333507924673225E-2</v>
      </c>
      <c r="DN31" s="94">
        <v>1.8010788656460896E-2</v>
      </c>
      <c r="DO31" s="94">
        <v>4.6207966592475454E-3</v>
      </c>
      <c r="DP31" s="94">
        <f t="shared" si="43"/>
        <v>2.2631585315708441E-2</v>
      </c>
    </row>
    <row r="32" spans="1:120" x14ac:dyDescent="0.2">
      <c r="A32" s="91">
        <f>name!B28</f>
        <v>0</v>
      </c>
      <c r="B32" s="40">
        <f t="shared" si="1"/>
        <v>2.7212419765566098</v>
      </c>
      <c r="C32" s="11">
        <v>123.7608458367669</v>
      </c>
      <c r="D32" s="94">
        <v>13.119074771958418</v>
      </c>
      <c r="E32" s="94">
        <v>38.116429497024313</v>
      </c>
      <c r="F32" s="94">
        <f t="shared" si="2"/>
        <v>51.23550426898273</v>
      </c>
      <c r="G32" s="94"/>
      <c r="H32" s="40">
        <f t="shared" si="3"/>
        <v>2.5243885852895165</v>
      </c>
      <c r="I32" s="94">
        <v>26.847077802333636</v>
      </c>
      <c r="J32" s="94">
        <v>-7.8031435741815161</v>
      </c>
      <c r="K32" s="94">
        <v>7.6013099907891046</v>
      </c>
      <c r="L32" s="94">
        <f t="shared" si="4"/>
        <v>-0.20183358339241142</v>
      </c>
      <c r="N32" s="40">
        <f t="shared" si="5"/>
        <v>2.6624455318525975</v>
      </c>
      <c r="O32" s="94">
        <v>63.941359181744446</v>
      </c>
      <c r="P32" s="94">
        <v>7.8349731558739144</v>
      </c>
      <c r="Q32" s="94">
        <v>19.215469387990549</v>
      </c>
      <c r="R32" s="94">
        <f t="shared" si="6"/>
        <v>27.050442543864463</v>
      </c>
      <c r="S32" s="107"/>
      <c r="T32" s="40">
        <f t="shared" si="7"/>
        <v>2.9906749697417023</v>
      </c>
      <c r="U32" s="94">
        <v>32.972408852688829</v>
      </c>
      <c r="V32" s="94">
        <v>13.087245190266019</v>
      </c>
      <c r="W32" s="94">
        <v>11.299650118244649</v>
      </c>
      <c r="X32" s="94">
        <f t="shared" si="8"/>
        <v>24.386895308510667</v>
      </c>
      <c r="Y32" s="91">
        <f t="shared" si="0"/>
        <v>0</v>
      </c>
      <c r="Z32" s="40">
        <f t="shared" si="9"/>
        <v>3.0765850108950499</v>
      </c>
      <c r="AA32" s="11">
        <v>38.83635765848959</v>
      </c>
      <c r="AB32" s="94">
        <v>9.7986800365741935</v>
      </c>
      <c r="AC32" s="94">
        <v>13.745837027625093</v>
      </c>
      <c r="AD32" s="94">
        <f t="shared" si="10"/>
        <v>23.544517064199287</v>
      </c>
      <c r="AE32" s="94"/>
      <c r="AF32" s="40">
        <f t="shared" si="11"/>
        <v>3.0191901547181432</v>
      </c>
      <c r="AG32" s="94">
        <v>2.7303033528832836</v>
      </c>
      <c r="AH32" s="94">
        <v>7.5430584829441968E-2</v>
      </c>
      <c r="AI32" s="94">
        <v>0.94583812987341553</v>
      </c>
      <c r="AJ32" s="94">
        <f t="shared" si="12"/>
        <v>1.0212687147028574</v>
      </c>
      <c r="AL32" s="40">
        <f t="shared" si="13"/>
        <v>3.0173281094963533</v>
      </c>
      <c r="AM32" s="94">
        <v>15.834000720976697</v>
      </c>
      <c r="AN32" s="94">
        <v>4.2727073292572078</v>
      </c>
      <c r="AO32" s="94">
        <v>5.4813988049700901</v>
      </c>
      <c r="AP32" s="94">
        <f t="shared" si="14"/>
        <v>9.7541061342272979</v>
      </c>
      <c r="AQ32" s="107"/>
      <c r="AR32" s="40">
        <f t="shared" si="15"/>
        <v>3.1303340410858471</v>
      </c>
      <c r="AS32" s="94">
        <v>20.272053584629607</v>
      </c>
      <c r="AT32" s="94">
        <v>5.4505421224875432</v>
      </c>
      <c r="AU32" s="94">
        <v>7.3186000927815886</v>
      </c>
      <c r="AV32" s="94">
        <f t="shared" si="16"/>
        <v>12.769142215269131</v>
      </c>
      <c r="AW32" s="91">
        <f t="shared" si="17"/>
        <v>0</v>
      </c>
      <c r="AX32" s="40">
        <f t="shared" si="18"/>
        <v>2.6584881857450782</v>
      </c>
      <c r="AY32" s="11">
        <v>47.806403154901318</v>
      </c>
      <c r="AZ32" s="94">
        <v>-7.0421609841178725</v>
      </c>
      <c r="BA32" s="94">
        <v>14.342678022761262</v>
      </c>
      <c r="BB32" s="94">
        <f t="shared" si="19"/>
        <v>7.30051703864339</v>
      </c>
      <c r="BC32" s="94"/>
      <c r="BD32" s="40">
        <f t="shared" si="20"/>
        <v>2.6161806421257428</v>
      </c>
      <c r="BE32" s="94">
        <v>10.847301910693686</v>
      </c>
      <c r="BF32" s="94">
        <v>-4.5098176413100948</v>
      </c>
      <c r="BG32" s="94">
        <v>3.196354334448817</v>
      </c>
      <c r="BH32" s="94">
        <f t="shared" si="21"/>
        <v>-1.3134633068612778</v>
      </c>
      <c r="BJ32" s="40">
        <f t="shared" si="22"/>
        <v>2.6374751567947108</v>
      </c>
      <c r="BK32" s="94">
        <v>28.371369231702417</v>
      </c>
      <c r="BL32" s="94">
        <v>-3.0931884379730161</v>
      </c>
      <c r="BM32" s="94">
        <v>8.4364337781793513</v>
      </c>
      <c r="BN32" s="94">
        <f t="shared" si="23"/>
        <v>5.3432453402063356</v>
      </c>
      <c r="BO32" s="107"/>
      <c r="BP32" s="40">
        <f t="shared" si="24"/>
        <v>2.7805305911498435</v>
      </c>
      <c r="BQ32" s="94">
        <v>8.5877320125052172</v>
      </c>
      <c r="BR32" s="94">
        <v>0.56084509516523873</v>
      </c>
      <c r="BS32" s="94">
        <v>2.7098899101330933</v>
      </c>
      <c r="BT32" s="94">
        <f t="shared" si="25"/>
        <v>3.2707350052983322</v>
      </c>
      <c r="BU32" s="91">
        <f t="shared" si="26"/>
        <v>0</v>
      </c>
      <c r="BV32" s="40">
        <f t="shared" si="27"/>
        <v>2.6565095608896083</v>
      </c>
      <c r="BW32" s="11">
        <v>19.849533341962385</v>
      </c>
      <c r="BX32" s="94">
        <v>1.9836189361300114</v>
      </c>
      <c r="BY32" s="94">
        <v>5.9502012149531671</v>
      </c>
      <c r="BZ32" s="94">
        <f t="shared" si="28"/>
        <v>7.9338201510831787</v>
      </c>
      <c r="CA32" s="94"/>
      <c r="CB32" s="40">
        <f t="shared" si="29"/>
        <v>2.6205599538537738</v>
      </c>
      <c r="CC32" s="94">
        <v>6.8203543745401731</v>
      </c>
      <c r="CD32" s="94">
        <v>-1.6267924145713057</v>
      </c>
      <c r="CE32" s="94">
        <v>2.0135102832400635</v>
      </c>
      <c r="CF32" s="94">
        <f t="shared" si="30"/>
        <v>0.38671786866875779</v>
      </c>
      <c r="CH32" s="40">
        <f t="shared" si="31"/>
        <v>2.6438862721386736</v>
      </c>
      <c r="CI32" s="94">
        <v>10.586487257709154</v>
      </c>
      <c r="CJ32" s="94">
        <v>1.7602610215326151</v>
      </c>
      <c r="CK32" s="94">
        <v>3.1565507372840993</v>
      </c>
      <c r="CL32" s="94">
        <f t="shared" si="32"/>
        <v>4.9168117588167144</v>
      </c>
      <c r="CM32" s="107"/>
      <c r="CN32" s="40">
        <f t="shared" si="33"/>
        <v>2.8103646649090264</v>
      </c>
      <c r="CO32" s="94">
        <v>2.4426917097130554</v>
      </c>
      <c r="CP32" s="94">
        <v>1.850150329168702</v>
      </c>
      <c r="CQ32" s="94">
        <v>0.78014019442900417</v>
      </c>
      <c r="CR32" s="94">
        <f t="shared" si="34"/>
        <v>2.6302905235977061</v>
      </c>
      <c r="CS32" s="91">
        <f t="shared" si="35"/>
        <v>0</v>
      </c>
      <c r="CT32" s="40">
        <f t="shared" si="36"/>
        <v>2.1425269866725216</v>
      </c>
      <c r="CU32" s="11">
        <v>17.268551681413616</v>
      </c>
      <c r="CV32" s="94">
        <v>8.3789367833720867</v>
      </c>
      <c r="CW32" s="94">
        <v>4.0777132316847844</v>
      </c>
      <c r="CX32" s="94">
        <f t="shared" si="37"/>
        <v>12.456650015056871</v>
      </c>
      <c r="CY32" s="94"/>
      <c r="CZ32" s="40">
        <f t="shared" si="38"/>
        <v>2.0431060525095246</v>
      </c>
      <c r="DA32" s="94">
        <v>6.4491181642164932</v>
      </c>
      <c r="DB32" s="94">
        <v>-1.7419641031295572</v>
      </c>
      <c r="DC32" s="94">
        <v>1.4456072432268086</v>
      </c>
      <c r="DD32" s="94">
        <f t="shared" si="39"/>
        <v>-0.29635685990274863</v>
      </c>
      <c r="DF32" s="40">
        <f t="shared" si="40"/>
        <v>2.1249626362792373</v>
      </c>
      <c r="DG32" s="94">
        <v>9.1495019713561767</v>
      </c>
      <c r="DH32" s="94">
        <v>4.8951932430571077</v>
      </c>
      <c r="DI32" s="94">
        <v>2.1410860675570116</v>
      </c>
      <c r="DJ32" s="94">
        <f t="shared" si="41"/>
        <v>7.0362793106141197</v>
      </c>
      <c r="DK32" s="107"/>
      <c r="DL32" s="40">
        <f t="shared" si="42"/>
        <v>2.6111687821135154</v>
      </c>
      <c r="DM32" s="94">
        <v>1.6699315458409487</v>
      </c>
      <c r="DN32" s="94">
        <v>5.2257076434445349</v>
      </c>
      <c r="DO32" s="94">
        <v>0.49101992090096452</v>
      </c>
      <c r="DP32" s="94">
        <f t="shared" si="43"/>
        <v>5.7167275643454998</v>
      </c>
    </row>
    <row r="33" spans="1:120" x14ac:dyDescent="0.2">
      <c r="A33" s="91">
        <f>name!B29</f>
        <v>0</v>
      </c>
      <c r="B33" s="40">
        <f t="shared" si="1"/>
        <v>3.0653273318685947</v>
      </c>
      <c r="C33" s="11">
        <v>154.97099999999972</v>
      </c>
      <c r="D33" s="94">
        <v>3.3030000000000879</v>
      </c>
      <c r="E33" s="94">
        <v>54.621773436017577</v>
      </c>
      <c r="F33" s="94">
        <f t="shared" si="2"/>
        <v>57.924773436017666</v>
      </c>
      <c r="G33" s="94"/>
      <c r="H33" s="40">
        <f t="shared" si="3"/>
        <v>2.9436319407800893</v>
      </c>
      <c r="I33" s="94">
        <v>50.957790570188273</v>
      </c>
      <c r="J33" s="94">
        <v>-5.207332958391917</v>
      </c>
      <c r="K33" s="94">
        <v>17.151358481765701</v>
      </c>
      <c r="L33" s="94">
        <f t="shared" si="4"/>
        <v>11.944025523373785</v>
      </c>
      <c r="N33" s="40">
        <f t="shared" si="5"/>
        <v>3.080091904459592</v>
      </c>
      <c r="O33" s="94">
        <v>82.75191339584687</v>
      </c>
      <c r="P33" s="94">
        <v>5.6365125249630674</v>
      </c>
      <c r="Q33" s="94">
        <v>29.327542834156286</v>
      </c>
      <c r="R33" s="94">
        <f t="shared" si="6"/>
        <v>34.964055359119357</v>
      </c>
      <c r="S33" s="107"/>
      <c r="T33" s="40">
        <f t="shared" si="7"/>
        <v>3.2956222869682472</v>
      </c>
      <c r="U33" s="94">
        <v>21.261296033964598</v>
      </c>
      <c r="V33" s="94">
        <v>2.873820433428937</v>
      </c>
      <c r="W33" s="94">
        <v>8.1428721200955785</v>
      </c>
      <c r="X33" s="94">
        <f t="shared" si="8"/>
        <v>11.016692553524516</v>
      </c>
      <c r="Y33" s="91">
        <f t="shared" si="0"/>
        <v>0</v>
      </c>
      <c r="Z33" s="40">
        <f t="shared" si="9"/>
        <v>4.0504340600003408</v>
      </c>
      <c r="AA33" s="11">
        <v>43.296648877844632</v>
      </c>
      <c r="AB33" s="94">
        <v>-7.3473712231151156</v>
      </c>
      <c r="AC33" s="94">
        <v>21.104445332065058</v>
      </c>
      <c r="AD33" s="94">
        <f t="shared" si="10"/>
        <v>13.757074108949944</v>
      </c>
      <c r="AE33" s="94"/>
      <c r="AF33" s="40">
        <f t="shared" si="11"/>
        <v>4.0754800931313673</v>
      </c>
      <c r="AG33" s="94">
        <v>10.106732188154798</v>
      </c>
      <c r="AH33" s="94">
        <v>-4.7657768055697005</v>
      </c>
      <c r="AI33" s="94">
        <v>4.9626340231866539</v>
      </c>
      <c r="AJ33" s="94">
        <f t="shared" si="12"/>
        <v>0.19685721761695341</v>
      </c>
      <c r="AL33" s="40">
        <f t="shared" si="13"/>
        <v>4.032928627335286</v>
      </c>
      <c r="AM33" s="94">
        <v>24.904995907126381</v>
      </c>
      <c r="AN33" s="94">
        <v>-2.8493267756162344</v>
      </c>
      <c r="AO33" s="94">
        <v>12.077372396997415</v>
      </c>
      <c r="AP33" s="94">
        <f t="shared" si="14"/>
        <v>9.228045621381181</v>
      </c>
      <c r="AQ33" s="107"/>
      <c r="AR33" s="40">
        <f t="shared" si="15"/>
        <v>4.0724091362593917</v>
      </c>
      <c r="AS33" s="94">
        <v>8.2849207825634537</v>
      </c>
      <c r="AT33" s="94">
        <v>0.26773235807081874</v>
      </c>
      <c r="AU33" s="94">
        <v>4.0644389118809876</v>
      </c>
      <c r="AV33" s="94">
        <f t="shared" si="16"/>
        <v>4.3321712699518065</v>
      </c>
      <c r="AW33" s="91">
        <f t="shared" si="17"/>
        <v>0</v>
      </c>
      <c r="AX33" s="40">
        <f t="shared" si="18"/>
        <v>2.5547598396461035</v>
      </c>
      <c r="AY33" s="11">
        <v>78.997845710276223</v>
      </c>
      <c r="AZ33" s="94">
        <v>9.7021663700437788</v>
      </c>
      <c r="BA33" s="94">
        <v>22.667623064076533</v>
      </c>
      <c r="BB33" s="94">
        <f t="shared" si="19"/>
        <v>32.369789434120314</v>
      </c>
      <c r="BC33" s="94"/>
      <c r="BD33" s="40">
        <f t="shared" si="20"/>
        <v>2.5174195387168252</v>
      </c>
      <c r="BE33" s="94">
        <v>26.37395315468379</v>
      </c>
      <c r="BF33" s="94">
        <v>1.6686028083983007</v>
      </c>
      <c r="BG33" s="94">
        <v>7.4443560709851919</v>
      </c>
      <c r="BH33" s="94">
        <f t="shared" si="21"/>
        <v>9.112958879383493</v>
      </c>
      <c r="BJ33" s="40">
        <f t="shared" si="22"/>
        <v>2.5486671581746334</v>
      </c>
      <c r="BK33" s="94">
        <v>42.663657472306795</v>
      </c>
      <c r="BL33" s="94">
        <v>6.2773062085895344</v>
      </c>
      <c r="BM33" s="94">
        <v>12.209289576322305</v>
      </c>
      <c r="BN33" s="94">
        <f t="shared" si="23"/>
        <v>18.486595784911842</v>
      </c>
      <c r="BO33" s="107"/>
      <c r="BP33" s="40">
        <f t="shared" si="24"/>
        <v>2.6788844840362147</v>
      </c>
      <c r="BQ33" s="94">
        <v>9.9602350832856388</v>
      </c>
      <c r="BR33" s="94">
        <v>1.7562573530559429</v>
      </c>
      <c r="BS33" s="94">
        <v>3.0139774167690323</v>
      </c>
      <c r="BT33" s="94">
        <f t="shared" si="25"/>
        <v>4.7702347698249756</v>
      </c>
      <c r="BU33" s="91">
        <f t="shared" si="26"/>
        <v>0</v>
      </c>
      <c r="BV33" s="40">
        <f t="shared" si="27"/>
        <v>2.6173395636761576</v>
      </c>
      <c r="BW33" s="11">
        <v>3.1913404184740064</v>
      </c>
      <c r="BX33" s="94">
        <v>1.1226335486044625</v>
      </c>
      <c r="BY33" s="94">
        <v>0.94085301244670572</v>
      </c>
      <c r="BZ33" s="94">
        <f t="shared" si="28"/>
        <v>2.0634865610511683</v>
      </c>
      <c r="CA33" s="94"/>
      <c r="CB33" s="40">
        <f t="shared" si="29"/>
        <v>2.5929383707474774</v>
      </c>
      <c r="CC33" s="94">
        <v>1.3470262007787908</v>
      </c>
      <c r="CD33" s="94">
        <v>-0.26599294418410591</v>
      </c>
      <c r="CE33" s="94">
        <v>0.39297973448013812</v>
      </c>
      <c r="CF33" s="94">
        <f t="shared" si="30"/>
        <v>0.12698679029603221</v>
      </c>
      <c r="CH33" s="40">
        <f t="shared" si="31"/>
        <v>2.6512654768499289</v>
      </c>
      <c r="CI33" s="94">
        <v>1.6842985207880887</v>
      </c>
      <c r="CJ33" s="94">
        <v>1.2839192112138034</v>
      </c>
      <c r="CK33" s="94">
        <v>0.50377617701394806</v>
      </c>
      <c r="CL33" s="94">
        <f t="shared" si="32"/>
        <v>1.7876953882277515</v>
      </c>
      <c r="CM33" s="107"/>
      <c r="CN33" s="40">
        <f t="shared" si="33"/>
        <v>2.4638723480357561</v>
      </c>
      <c r="CO33" s="94">
        <v>0.16001569690712689</v>
      </c>
      <c r="CP33" s="94">
        <v>0.10470728157476483</v>
      </c>
      <c r="CQ33" s="94">
        <v>4.4097100952619553E-2</v>
      </c>
      <c r="CR33" s="94">
        <f t="shared" si="34"/>
        <v>0.14880438252738437</v>
      </c>
      <c r="CS33" s="91">
        <f t="shared" si="35"/>
        <v>0</v>
      </c>
      <c r="CT33" s="40">
        <f t="shared" si="36"/>
        <v>2.939646040038868</v>
      </c>
      <c r="CU33" s="11">
        <v>29.485164993404876</v>
      </c>
      <c r="CV33" s="94">
        <v>-0.17442869553303728</v>
      </c>
      <c r="CW33" s="94">
        <v>9.9088520274292744</v>
      </c>
      <c r="CX33" s="94">
        <f t="shared" si="37"/>
        <v>9.7344233318962363</v>
      </c>
      <c r="CY33" s="94"/>
      <c r="CZ33" s="40">
        <f t="shared" si="38"/>
        <v>2.9037153176336705</v>
      </c>
      <c r="DA33" s="94">
        <v>13.13007902657089</v>
      </c>
      <c r="DB33" s="94">
        <v>-1.8441660170364109</v>
      </c>
      <c r="DC33" s="94">
        <v>4.3513886531137187</v>
      </c>
      <c r="DD33" s="94">
        <f t="shared" si="39"/>
        <v>2.5072226360773078</v>
      </c>
      <c r="DF33" s="40">
        <f t="shared" si="40"/>
        <v>2.9399957923162523</v>
      </c>
      <c r="DG33" s="94">
        <v>13.498961495625606</v>
      </c>
      <c r="DH33" s="94">
        <v>0.92461388077596329</v>
      </c>
      <c r="DI33" s="94">
        <v>4.5371046838226157</v>
      </c>
      <c r="DJ33" s="94">
        <f t="shared" si="41"/>
        <v>5.4617185645985789</v>
      </c>
      <c r="DK33" s="107"/>
      <c r="DL33" s="40">
        <f t="shared" si="42"/>
        <v>3.1017595685842725</v>
      </c>
      <c r="DM33" s="94">
        <v>2.856124471208378</v>
      </c>
      <c r="DN33" s="94">
        <v>0.74512344072741044</v>
      </c>
      <c r="DO33" s="94">
        <v>1.0203586904929389</v>
      </c>
      <c r="DP33" s="94">
        <f t="shared" si="43"/>
        <v>1.7654821312203492</v>
      </c>
    </row>
    <row r="34" spans="1:120" x14ac:dyDescent="0.2">
      <c r="A34" s="91">
        <f>name!B30</f>
        <v>0</v>
      </c>
      <c r="B34" s="40">
        <f t="shared" si="1"/>
        <v>2.9160956930703641</v>
      </c>
      <c r="C34" s="11">
        <v>23.473999999999943</v>
      </c>
      <c r="D34" s="94">
        <v>1.4800000000000508</v>
      </c>
      <c r="E34" s="94">
        <v>7.8170489049169243</v>
      </c>
      <c r="F34" s="94">
        <f t="shared" si="2"/>
        <v>9.2970489049169753</v>
      </c>
      <c r="G34" s="94"/>
      <c r="H34" s="40">
        <f t="shared" si="3"/>
        <v>2.8413998152179376</v>
      </c>
      <c r="I34" s="94">
        <v>1.0959429864268337</v>
      </c>
      <c r="J34" s="94">
        <v>-0.1037259015403591</v>
      </c>
      <c r="K34" s="94">
        <v>0.35439010241011099</v>
      </c>
      <c r="L34" s="94">
        <f t="shared" si="4"/>
        <v>0.25066420086975189</v>
      </c>
      <c r="N34" s="40">
        <f t="shared" si="5"/>
        <v>2.7368083593868553</v>
      </c>
      <c r="O34" s="94">
        <v>5.7095877901633001</v>
      </c>
      <c r="P34" s="94">
        <v>-0.37327834266091714</v>
      </c>
      <c r="Q34" s="94">
        <v>1.7697896880944277</v>
      </c>
      <c r="R34" s="94">
        <f t="shared" si="6"/>
        <v>1.3965113454335105</v>
      </c>
      <c r="S34" s="107"/>
      <c r="T34" s="40">
        <f t="shared" si="7"/>
        <v>2.9817357423914226</v>
      </c>
      <c r="U34" s="94">
        <v>16.668469223409804</v>
      </c>
      <c r="V34" s="94">
        <v>1.9570042442013271</v>
      </c>
      <c r="W34" s="94">
        <v>5.6928691144123853</v>
      </c>
      <c r="X34" s="94">
        <f t="shared" si="8"/>
        <v>7.6498733586137124</v>
      </c>
      <c r="Y34" s="91">
        <f t="shared" si="0"/>
        <v>0</v>
      </c>
      <c r="Z34" s="40">
        <f t="shared" si="9"/>
        <v>2.9622047611067126</v>
      </c>
      <c r="AA34" s="11">
        <v>19.751750114413298</v>
      </c>
      <c r="AB34" s="94">
        <v>1.9847428369989049</v>
      </c>
      <c r="AC34" s="94">
        <v>6.6957068627363743</v>
      </c>
      <c r="AD34" s="94">
        <f t="shared" si="10"/>
        <v>8.6804496997352789</v>
      </c>
      <c r="AE34" s="94"/>
      <c r="AF34" s="40">
        <f t="shared" si="11"/>
        <v>2.8503434562277441</v>
      </c>
      <c r="AG34" s="94">
        <v>0.53141404120681335</v>
      </c>
      <c r="AH34" s="94">
        <v>5.7773207866578854E-3</v>
      </c>
      <c r="AI34" s="94">
        <v>0.17245277094298822</v>
      </c>
      <c r="AJ34" s="94">
        <f t="shared" si="12"/>
        <v>0.1782300917296461</v>
      </c>
      <c r="AL34" s="40">
        <f t="shared" si="13"/>
        <v>2.8052118952712313</v>
      </c>
      <c r="AM34" s="94">
        <v>3.8176590294715562</v>
      </c>
      <c r="AN34" s="94">
        <v>-9.3651610208796005E-2</v>
      </c>
      <c r="AO34" s="94">
        <v>1.2167495955135688</v>
      </c>
      <c r="AP34" s="94">
        <f t="shared" si="14"/>
        <v>1.1230979853047727</v>
      </c>
      <c r="AQ34" s="107"/>
      <c r="AR34" s="40">
        <f t="shared" si="15"/>
        <v>3.0046124829515852</v>
      </c>
      <c r="AS34" s="94">
        <v>15.402677043734929</v>
      </c>
      <c r="AT34" s="94">
        <v>2.0726171264210431</v>
      </c>
      <c r="AU34" s="94">
        <v>5.3065044962798176</v>
      </c>
      <c r="AV34" s="94">
        <f t="shared" si="16"/>
        <v>7.3791216227008611</v>
      </c>
      <c r="AW34" s="91">
        <f t="shared" si="17"/>
        <v>0</v>
      </c>
      <c r="AX34" s="40">
        <f t="shared" si="18"/>
        <v>2.6373612310459427</v>
      </c>
      <c r="AY34" s="11">
        <v>2.374731535280187</v>
      </c>
      <c r="AZ34" s="94">
        <v>-0.52610301968475415</v>
      </c>
      <c r="BA34" s="94">
        <v>0.70610956275344761</v>
      </c>
      <c r="BB34" s="94">
        <f t="shared" si="19"/>
        <v>0.18000654306869346</v>
      </c>
      <c r="BC34" s="94"/>
      <c r="BD34" s="40">
        <f t="shared" si="20"/>
        <v>2.6142974667533903</v>
      </c>
      <c r="BE34" s="94">
        <v>0.19374258077031151</v>
      </c>
      <c r="BF34" s="94">
        <v>-6.9067346278153099E-2</v>
      </c>
      <c r="BG34" s="94">
        <v>5.7043738869553398E-2</v>
      </c>
      <c r="BH34" s="94">
        <f t="shared" si="21"/>
        <v>-1.2023607408599701E-2</v>
      </c>
      <c r="BJ34" s="40">
        <f t="shared" si="22"/>
        <v>2.5779959595980673</v>
      </c>
      <c r="BK34" s="94">
        <v>1.3032102618231316</v>
      </c>
      <c r="BL34" s="94">
        <v>-0.29057782168208351</v>
      </c>
      <c r="BM34" s="94">
        <v>0.37774669225068269</v>
      </c>
      <c r="BN34" s="94">
        <f t="shared" si="23"/>
        <v>8.7168870568599177E-2</v>
      </c>
      <c r="BO34" s="107"/>
      <c r="BP34" s="40">
        <f t="shared" si="24"/>
        <v>2.7299783965388569</v>
      </c>
      <c r="BQ34" s="94">
        <v>0.87777869268674391</v>
      </c>
      <c r="BR34" s="94">
        <v>-0.16645785172451752</v>
      </c>
      <c r="BS34" s="94">
        <v>0.27131913163321136</v>
      </c>
      <c r="BT34" s="94">
        <f t="shared" si="25"/>
        <v>0.10486127990869384</v>
      </c>
      <c r="BU34" s="91">
        <f t="shared" si="26"/>
        <v>0</v>
      </c>
      <c r="BV34" s="40">
        <f t="shared" si="27"/>
        <v>2.6468617353205159</v>
      </c>
      <c r="BW34" s="11">
        <v>1.0085113638560528</v>
      </c>
      <c r="BX34" s="94">
        <v>-2.6892226884003306E-2</v>
      </c>
      <c r="BY34" s="94">
        <v>0.30108528970707676</v>
      </c>
      <c r="BZ34" s="94">
        <f t="shared" si="28"/>
        <v>0.27419306282307343</v>
      </c>
      <c r="CA34" s="94"/>
      <c r="CB34" s="40">
        <f t="shared" si="29"/>
        <v>2.9715317472071456</v>
      </c>
      <c r="CC34" s="94">
        <v>0.11005468485323042</v>
      </c>
      <c r="CD34" s="94">
        <v>-1.7792453645316623E-2</v>
      </c>
      <c r="CE34" s="94">
        <v>3.7441322944962968E-2</v>
      </c>
      <c r="CF34" s="94">
        <f t="shared" si="30"/>
        <v>1.9648869299646345E-2</v>
      </c>
      <c r="CH34" s="40">
        <f t="shared" si="31"/>
        <v>2.6078916675794428</v>
      </c>
      <c r="CI34" s="94">
        <v>0.53681981591731076</v>
      </c>
      <c r="CJ34" s="94">
        <v>-2.205025681449153E-2</v>
      </c>
      <c r="CK34" s="94">
        <v>0.1576225040625937</v>
      </c>
      <c r="CL34" s="94">
        <f t="shared" si="32"/>
        <v>0.13557224724810218</v>
      </c>
      <c r="CM34" s="107"/>
      <c r="CN34" s="40">
        <f t="shared" si="33"/>
        <v>2.604308479860018</v>
      </c>
      <c r="CO34" s="94">
        <v>0.36163686308551168</v>
      </c>
      <c r="CP34" s="94">
        <v>1.2950483575804845E-2</v>
      </c>
      <c r="CQ34" s="94">
        <v>0.10602146269952011</v>
      </c>
      <c r="CR34" s="94">
        <f t="shared" si="34"/>
        <v>0.11897194627532495</v>
      </c>
      <c r="CS34" s="91">
        <f t="shared" si="35"/>
        <v>0</v>
      </c>
      <c r="CT34" s="40">
        <f t="shared" si="36"/>
        <v>2.9446387229132842</v>
      </c>
      <c r="CU34" s="11">
        <v>0.33900698645039778</v>
      </c>
      <c r="CV34" s="94">
        <v>4.8252409569903426E-2</v>
      </c>
      <c r="CW34" s="94">
        <v>0.11414718972002513</v>
      </c>
      <c r="CX34" s="94">
        <f t="shared" si="37"/>
        <v>0.16239959928992856</v>
      </c>
      <c r="CY34" s="94"/>
      <c r="CZ34" s="40">
        <f t="shared" si="38"/>
        <v>2.9346268426516664</v>
      </c>
      <c r="DA34" s="94">
        <v>0.26073167959647875</v>
      </c>
      <c r="DB34" s="94">
        <v>-2.2643422403547261E-2</v>
      </c>
      <c r="DC34" s="94">
        <v>8.7452269652606385E-2</v>
      </c>
      <c r="DD34" s="94">
        <f t="shared" si="39"/>
        <v>6.4808847249059123E-2</v>
      </c>
      <c r="DF34" s="40">
        <f t="shared" si="40"/>
        <v>2.9736967059325492</v>
      </c>
      <c r="DG34" s="94">
        <v>5.1898682951301692E-2</v>
      </c>
      <c r="DH34" s="94">
        <v>3.3001346044453983E-2</v>
      </c>
      <c r="DI34" s="94">
        <v>1.7670896267582607E-2</v>
      </c>
      <c r="DJ34" s="94">
        <f t="shared" si="41"/>
        <v>5.067224231203659E-2</v>
      </c>
      <c r="DK34" s="107"/>
      <c r="DL34" s="40">
        <f t="shared" si="42"/>
        <v>2.986239445321015</v>
      </c>
      <c r="DM34" s="94">
        <v>2.637662390261741E-2</v>
      </c>
      <c r="DN34" s="94">
        <v>3.7894485928996711E-2</v>
      </c>
      <c r="DO34" s="94">
        <v>9.0240237998361478E-3</v>
      </c>
      <c r="DP34" s="94">
        <f t="shared" si="43"/>
        <v>4.6918509728832859E-2</v>
      </c>
    </row>
    <row r="35" spans="1:120" x14ac:dyDescent="0.2">
      <c r="A35" s="91">
        <f>name!B31</f>
        <v>0</v>
      </c>
      <c r="B35" s="40">
        <f t="shared" si="1"/>
        <v>2.8621080323697479</v>
      </c>
      <c r="C35" s="11">
        <v>28.894999999999936</v>
      </c>
      <c r="D35" s="94">
        <v>1.6460000000000381</v>
      </c>
      <c r="E35" s="94">
        <v>9.420712233917067</v>
      </c>
      <c r="F35" s="94">
        <f t="shared" si="2"/>
        <v>11.066712233917105</v>
      </c>
      <c r="G35" s="94"/>
      <c r="H35" s="40">
        <f t="shared" si="3"/>
        <v>2.6633825373017173</v>
      </c>
      <c r="I35" s="94">
        <v>1.9794220652335754</v>
      </c>
      <c r="J35" s="94">
        <v>-0.35248216003289656</v>
      </c>
      <c r="K35" s="94">
        <v>0.59508506788336712</v>
      </c>
      <c r="L35" s="94">
        <f t="shared" si="4"/>
        <v>0.24260290785047056</v>
      </c>
      <c r="N35" s="40">
        <f t="shared" si="5"/>
        <v>2.6696771260062091</v>
      </c>
      <c r="O35" s="94">
        <v>10.289648262531291</v>
      </c>
      <c r="P35" s="94">
        <v>0.71798490602012099</v>
      </c>
      <c r="Q35" s="94">
        <v>3.1016441026996522</v>
      </c>
      <c r="R35" s="94">
        <f t="shared" si="6"/>
        <v>3.8196290087197733</v>
      </c>
      <c r="S35" s="107"/>
      <c r="T35" s="40">
        <f t="shared" si="7"/>
        <v>3.0027901952621061</v>
      </c>
      <c r="U35" s="94">
        <v>16.625929672235067</v>
      </c>
      <c r="V35" s="94">
        <v>1.2804972540128137</v>
      </c>
      <c r="W35" s="94">
        <v>5.7239830633340478</v>
      </c>
      <c r="X35" s="94">
        <f t="shared" si="8"/>
        <v>7.0044803173468617</v>
      </c>
      <c r="Y35" s="91">
        <f t="shared" si="0"/>
        <v>0</v>
      </c>
      <c r="Z35" s="40">
        <f t="shared" si="9"/>
        <v>3.0215443790052143</v>
      </c>
      <c r="AA35" s="11">
        <v>17.580481963655998</v>
      </c>
      <c r="AB35" s="94">
        <v>2.8098087008328023</v>
      </c>
      <c r="AC35" s="94">
        <v>6.095681909765899</v>
      </c>
      <c r="AD35" s="94">
        <f t="shared" si="10"/>
        <v>8.9054906105987008</v>
      </c>
      <c r="AE35" s="94"/>
      <c r="AF35" s="40">
        <f t="shared" si="11"/>
        <v>2.9707695648767851</v>
      </c>
      <c r="AG35" s="94">
        <v>0.5967101275394916</v>
      </c>
      <c r="AH35" s="94">
        <v>0.21095192443473093</v>
      </c>
      <c r="AI35" s="94">
        <v>0.20294549270816775</v>
      </c>
      <c r="AJ35" s="94">
        <f t="shared" si="12"/>
        <v>0.41389741714289868</v>
      </c>
      <c r="AL35" s="40">
        <f t="shared" si="13"/>
        <v>2.828445336027241</v>
      </c>
      <c r="AM35" s="94">
        <v>4.2778021615675197</v>
      </c>
      <c r="AN35" s="94">
        <v>1.1605153808737563</v>
      </c>
      <c r="AO35" s="94">
        <v>1.3761664496642632</v>
      </c>
      <c r="AP35" s="94">
        <f t="shared" si="14"/>
        <v>2.5366818305380194</v>
      </c>
      <c r="AQ35" s="107"/>
      <c r="AR35" s="40">
        <f t="shared" si="15"/>
        <v>3.0881955582803711</v>
      </c>
      <c r="AS35" s="94">
        <v>12.705969674548985</v>
      </c>
      <c r="AT35" s="94">
        <v>1.4383413955243152</v>
      </c>
      <c r="AU35" s="94">
        <v>4.5165699673934689</v>
      </c>
      <c r="AV35" s="94">
        <f t="shared" si="16"/>
        <v>5.9549113629177839</v>
      </c>
      <c r="AW35" s="91">
        <f t="shared" si="17"/>
        <v>0</v>
      </c>
      <c r="AX35" s="40">
        <f t="shared" si="18"/>
        <v>2.6020134806948869</v>
      </c>
      <c r="AY35" s="11">
        <v>7.0600510279774715</v>
      </c>
      <c r="AZ35" s="94">
        <v>-0.82070299664328927</v>
      </c>
      <c r="BA35" s="94">
        <v>2.067760735617695</v>
      </c>
      <c r="BB35" s="94">
        <f t="shared" si="19"/>
        <v>1.2470577389744057</v>
      </c>
      <c r="BC35" s="94"/>
      <c r="BD35" s="40">
        <f t="shared" si="20"/>
        <v>2.5053318006841074</v>
      </c>
      <c r="BE35" s="94">
        <v>0.58242692656334427</v>
      </c>
      <c r="BF35" s="94">
        <v>-0.32828833435573068</v>
      </c>
      <c r="BG35" s="94">
        <v>0.16351669099146005</v>
      </c>
      <c r="BH35" s="94">
        <f t="shared" si="21"/>
        <v>-0.16477164336427064</v>
      </c>
      <c r="BJ35" s="40">
        <f t="shared" si="22"/>
        <v>2.528922957277846</v>
      </c>
      <c r="BK35" s="94">
        <v>3.4980513979754475</v>
      </c>
      <c r="BL35" s="94">
        <v>-0.21403758136916518</v>
      </c>
      <c r="BM35" s="94">
        <v>0.99240143264883662</v>
      </c>
      <c r="BN35" s="94">
        <f t="shared" si="23"/>
        <v>0.77836385127967145</v>
      </c>
      <c r="BO35" s="107"/>
      <c r="BP35" s="40">
        <f t="shared" si="24"/>
        <v>2.7058922134773455</v>
      </c>
      <c r="BQ35" s="94">
        <v>2.9795727034386803</v>
      </c>
      <c r="BR35" s="94">
        <v>-0.27837708091839342</v>
      </c>
      <c r="BS35" s="94">
        <v>0.91184261197739835</v>
      </c>
      <c r="BT35" s="94">
        <f t="shared" si="25"/>
        <v>0.63346553105900494</v>
      </c>
      <c r="BU35" s="91">
        <f t="shared" si="26"/>
        <v>0</v>
      </c>
      <c r="BV35" s="40">
        <f t="shared" si="27"/>
        <v>2.6025333799874595</v>
      </c>
      <c r="BW35" s="11">
        <v>3.9916086369088277</v>
      </c>
      <c r="BX35" s="94">
        <v>-0.36860749517507152</v>
      </c>
      <c r="BY35" s="94">
        <v>1.1693311871886336</v>
      </c>
      <c r="BZ35" s="94">
        <f t="shared" si="28"/>
        <v>0.80072369201356208</v>
      </c>
      <c r="CA35" s="94"/>
      <c r="CB35" s="40">
        <f t="shared" si="29"/>
        <v>2.5262794249925946</v>
      </c>
      <c r="CC35" s="94">
        <v>0.76479151317239202</v>
      </c>
      <c r="CD35" s="94">
        <v>-0.20773686960970486</v>
      </c>
      <c r="CE35" s="94">
        <v>0.21671918013294533</v>
      </c>
      <c r="CF35" s="94">
        <f t="shared" si="30"/>
        <v>8.9823105232404721E-3</v>
      </c>
      <c r="CH35" s="40">
        <f t="shared" si="31"/>
        <v>2.5896950806788999</v>
      </c>
      <c r="CI35" s="94">
        <v>2.4153471822787229</v>
      </c>
      <c r="CJ35" s="94">
        <v>-0.2502303844660983</v>
      </c>
      <c r="CK35" s="94">
        <v>0.70366416736616388</v>
      </c>
      <c r="CL35" s="94">
        <f t="shared" si="32"/>
        <v>0.45343378290006559</v>
      </c>
      <c r="CM35" s="107"/>
      <c r="CN35" s="40">
        <f t="shared" si="33"/>
        <v>2.7118274856430702</v>
      </c>
      <c r="CO35" s="94">
        <v>0.81146994145771245</v>
      </c>
      <c r="CP35" s="94">
        <v>8.9359758900731598E-2</v>
      </c>
      <c r="CQ35" s="94">
        <v>0.24894783968952428</v>
      </c>
      <c r="CR35" s="94">
        <f t="shared" si="34"/>
        <v>0.33830759859025589</v>
      </c>
      <c r="CS35" s="91">
        <f t="shared" si="35"/>
        <v>0</v>
      </c>
      <c r="CT35" s="40">
        <f t="shared" si="36"/>
        <v>2.9279629310322131</v>
      </c>
      <c r="CU35" s="11">
        <v>0.26285837145763702</v>
      </c>
      <c r="CV35" s="94">
        <v>2.5501790985596576E-2</v>
      </c>
      <c r="CW35" s="94">
        <v>8.7938401344838837E-2</v>
      </c>
      <c r="CX35" s="94">
        <f t="shared" si="37"/>
        <v>0.11344019233043541</v>
      </c>
      <c r="CY35" s="94"/>
      <c r="CZ35" s="40">
        <f t="shared" si="38"/>
        <v>2.9343651326463327</v>
      </c>
      <c r="DA35" s="94">
        <v>3.5493497958347456E-2</v>
      </c>
      <c r="DB35" s="94">
        <v>-2.740888050219192E-2</v>
      </c>
      <c r="DC35" s="94">
        <v>1.1903704050793999E-2</v>
      </c>
      <c r="DD35" s="94">
        <f t="shared" si="39"/>
        <v>-1.5505176451397921E-2</v>
      </c>
      <c r="DF35" s="40">
        <f t="shared" si="40"/>
        <v>2.6485565988142667</v>
      </c>
      <c r="DG35" s="94">
        <v>9.8447520709600847E-2</v>
      </c>
      <c r="DH35" s="94">
        <v>2.1737490981628024E-2</v>
      </c>
      <c r="DI35" s="94">
        <v>2.941205302038874E-2</v>
      </c>
      <c r="DJ35" s="94">
        <f t="shared" si="41"/>
        <v>5.1149544002016767E-2</v>
      </c>
      <c r="DK35" s="107"/>
      <c r="DL35" s="40">
        <f t="shared" si="42"/>
        <v>3.1350944801386671</v>
      </c>
      <c r="DM35" s="94">
        <v>0.12891735278968872</v>
      </c>
      <c r="DN35" s="94">
        <v>3.1173180506160469E-2</v>
      </c>
      <c r="DO35" s="94">
        <v>4.6622644273656109E-2</v>
      </c>
      <c r="DP35" s="94">
        <f t="shared" si="43"/>
        <v>7.7795824779816586E-2</v>
      </c>
    </row>
    <row r="36" spans="1:120" x14ac:dyDescent="0.2">
      <c r="A36" s="91">
        <f>name!B32</f>
        <v>0</v>
      </c>
      <c r="B36" s="40">
        <f t="shared" si="1"/>
        <v>2.9945367077332863</v>
      </c>
      <c r="C36" s="11">
        <v>56.486999999999881</v>
      </c>
      <c r="D36" s="94">
        <v>9.4270000000000458</v>
      </c>
      <c r="E36" s="94">
        <v>19.386548178062384</v>
      </c>
      <c r="F36" s="94">
        <f t="shared" si="2"/>
        <v>28.81354817806243</v>
      </c>
      <c r="G36" s="94"/>
      <c r="H36" s="40">
        <f t="shared" si="3"/>
        <v>2.6683655064911882</v>
      </c>
      <c r="I36" s="94">
        <v>3.0739661220094856</v>
      </c>
      <c r="J36" s="94">
        <v>1.6985913874363638</v>
      </c>
      <c r="K36" s="94">
        <v>0.92608514366015537</v>
      </c>
      <c r="L36" s="94">
        <f t="shared" si="4"/>
        <v>2.6246765310965192</v>
      </c>
      <c r="N36" s="40">
        <f t="shared" si="5"/>
        <v>2.7983270973520824</v>
      </c>
      <c r="O36" s="94">
        <v>10.80483185043264</v>
      </c>
      <c r="P36" s="94">
        <v>0.32429358730751345</v>
      </c>
      <c r="Q36" s="94">
        <v>3.4341351738504251</v>
      </c>
      <c r="R36" s="94">
        <f t="shared" si="6"/>
        <v>3.7584287611579388</v>
      </c>
      <c r="S36" s="107"/>
      <c r="T36" s="40">
        <f t="shared" si="7"/>
        <v>3.0668385216106264</v>
      </c>
      <c r="U36" s="94">
        <v>42.608202027557752</v>
      </c>
      <c r="V36" s="94">
        <v>7.4041150252561669</v>
      </c>
      <c r="W36" s="94">
        <v>15.026327860551801</v>
      </c>
      <c r="X36" s="94">
        <f t="shared" si="8"/>
        <v>22.430442885807967</v>
      </c>
      <c r="Y36" s="91">
        <f t="shared" si="0"/>
        <v>0</v>
      </c>
      <c r="Z36" s="40">
        <f t="shared" si="9"/>
        <v>3.0309771831799281</v>
      </c>
      <c r="AA36" s="11">
        <v>51.021735996170101</v>
      </c>
      <c r="AB36" s="94">
        <v>9.5647099325395999</v>
      </c>
      <c r="AC36" s="94">
        <v>17.753710691282151</v>
      </c>
      <c r="AD36" s="94">
        <f t="shared" si="10"/>
        <v>27.318420623821751</v>
      </c>
      <c r="AE36" s="94"/>
      <c r="AF36" s="40">
        <f t="shared" si="11"/>
        <v>2.7156970530987756</v>
      </c>
      <c r="AG36" s="94">
        <v>1.8966772091595998</v>
      </c>
      <c r="AH36" s="94">
        <v>1.1084660999032749</v>
      </c>
      <c r="AI36" s="94">
        <v>0.58280846211724435</v>
      </c>
      <c r="AJ36" s="94">
        <f t="shared" si="12"/>
        <v>1.6912745620205194</v>
      </c>
      <c r="AL36" s="40">
        <f t="shared" si="13"/>
        <v>2.8544377950161515</v>
      </c>
      <c r="AM36" s="94">
        <v>8.7151787782400429</v>
      </c>
      <c r="AN36" s="94">
        <v>0.37231764916359472</v>
      </c>
      <c r="AO36" s="94">
        <v>2.8328178136294691</v>
      </c>
      <c r="AP36" s="94">
        <f t="shared" si="14"/>
        <v>3.2051354627930637</v>
      </c>
      <c r="AQ36" s="107"/>
      <c r="AR36" s="40">
        <f t="shared" si="15"/>
        <v>3.0832355344662776</v>
      </c>
      <c r="AS36" s="94">
        <v>40.409880008770457</v>
      </c>
      <c r="AT36" s="94">
        <v>8.0839261834727303</v>
      </c>
      <c r="AU36" s="94">
        <v>14.338084415535439</v>
      </c>
      <c r="AV36" s="94">
        <f t="shared" si="16"/>
        <v>22.422010599008168</v>
      </c>
      <c r="AW36" s="91">
        <f t="shared" si="17"/>
        <v>0</v>
      </c>
      <c r="AX36" s="40">
        <f t="shared" si="18"/>
        <v>2.6442828612915692</v>
      </c>
      <c r="AY36" s="11">
        <v>4.1117223502687619</v>
      </c>
      <c r="AZ36" s="94">
        <v>-1.2602457015033561</v>
      </c>
      <c r="BA36" s="94">
        <v>1.2261898817352725</v>
      </c>
      <c r="BB36" s="94">
        <f t="shared" si="19"/>
        <v>-3.4055819768083584E-2</v>
      </c>
      <c r="BC36" s="94"/>
      <c r="BD36" s="40">
        <f t="shared" si="20"/>
        <v>2.5250973136344612</v>
      </c>
      <c r="BE36" s="94">
        <v>0.59212142104784216</v>
      </c>
      <c r="BF36" s="94">
        <v>5.5003227893673415E-2</v>
      </c>
      <c r="BG36" s="94">
        <v>0.1677019969682341</v>
      </c>
      <c r="BH36" s="94">
        <f t="shared" si="21"/>
        <v>0.22270522486190752</v>
      </c>
      <c r="BJ36" s="40">
        <f t="shared" si="22"/>
        <v>2.5953522288273634</v>
      </c>
      <c r="BK36" s="94">
        <v>1.6781048923637909</v>
      </c>
      <c r="BL36" s="94">
        <v>-0.50299398657548378</v>
      </c>
      <c r="BM36" s="94">
        <v>0.49007829174845352</v>
      </c>
      <c r="BN36" s="94">
        <f t="shared" si="23"/>
        <v>-1.2915694827030255E-2</v>
      </c>
      <c r="BO36" s="107"/>
      <c r="BP36" s="40">
        <f t="shared" si="24"/>
        <v>2.7266024857339533</v>
      </c>
      <c r="BQ36" s="94">
        <v>1.8414960368571291</v>
      </c>
      <c r="BR36" s="94">
        <v>-0.81225494282154564</v>
      </c>
      <c r="BS36" s="94">
        <v>0.56840959301858496</v>
      </c>
      <c r="BT36" s="94">
        <f t="shared" si="25"/>
        <v>-0.24384534980296069</v>
      </c>
      <c r="BU36" s="91">
        <f t="shared" si="26"/>
        <v>0</v>
      </c>
      <c r="BV36" s="40">
        <f t="shared" si="27"/>
        <v>2.6699286086445007</v>
      </c>
      <c r="BW36" s="11">
        <v>0.94096087042845011</v>
      </c>
      <c r="BX36" s="94">
        <v>1.0673588590067584</v>
      </c>
      <c r="BY36" s="94">
        <v>0.28366707092484866</v>
      </c>
      <c r="BZ36" s="94">
        <f t="shared" si="28"/>
        <v>1.3510259299316072</v>
      </c>
      <c r="CA36" s="94"/>
      <c r="CB36" s="40">
        <f t="shared" si="29"/>
        <v>2.4755931087015126</v>
      </c>
      <c r="CC36" s="94">
        <v>0.24637925552867021</v>
      </c>
      <c r="CD36" s="94">
        <v>0.45294770729803285</v>
      </c>
      <c r="CE36" s="94">
        <v>6.8256840443345096E-2</v>
      </c>
      <c r="CF36" s="94">
        <f t="shared" si="30"/>
        <v>0.52120454774137792</v>
      </c>
      <c r="CH36" s="40">
        <f t="shared" si="31"/>
        <v>2.5317857369329788</v>
      </c>
      <c r="CI36" s="94">
        <v>0.34250238229029917</v>
      </c>
      <c r="CJ36" s="94">
        <v>0.47722061778305425</v>
      </c>
      <c r="CK36" s="94">
        <v>9.7291120958866453E-2</v>
      </c>
      <c r="CL36" s="94">
        <f t="shared" si="32"/>
        <v>0.57451173874192074</v>
      </c>
      <c r="CM36" s="107"/>
      <c r="CN36" s="40">
        <f t="shared" si="33"/>
        <v>2.9352369214464158</v>
      </c>
      <c r="CO36" s="94">
        <v>0.35207923260948076</v>
      </c>
      <c r="CP36" s="94">
        <v>0.13719053392567115</v>
      </c>
      <c r="CQ36" s="94">
        <v>0.1181191095226371</v>
      </c>
      <c r="CR36" s="94">
        <f t="shared" si="34"/>
        <v>0.25530964344830825</v>
      </c>
      <c r="CS36" s="91">
        <f t="shared" si="35"/>
        <v>0</v>
      </c>
      <c r="CT36" s="40">
        <f t="shared" si="36"/>
        <v>2.6431615692057875</v>
      </c>
      <c r="CU36" s="11">
        <v>0.41258078313257079</v>
      </c>
      <c r="CV36" s="94">
        <v>5.5176909957042726E-2</v>
      </c>
      <c r="CW36" s="94">
        <v>0.12298053412010829</v>
      </c>
      <c r="CX36" s="94">
        <f t="shared" si="37"/>
        <v>0.17815744407715101</v>
      </c>
      <c r="CY36" s="94"/>
      <c r="CZ36" s="40">
        <f t="shared" si="38"/>
        <v>2.7900274591234453</v>
      </c>
      <c r="DA36" s="94">
        <v>0.33878823627337318</v>
      </c>
      <c r="DB36" s="94">
        <v>8.2174352341382664E-2</v>
      </c>
      <c r="DC36" s="94">
        <v>0.10731784413133177</v>
      </c>
      <c r="DD36" s="94">
        <f t="shared" si="39"/>
        <v>0.18949219647271442</v>
      </c>
      <c r="DF36" s="40">
        <f t="shared" si="40"/>
        <v>1.8569836908540527</v>
      </c>
      <c r="DG36" s="94">
        <v>6.9045797538509451E-2</v>
      </c>
      <c r="DH36" s="94">
        <v>-2.2250693063651759E-2</v>
      </c>
      <c r="DI36" s="94">
        <v>1.3947947513635921E-2</v>
      </c>
      <c r="DJ36" s="94">
        <f t="shared" si="41"/>
        <v>-8.3027455500158387E-3</v>
      </c>
      <c r="DK36" s="107"/>
      <c r="DL36" s="40">
        <f t="shared" si="42"/>
        <v>3.1320498905442085</v>
      </c>
      <c r="DM36" s="94">
        <v>4.7467493206881754E-3</v>
      </c>
      <c r="DN36" s="94">
        <v>-4.7467493206881754E-3</v>
      </c>
      <c r="DO36" s="94">
        <v>1.714742475140592E-3</v>
      </c>
      <c r="DP36" s="94">
        <f t="shared" si="43"/>
        <v>-3.0320068455475836E-3</v>
      </c>
    </row>
    <row r="37" spans="1:120" x14ac:dyDescent="0.2">
      <c r="A37" s="91">
        <f>name!B33</f>
        <v>0</v>
      </c>
      <c r="B37" s="40">
        <f t="shared" si="1"/>
        <v>3.0105219210724066</v>
      </c>
      <c r="C37" s="11">
        <v>138.06999999999971</v>
      </c>
      <c r="D37" s="94">
        <v>5.2479999999998874</v>
      </c>
      <c r="E37" s="94">
        <v>47.674174099563118</v>
      </c>
      <c r="F37" s="94">
        <f t="shared" si="2"/>
        <v>52.922174099563009</v>
      </c>
      <c r="G37" s="94"/>
      <c r="H37" s="40">
        <f t="shared" si="3"/>
        <v>2.7387217667445674</v>
      </c>
      <c r="I37" s="94">
        <v>5.0762170042485808</v>
      </c>
      <c r="J37" s="94">
        <v>-1.6886317271375544</v>
      </c>
      <c r="K37" s="94">
        <v>1.5747035569122914</v>
      </c>
      <c r="L37" s="94">
        <f t="shared" si="4"/>
        <v>-0.11392817022526303</v>
      </c>
      <c r="N37" s="40">
        <f t="shared" si="5"/>
        <v>2.8045296362573024</v>
      </c>
      <c r="O37" s="94">
        <v>28.306731283971203</v>
      </c>
      <c r="P37" s="94">
        <v>-8.2765906536960721</v>
      </c>
      <c r="Q37" s="94">
        <v>9.0193352638725663</v>
      </c>
      <c r="R37" s="94">
        <f t="shared" si="6"/>
        <v>0.74274461017649429</v>
      </c>
      <c r="S37" s="107"/>
      <c r="T37" s="40">
        <f t="shared" si="7"/>
        <v>3.078543964604763</v>
      </c>
      <c r="U37" s="94">
        <v>104.68705171177994</v>
      </c>
      <c r="V37" s="94">
        <v>15.213222380833514</v>
      </c>
      <c r="W37" s="94">
        <v>37.080135278778265</v>
      </c>
      <c r="X37" s="94">
        <f t="shared" si="8"/>
        <v>52.293357659611779</v>
      </c>
      <c r="Y37" s="91">
        <f t="shared" si="0"/>
        <v>0</v>
      </c>
      <c r="Z37" s="40">
        <f t="shared" si="9"/>
        <v>3.1854311581563932</v>
      </c>
      <c r="AA37" s="11">
        <v>84.169352157623123</v>
      </c>
      <c r="AB37" s="94">
        <v>11.293223881137797</v>
      </c>
      <c r="AC37" s="94">
        <v>31.000236702092703</v>
      </c>
      <c r="AD37" s="94">
        <f t="shared" si="10"/>
        <v>42.293460583230498</v>
      </c>
      <c r="AE37" s="94"/>
      <c r="AF37" s="40">
        <f t="shared" si="11"/>
        <v>2.8758144240809802</v>
      </c>
      <c r="AG37" s="94">
        <v>1.561209729824472</v>
      </c>
      <c r="AH37" s="94">
        <v>-0.14303116627554172</v>
      </c>
      <c r="AI37" s="94">
        <v>0.51176550062084825</v>
      </c>
      <c r="AJ37" s="94">
        <f t="shared" si="12"/>
        <v>0.36873433434530656</v>
      </c>
      <c r="AL37" s="40">
        <f t="shared" si="13"/>
        <v>3.0188955093647607</v>
      </c>
      <c r="AM37" s="94">
        <v>12.208732860551185</v>
      </c>
      <c r="AN37" s="94">
        <v>-2.5285459351532285</v>
      </c>
      <c r="AO37" s="94">
        <v>4.2289079044003817</v>
      </c>
      <c r="AP37" s="94">
        <f t="shared" si="14"/>
        <v>1.7003619692471532</v>
      </c>
      <c r="AQ37" s="107"/>
      <c r="AR37" s="40">
        <f t="shared" si="15"/>
        <v>3.2208226301510656</v>
      </c>
      <c r="AS37" s="94">
        <v>70.39940956724746</v>
      </c>
      <c r="AT37" s="94">
        <v>13.964800982566569</v>
      </c>
      <c r="AU37" s="94">
        <v>26.259563297071477</v>
      </c>
      <c r="AV37" s="94">
        <f t="shared" si="16"/>
        <v>40.224364279638046</v>
      </c>
      <c r="AW37" s="91">
        <f t="shared" si="17"/>
        <v>0</v>
      </c>
      <c r="AX37" s="40">
        <f t="shared" si="18"/>
        <v>2.7267134522667158</v>
      </c>
      <c r="AY37" s="11">
        <v>51.927409634180037</v>
      </c>
      <c r="AZ37" s="94">
        <v>-6.0856524291559531</v>
      </c>
      <c r="BA37" s="94">
        <v>16.029026927967443</v>
      </c>
      <c r="BB37" s="94">
        <f t="shared" si="19"/>
        <v>9.9433744988114903</v>
      </c>
      <c r="BC37" s="94"/>
      <c r="BD37" s="40">
        <f t="shared" si="20"/>
        <v>2.6091217857213467</v>
      </c>
      <c r="BE37" s="94">
        <v>2.7243795006504485</v>
      </c>
      <c r="BF37" s="94">
        <v>-1.1532037322243214</v>
      </c>
      <c r="BG37" s="94">
        <v>0.80036230481528592</v>
      </c>
      <c r="BH37" s="94">
        <f t="shared" si="21"/>
        <v>-0.35284142740903546</v>
      </c>
      <c r="BJ37" s="40">
        <f t="shared" si="22"/>
        <v>2.6299443244254261</v>
      </c>
      <c r="BK37" s="94">
        <v>15.359163285338358</v>
      </c>
      <c r="BL37" s="94">
        <v>-5.9558823651697637</v>
      </c>
      <c r="BM37" s="94">
        <v>4.5525435996448893</v>
      </c>
      <c r="BN37" s="94">
        <f t="shared" si="23"/>
        <v>-1.4033387655248744</v>
      </c>
      <c r="BO37" s="107"/>
      <c r="BP37" s="40">
        <f t="shared" si="24"/>
        <v>2.7797379262401334</v>
      </c>
      <c r="BQ37" s="94">
        <v>33.843866848191233</v>
      </c>
      <c r="BR37" s="94">
        <v>1.0234336682381324</v>
      </c>
      <c r="BS37" s="94">
        <v>10.676121023507269</v>
      </c>
      <c r="BT37" s="94">
        <f t="shared" si="25"/>
        <v>11.699554691745401</v>
      </c>
      <c r="BU37" s="91">
        <f t="shared" si="26"/>
        <v>0</v>
      </c>
      <c r="BV37" s="40">
        <f t="shared" si="27"/>
        <v>2.6792477491861755</v>
      </c>
      <c r="BW37" s="11">
        <v>0.56980182682378044</v>
      </c>
      <c r="BX37" s="94">
        <v>1.0313467302711063E-2</v>
      </c>
      <c r="BY37" s="94">
        <v>0.17244888032198771</v>
      </c>
      <c r="BZ37" s="94">
        <f t="shared" si="28"/>
        <v>0.18276234762469878</v>
      </c>
      <c r="CA37" s="94"/>
      <c r="CB37" s="40">
        <f t="shared" si="29"/>
        <v>2.8367883930212612</v>
      </c>
      <c r="CC37" s="94">
        <v>0.20099431010344829</v>
      </c>
      <c r="CD37" s="94">
        <v>-5.7907920738398629E-2</v>
      </c>
      <c r="CE37" s="94">
        <v>6.4875370800946713E-2</v>
      </c>
      <c r="CF37" s="94">
        <f t="shared" si="30"/>
        <v>6.9674500625480848E-3</v>
      </c>
      <c r="CH37" s="40">
        <f t="shared" si="31"/>
        <v>2.5723272891071236</v>
      </c>
      <c r="CI37" s="94">
        <v>0.24513927427280902</v>
      </c>
      <c r="CJ37" s="94">
        <v>6.3410914542454982E-2</v>
      </c>
      <c r="CK37" s="94">
        <v>7.0881032615846981E-2</v>
      </c>
      <c r="CL37" s="94">
        <f t="shared" si="32"/>
        <v>0.13429194715830195</v>
      </c>
      <c r="CM37" s="107"/>
      <c r="CN37" s="40">
        <f t="shared" si="33"/>
        <v>2.6322808837923928</v>
      </c>
      <c r="CO37" s="94">
        <v>0.12366824244752304</v>
      </c>
      <c r="CP37" s="94">
        <v>4.8104734986547104E-3</v>
      </c>
      <c r="CQ37" s="94">
        <v>3.6692476905194005E-2</v>
      </c>
      <c r="CR37" s="94">
        <f t="shared" si="34"/>
        <v>4.1502950403848715E-2</v>
      </c>
      <c r="CS37" s="91">
        <f t="shared" si="35"/>
        <v>0</v>
      </c>
      <c r="CT37" s="40">
        <f t="shared" si="36"/>
        <v>2.9441443737506567</v>
      </c>
      <c r="CU37" s="11">
        <v>1.4034363813727799</v>
      </c>
      <c r="CV37" s="94">
        <v>3.0115080715330519E-2</v>
      </c>
      <c r="CW37" s="94">
        <v>0.47246158918098952</v>
      </c>
      <c r="CX37" s="94">
        <f t="shared" si="37"/>
        <v>0.50257666989631999</v>
      </c>
      <c r="CY37" s="94"/>
      <c r="CZ37" s="40">
        <f t="shared" si="38"/>
        <v>2.9337226933785931</v>
      </c>
      <c r="DA37" s="94">
        <v>0.58963346367021108</v>
      </c>
      <c r="DB37" s="94">
        <v>-0.33448890789929281</v>
      </c>
      <c r="DC37" s="94">
        <v>0.19770038067521037</v>
      </c>
      <c r="DD37" s="94">
        <f t="shared" si="39"/>
        <v>-0.13678852722408244</v>
      </c>
      <c r="DF37" s="40">
        <f t="shared" si="40"/>
        <v>2.9566467111862726</v>
      </c>
      <c r="DG37" s="94">
        <v>0.49369586380885072</v>
      </c>
      <c r="DH37" s="94">
        <v>0.14442673208446449</v>
      </c>
      <c r="DI37" s="94">
        <v>0.16700272721144677</v>
      </c>
      <c r="DJ37" s="94">
        <f t="shared" si="41"/>
        <v>0.31142945929591126</v>
      </c>
      <c r="DK37" s="107"/>
      <c r="DL37" s="40">
        <f t="shared" si="42"/>
        <v>2.944039552625588</v>
      </c>
      <c r="DM37" s="94">
        <v>0.32010705389371841</v>
      </c>
      <c r="DN37" s="94">
        <v>0.22017725653015885</v>
      </c>
      <c r="DO37" s="94">
        <v>0.10775848129433241</v>
      </c>
      <c r="DP37" s="94">
        <f t="shared" si="43"/>
        <v>0.32793573782449126</v>
      </c>
    </row>
    <row r="38" spans="1:120" x14ac:dyDescent="0.2">
      <c r="A38" s="91">
        <f>name!B34</f>
        <v>0</v>
      </c>
      <c r="B38" s="40">
        <f t="shared" si="1"/>
        <v>2.8257154904523185</v>
      </c>
      <c r="C38" s="11">
        <v>26.81499999999993</v>
      </c>
      <c r="D38" s="94">
        <v>7.5369999999999937</v>
      </c>
      <c r="E38" s="94">
        <v>8.6169620938889029</v>
      </c>
      <c r="F38" s="94">
        <f t="shared" si="2"/>
        <v>16.153962093888897</v>
      </c>
      <c r="G38" s="94"/>
      <c r="H38" s="40">
        <f t="shared" si="3"/>
        <v>2.7595137651860391</v>
      </c>
      <c r="I38" s="94">
        <v>9.6078449399321268</v>
      </c>
      <c r="J38" s="94">
        <v>1.1945418938920125</v>
      </c>
      <c r="K38" s="94">
        <v>3.0059681556585636</v>
      </c>
      <c r="L38" s="94">
        <f t="shared" si="4"/>
        <v>4.2005100495505765</v>
      </c>
      <c r="N38" s="40">
        <f t="shared" si="5"/>
        <v>2.7341953758082793</v>
      </c>
      <c r="O38" s="94">
        <v>9.4171479489873615</v>
      </c>
      <c r="P38" s="94">
        <v>4.3258837135697759</v>
      </c>
      <c r="Q38" s="94">
        <v>2.9158776210009156</v>
      </c>
      <c r="R38" s="94">
        <f t="shared" si="6"/>
        <v>7.2417613345706915</v>
      </c>
      <c r="S38" s="107"/>
      <c r="T38" s="40">
        <f t="shared" si="7"/>
        <v>3.0157359045575483</v>
      </c>
      <c r="U38" s="94">
        <v>7.7900071110804436</v>
      </c>
      <c r="V38" s="94">
        <v>2.0165743925382058</v>
      </c>
      <c r="W38" s="94">
        <v>2.6951163172294232</v>
      </c>
      <c r="X38" s="94">
        <f t="shared" si="8"/>
        <v>4.7116907097676286</v>
      </c>
      <c r="Y38" s="91">
        <f t="shared" si="0"/>
        <v>0</v>
      </c>
      <c r="Z38" s="40">
        <f t="shared" si="9"/>
        <v>2.9620533437984875</v>
      </c>
      <c r="AA38" s="11">
        <v>14.110138053458403</v>
      </c>
      <c r="AB38" s="94">
        <v>3.9764107081502162</v>
      </c>
      <c r="AC38" s="94">
        <v>4.782961494721258</v>
      </c>
      <c r="AD38" s="94">
        <f t="shared" si="10"/>
        <v>8.7593722028714751</v>
      </c>
      <c r="AE38" s="94"/>
      <c r="AF38" s="40">
        <f t="shared" si="11"/>
        <v>3.0508290138248517</v>
      </c>
      <c r="AG38" s="94">
        <v>2.6202275395242833</v>
      </c>
      <c r="AH38" s="94">
        <v>0.73551593091479284</v>
      </c>
      <c r="AI38" s="94">
        <v>0.91855524570148372</v>
      </c>
      <c r="AJ38" s="94">
        <f t="shared" si="12"/>
        <v>1.6540711766162766</v>
      </c>
      <c r="AL38" s="40">
        <f t="shared" si="13"/>
        <v>2.7890299588156253</v>
      </c>
      <c r="AM38" s="94">
        <v>5.0463247440146821</v>
      </c>
      <c r="AN38" s="94">
        <v>1.6277822226639092</v>
      </c>
      <c r="AO38" s="94">
        <v>1.5978779135482615</v>
      </c>
      <c r="AP38" s="94">
        <f t="shared" si="14"/>
        <v>3.2256601362121708</v>
      </c>
      <c r="AQ38" s="107"/>
      <c r="AR38" s="40">
        <f t="shared" si="15"/>
        <v>3.0598777753332529</v>
      </c>
      <c r="AS38" s="94">
        <v>6.4435857699194363</v>
      </c>
      <c r="AT38" s="94">
        <v>1.6131125545715137</v>
      </c>
      <c r="AU38" s="94">
        <v>2.266528335471512</v>
      </c>
      <c r="AV38" s="94">
        <f t="shared" si="16"/>
        <v>3.8796408900430257</v>
      </c>
      <c r="AW38" s="91">
        <f t="shared" si="17"/>
        <v>0</v>
      </c>
      <c r="AX38" s="40">
        <f t="shared" si="18"/>
        <v>2.6178151526021098</v>
      </c>
      <c r="AY38" s="11">
        <v>7.6620754162084248</v>
      </c>
      <c r="AZ38" s="94">
        <v>4.1655399185813149</v>
      </c>
      <c r="BA38" s="94">
        <v>2.2593497360645594</v>
      </c>
      <c r="BB38" s="94">
        <f t="shared" si="19"/>
        <v>6.4248896546458738</v>
      </c>
      <c r="BC38" s="94"/>
      <c r="BD38" s="40">
        <f t="shared" si="20"/>
        <v>2.5608888175541633</v>
      </c>
      <c r="BE38" s="94">
        <v>3.3773615761310447</v>
      </c>
      <c r="BF38" s="94">
        <v>1.945929096670862</v>
      </c>
      <c r="BG38" s="94">
        <v>0.97169760077091438</v>
      </c>
      <c r="BH38" s="94">
        <f t="shared" si="21"/>
        <v>2.9176266974417766</v>
      </c>
      <c r="BJ38" s="40">
        <f t="shared" si="22"/>
        <v>2.6173073729337526</v>
      </c>
      <c r="BK38" s="94">
        <v>3.0704844325527145</v>
      </c>
      <c r="BL38" s="94">
        <v>1.9069257326115823</v>
      </c>
      <c r="BM38" s="94">
        <v>0.90521045953698565</v>
      </c>
      <c r="BN38" s="94">
        <f t="shared" si="23"/>
        <v>2.8121361921485679</v>
      </c>
      <c r="BO38" s="107"/>
      <c r="BP38" s="40">
        <f t="shared" si="24"/>
        <v>2.7759432511544002</v>
      </c>
      <c r="BQ38" s="94">
        <v>1.2142294075246651</v>
      </c>
      <c r="BR38" s="94">
        <v>0.31268508929887001</v>
      </c>
      <c r="BS38" s="94">
        <v>0.38244167575665899</v>
      </c>
      <c r="BT38" s="94">
        <f t="shared" si="25"/>
        <v>0.69512676505552906</v>
      </c>
      <c r="BU38" s="91">
        <f t="shared" si="26"/>
        <v>0</v>
      </c>
      <c r="BV38" s="40">
        <f t="shared" si="27"/>
        <v>2.414473236517467</v>
      </c>
      <c r="BW38" s="11">
        <v>1.7431494173157795</v>
      </c>
      <c r="BX38" s="94">
        <v>0.61248561781568023</v>
      </c>
      <c r="BY38" s="94">
        <v>0.46968017566679687</v>
      </c>
      <c r="BZ38" s="94">
        <f t="shared" si="28"/>
        <v>1.0821657934824771</v>
      </c>
      <c r="CA38" s="94"/>
      <c r="CB38" s="40">
        <f t="shared" si="29"/>
        <v>2.3405169267602499</v>
      </c>
      <c r="CC38" s="94">
        <v>1.2042700345147108</v>
      </c>
      <c r="CD38" s="94">
        <v>0.30980767932272152</v>
      </c>
      <c r="CE38" s="94">
        <v>0.31347892181305265</v>
      </c>
      <c r="CF38" s="94">
        <f t="shared" si="30"/>
        <v>0.62328660113577417</v>
      </c>
      <c r="CH38" s="40">
        <f t="shared" si="31"/>
        <v>2.5716323827520871</v>
      </c>
      <c r="CI38" s="94">
        <v>0.51030481802269645</v>
      </c>
      <c r="CJ38" s="94">
        <v>0.30519047738461286</v>
      </c>
      <c r="CK38" s="94">
        <v>0.14750801317099851</v>
      </c>
      <c r="CL38" s="94">
        <f t="shared" si="32"/>
        <v>0.4526984905556114</v>
      </c>
      <c r="CM38" s="107"/>
      <c r="CN38" s="40">
        <f t="shared" si="33"/>
        <v>2.6917180041436728</v>
      </c>
      <c r="CO38" s="94">
        <v>2.8574564778372218E-2</v>
      </c>
      <c r="CP38" s="94">
        <v>-2.5125388916541216E-3</v>
      </c>
      <c r="CQ38" s="94">
        <v>8.6932406827457485E-3</v>
      </c>
      <c r="CR38" s="94">
        <f t="shared" si="34"/>
        <v>6.1807017910916265E-3</v>
      </c>
      <c r="CS38" s="91">
        <f t="shared" si="35"/>
        <v>0</v>
      </c>
      <c r="CT38" s="40">
        <f t="shared" si="36"/>
        <v>2.930505677421591</v>
      </c>
      <c r="CU38" s="11">
        <v>3.299637113017325</v>
      </c>
      <c r="CV38" s="94">
        <v>-1.2174362445472158</v>
      </c>
      <c r="CW38" s="94">
        <v>1.1049706874362895</v>
      </c>
      <c r="CX38" s="94">
        <f t="shared" si="37"/>
        <v>-0.11246555711092632</v>
      </c>
      <c r="CY38" s="94"/>
      <c r="CZ38" s="40">
        <f t="shared" si="38"/>
        <v>2.919374445859102</v>
      </c>
      <c r="DA38" s="94">
        <v>2.4059857897620875</v>
      </c>
      <c r="DB38" s="94">
        <v>-1.7967108130163638</v>
      </c>
      <c r="DC38" s="94">
        <v>0.80223638737311287</v>
      </c>
      <c r="DD38" s="94">
        <f t="shared" si="39"/>
        <v>-0.99447442564325095</v>
      </c>
      <c r="DF38" s="40">
        <f t="shared" si="40"/>
        <v>2.937506325372885</v>
      </c>
      <c r="DG38" s="94">
        <v>0.79003395439726709</v>
      </c>
      <c r="DH38" s="94">
        <v>0.48598528090967197</v>
      </c>
      <c r="DI38" s="94">
        <v>0.26528123474467041</v>
      </c>
      <c r="DJ38" s="94">
        <f t="shared" si="41"/>
        <v>0.75126651565434233</v>
      </c>
      <c r="DK38" s="107"/>
      <c r="DL38" s="40">
        <f t="shared" si="42"/>
        <v>3.1336395897629599</v>
      </c>
      <c r="DM38" s="94">
        <v>0.10361736885797046</v>
      </c>
      <c r="DN38" s="94">
        <v>9.3289287559476172E-2</v>
      </c>
      <c r="DO38" s="94">
        <v>3.7453065318506049E-2</v>
      </c>
      <c r="DP38" s="94">
        <f t="shared" si="43"/>
        <v>0.13074235287798222</v>
      </c>
    </row>
    <row r="39" spans="1:120" x14ac:dyDescent="0.2">
      <c r="A39" s="91">
        <f>name!B35</f>
        <v>0</v>
      </c>
      <c r="B39" s="40">
        <f t="shared" si="1"/>
        <v>2.9211108203484271</v>
      </c>
      <c r="C39" s="11">
        <v>368.77606295320101</v>
      </c>
      <c r="D39" s="94">
        <v>84.761622092085645</v>
      </c>
      <c r="E39" s="94">
        <v>123.04528099391801</v>
      </c>
      <c r="F39" s="94">
        <f t="shared" si="2"/>
        <v>207.80690308600367</v>
      </c>
      <c r="G39" s="94"/>
      <c r="H39" s="40">
        <f t="shared" si="3"/>
        <v>2.7717249598931071</v>
      </c>
      <c r="I39" s="94">
        <v>32.837927119185728</v>
      </c>
      <c r="J39" s="94">
        <v>4.3237049506459986</v>
      </c>
      <c r="K39" s="94">
        <v>10.325129723137874</v>
      </c>
      <c r="L39" s="94">
        <f t="shared" si="4"/>
        <v>14.648834673783872</v>
      </c>
      <c r="N39" s="40">
        <f t="shared" si="5"/>
        <v>2.7656612940708758</v>
      </c>
      <c r="O39" s="94">
        <v>92.687769994006359</v>
      </c>
      <c r="P39" s="94">
        <v>19.710235186067983</v>
      </c>
      <c r="Q39" s="94">
        <v>29.071671128619347</v>
      </c>
      <c r="R39" s="94">
        <f t="shared" si="6"/>
        <v>48.781906314687333</v>
      </c>
      <c r="S39" s="107"/>
      <c r="T39" s="40">
        <f t="shared" si="7"/>
        <v>2.9997068221470746</v>
      </c>
      <c r="U39" s="94">
        <v>243.25036584000898</v>
      </c>
      <c r="V39" s="94">
        <v>60.727681955371672</v>
      </c>
      <c r="W39" s="94">
        <v>83.648480142160807</v>
      </c>
      <c r="X39" s="94">
        <f t="shared" si="8"/>
        <v>144.37616209753247</v>
      </c>
      <c r="Y39" s="91">
        <f t="shared" si="0"/>
        <v>0</v>
      </c>
      <c r="Z39" s="40">
        <f t="shared" si="9"/>
        <v>2.9792358460889012</v>
      </c>
      <c r="AA39" s="11">
        <v>289.04342517306725</v>
      </c>
      <c r="AB39" s="94">
        <v>66.861243610511465</v>
      </c>
      <c r="AC39" s="94">
        <v>98.624387051621596</v>
      </c>
      <c r="AD39" s="94">
        <f t="shared" si="10"/>
        <v>165.48563066213308</v>
      </c>
      <c r="AE39" s="94"/>
      <c r="AF39" s="40">
        <f t="shared" si="11"/>
        <v>2.8543057167711661</v>
      </c>
      <c r="AG39" s="94">
        <v>18.48236538854206</v>
      </c>
      <c r="AH39" s="94">
        <v>4.0960252972031945</v>
      </c>
      <c r="AI39" s="94">
        <v>6.0072701306023175</v>
      </c>
      <c r="AJ39" s="94">
        <f t="shared" si="12"/>
        <v>10.103295427805513</v>
      </c>
      <c r="AL39" s="40">
        <f t="shared" si="13"/>
        <v>2.8320236000210164</v>
      </c>
      <c r="AM39" s="94">
        <v>54.824002647872582</v>
      </c>
      <c r="AN39" s="94">
        <v>11.073850669427829</v>
      </c>
      <c r="AO39" s="94">
        <v>17.662068695155931</v>
      </c>
      <c r="AP39" s="94">
        <f t="shared" si="14"/>
        <v>28.735919364583758</v>
      </c>
      <c r="AQ39" s="107"/>
      <c r="AR39" s="40">
        <f t="shared" si="15"/>
        <v>3.0269513060553033</v>
      </c>
      <c r="AS39" s="94">
        <v>215.73705713665262</v>
      </c>
      <c r="AT39" s="94">
        <v>51.691367643880433</v>
      </c>
      <c r="AU39" s="94">
        <v>74.955048225863351</v>
      </c>
      <c r="AV39" s="94">
        <f t="shared" si="16"/>
        <v>126.64641586974378</v>
      </c>
      <c r="AW39" s="91">
        <f t="shared" si="17"/>
        <v>0</v>
      </c>
      <c r="AX39" s="40">
        <f t="shared" si="18"/>
        <v>2.6968748254135422</v>
      </c>
      <c r="AY39" s="11">
        <v>69.208761822942577</v>
      </c>
      <c r="AZ39" s="94">
        <v>17.364813908921313</v>
      </c>
      <c r="BA39" s="94">
        <v>21.100721406247324</v>
      </c>
      <c r="BB39" s="94">
        <f t="shared" si="19"/>
        <v>38.465535315168637</v>
      </c>
      <c r="BC39" s="94"/>
      <c r="BD39" s="40">
        <f t="shared" si="20"/>
        <v>2.6111478879813799</v>
      </c>
      <c r="BE39" s="94">
        <v>8.5643903989708114</v>
      </c>
      <c r="BF39" s="94">
        <v>2.5133510791903837</v>
      </c>
      <c r="BG39" s="94">
        <v>2.5182161637376153</v>
      </c>
      <c r="BH39" s="94">
        <f t="shared" si="21"/>
        <v>5.0315672429279985</v>
      </c>
      <c r="BJ39" s="40">
        <f t="shared" si="22"/>
        <v>2.646322122033018</v>
      </c>
      <c r="BK39" s="94">
        <v>33.438393051364635</v>
      </c>
      <c r="BL39" s="94">
        <v>5.8534198050841955</v>
      </c>
      <c r="BM39" s="94">
        <v>9.9805580750418521</v>
      </c>
      <c r="BN39" s="94">
        <f t="shared" si="23"/>
        <v>15.833977880126048</v>
      </c>
      <c r="BO39" s="107"/>
      <c r="BP39" s="40">
        <f t="shared" si="24"/>
        <v>2.7854120715325115</v>
      </c>
      <c r="BQ39" s="94">
        <v>27.205978372607124</v>
      </c>
      <c r="BR39" s="94">
        <v>8.9980430246467371</v>
      </c>
      <c r="BS39" s="94">
        <v>8.6019471674678574</v>
      </c>
      <c r="BT39" s="94">
        <f t="shared" si="25"/>
        <v>17.599990192114596</v>
      </c>
      <c r="BU39" s="91">
        <f t="shared" si="26"/>
        <v>0</v>
      </c>
      <c r="BV39" s="40">
        <f t="shared" si="27"/>
        <v>2.5118352045522041</v>
      </c>
      <c r="BW39" s="11">
        <v>3.8656530906609365</v>
      </c>
      <c r="BX39" s="94">
        <v>1.3479415735600602</v>
      </c>
      <c r="BY39" s="94">
        <v>1.08842630099127</v>
      </c>
      <c r="BZ39" s="94">
        <f t="shared" si="28"/>
        <v>2.4363678745513302</v>
      </c>
      <c r="CA39" s="94"/>
      <c r="CB39" s="40">
        <f t="shared" si="29"/>
        <v>2.415283547581426</v>
      </c>
      <c r="CC39" s="94">
        <v>1.9483930173046786</v>
      </c>
      <c r="CD39" s="94">
        <v>0.36760454555590533</v>
      </c>
      <c r="CE39" s="94">
        <v>0.52517741956185582</v>
      </c>
      <c r="CF39" s="94">
        <f t="shared" si="30"/>
        <v>0.89278196511776109</v>
      </c>
      <c r="CH39" s="40">
        <f t="shared" si="31"/>
        <v>2.60322084904967</v>
      </c>
      <c r="CI39" s="94">
        <v>1.6099297426070227</v>
      </c>
      <c r="CJ39" s="94">
        <v>0.94206574115965114</v>
      </c>
      <c r="CK39" s="94">
        <v>0.47176413259982158</v>
      </c>
      <c r="CL39" s="94">
        <f t="shared" si="32"/>
        <v>1.4138298737594728</v>
      </c>
      <c r="CM39" s="107"/>
      <c r="CN39" s="40">
        <f t="shared" si="33"/>
        <v>2.6399932413593952</v>
      </c>
      <c r="CO39" s="94">
        <v>0.30733033074923499</v>
      </c>
      <c r="CP39" s="94">
        <v>3.8271286844503753E-2</v>
      </c>
      <c r="CQ39" s="94">
        <v>9.148474882959258E-2</v>
      </c>
      <c r="CR39" s="94">
        <f t="shared" si="34"/>
        <v>0.12975603567409633</v>
      </c>
      <c r="CS39" s="91">
        <f t="shared" si="35"/>
        <v>0</v>
      </c>
      <c r="CT39" s="40">
        <f t="shared" si="36"/>
        <v>2.9328961439813339</v>
      </c>
      <c r="CU39" s="11">
        <v>6.6582228665302994</v>
      </c>
      <c r="CV39" s="94">
        <v>-0.81237700090717724</v>
      </c>
      <c r="CW39" s="94">
        <v>2.2317462350578254</v>
      </c>
      <c r="CX39" s="94">
        <f t="shared" si="37"/>
        <v>1.4193692341506483</v>
      </c>
      <c r="CY39" s="94"/>
      <c r="CZ39" s="40">
        <f t="shared" si="38"/>
        <v>2.9056172918835443</v>
      </c>
      <c r="DA39" s="94">
        <v>3.8427783143681786</v>
      </c>
      <c r="DB39" s="94">
        <v>-2.6532759713034841</v>
      </c>
      <c r="DC39" s="94">
        <v>1.2744660092360849</v>
      </c>
      <c r="DD39" s="94">
        <f t="shared" si="39"/>
        <v>-1.3788099620673993</v>
      </c>
      <c r="DF39" s="40">
        <f t="shared" si="40"/>
        <v>2.9700241427257357</v>
      </c>
      <c r="DG39" s="94">
        <v>2.8154445521621203</v>
      </c>
      <c r="DH39" s="94">
        <v>1.840898970396307</v>
      </c>
      <c r="DI39" s="94">
        <v>0.95728022582174022</v>
      </c>
      <c r="DJ39" s="94">
        <f t="shared" si="41"/>
        <v>2.7981791962180473</v>
      </c>
      <c r="DK39" s="107"/>
      <c r="DL39" s="40">
        <f t="shared" si="42"/>
        <v>0</v>
      </c>
      <c r="DM39" s="94">
        <v>0</v>
      </c>
      <c r="DN39" s="94">
        <v>0</v>
      </c>
      <c r="DO39" s="94">
        <v>0</v>
      </c>
      <c r="DP39" s="94">
        <f t="shared" si="43"/>
        <v>0</v>
      </c>
    </row>
    <row r="40" spans="1:120" x14ac:dyDescent="0.2">
      <c r="A40" s="91">
        <f>name!B36</f>
        <v>0</v>
      </c>
      <c r="B40" s="40">
        <f t="shared" si="1"/>
        <v>2.6156670918794589</v>
      </c>
      <c r="C40" s="11">
        <v>59.103598741996336</v>
      </c>
      <c r="D40" s="94">
        <v>10.931351340026987</v>
      </c>
      <c r="E40" s="94">
        <v>17.412118425033665</v>
      </c>
      <c r="F40" s="94">
        <f t="shared" si="2"/>
        <v>28.343469765060654</v>
      </c>
      <c r="G40" s="94"/>
      <c r="H40" s="40">
        <f t="shared" si="3"/>
        <v>2.9162137159606694</v>
      </c>
      <c r="I40" s="94">
        <v>7.0907516731659292</v>
      </c>
      <c r="J40" s="94">
        <v>1.9187056475680879</v>
      </c>
      <c r="K40" s="94">
        <v>2.3613912018919283</v>
      </c>
      <c r="L40" s="94">
        <f t="shared" si="4"/>
        <v>4.2800968494600165</v>
      </c>
      <c r="N40" s="40">
        <f t="shared" si="5"/>
        <v>2.7970408811855085</v>
      </c>
      <c r="O40" s="94">
        <v>18.191156691215305</v>
      </c>
      <c r="P40" s="94">
        <v>8.022238906562599</v>
      </c>
      <c r="Q40" s="94">
        <v>5.7787557135900602</v>
      </c>
      <c r="R40" s="94">
        <f t="shared" si="6"/>
        <v>13.800994620152659</v>
      </c>
      <c r="S40" s="107"/>
      <c r="T40" s="40">
        <f t="shared" si="7"/>
        <v>2.4523227678848292</v>
      </c>
      <c r="U40" s="94">
        <v>33.821690377615099</v>
      </c>
      <c r="V40" s="94">
        <v>0.99040678589629894</v>
      </c>
      <c r="W40" s="94">
        <v>9.2719715095516726</v>
      </c>
      <c r="X40" s="94">
        <f t="shared" si="8"/>
        <v>10.262378295447972</v>
      </c>
      <c r="Y40" s="91">
        <f t="shared" si="0"/>
        <v>0</v>
      </c>
      <c r="Z40" s="40">
        <f t="shared" si="9"/>
        <v>2.484409578072122</v>
      </c>
      <c r="AA40" s="11">
        <v>44.995646288457721</v>
      </c>
      <c r="AB40" s="94">
        <v>0.7961289357498379</v>
      </c>
      <c r="AC40" s="94">
        <v>12.515037145045216</v>
      </c>
      <c r="AD40" s="94">
        <f t="shared" si="10"/>
        <v>13.311166080795054</v>
      </c>
      <c r="AE40" s="94"/>
      <c r="AF40" s="40">
        <f t="shared" si="11"/>
        <v>2.5511173362787742</v>
      </c>
      <c r="AG40" s="94">
        <v>2.5406257516550319</v>
      </c>
      <c r="AH40" s="94">
        <v>0.3259075522826399</v>
      </c>
      <c r="AI40" s="94">
        <v>0.72784543832994497</v>
      </c>
      <c r="AJ40" s="94">
        <f t="shared" si="12"/>
        <v>1.0537529906125849</v>
      </c>
      <c r="AL40" s="40">
        <f t="shared" si="13"/>
        <v>2.6421330232528906</v>
      </c>
      <c r="AM40" s="94">
        <v>11.02643601927363</v>
      </c>
      <c r="AN40" s="94">
        <v>-0.16285332189494414</v>
      </c>
      <c r="AO40" s="94">
        <v>3.2852845394032442</v>
      </c>
      <c r="AP40" s="94">
        <f t="shared" si="14"/>
        <v>3.1224312175083</v>
      </c>
      <c r="AQ40" s="107"/>
      <c r="AR40" s="40">
        <f t="shared" si="15"/>
        <v>2.4231158731658597</v>
      </c>
      <c r="AS40" s="94">
        <v>31.42858451752906</v>
      </c>
      <c r="AT40" s="94">
        <v>0.63307470536214216</v>
      </c>
      <c r="AU40" s="94">
        <v>8.5019071673120266</v>
      </c>
      <c r="AV40" s="94">
        <f t="shared" si="16"/>
        <v>9.1349818726741692</v>
      </c>
      <c r="AW40" s="91">
        <f t="shared" si="17"/>
        <v>0</v>
      </c>
      <c r="AX40" s="40">
        <f t="shared" si="18"/>
        <v>2.675817093692956</v>
      </c>
      <c r="AY40" s="11">
        <v>5.0502971452334489</v>
      </c>
      <c r="AZ40" s="94">
        <v>0.88079477764455349</v>
      </c>
      <c r="BA40" s="94">
        <v>1.5262601500564552</v>
      </c>
      <c r="BB40" s="94">
        <f t="shared" si="19"/>
        <v>2.4070549277010089</v>
      </c>
      <c r="BC40" s="94"/>
      <c r="BD40" s="40">
        <f t="shared" si="20"/>
        <v>2.6176394496400412</v>
      </c>
      <c r="BE40" s="94">
        <v>0.56332121807974112</v>
      </c>
      <c r="BF40" s="94">
        <v>6.7884082218324399E-2</v>
      </c>
      <c r="BG40" s="94">
        <v>0.16609650552913752</v>
      </c>
      <c r="BH40" s="94">
        <f t="shared" si="21"/>
        <v>0.23398058774746192</v>
      </c>
      <c r="BJ40" s="40">
        <f t="shared" si="22"/>
        <v>2.6168774278747309</v>
      </c>
      <c r="BK40" s="94">
        <v>2.8001519292734307</v>
      </c>
      <c r="BL40" s="94">
        <v>0.57994096053429567</v>
      </c>
      <c r="BM40" s="94">
        <v>0.8253617461934516</v>
      </c>
      <c r="BN40" s="94">
        <f t="shared" si="23"/>
        <v>1.4053027067277473</v>
      </c>
      <c r="BO40" s="107"/>
      <c r="BP40" s="40">
        <f t="shared" si="24"/>
        <v>2.7921892804910087</v>
      </c>
      <c r="BQ40" s="94">
        <v>1.6868239978802764</v>
      </c>
      <c r="BR40" s="94">
        <v>0.23296973489193351</v>
      </c>
      <c r="BS40" s="94">
        <v>0.53480189833386615</v>
      </c>
      <c r="BT40" s="94">
        <f t="shared" si="25"/>
        <v>0.76777163322579967</v>
      </c>
      <c r="BU40" s="91">
        <f t="shared" si="26"/>
        <v>0</v>
      </c>
      <c r="BV40" s="40">
        <f t="shared" si="27"/>
        <v>3.3032406781256851</v>
      </c>
      <c r="BW40" s="11">
        <v>7.5734451294849583</v>
      </c>
      <c r="BX40" s="94">
        <v>9.9445968505973621</v>
      </c>
      <c r="BY40" s="94">
        <v>2.9082842096564585</v>
      </c>
      <c r="BZ40" s="94">
        <f t="shared" si="28"/>
        <v>12.852881060253821</v>
      </c>
      <c r="CA40" s="94"/>
      <c r="CB40" s="40">
        <f t="shared" si="29"/>
        <v>3.3739759257654933</v>
      </c>
      <c r="CC40" s="94">
        <v>2.7837448344029059</v>
      </c>
      <c r="CD40" s="94">
        <v>2.278224621913898</v>
      </c>
      <c r="CE40" s="94">
        <v>1.0954503018874868</v>
      </c>
      <c r="CF40" s="94">
        <f t="shared" si="30"/>
        <v>3.373674923801385</v>
      </c>
      <c r="CH40" s="40">
        <f t="shared" si="31"/>
        <v>3.3175945471649371</v>
      </c>
      <c r="CI40" s="94">
        <v>4.0993032054196004</v>
      </c>
      <c r="CJ40" s="94">
        <v>7.5439376770551005</v>
      </c>
      <c r="CK40" s="94">
        <v>1.582064592612429</v>
      </c>
      <c r="CL40" s="94">
        <f t="shared" si="32"/>
        <v>9.1260022696675289</v>
      </c>
      <c r="CM40" s="107"/>
      <c r="CN40" s="40">
        <f t="shared" si="33"/>
        <v>2.9257200385051085</v>
      </c>
      <c r="CO40" s="94">
        <v>0.69039708966245217</v>
      </c>
      <c r="CP40" s="94">
        <v>0.1224345516283623</v>
      </c>
      <c r="CQ40" s="94">
        <v>0.23076931515654289</v>
      </c>
      <c r="CR40" s="94">
        <f t="shared" si="34"/>
        <v>0.35320386678490517</v>
      </c>
      <c r="CS40" s="91">
        <f t="shared" si="35"/>
        <v>0</v>
      </c>
      <c r="CT40" s="40">
        <f t="shared" si="36"/>
        <v>2.7499012245735921</v>
      </c>
      <c r="CU40" s="11">
        <v>1.4842101788202127</v>
      </c>
      <c r="CV40" s="94">
        <v>-0.69016922396476632</v>
      </c>
      <c r="CW40" s="94">
        <v>0.46253692027553084</v>
      </c>
      <c r="CX40" s="94">
        <f t="shared" si="37"/>
        <v>-0.22763230368923548</v>
      </c>
      <c r="CY40" s="94"/>
      <c r="CZ40" s="40">
        <f t="shared" si="38"/>
        <v>2.7308671095884973</v>
      </c>
      <c r="DA40" s="94">
        <v>1.2030598690282495</v>
      </c>
      <c r="DB40" s="94">
        <v>-0.75331060884677437</v>
      </c>
      <c r="DC40" s="94">
        <v>0.37199895614535888</v>
      </c>
      <c r="DD40" s="94">
        <f t="shared" si="39"/>
        <v>-0.38131165270141548</v>
      </c>
      <c r="DF40" s="40">
        <f t="shared" si="40"/>
        <v>2.8492227911662393</v>
      </c>
      <c r="DG40" s="94">
        <v>0.26526553724864882</v>
      </c>
      <c r="DH40" s="94">
        <v>6.1213590868147122E-2</v>
      </c>
      <c r="DI40" s="94">
        <v>8.6044835380935866E-2</v>
      </c>
      <c r="DJ40" s="94">
        <f t="shared" si="41"/>
        <v>0.14725842624908297</v>
      </c>
      <c r="DK40" s="107"/>
      <c r="DL40" s="40">
        <f t="shared" si="42"/>
        <v>2.5221830839160519</v>
      </c>
      <c r="DM40" s="94">
        <v>1.5884772543314236E-2</v>
      </c>
      <c r="DN40" s="94">
        <v>1.9277940138610408E-3</v>
      </c>
      <c r="DO40" s="94">
        <v>4.4931287492361305E-3</v>
      </c>
      <c r="DP40" s="94">
        <f t="shared" si="43"/>
        <v>6.4209227630971713E-3</v>
      </c>
    </row>
    <row r="41" spans="1:120" x14ac:dyDescent="0.2">
      <c r="A41" s="91">
        <f>name!B37</f>
        <v>0</v>
      </c>
      <c r="B41" s="40">
        <f t="shared" si="1"/>
        <v>2.6219584526235851</v>
      </c>
      <c r="C41" s="11">
        <v>9.5199829855549893</v>
      </c>
      <c r="D41" s="94">
        <v>1.2808958930051737</v>
      </c>
      <c r="E41" s="94">
        <v>2.8121772094303279</v>
      </c>
      <c r="F41" s="94">
        <f t="shared" si="2"/>
        <v>4.0930731024355014</v>
      </c>
      <c r="G41" s="94"/>
      <c r="H41" s="40">
        <f t="shared" si="3"/>
        <v>2.4658199500782629</v>
      </c>
      <c r="I41" s="94">
        <v>0.81619786230081037</v>
      </c>
      <c r="J41" s="94">
        <v>0.237585138792064</v>
      </c>
      <c r="K41" s="94">
        <v>0.22512559128548079</v>
      </c>
      <c r="L41" s="94">
        <f t="shared" si="4"/>
        <v>0.46271073007754482</v>
      </c>
      <c r="N41" s="40">
        <f t="shared" si="5"/>
        <v>2.6634862095569645</v>
      </c>
      <c r="O41" s="94">
        <v>2.0711276399167695</v>
      </c>
      <c r="P41" s="94">
        <v>0.44161042637100889</v>
      </c>
      <c r="Q41" s="94">
        <v>0.62268224619976209</v>
      </c>
      <c r="R41" s="94">
        <f t="shared" si="6"/>
        <v>1.0642926725707711</v>
      </c>
      <c r="S41" s="107"/>
      <c r="T41" s="40">
        <f t="shared" si="7"/>
        <v>2.628048625603352</v>
      </c>
      <c r="U41" s="94">
        <v>6.6326574833374119</v>
      </c>
      <c r="V41" s="94">
        <v>0.60170032784210092</v>
      </c>
      <c r="W41" s="94">
        <v>1.9643693719450848</v>
      </c>
      <c r="X41" s="94">
        <f t="shared" si="8"/>
        <v>2.5660696997871857</v>
      </c>
      <c r="Y41" s="91">
        <f t="shared" si="0"/>
        <v>0</v>
      </c>
      <c r="Z41" s="40">
        <f t="shared" si="9"/>
        <v>2.6231625982701789</v>
      </c>
      <c r="AA41" s="11">
        <v>7.8178668346409639</v>
      </c>
      <c r="AB41" s="94">
        <v>0.85873650454850714</v>
      </c>
      <c r="AC41" s="94">
        <v>2.3105650783484251</v>
      </c>
      <c r="AD41" s="94">
        <f t="shared" si="10"/>
        <v>3.1693015828969324</v>
      </c>
      <c r="AE41" s="94"/>
      <c r="AF41" s="40">
        <f t="shared" si="11"/>
        <v>2.4078323200257934</v>
      </c>
      <c r="AG41" s="94">
        <v>0.42302413000387928</v>
      </c>
      <c r="AH41" s="94">
        <v>0.33710538828897285</v>
      </c>
      <c r="AI41" s="94">
        <v>0.11363296527709778</v>
      </c>
      <c r="AJ41" s="94">
        <f t="shared" si="12"/>
        <v>0.45073835356607062</v>
      </c>
      <c r="AL41" s="40">
        <f t="shared" si="13"/>
        <v>2.7256227849607129</v>
      </c>
      <c r="AM41" s="94">
        <v>1.0976496509709948</v>
      </c>
      <c r="AN41" s="94">
        <v>1.0248190705673856E-3</v>
      </c>
      <c r="AO41" s="94">
        <v>0.33867155545083699</v>
      </c>
      <c r="AP41" s="94">
        <f t="shared" si="14"/>
        <v>0.33969637452140439</v>
      </c>
      <c r="AQ41" s="107"/>
      <c r="AR41" s="40">
        <f t="shared" si="15"/>
        <v>2.6195513042214014</v>
      </c>
      <c r="AS41" s="94">
        <v>6.2971930536660903</v>
      </c>
      <c r="AT41" s="94">
        <v>0.52060629718896689</v>
      </c>
      <c r="AU41" s="94">
        <v>1.8582605576204905</v>
      </c>
      <c r="AV41" s="94">
        <f t="shared" si="16"/>
        <v>2.3788668548094574</v>
      </c>
      <c r="AW41" s="91">
        <f t="shared" si="17"/>
        <v>0</v>
      </c>
      <c r="AX41" s="40">
        <f t="shared" si="18"/>
        <v>2.6785764491621844</v>
      </c>
      <c r="AY41" s="11">
        <v>0.96217009441048162</v>
      </c>
      <c r="AZ41" s="94">
        <v>0.19915521880321993</v>
      </c>
      <c r="BA41" s="94">
        <v>0.29111606469515938</v>
      </c>
      <c r="BB41" s="94">
        <f t="shared" si="19"/>
        <v>0.49027128349837934</v>
      </c>
      <c r="BC41" s="94"/>
      <c r="BD41" s="40">
        <f t="shared" si="20"/>
        <v>2.6372048618027666</v>
      </c>
      <c r="BE41" s="94">
        <v>0.12023971653791019</v>
      </c>
      <c r="BF41" s="94">
        <v>4.7709276205164207E-3</v>
      </c>
      <c r="BG41" s="94">
        <v>3.5750049535400286E-2</v>
      </c>
      <c r="BH41" s="94">
        <f t="shared" si="21"/>
        <v>4.052097715591671E-2</v>
      </c>
      <c r="BJ41" s="40">
        <f t="shared" si="22"/>
        <v>2.6370907343919114</v>
      </c>
      <c r="BK41" s="94">
        <v>0.59167940202908853</v>
      </c>
      <c r="BL41" s="94">
        <v>0.15764745541630559</v>
      </c>
      <c r="BM41" s="94">
        <v>0.17591143975903728</v>
      </c>
      <c r="BN41" s="94">
        <f t="shared" si="23"/>
        <v>0.33355889517534287</v>
      </c>
      <c r="BO41" s="107"/>
      <c r="BP41" s="40">
        <f t="shared" si="24"/>
        <v>2.7957236007542408</v>
      </c>
      <c r="BQ41" s="94">
        <v>0.25025097584348277</v>
      </c>
      <c r="BR41" s="94">
        <v>3.6736835766397878E-2</v>
      </c>
      <c r="BS41" s="94">
        <v>7.945457540072183E-2</v>
      </c>
      <c r="BT41" s="94">
        <f t="shared" si="25"/>
        <v>0.1161914111671197</v>
      </c>
      <c r="BU41" s="91">
        <f t="shared" si="26"/>
        <v>0</v>
      </c>
      <c r="BV41" s="40">
        <f t="shared" si="27"/>
        <v>2.5508183926929773</v>
      </c>
      <c r="BW41" s="11">
        <v>0.50584005818189604</v>
      </c>
      <c r="BX41" s="94">
        <v>0.32238456824668921</v>
      </c>
      <c r="BY41" s="94">
        <v>0.1448954785012399</v>
      </c>
      <c r="BZ41" s="94">
        <f t="shared" si="28"/>
        <v>0.46728004674792911</v>
      </c>
      <c r="CA41" s="94"/>
      <c r="CB41" s="40">
        <f t="shared" si="29"/>
        <v>2.5367449852401247</v>
      </c>
      <c r="CC41" s="94">
        <v>9.1589573227019994E-2</v>
      </c>
      <c r="CD41" s="94">
        <v>-4.2808638867016524E-3</v>
      </c>
      <c r="CE41" s="94">
        <v>2.6073802070792795E-2</v>
      </c>
      <c r="CF41" s="94">
        <f t="shared" si="30"/>
        <v>2.1792938184091143E-2</v>
      </c>
      <c r="CH41" s="40">
        <f t="shared" si="31"/>
        <v>2.5204548632431933</v>
      </c>
      <c r="CI41" s="94">
        <v>0.33966700342259021</v>
      </c>
      <c r="CJ41" s="94">
        <v>0.28850292379729831</v>
      </c>
      <c r="CK41" s="94">
        <v>9.6003947721158597E-2</v>
      </c>
      <c r="CL41" s="94">
        <f t="shared" si="32"/>
        <v>0.38450687151845692</v>
      </c>
      <c r="CM41" s="107"/>
      <c r="CN41" s="40">
        <f t="shared" si="33"/>
        <v>2.7051379124598762</v>
      </c>
      <c r="CO41" s="94">
        <v>7.458348153228582E-2</v>
      </c>
      <c r="CP41" s="94">
        <v>3.8162508336092499E-2</v>
      </c>
      <c r="CQ41" s="94">
        <v>2.2817728709288516E-2</v>
      </c>
      <c r="CR41" s="94">
        <f t="shared" si="34"/>
        <v>6.0980237045381011E-2</v>
      </c>
      <c r="CS41" s="91">
        <f t="shared" si="35"/>
        <v>0</v>
      </c>
      <c r="CT41" s="40">
        <f t="shared" si="36"/>
        <v>2.5010642333554323</v>
      </c>
      <c r="CU41" s="11">
        <v>0.23410599832164924</v>
      </c>
      <c r="CV41" s="94">
        <v>-9.9380398593242464E-2</v>
      </c>
      <c r="CW41" s="94">
        <v>6.5600587885503062E-2</v>
      </c>
      <c r="CX41" s="94">
        <f t="shared" si="37"/>
        <v>-3.3779810707739402E-2</v>
      </c>
      <c r="CY41" s="94"/>
      <c r="CZ41" s="40">
        <f t="shared" si="38"/>
        <v>2.4503054838948435</v>
      </c>
      <c r="DA41" s="94">
        <v>0.18134444253200094</v>
      </c>
      <c r="DB41" s="94">
        <v>-0.10001031323072365</v>
      </c>
      <c r="DC41" s="94">
        <v>4.9668774402189947E-2</v>
      </c>
      <c r="DD41" s="94">
        <f t="shared" si="39"/>
        <v>-5.0341538828533705E-2</v>
      </c>
      <c r="DF41" s="40">
        <f t="shared" si="40"/>
        <v>2.5559091493363884</v>
      </c>
      <c r="DG41" s="94">
        <v>4.2131583494095966E-2</v>
      </c>
      <c r="DH41" s="94">
        <v>-5.5647719131624168E-3</v>
      </c>
      <c r="DI41" s="94">
        <v>1.2095303268729192E-2</v>
      </c>
      <c r="DJ41" s="94">
        <f t="shared" si="41"/>
        <v>6.5305313555667748E-3</v>
      </c>
      <c r="DK41" s="107"/>
      <c r="DL41" s="40">
        <f t="shared" si="42"/>
        <v>3.1295401767871711</v>
      </c>
      <c r="DM41" s="94">
        <v>1.0629972295552376E-2</v>
      </c>
      <c r="DN41" s="94">
        <v>6.1946865506436119E-3</v>
      </c>
      <c r="DO41" s="94">
        <v>3.8365102145839292E-3</v>
      </c>
      <c r="DP41" s="94">
        <f t="shared" si="43"/>
        <v>1.003119676522754E-2</v>
      </c>
    </row>
    <row r="42" spans="1:120" x14ac:dyDescent="0.2">
      <c r="A42" s="91">
        <f>name!B38</f>
        <v>0</v>
      </c>
      <c r="B42" s="40">
        <f t="shared" si="1"/>
        <v>2.7659066814350819</v>
      </c>
      <c r="C42" s="11">
        <v>41.327917877507424</v>
      </c>
      <c r="D42" s="94">
        <v>5.5428905332373821</v>
      </c>
      <c r="E42" s="94">
        <v>12.963865628503205</v>
      </c>
      <c r="F42" s="94">
        <f t="shared" si="2"/>
        <v>18.506756161740586</v>
      </c>
      <c r="G42" s="94"/>
      <c r="H42" s="40">
        <f t="shared" si="3"/>
        <v>2.5883895459776651</v>
      </c>
      <c r="I42" s="94">
        <v>6.6477909633603698</v>
      </c>
      <c r="J42" s="94">
        <v>0.46903863547743174</v>
      </c>
      <c r="K42" s="94">
        <v>1.9356115118566004</v>
      </c>
      <c r="L42" s="94">
        <f t="shared" si="4"/>
        <v>2.4046501473340323</v>
      </c>
      <c r="N42" s="40">
        <f t="shared" si="5"/>
        <v>2.6369495607399429</v>
      </c>
      <c r="O42" s="94">
        <v>13.326579267199337</v>
      </c>
      <c r="P42" s="94">
        <v>1.877839557749986</v>
      </c>
      <c r="Q42" s="94">
        <v>3.9618702925814446</v>
      </c>
      <c r="R42" s="94">
        <f t="shared" si="6"/>
        <v>5.8397098503314311</v>
      </c>
      <c r="S42" s="107"/>
      <c r="T42" s="40">
        <f t="shared" si="7"/>
        <v>2.8999820012332478</v>
      </c>
      <c r="U42" s="94">
        <v>21.35354764694771</v>
      </c>
      <c r="V42" s="94">
        <v>3.1960123400099647</v>
      </c>
      <c r="W42" s="94">
        <v>7.0663838240651593</v>
      </c>
      <c r="X42" s="94">
        <f t="shared" si="8"/>
        <v>10.262396164075124</v>
      </c>
      <c r="Y42" s="91">
        <f t="shared" si="0"/>
        <v>0</v>
      </c>
      <c r="Z42" s="40">
        <f t="shared" si="9"/>
        <v>2.8515281797403702</v>
      </c>
      <c r="AA42" s="11">
        <v>28.851400371214467</v>
      </c>
      <c r="AB42" s="94">
        <v>2.9117941769720685</v>
      </c>
      <c r="AC42" s="94">
        <v>9.3671654902328125</v>
      </c>
      <c r="AD42" s="94">
        <f t="shared" si="10"/>
        <v>12.27895966720488</v>
      </c>
      <c r="AE42" s="94"/>
      <c r="AF42" s="40">
        <f t="shared" si="11"/>
        <v>2.7312978006911237</v>
      </c>
      <c r="AG42" s="94">
        <v>2.3074493769266002</v>
      </c>
      <c r="AH42" s="94">
        <v>8.8154748807107802E-2</v>
      </c>
      <c r="AI42" s="94">
        <v>0.7136146359797787</v>
      </c>
      <c r="AJ42" s="94">
        <f t="shared" si="12"/>
        <v>0.80176938478688653</v>
      </c>
      <c r="AL42" s="40">
        <f t="shared" si="13"/>
        <v>2.6978647455589311</v>
      </c>
      <c r="AM42" s="94">
        <v>7.996889456722271</v>
      </c>
      <c r="AN42" s="94">
        <v>0.23978644928801202</v>
      </c>
      <c r="AO42" s="94">
        <v>2.4391384738532835</v>
      </c>
      <c r="AP42" s="94">
        <f t="shared" si="14"/>
        <v>2.6789249231412957</v>
      </c>
      <c r="AQ42" s="107"/>
      <c r="AR42" s="40">
        <f t="shared" si="15"/>
        <v>2.9319352041224489</v>
      </c>
      <c r="AS42" s="94">
        <v>18.547061537565593</v>
      </c>
      <c r="AT42" s="94">
        <v>2.5838529788769486</v>
      </c>
      <c r="AU42" s="94">
        <v>6.2144123803997511</v>
      </c>
      <c r="AV42" s="94">
        <f t="shared" si="16"/>
        <v>8.7982653592766997</v>
      </c>
      <c r="AW42" s="91">
        <f t="shared" si="17"/>
        <v>0</v>
      </c>
      <c r="AX42" s="40">
        <f t="shared" si="18"/>
        <v>2.5785306073743852</v>
      </c>
      <c r="AY42" s="11">
        <v>6.5037812929444394</v>
      </c>
      <c r="AZ42" s="94">
        <v>1.0757665767010658</v>
      </c>
      <c r="BA42" s="94">
        <v>1.8856141436015186</v>
      </c>
      <c r="BB42" s="94">
        <f t="shared" si="19"/>
        <v>2.9613807203025844</v>
      </c>
      <c r="BC42" s="94"/>
      <c r="BD42" s="40">
        <f t="shared" si="20"/>
        <v>2.4818332070334348</v>
      </c>
      <c r="BE42" s="94">
        <v>1.8237775728680967</v>
      </c>
      <c r="BF42" s="94">
        <v>0.40035255591572777</v>
      </c>
      <c r="BG42" s="94">
        <v>0.50667745232067052</v>
      </c>
      <c r="BH42" s="94">
        <f t="shared" si="21"/>
        <v>0.90703000823639823</v>
      </c>
      <c r="BJ42" s="40">
        <f t="shared" si="22"/>
        <v>2.5440839893432932</v>
      </c>
      <c r="BK42" s="94">
        <v>2.6329814450846953</v>
      </c>
      <c r="BL42" s="94">
        <v>0.36645710610714699</v>
      </c>
      <c r="BM42" s="94">
        <v>0.75198133827523139</v>
      </c>
      <c r="BN42" s="94">
        <f t="shared" si="23"/>
        <v>1.1184384443823783</v>
      </c>
      <c r="BO42" s="107"/>
      <c r="BP42" s="40">
        <f t="shared" si="24"/>
        <v>2.7078220766586059</v>
      </c>
      <c r="BQ42" s="94">
        <v>2.0470222749916469</v>
      </c>
      <c r="BR42" s="94">
        <v>0.30895691467819097</v>
      </c>
      <c r="BS42" s="94">
        <v>0.62695535300561678</v>
      </c>
      <c r="BT42" s="94">
        <f t="shared" si="25"/>
        <v>0.93591226768380775</v>
      </c>
      <c r="BU42" s="91">
        <f t="shared" si="26"/>
        <v>0</v>
      </c>
      <c r="BV42" s="40">
        <f t="shared" si="27"/>
        <v>2.4352549002091939</v>
      </c>
      <c r="BW42" s="11">
        <v>3.9926676757116213</v>
      </c>
      <c r="BX42" s="94">
        <v>1.3942061283114771</v>
      </c>
      <c r="BY42" s="94">
        <v>1.0860923018676825</v>
      </c>
      <c r="BZ42" s="94">
        <f t="shared" si="28"/>
        <v>2.4802984301791593</v>
      </c>
      <c r="CA42" s="94"/>
      <c r="CB42" s="40">
        <f t="shared" si="29"/>
        <v>2.3820319758712349</v>
      </c>
      <c r="CC42" s="94">
        <v>1.5804510737327937</v>
      </c>
      <c r="CD42" s="94">
        <v>0.54763313458440666</v>
      </c>
      <c r="CE42" s="94">
        <v>0.41949600254904829</v>
      </c>
      <c r="CF42" s="94">
        <f t="shared" si="30"/>
        <v>0.96712913713345494</v>
      </c>
      <c r="CH42" s="40">
        <f t="shared" si="31"/>
        <v>2.4397967914120189</v>
      </c>
      <c r="CI42" s="94">
        <v>1.8177774091588061</v>
      </c>
      <c r="CJ42" s="94">
        <v>0.71493905267938562</v>
      </c>
      <c r="CK42" s="94">
        <v>0.49550036268130071</v>
      </c>
      <c r="CL42" s="94">
        <f t="shared" si="32"/>
        <v>1.2104394153606863</v>
      </c>
      <c r="CM42" s="107"/>
      <c r="CN42" s="40">
        <f t="shared" si="33"/>
        <v>2.5618317898631338</v>
      </c>
      <c r="CO42" s="94">
        <v>0.59443919282002144</v>
      </c>
      <c r="CP42" s="94">
        <v>0.13163394104768467</v>
      </c>
      <c r="CQ42" s="94">
        <v>0.1710959366373333</v>
      </c>
      <c r="CR42" s="94">
        <f t="shared" si="34"/>
        <v>0.30272987768501797</v>
      </c>
      <c r="CS42" s="91">
        <f t="shared" si="35"/>
        <v>0</v>
      </c>
      <c r="CT42" s="40">
        <f t="shared" si="36"/>
        <v>2.7812246199814927</v>
      </c>
      <c r="CU42" s="11">
        <v>1.9800685376368916</v>
      </c>
      <c r="CV42" s="94">
        <v>0.16112365125277109</v>
      </c>
      <c r="CW42" s="94">
        <v>0.62499369280119021</v>
      </c>
      <c r="CX42" s="94">
        <f t="shared" si="37"/>
        <v>0.78611734405396128</v>
      </c>
      <c r="CY42" s="94"/>
      <c r="CZ42" s="40">
        <f t="shared" si="38"/>
        <v>2.7841153979467625</v>
      </c>
      <c r="DA42" s="94">
        <v>0.93611293983287924</v>
      </c>
      <c r="DB42" s="94">
        <v>-0.56710180382981035</v>
      </c>
      <c r="DC42" s="94">
        <v>0.29582342100710285</v>
      </c>
      <c r="DD42" s="94">
        <f t="shared" si="39"/>
        <v>-0.2712783828227075</v>
      </c>
      <c r="DF42" s="40">
        <f t="shared" si="40"/>
        <v>2.7618510900035087</v>
      </c>
      <c r="DG42" s="94">
        <v>0.87893095623356221</v>
      </c>
      <c r="DH42" s="94">
        <v>0.55665694967544133</v>
      </c>
      <c r="DI42" s="94">
        <v>0.275250117771629</v>
      </c>
      <c r="DJ42" s="94">
        <f t="shared" si="41"/>
        <v>0.83190706744707033</v>
      </c>
      <c r="DK42" s="107"/>
      <c r="DL42" s="40">
        <f t="shared" si="42"/>
        <v>2.8675941660104565</v>
      </c>
      <c r="DM42" s="94">
        <v>0.16502464157045005</v>
      </c>
      <c r="DN42" s="94">
        <v>0.17156850540714014</v>
      </c>
      <c r="DO42" s="94">
        <v>5.3920154022458346E-2</v>
      </c>
      <c r="DP42" s="94">
        <f t="shared" si="43"/>
        <v>0.22548865942959848</v>
      </c>
    </row>
    <row r="43" spans="1:120" x14ac:dyDescent="0.2">
      <c r="A43" s="91">
        <f>name!B39</f>
        <v>0</v>
      </c>
      <c r="B43" s="40">
        <f t="shared" si="1"/>
        <v>2.964323205894126</v>
      </c>
      <c r="C43" s="11">
        <v>366.60612974536059</v>
      </c>
      <c r="D43" s="94">
        <v>59.276568078745363</v>
      </c>
      <c r="E43" s="94">
        <v>124.37795424368858</v>
      </c>
      <c r="F43" s="94">
        <f t="shared" si="2"/>
        <v>183.65452232243393</v>
      </c>
      <c r="G43" s="94"/>
      <c r="H43" s="40">
        <f t="shared" si="3"/>
        <v>2.8629023744369153</v>
      </c>
      <c r="I43" s="94">
        <v>60.29612584772859</v>
      </c>
      <c r="J43" s="94">
        <v>6.2659503707421011</v>
      </c>
      <c r="K43" s="94">
        <v>19.664677844879822</v>
      </c>
      <c r="L43" s="94">
        <f t="shared" si="4"/>
        <v>25.930628215621923</v>
      </c>
      <c r="N43" s="40">
        <f t="shared" si="5"/>
        <v>2.910542307155306</v>
      </c>
      <c r="O43" s="94">
        <v>109.06467888707947</v>
      </c>
      <c r="P43" s="94">
        <v>29.524424023904043</v>
      </c>
      <c r="Q43" s="94">
        <v>36.241068661330416</v>
      </c>
      <c r="R43" s="94">
        <f t="shared" si="6"/>
        <v>65.765492685234463</v>
      </c>
      <c r="S43" s="107"/>
      <c r="T43" s="40">
        <f t="shared" si="7"/>
        <v>3.0246977932693042</v>
      </c>
      <c r="U43" s="94">
        <v>197.24532501055251</v>
      </c>
      <c r="V43" s="94">
        <v>23.486193684099216</v>
      </c>
      <c r="W43" s="94">
        <v>68.472207737478328</v>
      </c>
      <c r="X43" s="94">
        <f t="shared" si="8"/>
        <v>91.958401421577548</v>
      </c>
      <c r="Y43" s="91">
        <f t="shared" si="0"/>
        <v>0</v>
      </c>
      <c r="Z43" s="40">
        <f t="shared" si="9"/>
        <v>3.067775138448714</v>
      </c>
      <c r="AA43" s="11">
        <v>128.40645062723203</v>
      </c>
      <c r="AB43" s="94">
        <v>11.85508119620458</v>
      </c>
      <c r="AC43" s="94">
        <v>45.299963238210964</v>
      </c>
      <c r="AD43" s="94">
        <f t="shared" si="10"/>
        <v>57.155044434415544</v>
      </c>
      <c r="AE43" s="94"/>
      <c r="AF43" s="40">
        <f t="shared" si="11"/>
        <v>2.9973382412868288</v>
      </c>
      <c r="AG43" s="94">
        <v>2.355165456214976</v>
      </c>
      <c r="AH43" s="94">
        <v>0.9637811048672672</v>
      </c>
      <c r="AI43" s="94">
        <v>0.80916212463532233</v>
      </c>
      <c r="AJ43" s="94">
        <f t="shared" si="12"/>
        <v>1.7729432295025895</v>
      </c>
      <c r="AL43" s="40">
        <f t="shared" si="13"/>
        <v>2.9883483560949609</v>
      </c>
      <c r="AM43" s="94">
        <v>12.753554522103531</v>
      </c>
      <c r="AN43" s="94">
        <v>-1.189686119892166</v>
      </c>
      <c r="AO43" s="94">
        <v>4.3667772486974572</v>
      </c>
      <c r="AP43" s="94">
        <f t="shared" si="14"/>
        <v>3.1770911288052912</v>
      </c>
      <c r="AQ43" s="107"/>
      <c r="AR43" s="40">
        <f t="shared" si="15"/>
        <v>3.0781400233887757</v>
      </c>
      <c r="AS43" s="94">
        <v>113.29773064891354</v>
      </c>
      <c r="AT43" s="94">
        <v>12.080986211229478</v>
      </c>
      <c r="AU43" s="94">
        <v>40.124023864878183</v>
      </c>
      <c r="AV43" s="94">
        <f t="shared" si="16"/>
        <v>52.205010076107662</v>
      </c>
      <c r="AW43" s="91">
        <f t="shared" si="17"/>
        <v>0</v>
      </c>
      <c r="AX43" s="40">
        <f t="shared" si="18"/>
        <v>2.6535599438878954</v>
      </c>
      <c r="AY43" s="11">
        <v>85.340941379457291</v>
      </c>
      <c r="AZ43" s="94">
        <v>21.654635101028848</v>
      </c>
      <c r="BA43" s="94">
        <v>25.550385149909442</v>
      </c>
      <c r="BB43" s="94">
        <f t="shared" si="19"/>
        <v>47.20502025093829</v>
      </c>
      <c r="BC43" s="94"/>
      <c r="BD43" s="40">
        <f t="shared" si="20"/>
        <v>2.5369749451499946</v>
      </c>
      <c r="BE43" s="94">
        <v>7.9924706336224665</v>
      </c>
      <c r="BF43" s="94">
        <v>4.6323396613046155</v>
      </c>
      <c r="BG43" s="94">
        <v>2.275534005888348</v>
      </c>
      <c r="BH43" s="94">
        <f t="shared" si="21"/>
        <v>6.9078736671929635</v>
      </c>
      <c r="BJ43" s="40">
        <f t="shared" si="22"/>
        <v>2.5624762152512082</v>
      </c>
      <c r="BK43" s="94">
        <v>27.005268580631853</v>
      </c>
      <c r="BL43" s="94">
        <v>10.223864247757708</v>
      </c>
      <c r="BM43" s="94">
        <v>7.7750437532035859</v>
      </c>
      <c r="BN43" s="94">
        <f t="shared" si="23"/>
        <v>17.998908000961293</v>
      </c>
      <c r="BO43" s="107"/>
      <c r="BP43" s="40">
        <f t="shared" si="24"/>
        <v>2.7204430066313234</v>
      </c>
      <c r="BQ43" s="94">
        <v>50.343202165202975</v>
      </c>
      <c r="BR43" s="94">
        <v>6.7984311919665235</v>
      </c>
      <c r="BS43" s="94">
        <v>15.499807390817509</v>
      </c>
      <c r="BT43" s="94">
        <f t="shared" si="25"/>
        <v>22.29823858278403</v>
      </c>
      <c r="BU43" s="91">
        <f t="shared" si="26"/>
        <v>0</v>
      </c>
      <c r="BV43" s="40">
        <f t="shared" si="27"/>
        <v>3.5825178625260357</v>
      </c>
      <c r="BW43" s="11">
        <v>28.783589754031564</v>
      </c>
      <c r="BX43" s="94">
        <v>9.0490542940407099</v>
      </c>
      <c r="BY43" s="94">
        <v>12.143380105807763</v>
      </c>
      <c r="BZ43" s="94">
        <f t="shared" si="28"/>
        <v>21.192434399848473</v>
      </c>
      <c r="CA43" s="94"/>
      <c r="CB43" s="40">
        <f t="shared" si="29"/>
        <v>3.2872271423685318</v>
      </c>
      <c r="CC43" s="94">
        <v>6.0845432642854735</v>
      </c>
      <c r="CD43" s="94">
        <v>4.4133646639922466</v>
      </c>
      <c r="CE43" s="94">
        <v>2.3234851029341566</v>
      </c>
      <c r="CF43" s="94">
        <f t="shared" si="30"/>
        <v>6.7368497669264027</v>
      </c>
      <c r="CH43" s="40">
        <f t="shared" si="31"/>
        <v>3.5081488727088939</v>
      </c>
      <c r="CI43" s="94">
        <v>13.730317697403695</v>
      </c>
      <c r="CJ43" s="94">
        <v>4.0524808534125691</v>
      </c>
      <c r="CK43" s="94">
        <v>5.6529058299467811</v>
      </c>
      <c r="CL43" s="94">
        <f t="shared" si="32"/>
        <v>9.7053866833593503</v>
      </c>
      <c r="CM43" s="107"/>
      <c r="CN43" s="40">
        <f t="shared" si="33"/>
        <v>3.8896522062592975</v>
      </c>
      <c r="CO43" s="94">
        <v>8.9687287923423913</v>
      </c>
      <c r="CP43" s="94">
        <v>0.58320877663589499</v>
      </c>
      <c r="CQ43" s="94">
        <v>4.1669891729268249</v>
      </c>
      <c r="CR43" s="94">
        <f t="shared" si="34"/>
        <v>4.75019794956272</v>
      </c>
      <c r="CS43" s="91">
        <f t="shared" si="35"/>
        <v>0</v>
      </c>
      <c r="CT43" s="40">
        <f t="shared" si="36"/>
        <v>2.9202085195014771</v>
      </c>
      <c r="CU43" s="11">
        <v>124.07514798463968</v>
      </c>
      <c r="CV43" s="94">
        <v>16.717797487471227</v>
      </c>
      <c r="CW43" s="94">
        <v>41.384225749760404</v>
      </c>
      <c r="CX43" s="94">
        <f t="shared" si="37"/>
        <v>58.102023237231634</v>
      </c>
      <c r="CY43" s="94"/>
      <c r="CZ43" s="40">
        <f t="shared" si="38"/>
        <v>2.8542214955234568</v>
      </c>
      <c r="DA43" s="94">
        <v>43.863946493605674</v>
      </c>
      <c r="DB43" s="94">
        <v>-3.7435350594220274</v>
      </c>
      <c r="DC43" s="94">
        <v>14.256496611421996</v>
      </c>
      <c r="DD43" s="94">
        <f t="shared" si="39"/>
        <v>10.512961551999968</v>
      </c>
      <c r="DF43" s="40">
        <f t="shared" si="40"/>
        <v>2.9076458934621296</v>
      </c>
      <c r="DG43" s="94">
        <v>55.575538086940398</v>
      </c>
      <c r="DH43" s="94">
        <v>16.43776504262593</v>
      </c>
      <c r="DI43" s="94">
        <v>18.446341829482595</v>
      </c>
      <c r="DJ43" s="94">
        <f t="shared" si="41"/>
        <v>34.884106872108525</v>
      </c>
      <c r="DK43" s="107"/>
      <c r="DL43" s="40">
        <f t="shared" si="42"/>
        <v>3.0647677202802814</v>
      </c>
      <c r="DM43" s="94">
        <v>24.635663404093616</v>
      </c>
      <c r="DN43" s="94">
        <v>4.0235675042673211</v>
      </c>
      <c r="DO43" s="94">
        <v>8.6813873088558129</v>
      </c>
      <c r="DP43" s="94">
        <f t="shared" si="43"/>
        <v>12.704954813123134</v>
      </c>
    </row>
    <row r="44" spans="1:120" x14ac:dyDescent="0.2">
      <c r="A44" s="91">
        <f>name!B40</f>
        <v>0</v>
      </c>
      <c r="B44" s="40">
        <f t="shared" si="1"/>
        <v>2.8357475835989687</v>
      </c>
      <c r="C44" s="11">
        <v>393.35784380285861</v>
      </c>
      <c r="D44" s="94">
        <v>-15.846501627171115</v>
      </c>
      <c r="E44" s="94">
        <v>126.91230773625192</v>
      </c>
      <c r="F44" s="94">
        <f t="shared" si="2"/>
        <v>111.0658061090808</v>
      </c>
      <c r="G44" s="94"/>
      <c r="H44" s="40">
        <f t="shared" si="3"/>
        <v>2.7516949963118487</v>
      </c>
      <c r="I44" s="94">
        <v>59.61461044933764</v>
      </c>
      <c r="J44" s="94">
        <v>-20.900434984544614</v>
      </c>
      <c r="K44" s="94">
        <v>18.591854917813837</v>
      </c>
      <c r="L44" s="94">
        <f t="shared" si="4"/>
        <v>-2.3085800667307765</v>
      </c>
      <c r="N44" s="40">
        <f t="shared" si="5"/>
        <v>2.7239499243143506</v>
      </c>
      <c r="O44" s="94">
        <v>173.18501469973404</v>
      </c>
      <c r="P44" s="94">
        <v>-1.7972543490150141</v>
      </c>
      <c r="Q44" s="94">
        <v>53.398033728841654</v>
      </c>
      <c r="R44" s="94">
        <f t="shared" si="6"/>
        <v>51.600779379826641</v>
      </c>
      <c r="S44" s="107"/>
      <c r="T44" s="40">
        <f t="shared" si="7"/>
        <v>2.9858531510617459</v>
      </c>
      <c r="U44" s="94">
        <v>160.55821865378698</v>
      </c>
      <c r="V44" s="94">
        <v>6.8511877063885063</v>
      </c>
      <c r="W44" s="94">
        <v>54.922419089596445</v>
      </c>
      <c r="X44" s="94">
        <f t="shared" si="8"/>
        <v>61.773606795984954</v>
      </c>
      <c r="Y44" s="91">
        <f t="shared" si="0"/>
        <v>0</v>
      </c>
      <c r="Z44" s="40">
        <f t="shared" si="9"/>
        <v>2.9519471351278748</v>
      </c>
      <c r="AA44" s="11">
        <v>193.55143168230654</v>
      </c>
      <c r="AB44" s="94">
        <v>39.567328495072999</v>
      </c>
      <c r="AC44" s="94">
        <v>65.354521617917186</v>
      </c>
      <c r="AD44" s="94">
        <f t="shared" si="10"/>
        <v>104.92185011299019</v>
      </c>
      <c r="AE44" s="94"/>
      <c r="AF44" s="40">
        <f t="shared" si="11"/>
        <v>2.732765888214872</v>
      </c>
      <c r="AG44" s="94">
        <v>8.9496893108903919</v>
      </c>
      <c r="AH44" s="94">
        <v>-0.38086275940552278</v>
      </c>
      <c r="AI44" s="94">
        <v>2.7695053307141997</v>
      </c>
      <c r="AJ44" s="94">
        <f t="shared" si="12"/>
        <v>2.3886425713086767</v>
      </c>
      <c r="AL44" s="40">
        <f t="shared" si="13"/>
        <v>2.7942517550996859</v>
      </c>
      <c r="AM44" s="94">
        <v>63.890128782218703</v>
      </c>
      <c r="AN44" s="94">
        <v>26.216367345241078</v>
      </c>
      <c r="AO44" s="94">
        <v>20.273036384531288</v>
      </c>
      <c r="AP44" s="94">
        <f t="shared" si="14"/>
        <v>46.489403729772363</v>
      </c>
      <c r="AQ44" s="107"/>
      <c r="AR44" s="40">
        <f t="shared" si="15"/>
        <v>3.0505088630622845</v>
      </c>
      <c r="AS44" s="94">
        <v>120.71161358919746</v>
      </c>
      <c r="AT44" s="94">
        <v>13.731823909237447</v>
      </c>
      <c r="AU44" s="94">
        <v>42.311979902671695</v>
      </c>
      <c r="AV44" s="94">
        <f t="shared" si="16"/>
        <v>56.043803811909143</v>
      </c>
      <c r="AW44" s="91">
        <f t="shared" si="17"/>
        <v>0</v>
      </c>
      <c r="AX44" s="40">
        <f t="shared" si="18"/>
        <v>2.6545992493075765</v>
      </c>
      <c r="AY44" s="11">
        <v>136.55603857187839</v>
      </c>
      <c r="AZ44" s="94">
        <v>-43.002314866399423</v>
      </c>
      <c r="BA44" s="94">
        <v>40.901735073909045</v>
      </c>
      <c r="BB44" s="94">
        <f t="shared" si="19"/>
        <v>-2.1005797924903788</v>
      </c>
      <c r="BC44" s="94"/>
      <c r="BD44" s="40">
        <f t="shared" si="20"/>
        <v>2.5646880453044751</v>
      </c>
      <c r="BE44" s="94">
        <v>18.059085654406232</v>
      </c>
      <c r="BF44" s="94">
        <v>-9.0180538971045241</v>
      </c>
      <c r="BG44" s="94">
        <v>5.2043788432435791</v>
      </c>
      <c r="BH44" s="94">
        <f t="shared" si="21"/>
        <v>-3.813675053860945</v>
      </c>
      <c r="BJ44" s="40">
        <f t="shared" si="22"/>
        <v>2.6194787613104564</v>
      </c>
      <c r="BK44" s="94">
        <v>81.562939535953078</v>
      </c>
      <c r="BL44" s="94">
        <v>-26.535125434477635</v>
      </c>
      <c r="BM44" s="94">
        <v>24.06794423722156</v>
      </c>
      <c r="BN44" s="94">
        <f t="shared" si="23"/>
        <v>-2.4671811972560747</v>
      </c>
      <c r="BO44" s="107"/>
      <c r="BP44" s="40">
        <f t="shared" si="24"/>
        <v>2.775188253093952</v>
      </c>
      <c r="BQ44" s="94">
        <v>36.93401338151908</v>
      </c>
      <c r="BR44" s="94">
        <v>-7.4491355348172679</v>
      </c>
      <c r="BS44" s="94">
        <v>11.629411993443906</v>
      </c>
      <c r="BT44" s="94">
        <f t="shared" si="25"/>
        <v>4.1802764586266381</v>
      </c>
      <c r="BU44" s="91">
        <f t="shared" si="26"/>
        <v>0</v>
      </c>
      <c r="BV44" s="40">
        <f t="shared" si="27"/>
        <v>2.8583954213786456</v>
      </c>
      <c r="BW44" s="11">
        <v>20.489593186295824</v>
      </c>
      <c r="BX44" s="94">
        <v>-3.6169124626271385</v>
      </c>
      <c r="BY44" s="94">
        <v>6.6704706699605909</v>
      </c>
      <c r="BZ44" s="94">
        <f t="shared" si="28"/>
        <v>3.0535582073334524</v>
      </c>
      <c r="CA44" s="94"/>
      <c r="CB44" s="40">
        <f t="shared" si="29"/>
        <v>2.886706102007186</v>
      </c>
      <c r="CC44" s="94">
        <v>8.3246385618980643</v>
      </c>
      <c r="CD44" s="94">
        <v>-2.3561745304099531</v>
      </c>
      <c r="CE44" s="94">
        <v>2.7405296991725199</v>
      </c>
      <c r="CF44" s="94">
        <f t="shared" si="30"/>
        <v>0.38435516876256681</v>
      </c>
      <c r="CH44" s="40">
        <f t="shared" si="31"/>
        <v>2.8369795300950962</v>
      </c>
      <c r="CI44" s="94">
        <v>10.970091359887151</v>
      </c>
      <c r="CJ44" s="94">
        <v>-1.2157453343966669</v>
      </c>
      <c r="CK44" s="94">
        <v>3.541109966200767</v>
      </c>
      <c r="CL44" s="94">
        <f t="shared" si="32"/>
        <v>2.3253646318041001</v>
      </c>
      <c r="CM44" s="107"/>
      <c r="CN44" s="40">
        <f t="shared" si="33"/>
        <v>2.8573458698798015</v>
      </c>
      <c r="CO44" s="94">
        <v>1.1948632645106076</v>
      </c>
      <c r="CP44" s="94">
        <v>-4.4992597820518516E-2</v>
      </c>
      <c r="CQ44" s="94">
        <v>0.38883100458730496</v>
      </c>
      <c r="CR44" s="94">
        <f t="shared" si="34"/>
        <v>0.34383840676678645</v>
      </c>
      <c r="CS44" s="91">
        <f t="shared" si="35"/>
        <v>0</v>
      </c>
      <c r="CT44" s="40">
        <f t="shared" si="36"/>
        <v>2.8701182898648092</v>
      </c>
      <c r="CU44" s="11">
        <v>42.760780362377908</v>
      </c>
      <c r="CV44" s="94">
        <v>-8.7946027932175515</v>
      </c>
      <c r="CW44" s="94">
        <v>13.985580374465099</v>
      </c>
      <c r="CX44" s="94">
        <f t="shared" si="37"/>
        <v>5.190977581247548</v>
      </c>
      <c r="CY44" s="94"/>
      <c r="CZ44" s="40">
        <f t="shared" si="38"/>
        <v>2.8496351806148512</v>
      </c>
      <c r="DA44" s="94">
        <v>24.281196922142954</v>
      </c>
      <c r="DB44" s="94">
        <v>-9.1453437976246104</v>
      </c>
      <c r="DC44" s="94">
        <v>7.8774410446835388</v>
      </c>
      <c r="DD44" s="94">
        <f t="shared" si="39"/>
        <v>-1.2679027529410716</v>
      </c>
      <c r="DF44" s="40">
        <f t="shared" si="40"/>
        <v>2.8857004199172476</v>
      </c>
      <c r="DG44" s="94">
        <v>16.761855021675107</v>
      </c>
      <c r="DH44" s="94">
        <v>-0.26275092538178862</v>
      </c>
      <c r="DI44" s="94">
        <v>5.5159431408880319</v>
      </c>
      <c r="DJ44" s="94">
        <f t="shared" si="41"/>
        <v>5.2531922155062434</v>
      </c>
      <c r="DK44" s="107"/>
      <c r="DL44" s="40">
        <f t="shared" si="42"/>
        <v>3.0064287710700022</v>
      </c>
      <c r="DM44" s="94">
        <v>1.7177284185598474</v>
      </c>
      <c r="DN44" s="94">
        <v>0.61349192978884681</v>
      </c>
      <c r="DO44" s="94">
        <v>0.59219618889352987</v>
      </c>
      <c r="DP44" s="94">
        <f t="shared" si="43"/>
        <v>1.2056881186823767</v>
      </c>
    </row>
    <row r="45" spans="1:120" x14ac:dyDescent="0.2">
      <c r="A45" s="91">
        <f>name!B41</f>
        <v>0</v>
      </c>
      <c r="B45" s="40">
        <f t="shared" si="1"/>
        <v>2.5589515569040877</v>
      </c>
      <c r="C45" s="11">
        <v>378.65361093918506</v>
      </c>
      <c r="D45" s="94">
        <v>36.796399092126755</v>
      </c>
      <c r="E45" s="94">
        <v>108.84998948408384</v>
      </c>
      <c r="F45" s="94">
        <f t="shared" si="2"/>
        <v>145.6463885762106</v>
      </c>
      <c r="G45" s="94"/>
      <c r="H45" s="40">
        <f t="shared" si="3"/>
        <v>2.6970336356285651</v>
      </c>
      <c r="I45" s="94">
        <v>21.232264083662649</v>
      </c>
      <c r="J45" s="94">
        <v>5.5608874318156268E-2</v>
      </c>
      <c r="K45" s="94">
        <v>6.4738297499487887</v>
      </c>
      <c r="L45" s="94">
        <f t="shared" si="4"/>
        <v>6.5294386242669447</v>
      </c>
      <c r="N45" s="40">
        <f t="shared" si="5"/>
        <v>2.6178307858164995</v>
      </c>
      <c r="O45" s="94">
        <v>54.055750144900642</v>
      </c>
      <c r="P45" s="94">
        <v>7.7932985015424325</v>
      </c>
      <c r="Q45" s="94">
        <v>15.939762430606391</v>
      </c>
      <c r="R45" s="94">
        <f t="shared" si="6"/>
        <v>23.733060932148824</v>
      </c>
      <c r="S45" s="107"/>
      <c r="T45" s="40">
        <f t="shared" si="7"/>
        <v>2.5386919147606823</v>
      </c>
      <c r="U45" s="94">
        <v>303.36559671062184</v>
      </c>
      <c r="V45" s="94">
        <v>28.947491716266153</v>
      </c>
      <c r="W45" s="94">
        <v>86.436397303528679</v>
      </c>
      <c r="X45" s="94">
        <f t="shared" si="8"/>
        <v>115.38388901979484</v>
      </c>
      <c r="Y45" s="91">
        <f t="shared" si="0"/>
        <v>0</v>
      </c>
      <c r="Z45" s="40">
        <f t="shared" si="9"/>
        <v>2.5199611178011505</v>
      </c>
      <c r="AA45" s="11">
        <v>312.18144659946984</v>
      </c>
      <c r="AB45" s="94">
        <v>28.895682554218279</v>
      </c>
      <c r="AC45" s="94">
        <v>88.21610831482117</v>
      </c>
      <c r="AD45" s="94">
        <f t="shared" si="10"/>
        <v>117.11179086903945</v>
      </c>
      <c r="AE45" s="94"/>
      <c r="AF45" s="40">
        <f t="shared" si="11"/>
        <v>2.4310222459994479</v>
      </c>
      <c r="AG45" s="94">
        <v>3.9811352808305944</v>
      </c>
      <c r="AH45" s="94">
        <v>4.5008812227039625</v>
      </c>
      <c r="AI45" s="94">
        <v>1.0808631323162383</v>
      </c>
      <c r="AJ45" s="94">
        <f t="shared" si="12"/>
        <v>5.5817443550202004</v>
      </c>
      <c r="AL45" s="40">
        <f t="shared" si="13"/>
        <v>2.4685169170641119</v>
      </c>
      <c r="AM45" s="94">
        <v>20.509890701227175</v>
      </c>
      <c r="AN45" s="94">
        <v>4.1191890490955583</v>
      </c>
      <c r="AO45" s="94">
        <v>5.6639738538481845</v>
      </c>
      <c r="AP45" s="94">
        <f t="shared" si="14"/>
        <v>9.7831629029437437</v>
      </c>
      <c r="AQ45" s="107"/>
      <c r="AR45" s="40">
        <f t="shared" si="15"/>
        <v>2.524845301627332</v>
      </c>
      <c r="AS45" s="94">
        <v>287.69042061741203</v>
      </c>
      <c r="AT45" s="94">
        <v>20.275612282418756</v>
      </c>
      <c r="AU45" s="94">
        <v>81.471271328656755</v>
      </c>
      <c r="AV45" s="94">
        <f t="shared" si="16"/>
        <v>101.7468836110755</v>
      </c>
      <c r="AW45" s="91">
        <f t="shared" si="17"/>
        <v>0</v>
      </c>
      <c r="AX45" s="40">
        <f t="shared" si="18"/>
        <v>2.6549442218402941</v>
      </c>
      <c r="AY45" s="11">
        <v>41.892929155094187</v>
      </c>
      <c r="AZ45" s="94">
        <v>9.2492751468853793</v>
      </c>
      <c r="BA45" s="94">
        <v>12.549743972538471</v>
      </c>
      <c r="BB45" s="94">
        <f t="shared" si="19"/>
        <v>21.79901911942385</v>
      </c>
      <c r="BC45" s="94"/>
      <c r="BD45" s="40">
        <f t="shared" si="20"/>
        <v>2.5532327548231981</v>
      </c>
      <c r="BE45" s="94">
        <v>6.2009149306433597</v>
      </c>
      <c r="BF45" s="94">
        <v>-0.93789945412547293</v>
      </c>
      <c r="BG45" s="94">
        <v>1.7781008484106056</v>
      </c>
      <c r="BH45" s="94">
        <f t="shared" si="21"/>
        <v>0.84020139428513263</v>
      </c>
      <c r="BJ45" s="40">
        <f t="shared" si="22"/>
        <v>2.603317774412961</v>
      </c>
      <c r="BK45" s="94">
        <v>21.307415275332314</v>
      </c>
      <c r="BL45" s="94">
        <v>2.2423318572234603</v>
      </c>
      <c r="BM45" s="94">
        <v>6.2440571353848382</v>
      </c>
      <c r="BN45" s="94">
        <f t="shared" si="23"/>
        <v>8.4863889926082976</v>
      </c>
      <c r="BO45" s="107"/>
      <c r="BP45" s="40">
        <f t="shared" si="24"/>
        <v>2.7742686070164835</v>
      </c>
      <c r="BQ45" s="94">
        <v>14.384598949118512</v>
      </c>
      <c r="BR45" s="94">
        <v>7.9448427437873912</v>
      </c>
      <c r="BS45" s="94">
        <v>4.5275859887430272</v>
      </c>
      <c r="BT45" s="94">
        <f t="shared" si="25"/>
        <v>12.472428732530418</v>
      </c>
      <c r="BU45" s="91">
        <f t="shared" si="26"/>
        <v>0</v>
      </c>
      <c r="BV45" s="40">
        <f t="shared" si="27"/>
        <v>2.6192743149682007</v>
      </c>
      <c r="BW45" s="11">
        <v>2.9857552680997586</v>
      </c>
      <c r="BX45" s="94">
        <v>0.29752966440157663</v>
      </c>
      <c r="BY45" s="94">
        <v>0.88097251477732141</v>
      </c>
      <c r="BZ45" s="94">
        <f t="shared" si="28"/>
        <v>1.1785021791788981</v>
      </c>
      <c r="CA45" s="94"/>
      <c r="CB45" s="40">
        <f t="shared" si="29"/>
        <v>2.6102783759339943</v>
      </c>
      <c r="CC45" s="94">
        <v>1.0704246420939711</v>
      </c>
      <c r="CD45" s="94">
        <v>-0.11337152429818138</v>
      </c>
      <c r="CE45" s="94">
        <v>0.31462314152439591</v>
      </c>
      <c r="CF45" s="94">
        <f t="shared" si="30"/>
        <v>0.20125161722621454</v>
      </c>
      <c r="CH45" s="40">
        <f t="shared" si="31"/>
        <v>2.6315936742941082</v>
      </c>
      <c r="CI45" s="94">
        <v>1.5955005485136557</v>
      </c>
      <c r="CJ45" s="94">
        <v>0.30848080422027463</v>
      </c>
      <c r="CK45" s="94">
        <v>0.47324789856842298</v>
      </c>
      <c r="CL45" s="94">
        <f t="shared" si="32"/>
        <v>0.78172870278869766</v>
      </c>
      <c r="CM45" s="107"/>
      <c r="CN45" s="40">
        <f t="shared" si="33"/>
        <v>2.5878378150158365</v>
      </c>
      <c r="CO45" s="94">
        <v>0.31983007749213199</v>
      </c>
      <c r="CP45" s="94">
        <v>0.10242038447948336</v>
      </c>
      <c r="CQ45" s="94">
        <v>9.3101474684502514E-2</v>
      </c>
      <c r="CR45" s="94">
        <f t="shared" si="34"/>
        <v>0.19552185916398587</v>
      </c>
      <c r="CS45" s="91">
        <f t="shared" si="35"/>
        <v>0</v>
      </c>
      <c r="CT45" s="40">
        <f t="shared" si="36"/>
        <v>2.9205088963651926</v>
      </c>
      <c r="CU45" s="11">
        <v>21.593479916521417</v>
      </c>
      <c r="CV45" s="94">
        <v>-1.6460882733784852</v>
      </c>
      <c r="CW45" s="94">
        <v>7.2031646819468875</v>
      </c>
      <c r="CX45" s="94">
        <f t="shared" si="37"/>
        <v>5.5570764085684026</v>
      </c>
      <c r="CY45" s="94"/>
      <c r="CZ45" s="40">
        <f t="shared" si="38"/>
        <v>2.8981993026460096</v>
      </c>
      <c r="DA45" s="94">
        <v>9.979789230094724</v>
      </c>
      <c r="DB45" s="94">
        <v>-3.3940013699621523</v>
      </c>
      <c r="DC45" s="94">
        <v>3.3002426276975489</v>
      </c>
      <c r="DD45" s="94">
        <f t="shared" si="39"/>
        <v>-9.3758742264603345E-2</v>
      </c>
      <c r="DF45" s="40">
        <f t="shared" si="40"/>
        <v>2.9264568687984216</v>
      </c>
      <c r="DG45" s="94">
        <v>10.642943619827502</v>
      </c>
      <c r="DH45" s="94">
        <v>1.1232967910031393</v>
      </c>
      <c r="DI45" s="94">
        <v>3.5584835428049475</v>
      </c>
      <c r="DJ45" s="94">
        <f t="shared" si="41"/>
        <v>4.6817803338080868</v>
      </c>
      <c r="DK45" s="107"/>
      <c r="DL45" s="40">
        <f t="shared" si="42"/>
        <v>3.0832482448727161</v>
      </c>
      <c r="DM45" s="94">
        <v>0.97074706659919119</v>
      </c>
      <c r="DN45" s="94">
        <v>0.62461630558052772</v>
      </c>
      <c r="DO45" s="94">
        <v>0.34443851144439169</v>
      </c>
      <c r="DP45" s="94">
        <f t="shared" si="43"/>
        <v>0.96905481702491936</v>
      </c>
    </row>
    <row r="46" spans="1:120" x14ac:dyDescent="0.2">
      <c r="A46" s="91">
        <f>name!B42</f>
        <v>0</v>
      </c>
      <c r="B46" s="40">
        <f t="shared" si="1"/>
        <v>2.890259729191258</v>
      </c>
      <c r="C46" s="11">
        <v>596.16075467408132</v>
      </c>
      <c r="D46" s="94">
        <v>130.76412576439193</v>
      </c>
      <c r="E46" s="94">
        <v>196.53406172763593</v>
      </c>
      <c r="F46" s="94">
        <f t="shared" si="2"/>
        <v>327.29818749202786</v>
      </c>
      <c r="G46" s="94"/>
      <c r="H46" s="40">
        <f t="shared" si="3"/>
        <v>2.6788795437322488</v>
      </c>
      <c r="I46" s="94">
        <v>75.585819538445264</v>
      </c>
      <c r="J46" s="94">
        <v>4.2136979795279563</v>
      </c>
      <c r="K46" s="94">
        <v>22.872299636804904</v>
      </c>
      <c r="L46" s="94">
        <f t="shared" si="4"/>
        <v>27.085997616332861</v>
      </c>
      <c r="N46" s="40">
        <f t="shared" si="5"/>
        <v>2.706098654684097</v>
      </c>
      <c r="O46" s="94">
        <v>212.25679919065291</v>
      </c>
      <c r="P46" s="94">
        <v>64.236584035540048</v>
      </c>
      <c r="Q46" s="94">
        <v>64.962803722137807</v>
      </c>
      <c r="R46" s="94">
        <f t="shared" si="6"/>
        <v>129.19938775767787</v>
      </c>
      <c r="S46" s="107"/>
      <c r="T46" s="40">
        <f t="shared" si="7"/>
        <v>3.0660135882804918</v>
      </c>
      <c r="U46" s="94">
        <v>308.31813594498311</v>
      </c>
      <c r="V46" s="94">
        <v>62.313843749323915</v>
      </c>
      <c r="W46" s="94">
        <v>108.69895836869323</v>
      </c>
      <c r="X46" s="94">
        <f t="shared" si="8"/>
        <v>171.01280211801713</v>
      </c>
      <c r="Y46" s="91">
        <f t="shared" si="0"/>
        <v>0</v>
      </c>
      <c r="Z46" s="40">
        <f t="shared" si="9"/>
        <v>3.0502708921622101</v>
      </c>
      <c r="AA46" s="11">
        <v>335.93921919202376</v>
      </c>
      <c r="AB46" s="94">
        <v>65.992763386883993</v>
      </c>
      <c r="AC46" s="94">
        <v>117.74334207940043</v>
      </c>
      <c r="AD46" s="94">
        <f t="shared" si="10"/>
        <v>183.73610546628441</v>
      </c>
      <c r="AE46" s="94"/>
      <c r="AF46" s="40">
        <f t="shared" si="11"/>
        <v>2.772118894951725</v>
      </c>
      <c r="AG46" s="94">
        <v>6.0163041652184992</v>
      </c>
      <c r="AH46" s="94">
        <v>1.3292953942067818</v>
      </c>
      <c r="AI46" s="94">
        <v>1.8919913793244785</v>
      </c>
      <c r="AJ46" s="94">
        <f t="shared" si="12"/>
        <v>3.2212867735312605</v>
      </c>
      <c r="AL46" s="40">
        <f t="shared" si="13"/>
        <v>2.8305616396997912</v>
      </c>
      <c r="AM46" s="94">
        <v>54.066211981632996</v>
      </c>
      <c r="AN46" s="94">
        <v>15.192793130377611</v>
      </c>
      <c r="AO46" s="94">
        <v>17.40777706255945</v>
      </c>
      <c r="AP46" s="94">
        <f t="shared" si="14"/>
        <v>32.600570192937063</v>
      </c>
      <c r="AQ46" s="107"/>
      <c r="AR46" s="40">
        <f t="shared" si="15"/>
        <v>3.0988119312854945</v>
      </c>
      <c r="AS46" s="94">
        <v>275.85670304517225</v>
      </c>
      <c r="AT46" s="94">
        <v>49.470674862299603</v>
      </c>
      <c r="AU46" s="94">
        <v>98.443573637516494</v>
      </c>
      <c r="AV46" s="94">
        <f t="shared" si="16"/>
        <v>147.9142484998161</v>
      </c>
      <c r="AW46" s="91">
        <f t="shared" si="17"/>
        <v>0</v>
      </c>
      <c r="AX46" s="40">
        <f t="shared" si="18"/>
        <v>2.6039196652279051</v>
      </c>
      <c r="AY46" s="11">
        <v>159.03458473919616</v>
      </c>
      <c r="AZ46" s="94">
        <v>40.296222391531657</v>
      </c>
      <c r="BA46" s="94">
        <v>46.616544654725452</v>
      </c>
      <c r="BB46" s="94">
        <f t="shared" si="19"/>
        <v>86.912767046257102</v>
      </c>
      <c r="BC46" s="94"/>
      <c r="BD46" s="40">
        <f t="shared" si="20"/>
        <v>2.5452433226490934</v>
      </c>
      <c r="BE46" s="94">
        <v>21.770784421414771</v>
      </c>
      <c r="BF46" s="94">
        <v>-0.58525794672168419</v>
      </c>
      <c r="BG46" s="94">
        <v>6.2209156872515399</v>
      </c>
      <c r="BH46" s="94">
        <f t="shared" si="21"/>
        <v>5.6356577405298554</v>
      </c>
      <c r="BJ46" s="40">
        <f t="shared" si="22"/>
        <v>2.5795517536157053</v>
      </c>
      <c r="BK46" s="94">
        <v>109.52927387637574</v>
      </c>
      <c r="BL46" s="94">
        <v>30.843442039124554</v>
      </c>
      <c r="BM46" s="94">
        <v>31.769430063648457</v>
      </c>
      <c r="BN46" s="94">
        <f t="shared" si="23"/>
        <v>62.612872102773011</v>
      </c>
      <c r="BO46" s="107"/>
      <c r="BP46" s="40">
        <f t="shared" si="24"/>
        <v>2.7451139967111571</v>
      </c>
      <c r="BQ46" s="94">
        <v>27.734526441405688</v>
      </c>
      <c r="BR46" s="94">
        <v>10.038038299128784</v>
      </c>
      <c r="BS46" s="94">
        <v>8.6261989038254558</v>
      </c>
      <c r="BT46" s="94">
        <f t="shared" si="25"/>
        <v>18.66423720295424</v>
      </c>
      <c r="BU46" s="91">
        <f t="shared" si="26"/>
        <v>0</v>
      </c>
      <c r="BV46" s="40">
        <f t="shared" si="27"/>
        <v>2.4641512026180035</v>
      </c>
      <c r="BW46" s="11">
        <v>12.81458334002725</v>
      </c>
      <c r="BX46" s="94">
        <v>4.3895704257866655</v>
      </c>
      <c r="BY46" s="94">
        <v>3.5318857518426356</v>
      </c>
      <c r="BZ46" s="94">
        <f t="shared" si="28"/>
        <v>7.9214561776293007</v>
      </c>
      <c r="CA46" s="94"/>
      <c r="CB46" s="40">
        <f t="shared" si="29"/>
        <v>2.3360812858931101</v>
      </c>
      <c r="CC46" s="94">
        <v>6.0632147564116732</v>
      </c>
      <c r="CD46" s="94">
        <v>2.5684165487773454</v>
      </c>
      <c r="CE46" s="94">
        <v>1.5749808838887966</v>
      </c>
      <c r="CF46" s="94">
        <f t="shared" si="30"/>
        <v>4.1433974326661422</v>
      </c>
      <c r="CH46" s="40">
        <f t="shared" si="31"/>
        <v>2.5656844346393592</v>
      </c>
      <c r="CI46" s="94">
        <v>5.7160556182605653</v>
      </c>
      <c r="CJ46" s="94">
        <v>1.556033629424588</v>
      </c>
      <c r="CK46" s="94">
        <v>1.6480035734914502</v>
      </c>
      <c r="CL46" s="94">
        <f t="shared" si="32"/>
        <v>3.2040372029160382</v>
      </c>
      <c r="CM46" s="107"/>
      <c r="CN46" s="40">
        <f t="shared" si="33"/>
        <v>2.645445634877297</v>
      </c>
      <c r="CO46" s="94">
        <v>1.0353129653550115</v>
      </c>
      <c r="CP46" s="94">
        <v>0.26512024758473196</v>
      </c>
      <c r="CQ46" s="94">
        <v>0.30890129446238906</v>
      </c>
      <c r="CR46" s="94">
        <f t="shared" si="34"/>
        <v>0.57402154204712108</v>
      </c>
      <c r="CS46" s="91">
        <f t="shared" si="35"/>
        <v>0</v>
      </c>
      <c r="CT46" s="40">
        <f t="shared" si="36"/>
        <v>2.8471774384655868</v>
      </c>
      <c r="CU46" s="11">
        <v>88.372367402834058</v>
      </c>
      <c r="CV46" s="94">
        <v>20.085569560189615</v>
      </c>
      <c r="CW46" s="94">
        <v>28.642289241667434</v>
      </c>
      <c r="CX46" s="94">
        <f t="shared" si="37"/>
        <v>48.727858801857053</v>
      </c>
      <c r="CY46" s="94"/>
      <c r="CZ46" s="40">
        <f t="shared" si="38"/>
        <v>2.7832667945406842</v>
      </c>
      <c r="DA46" s="94">
        <v>41.735516195400322</v>
      </c>
      <c r="DB46" s="94">
        <v>0.90124398326551358</v>
      </c>
      <c r="DC46" s="94">
        <v>13.184411686340088</v>
      </c>
      <c r="DD46" s="94">
        <f t="shared" si="39"/>
        <v>14.085655669605602</v>
      </c>
      <c r="DF46" s="40">
        <f t="shared" si="40"/>
        <v>2.8866540918025541</v>
      </c>
      <c r="DG46" s="94">
        <v>42.945257714383601</v>
      </c>
      <c r="DH46" s="94">
        <v>16.644315236613298</v>
      </c>
      <c r="DI46" s="94">
        <v>14.137593022438447</v>
      </c>
      <c r="DJ46" s="94">
        <f t="shared" si="41"/>
        <v>30.781908259051747</v>
      </c>
      <c r="DK46" s="107"/>
      <c r="DL46" s="40">
        <f t="shared" si="42"/>
        <v>3.1047472891351457</v>
      </c>
      <c r="DM46" s="94">
        <v>3.6915934930501404</v>
      </c>
      <c r="DN46" s="94">
        <v>2.5400103403108023</v>
      </c>
      <c r="DO46" s="94">
        <v>1.320284532888897</v>
      </c>
      <c r="DP46" s="94">
        <f t="shared" si="43"/>
        <v>3.8602948731996993</v>
      </c>
    </row>
    <row r="47" spans="1:120" x14ac:dyDescent="0.2">
      <c r="A47" s="91">
        <f>name!B43</f>
        <v>0</v>
      </c>
      <c r="B47" s="40">
        <f t="shared" si="1"/>
        <v>2.865344899385458</v>
      </c>
      <c r="C47" s="11">
        <v>40.376210097149027</v>
      </c>
      <c r="D47" s="94">
        <v>12.806927196821107</v>
      </c>
      <c r="E47" s="94">
        <v>13.180811533634204</v>
      </c>
      <c r="F47" s="94">
        <f t="shared" si="2"/>
        <v>25.987738730455312</v>
      </c>
      <c r="G47" s="94"/>
      <c r="H47" s="40">
        <f t="shared" si="3"/>
        <v>2.7751718770929079</v>
      </c>
      <c r="I47" s="94">
        <v>9.3187758939343261</v>
      </c>
      <c r="J47" s="94">
        <v>1.4740755938305261</v>
      </c>
      <c r="K47" s="94">
        <v>2.934183240230555</v>
      </c>
      <c r="L47" s="94">
        <f t="shared" si="4"/>
        <v>4.4082588340610815</v>
      </c>
      <c r="N47" s="40">
        <f t="shared" si="5"/>
        <v>2.8011029016640654</v>
      </c>
      <c r="O47" s="94">
        <v>15.51970188832003</v>
      </c>
      <c r="P47" s="94">
        <v>4.6916947620293463</v>
      </c>
      <c r="Q47" s="94">
        <v>4.9382011045192602</v>
      </c>
      <c r="R47" s="94">
        <f t="shared" si="6"/>
        <v>9.6298958665486065</v>
      </c>
      <c r="S47" s="107"/>
      <c r="T47" s="40">
        <f t="shared" si="7"/>
        <v>2.9825975993459597</v>
      </c>
      <c r="U47" s="94">
        <v>15.537732314894669</v>
      </c>
      <c r="V47" s="94">
        <v>6.6411568409612336</v>
      </c>
      <c r="W47" s="94">
        <v>5.3084271888843881</v>
      </c>
      <c r="X47" s="94">
        <f t="shared" si="8"/>
        <v>11.949584029845621</v>
      </c>
      <c r="Y47" s="91">
        <f t="shared" si="0"/>
        <v>0</v>
      </c>
      <c r="Z47" s="40">
        <f t="shared" si="9"/>
        <v>3.0248158548996429</v>
      </c>
      <c r="AA47" s="11">
        <v>21.444049548280258</v>
      </c>
      <c r="AB47" s="94">
        <v>6.4637391240695505</v>
      </c>
      <c r="AC47" s="94">
        <v>7.4444690278107304</v>
      </c>
      <c r="AD47" s="94">
        <f t="shared" si="10"/>
        <v>13.908208151880281</v>
      </c>
      <c r="AE47" s="94"/>
      <c r="AF47" s="40">
        <f t="shared" si="11"/>
        <v>3.0872958603731293</v>
      </c>
      <c r="AG47" s="94">
        <v>2.7651222683057175</v>
      </c>
      <c r="AH47" s="94">
        <v>0.53339249467469196</v>
      </c>
      <c r="AI47" s="94">
        <v>0.98258633136794948</v>
      </c>
      <c r="AJ47" s="94">
        <f t="shared" si="12"/>
        <v>1.5159788260426414</v>
      </c>
      <c r="AL47" s="40">
        <f t="shared" si="13"/>
        <v>2.9781314195511888</v>
      </c>
      <c r="AM47" s="94">
        <v>6.7043000761876437</v>
      </c>
      <c r="AN47" s="94">
        <v>0.72118551121563768</v>
      </c>
      <c r="AO47" s="94">
        <v>2.286607135241129</v>
      </c>
      <c r="AP47" s="94">
        <f t="shared" si="14"/>
        <v>3.0077926464567666</v>
      </c>
      <c r="AQ47" s="107"/>
      <c r="AR47" s="40">
        <f t="shared" si="15"/>
        <v>3.0364271872712179</v>
      </c>
      <c r="AS47" s="94">
        <v>11.974627203786897</v>
      </c>
      <c r="AT47" s="94">
        <v>5.209161118179221</v>
      </c>
      <c r="AU47" s="94">
        <v>4.1752755612016514</v>
      </c>
      <c r="AV47" s="94">
        <f t="shared" si="16"/>
        <v>9.3844366793808724</v>
      </c>
      <c r="AW47" s="91">
        <f t="shared" si="17"/>
        <v>0</v>
      </c>
      <c r="AX47" s="40">
        <f t="shared" si="18"/>
        <v>2.6056938584245515</v>
      </c>
      <c r="AY47" s="11">
        <v>11.013605155901349</v>
      </c>
      <c r="AZ47" s="94">
        <v>1.0299128541872438</v>
      </c>
      <c r="BA47" s="94">
        <v>3.2307934614555975</v>
      </c>
      <c r="BB47" s="94">
        <f t="shared" si="19"/>
        <v>4.2607063156428415</v>
      </c>
      <c r="BC47" s="94"/>
      <c r="BD47" s="40">
        <f t="shared" si="20"/>
        <v>2.5171144014275004</v>
      </c>
      <c r="BE47" s="94">
        <v>2.5657167308459536</v>
      </c>
      <c r="BF47" s="94">
        <v>-2.0249829680665472E-2</v>
      </c>
      <c r="BG47" s="94">
        <v>0.72410556877585575</v>
      </c>
      <c r="BH47" s="94">
        <f t="shared" si="21"/>
        <v>0.70385573909519028</v>
      </c>
      <c r="BJ47" s="40">
        <f t="shared" si="22"/>
        <v>2.564691401725705</v>
      </c>
      <c r="BK47" s="94">
        <v>5.4392446032435906</v>
      </c>
      <c r="BL47" s="94">
        <v>0.51504624411421973</v>
      </c>
      <c r="BM47" s="94">
        <v>1.5675173974350798</v>
      </c>
      <c r="BN47" s="94">
        <f t="shared" si="23"/>
        <v>2.0825636415492994</v>
      </c>
      <c r="BO47" s="107"/>
      <c r="BP47" s="40">
        <f t="shared" si="24"/>
        <v>2.7539661724697684</v>
      </c>
      <c r="BQ47" s="94">
        <v>3.0086438218118041</v>
      </c>
      <c r="BR47" s="94">
        <v>0.53511643975368939</v>
      </c>
      <c r="BS47" s="94">
        <v>0.93917049524466201</v>
      </c>
      <c r="BT47" s="94">
        <f t="shared" si="25"/>
        <v>1.4742869349983514</v>
      </c>
      <c r="BU47" s="91">
        <f t="shared" si="26"/>
        <v>0</v>
      </c>
      <c r="BV47" s="40">
        <f t="shared" si="27"/>
        <v>2.7769349895925721</v>
      </c>
      <c r="BW47" s="11">
        <v>2.8680773838859954</v>
      </c>
      <c r="BX47" s="94">
        <v>1.8124842888357913</v>
      </c>
      <c r="BY47" s="94">
        <v>0.90371244599220335</v>
      </c>
      <c r="BZ47" s="94">
        <f t="shared" si="28"/>
        <v>2.7161967348279945</v>
      </c>
      <c r="CA47" s="94"/>
      <c r="CB47" s="40">
        <f t="shared" si="29"/>
        <v>2.6526063565382341</v>
      </c>
      <c r="CC47" s="94">
        <v>1.133194068533085</v>
      </c>
      <c r="CD47" s="94">
        <v>0.1263303128615518</v>
      </c>
      <c r="CE47" s="94">
        <v>0.33913232926021469</v>
      </c>
      <c r="CF47" s="94">
        <f t="shared" si="30"/>
        <v>0.46546264212176647</v>
      </c>
      <c r="CH47" s="40">
        <f t="shared" si="31"/>
        <v>2.7982733108218305</v>
      </c>
      <c r="CI47" s="94">
        <v>1.5036570788687731</v>
      </c>
      <c r="CJ47" s="94">
        <v>1.358746094911804</v>
      </c>
      <c r="CK47" s="94">
        <v>0.47790189710881065</v>
      </c>
      <c r="CL47" s="94">
        <f t="shared" si="32"/>
        <v>1.8366479920206147</v>
      </c>
      <c r="CM47" s="107"/>
      <c r="CN47" s="40">
        <f t="shared" si="33"/>
        <v>3.2347595318199085</v>
      </c>
      <c r="CO47" s="94">
        <v>0.23122623648413734</v>
      </c>
      <c r="CP47" s="94">
        <v>0.32740788106243529</v>
      </c>
      <c r="CQ47" s="94">
        <v>8.6678219623177913E-2</v>
      </c>
      <c r="CR47" s="94">
        <f t="shared" si="34"/>
        <v>0.41408610068561319</v>
      </c>
      <c r="CS47" s="91">
        <f t="shared" si="35"/>
        <v>0</v>
      </c>
      <c r="CT47" s="40">
        <f t="shared" si="36"/>
        <v>2.7931156217943398</v>
      </c>
      <c r="CU47" s="11">
        <v>5.0504780090814236</v>
      </c>
      <c r="CV47" s="94">
        <v>3.5007909297285211</v>
      </c>
      <c r="CW47" s="94">
        <v>1.6018365983756719</v>
      </c>
      <c r="CX47" s="94">
        <f t="shared" si="37"/>
        <v>5.1026275281041933</v>
      </c>
      <c r="CY47" s="94"/>
      <c r="CZ47" s="40">
        <f t="shared" si="38"/>
        <v>2.74636478298389</v>
      </c>
      <c r="DA47" s="94">
        <v>2.8547428262495687</v>
      </c>
      <c r="DB47" s="94">
        <v>0.83460261597494789</v>
      </c>
      <c r="DC47" s="94">
        <v>0.88835901082653501</v>
      </c>
      <c r="DD47" s="94">
        <f t="shared" si="39"/>
        <v>1.7229616268014829</v>
      </c>
      <c r="DF47" s="40">
        <f t="shared" si="40"/>
        <v>2.8441917872239486</v>
      </c>
      <c r="DG47" s="94">
        <v>1.8725001300200237</v>
      </c>
      <c r="DH47" s="94">
        <v>2.0967169117876856</v>
      </c>
      <c r="DI47" s="94">
        <v>0.60617467473424025</v>
      </c>
      <c r="DJ47" s="94">
        <f t="shared" si="41"/>
        <v>2.7028915865219258</v>
      </c>
      <c r="DK47" s="107"/>
      <c r="DL47" s="40">
        <f t="shared" si="42"/>
        <v>2.9080384999745856</v>
      </c>
      <c r="DM47" s="94">
        <v>0.32323505281183162</v>
      </c>
      <c r="DN47" s="94">
        <v>0.5694714019658873</v>
      </c>
      <c r="DO47" s="94">
        <v>0.10730291281489671</v>
      </c>
      <c r="DP47" s="94">
        <f t="shared" si="43"/>
        <v>0.67677431478078398</v>
      </c>
    </row>
    <row r="48" spans="1:120" x14ac:dyDescent="0.2">
      <c r="A48" s="91">
        <f>name!B44</f>
        <v>0</v>
      </c>
      <c r="B48" s="40">
        <f t="shared" si="1"/>
        <v>2.8169915417421754</v>
      </c>
      <c r="C48" s="11">
        <v>158.75130574877755</v>
      </c>
      <c r="D48" s="94">
        <v>31.053175488358242</v>
      </c>
      <c r="E48" s="94">
        <v>50.836604439456309</v>
      </c>
      <c r="F48" s="94">
        <f t="shared" si="2"/>
        <v>81.889779927814544</v>
      </c>
      <c r="G48" s="94"/>
      <c r="H48" s="40">
        <f t="shared" si="3"/>
        <v>2.7131406842493488</v>
      </c>
      <c r="I48" s="94">
        <v>37.269430586923946</v>
      </c>
      <c r="J48" s="94">
        <v>2.0080357660646397</v>
      </c>
      <c r="K48" s="94">
        <v>11.439976930786587</v>
      </c>
      <c r="L48" s="94">
        <f t="shared" si="4"/>
        <v>13.448012696851226</v>
      </c>
      <c r="N48" s="40">
        <f t="shared" si="5"/>
        <v>2.6835187325179533</v>
      </c>
      <c r="O48" s="94">
        <v>64.168727676686729</v>
      </c>
      <c r="P48" s="94">
        <v>9.648746828409589</v>
      </c>
      <c r="Q48" s="94">
        <v>19.45525621806194</v>
      </c>
      <c r="R48" s="94">
        <f t="shared" si="6"/>
        <v>29.104003046471529</v>
      </c>
      <c r="S48" s="107"/>
      <c r="T48" s="40">
        <f t="shared" si="7"/>
        <v>3.0307741956072665</v>
      </c>
      <c r="U48" s="94">
        <v>57.313147485166859</v>
      </c>
      <c r="V48" s="94">
        <v>19.396392893884016</v>
      </c>
      <c r="W48" s="94">
        <v>19.941371290607766</v>
      </c>
      <c r="X48" s="94">
        <f t="shared" si="8"/>
        <v>39.337764184491782</v>
      </c>
      <c r="Y48" s="91">
        <f t="shared" si="0"/>
        <v>0</v>
      </c>
      <c r="Z48" s="40">
        <f t="shared" si="9"/>
        <v>3.0844034831169376</v>
      </c>
      <c r="AA48" s="11">
        <v>54.043501876163091</v>
      </c>
      <c r="AB48" s="94">
        <v>16.838248878570081</v>
      </c>
      <c r="AC48" s="94">
        <v>19.18381203425853</v>
      </c>
      <c r="AD48" s="94">
        <f t="shared" si="10"/>
        <v>36.022060912828607</v>
      </c>
      <c r="AE48" s="94"/>
      <c r="AF48" s="40">
        <f t="shared" si="11"/>
        <v>3.0687126992563263</v>
      </c>
      <c r="AG48" s="94">
        <v>2.872339077635929</v>
      </c>
      <c r="AH48" s="94">
        <v>0.88105911598627318</v>
      </c>
      <c r="AI48" s="94">
        <v>1.0136737094918047</v>
      </c>
      <c r="AJ48" s="94">
        <f t="shared" si="12"/>
        <v>1.8947328254780778</v>
      </c>
      <c r="AL48" s="40">
        <f t="shared" si="13"/>
        <v>2.9854531104971826</v>
      </c>
      <c r="AM48" s="94">
        <v>8.4616752757594771</v>
      </c>
      <c r="AN48" s="94">
        <v>0.5129240985808613</v>
      </c>
      <c r="AO48" s="94">
        <v>2.8940583365838495</v>
      </c>
      <c r="AP48" s="94">
        <f t="shared" si="14"/>
        <v>3.4069824351647107</v>
      </c>
      <c r="AQ48" s="107"/>
      <c r="AR48" s="40">
        <f t="shared" si="15"/>
        <v>3.1049593059016889</v>
      </c>
      <c r="AS48" s="94">
        <v>42.709487522767688</v>
      </c>
      <c r="AT48" s="94">
        <v>15.444265664002945</v>
      </c>
      <c r="AU48" s="94">
        <v>15.276079988182877</v>
      </c>
      <c r="AV48" s="94">
        <f t="shared" si="16"/>
        <v>30.72034565218582</v>
      </c>
      <c r="AW48" s="91">
        <f t="shared" si="17"/>
        <v>0</v>
      </c>
      <c r="AX48" s="40">
        <f t="shared" si="18"/>
        <v>2.6049805214462873</v>
      </c>
      <c r="AY48" s="11">
        <v>67.279720597550053</v>
      </c>
      <c r="AZ48" s="94">
        <v>-1.7061260839949342</v>
      </c>
      <c r="BA48" s="94">
        <v>19.73016584504331</v>
      </c>
      <c r="BB48" s="94">
        <f t="shared" si="19"/>
        <v>18.024039761048375</v>
      </c>
      <c r="BC48" s="94"/>
      <c r="BD48" s="40">
        <f t="shared" si="20"/>
        <v>2.5409532368865007</v>
      </c>
      <c r="BE48" s="94">
        <v>14.926976334729311</v>
      </c>
      <c r="BF48" s="94">
        <v>-1.3830273865244627</v>
      </c>
      <c r="BG48" s="94">
        <v>4.2572967639145958</v>
      </c>
      <c r="BH48" s="94">
        <f t="shared" si="21"/>
        <v>2.8742693773901333</v>
      </c>
      <c r="BJ48" s="40">
        <f t="shared" si="22"/>
        <v>2.5796718808031471</v>
      </c>
      <c r="BK48" s="94">
        <v>40.385319730226364</v>
      </c>
      <c r="BL48" s="94">
        <v>-0.75084702548436888</v>
      </c>
      <c r="BM48" s="94">
        <v>11.714543255967428</v>
      </c>
      <c r="BN48" s="94">
        <f t="shared" si="23"/>
        <v>10.963696230483059</v>
      </c>
      <c r="BO48" s="107"/>
      <c r="BP48" s="40">
        <f t="shared" si="24"/>
        <v>2.7687485385664345</v>
      </c>
      <c r="BQ48" s="94">
        <v>11.967424532594377</v>
      </c>
      <c r="BR48" s="94">
        <v>0.42774832801389723</v>
      </c>
      <c r="BS48" s="94">
        <v>3.7583258251612852</v>
      </c>
      <c r="BT48" s="94">
        <f t="shared" si="25"/>
        <v>4.1860741531751824</v>
      </c>
      <c r="BU48" s="91">
        <f t="shared" si="26"/>
        <v>0</v>
      </c>
      <c r="BV48" s="40">
        <f t="shared" si="27"/>
        <v>2.518201489640326</v>
      </c>
      <c r="BW48" s="11">
        <v>11.027664527945932</v>
      </c>
      <c r="BX48" s="94">
        <v>1.3879359269084375</v>
      </c>
      <c r="BY48" s="94">
        <v>3.1137656010156576</v>
      </c>
      <c r="BZ48" s="94">
        <f t="shared" si="28"/>
        <v>4.5017015279240953</v>
      </c>
      <c r="CA48" s="94"/>
      <c r="CB48" s="40">
        <f t="shared" si="29"/>
        <v>2.4600010102901804</v>
      </c>
      <c r="CC48" s="94">
        <v>4.6043551889988352</v>
      </c>
      <c r="CD48" s="94">
        <v>-9.4762721156135488E-2</v>
      </c>
      <c r="CE48" s="94">
        <v>1.2666488182504458</v>
      </c>
      <c r="CF48" s="94">
        <f t="shared" si="30"/>
        <v>1.1718860970943104</v>
      </c>
      <c r="CH48" s="40">
        <f t="shared" si="31"/>
        <v>2.5135092689739569</v>
      </c>
      <c r="CI48" s="94">
        <v>5.3897928205850842</v>
      </c>
      <c r="CJ48" s="94">
        <v>0.93986804735963958</v>
      </c>
      <c r="CK48" s="94">
        <v>1.5186963016257615</v>
      </c>
      <c r="CL48" s="94">
        <f t="shared" si="32"/>
        <v>2.458564348985401</v>
      </c>
      <c r="CM48" s="107"/>
      <c r="CN48" s="40">
        <f t="shared" si="33"/>
        <v>2.7978329732376128</v>
      </c>
      <c r="CO48" s="94">
        <v>1.0335165183620134</v>
      </c>
      <c r="CP48" s="94">
        <v>0.5428306007049335</v>
      </c>
      <c r="CQ48" s="94">
        <v>0.32842048113944977</v>
      </c>
      <c r="CR48" s="94">
        <f t="shared" si="34"/>
        <v>0.87125108184438327</v>
      </c>
      <c r="CS48" s="91">
        <f t="shared" si="35"/>
        <v>0</v>
      </c>
      <c r="CT48" s="40">
        <f t="shared" si="36"/>
        <v>2.9211505487475975</v>
      </c>
      <c r="CU48" s="11">
        <v>26.400418747118454</v>
      </c>
      <c r="CV48" s="94">
        <v>14.533116766874658</v>
      </c>
      <c r="CW48" s="94">
        <v>8.8088609591388032</v>
      </c>
      <c r="CX48" s="94">
        <f t="shared" si="37"/>
        <v>23.341977726013461</v>
      </c>
      <c r="CY48" s="94"/>
      <c r="CZ48" s="40">
        <f t="shared" si="38"/>
        <v>2.8911023071172881</v>
      </c>
      <c r="DA48" s="94">
        <v>14.865759985559873</v>
      </c>
      <c r="DB48" s="94">
        <v>2.6047667577589646</v>
      </c>
      <c r="DC48" s="94">
        <v>4.9023576391297414</v>
      </c>
      <c r="DD48" s="94">
        <f t="shared" si="39"/>
        <v>7.507124396888706</v>
      </c>
      <c r="DF48" s="40">
        <f t="shared" si="40"/>
        <v>2.9320472834624356</v>
      </c>
      <c r="DG48" s="94">
        <v>9.9319398501158016</v>
      </c>
      <c r="DH48" s="94">
        <v>8.9468017079534565</v>
      </c>
      <c r="DI48" s="94">
        <v>3.3279583238849022</v>
      </c>
      <c r="DJ48" s="94">
        <f t="shared" si="41"/>
        <v>12.274760031838358</v>
      </c>
      <c r="DK48" s="107"/>
      <c r="DL48" s="40">
        <f t="shared" si="42"/>
        <v>3.1300160142738953</v>
      </c>
      <c r="DM48" s="94">
        <v>1.6027189114427818</v>
      </c>
      <c r="DN48" s="94">
        <v>2.981548301162237</v>
      </c>
      <c r="DO48" s="94">
        <v>0.57854499612415899</v>
      </c>
      <c r="DP48" s="94">
        <f t="shared" si="43"/>
        <v>3.5600932972863961</v>
      </c>
    </row>
    <row r="49" spans="1:120" x14ac:dyDescent="0.2">
      <c r="B49" s="40"/>
      <c r="C49" s="94"/>
      <c r="D49" s="94"/>
      <c r="E49" s="94"/>
      <c r="F49" s="94"/>
      <c r="G49" s="94"/>
      <c r="H49" s="40"/>
      <c r="I49" s="94"/>
      <c r="J49" s="94"/>
      <c r="K49" s="94"/>
      <c r="L49" s="94"/>
      <c r="N49" s="40"/>
      <c r="O49" s="94"/>
      <c r="P49" s="94"/>
      <c r="Q49" s="94"/>
      <c r="R49" s="94"/>
      <c r="S49" s="107"/>
      <c r="T49" s="40"/>
      <c r="U49" s="94"/>
      <c r="V49" s="94"/>
      <c r="W49" s="94"/>
      <c r="X49" s="94"/>
      <c r="Z49" s="40"/>
      <c r="AA49" s="94"/>
      <c r="AB49" s="94"/>
      <c r="AC49" s="94"/>
      <c r="AD49" s="94"/>
      <c r="AE49" s="94"/>
      <c r="AF49" s="40"/>
      <c r="AG49" s="94"/>
      <c r="AH49" s="94"/>
      <c r="AI49" s="94"/>
      <c r="AJ49" s="94"/>
      <c r="AL49" s="40"/>
      <c r="AM49" s="94"/>
      <c r="AN49" s="94"/>
      <c r="AO49" s="94"/>
      <c r="AP49" s="94"/>
      <c r="AQ49" s="107"/>
      <c r="AR49" s="40"/>
      <c r="AS49" s="94"/>
      <c r="AT49" s="94"/>
      <c r="AU49" s="94"/>
      <c r="AV49" s="94"/>
      <c r="AX49" s="40"/>
      <c r="AY49" s="94"/>
      <c r="AZ49" s="94"/>
      <c r="BA49" s="94"/>
      <c r="BB49" s="94"/>
      <c r="BC49" s="94"/>
      <c r="BD49" s="40"/>
      <c r="BE49" s="94"/>
      <c r="BF49" s="94"/>
      <c r="BG49" s="94"/>
      <c r="BH49" s="94"/>
      <c r="BJ49" s="40"/>
      <c r="BK49" s="94"/>
      <c r="BL49" s="94"/>
      <c r="BM49" s="94"/>
      <c r="BN49" s="94"/>
      <c r="BO49" s="107"/>
      <c r="BP49" s="40"/>
      <c r="BQ49" s="94"/>
      <c r="BR49" s="94"/>
      <c r="BS49" s="94"/>
      <c r="BT49" s="94"/>
      <c r="BV49" s="40"/>
      <c r="BW49" s="94"/>
      <c r="BX49" s="94"/>
      <c r="BY49" s="94"/>
      <c r="BZ49" s="94"/>
      <c r="CA49" s="94"/>
      <c r="CB49" s="40"/>
      <c r="CC49" s="94"/>
      <c r="CD49" s="94"/>
      <c r="CE49" s="94"/>
      <c r="CF49" s="94"/>
      <c r="CH49" s="40"/>
      <c r="CI49" s="94"/>
      <c r="CJ49" s="94"/>
      <c r="CK49" s="94"/>
      <c r="CL49" s="94"/>
      <c r="CM49" s="107"/>
      <c r="CN49" s="40"/>
      <c r="CO49" s="94"/>
      <c r="CP49" s="94"/>
      <c r="CQ49" s="94"/>
      <c r="CR49" s="94"/>
      <c r="CT49" s="40"/>
      <c r="CU49" s="94"/>
      <c r="CV49" s="94"/>
      <c r="CW49" s="94"/>
      <c r="CX49" s="94"/>
      <c r="CY49" s="94"/>
      <c r="CZ49" s="40"/>
      <c r="DA49" s="94"/>
      <c r="DB49" s="94"/>
      <c r="DC49" s="94"/>
      <c r="DD49" s="94"/>
      <c r="DF49" s="40"/>
      <c r="DG49" s="94"/>
      <c r="DH49" s="94"/>
      <c r="DI49" s="94"/>
      <c r="DJ49" s="94"/>
      <c r="DK49" s="107"/>
      <c r="DL49" s="40"/>
      <c r="DM49" s="94"/>
      <c r="DN49" s="94"/>
      <c r="DO49" s="94"/>
      <c r="DP49" s="94"/>
    </row>
    <row r="50" spans="1:120" x14ac:dyDescent="0.2">
      <c r="A50" s="92" t="str">
        <f>name!B3</f>
        <v>All industries</v>
      </c>
      <c r="B50" s="43">
        <f t="shared" si="1"/>
        <v>2.7912372459239387</v>
      </c>
      <c r="C50" s="93">
        <v>4561.2992279926211</v>
      </c>
      <c r="D50" s="93">
        <v>431.97496524334053</v>
      </c>
      <c r="E50" s="93">
        <v>1445.5882710202891</v>
      </c>
      <c r="F50" s="93">
        <f t="shared" si="2"/>
        <v>1877.5632362636297</v>
      </c>
      <c r="G50" s="93"/>
      <c r="H50" s="43">
        <f t="shared" si="3"/>
        <v>2.6517730789267446</v>
      </c>
      <c r="I50" s="93">
        <v>774.77767553257945</v>
      </c>
      <c r="J50" s="93">
        <v>-90.9176985646708</v>
      </c>
      <c r="K50" s="93">
        <v>231.78692033646578</v>
      </c>
      <c r="L50" s="93">
        <f>SUM(J50:K50)</f>
        <v>140.86922177179497</v>
      </c>
      <c r="M50" s="92"/>
      <c r="N50" s="43">
        <f t="shared" si="5"/>
        <v>2.6893242464146816</v>
      </c>
      <c r="O50" s="93">
        <v>1810.6123702397726</v>
      </c>
      <c r="P50" s="93">
        <v>208.84741372398935</v>
      </c>
      <c r="Q50" s="93">
        <v>550.29225403969679</v>
      </c>
      <c r="R50" s="93">
        <f>SUM(P50:Q50)</f>
        <v>759.13966776368613</v>
      </c>
      <c r="S50" s="108"/>
      <c r="T50" s="43">
        <f t="shared" si="7"/>
        <v>2.9376202991175049</v>
      </c>
      <c r="U50" s="93">
        <v>1975.9091822202711</v>
      </c>
      <c r="V50" s="93">
        <v>314.04525008402186</v>
      </c>
      <c r="W50" s="93">
        <v>663.50909664412427</v>
      </c>
      <c r="X50" s="93">
        <f>SUM(V50:W50)</f>
        <v>977.55434672814613</v>
      </c>
      <c r="Y50" s="92" t="str">
        <f>A50</f>
        <v>All industries</v>
      </c>
      <c r="Z50" s="43">
        <f>IF(AA50&gt;0,((1+(AC50/AA50))^(1/($A$101-$A$100))-1)*100,0)</f>
        <v>2.9771972098236787</v>
      </c>
      <c r="AA50" s="93">
        <v>2141.7348734083043</v>
      </c>
      <c r="AB50" s="93">
        <v>328.18012130131888</v>
      </c>
      <c r="AC50" s="93">
        <v>730.21185757939747</v>
      </c>
      <c r="AD50" s="93">
        <f>SUM(AB50:AC50)</f>
        <v>1058.3919788807164</v>
      </c>
      <c r="AE50" s="93"/>
      <c r="AF50" s="43">
        <f>IF(AG50&gt;0,((1+(AI50/AG50))^(1/($A$101-$A$100))-1)*100,0)</f>
        <v>3.0280155732974823</v>
      </c>
      <c r="AG50" s="93">
        <v>114.36183531349347</v>
      </c>
      <c r="AH50" s="93">
        <v>10.806009020856356</v>
      </c>
      <c r="AI50" s="93">
        <v>39.749458273691218</v>
      </c>
      <c r="AJ50" s="93">
        <f>SUM(AH50:AI50)</f>
        <v>50.555467294547576</v>
      </c>
      <c r="AK50" s="92"/>
      <c r="AL50" s="43">
        <f>IF(AM50&gt;0,((1+(AO50/AM50))^(1/($A$101-$A$100))-1)*100,0)</f>
        <v>2.9663353480916088</v>
      </c>
      <c r="AM50" s="93">
        <v>484.03376220781502</v>
      </c>
      <c r="AN50" s="93">
        <v>80.752171418150368</v>
      </c>
      <c r="AO50" s="93">
        <v>164.34415782441963</v>
      </c>
      <c r="AP50" s="93">
        <f>SUM(AN50:AO50)</f>
        <v>245.09632924256999</v>
      </c>
      <c r="AQ50" s="108"/>
      <c r="AR50" s="43">
        <f>IF(AS50&gt;0,((1+(AU50/AS50))^(1/($A$101-$A$100))-1)*100,0)</f>
        <v>2.9768281396108875</v>
      </c>
      <c r="AS50" s="93">
        <v>1543.3392758869961</v>
      </c>
      <c r="AT50" s="93">
        <v>236.62194086231219</v>
      </c>
      <c r="AU50" s="93">
        <v>526.11824148128676</v>
      </c>
      <c r="AV50" s="93">
        <f>SUM(AT50:AU50)</f>
        <v>762.74018234359892</v>
      </c>
      <c r="AW50" s="92" t="str">
        <f>Y50</f>
        <v>All industries</v>
      </c>
      <c r="AX50" s="43">
        <f>IF(AY50&gt;0,((1+(BA50/AY50))^(1/($A$101-$A$100))-1)*100,0)</f>
        <v>2.5960689907792656</v>
      </c>
      <c r="AY50" s="93">
        <v>1169.4910110900296</v>
      </c>
      <c r="AZ50" s="93">
        <v>61.012733866251224</v>
      </c>
      <c r="BA50" s="93">
        <v>341.64688672572964</v>
      </c>
      <c r="BB50" s="93">
        <f>SUM(AZ50:BA50)</f>
        <v>402.65962059198085</v>
      </c>
      <c r="BC50" s="93"/>
      <c r="BD50" s="43">
        <f>IF(BE50&gt;0,((1+(BG50/BE50))^(1/($A$101-$A$100))-1)*100,0)</f>
        <v>2.5108134589674425</v>
      </c>
      <c r="BE50" s="93">
        <v>196.77997170605971</v>
      </c>
      <c r="BF50" s="93">
        <v>-19.19988351079143</v>
      </c>
      <c r="BG50" s="93">
        <v>55.380896948664599</v>
      </c>
      <c r="BH50" s="93">
        <f>SUM(BF50:BG50)</f>
        <v>36.181013437873169</v>
      </c>
      <c r="BI50" s="92"/>
      <c r="BJ50" s="43">
        <f>IF(BK50&gt;0,((1+(BM50/BK50))^(1/($A$101-$A$100))-1)*100,0)</f>
        <v>2.5531077119064882</v>
      </c>
      <c r="BK50" s="93">
        <v>650.12175377402275</v>
      </c>
      <c r="BL50" s="93">
        <v>42.192712487148434</v>
      </c>
      <c r="BM50" s="93">
        <v>186.41100647521165</v>
      </c>
      <c r="BN50" s="93">
        <f>SUM(BL50:BM50)</f>
        <v>228.60371896236009</v>
      </c>
      <c r="BO50" s="108"/>
      <c r="BP50" s="43">
        <f>IF(BQ50&gt;0,((1+(BS50/BQ50))^(1/($A$101-$A$100))-1)*100,0)</f>
        <v>2.7334678665663192</v>
      </c>
      <c r="BQ50" s="93">
        <v>322.58928560994713</v>
      </c>
      <c r="BR50" s="93">
        <v>38.019904889894228</v>
      </c>
      <c r="BS50" s="93">
        <v>99.854983301853494</v>
      </c>
      <c r="BT50" s="93">
        <f>SUM(BR50:BS50)</f>
        <v>137.87488819174771</v>
      </c>
      <c r="BU50" s="92" t="str">
        <f>AW50</f>
        <v>All industries</v>
      </c>
      <c r="BV50" s="43">
        <f>IF(BW50&gt;0,((1+(BY50/BW50))^(1/($A$101-$A$100))-1)*100,0)</f>
        <v>2.5889208699682698</v>
      </c>
      <c r="BW50" s="93">
        <v>786.26148565798121</v>
      </c>
      <c r="BX50" s="93">
        <v>-16.768227409449015</v>
      </c>
      <c r="BY50" s="93">
        <v>228.98528730973825</v>
      </c>
      <c r="BZ50" s="93">
        <f>SUM(BX50:BY50)</f>
        <v>212.21705990028923</v>
      </c>
      <c r="CA50" s="93"/>
      <c r="CB50" s="43">
        <f>IF(CC50&gt;0,((1+(CE50/CC50))^(1/($A$101-$A$100))-1)*100,0)</f>
        <v>2.5278948366694864</v>
      </c>
      <c r="CC50" s="93">
        <v>257.91842111045776</v>
      </c>
      <c r="CD50" s="93">
        <v>-52.179148361626908</v>
      </c>
      <c r="CE50" s="93">
        <v>73.138570554183204</v>
      </c>
      <c r="CF50" s="93">
        <f>SUM(CD50:CE50)</f>
        <v>20.959422192556296</v>
      </c>
      <c r="CG50" s="92"/>
      <c r="CH50" s="43">
        <f>IF(CI50&gt;0,((1+(CK50/CI50))^(1/($A$101-$A$100))-1)*100,0)</f>
        <v>2.5655949055339189</v>
      </c>
      <c r="CI50" s="93">
        <v>462.50112579230256</v>
      </c>
      <c r="CJ50" s="93">
        <v>18.263082416840735</v>
      </c>
      <c r="CK50" s="93">
        <v>133.33911166207648</v>
      </c>
      <c r="CL50" s="93">
        <f>SUM(CJ50:CK50)</f>
        <v>151.60219407891722</v>
      </c>
      <c r="CM50" s="108"/>
      <c r="CN50" s="43">
        <f>IF(CO50&gt;0,((1+(CQ50/CO50))^(1/($A$101-$A$100))-1)*100,0)</f>
        <v>2.9840981402702971</v>
      </c>
      <c r="CO50" s="93">
        <v>65.841938755220539</v>
      </c>
      <c r="CP50" s="93">
        <v>17.147838535337179</v>
      </c>
      <c r="CQ50" s="93">
        <v>22.507605093478684</v>
      </c>
      <c r="CR50" s="93">
        <f>SUM(CP50:CQ50)</f>
        <v>39.65544362881586</v>
      </c>
      <c r="CS50" s="92" t="str">
        <f>BU50</f>
        <v>All industries</v>
      </c>
      <c r="CT50" s="43">
        <f>IF(CU50&gt;0,((1+(CW50/CU50))^(1/($A$101-$A$100))-1)*100,0)</f>
        <v>2.7533233225370157</v>
      </c>
      <c r="CU50" s="93">
        <v>463.81185783630696</v>
      </c>
      <c r="CV50" s="93">
        <v>59.550337485219423</v>
      </c>
      <c r="CW50" s="93">
        <v>144.74423940542175</v>
      </c>
      <c r="CX50" s="93">
        <f>SUM(CV50:CW50)</f>
        <v>204.29457689064117</v>
      </c>
      <c r="CY50" s="93"/>
      <c r="CZ50" s="43">
        <f>IF(DA50&gt;0,((1+(DC50/DA50))^(1/($A$101-$A$100))-1)*100,0)</f>
        <v>2.7273559755584653</v>
      </c>
      <c r="DA50" s="93">
        <v>205.71744740256855</v>
      </c>
      <c r="DB50" s="93">
        <v>-30.344675713108767</v>
      </c>
      <c r="DC50" s="93">
        <v>63.517994559926827</v>
      </c>
      <c r="DD50" s="93">
        <f>SUM(DB50:DC50)</f>
        <v>33.173318846818063</v>
      </c>
      <c r="DE50" s="92"/>
      <c r="DF50" s="43">
        <f>IF(DG50&gt;0,((1+(DI50/DG50))^(1/($A$101-$A$100))-1)*100,0)</f>
        <v>2.7323553670193235</v>
      </c>
      <c r="DG50" s="93">
        <v>213.95572846563186</v>
      </c>
      <c r="DH50" s="93">
        <v>67.639447401849822</v>
      </c>
      <c r="DI50" s="93">
        <v>66.197978077989319</v>
      </c>
      <c r="DJ50" s="93">
        <f>SUM(DH50:DI50)</f>
        <v>133.83742547983914</v>
      </c>
      <c r="DK50" s="108"/>
      <c r="DL50" s="43">
        <f>IF(DM50&gt;0,((1+(DO50/DM50))^(1/($A$101-$A$100))-1)*100,0)</f>
        <v>2.9736201868302725</v>
      </c>
      <c r="DM50" s="93">
        <v>44.13868196810671</v>
      </c>
      <c r="DN50" s="93">
        <v>22.25556579647839</v>
      </c>
      <c r="DO50" s="93">
        <v>15.028266767505601</v>
      </c>
      <c r="DP50" s="93">
        <f>SUM(DN50:DO50)</f>
        <v>37.283832563983992</v>
      </c>
    </row>
    <row r="51" spans="1:120" x14ac:dyDescent="0.2">
      <c r="B51" s="94"/>
      <c r="C51" s="94"/>
      <c r="D51" s="94"/>
      <c r="E51" s="94"/>
      <c r="F51" s="94"/>
      <c r="G51" s="94"/>
      <c r="Z51" s="94"/>
      <c r="AA51" s="94"/>
      <c r="AB51" s="94"/>
      <c r="AC51" s="94"/>
      <c r="AD51" s="94"/>
      <c r="AE51" s="94"/>
      <c r="AX51" s="94"/>
      <c r="AY51" s="94"/>
      <c r="AZ51" s="94"/>
      <c r="BA51" s="94"/>
      <c r="BB51" s="94"/>
      <c r="BC51" s="94"/>
      <c r="BV51" s="94"/>
      <c r="BW51" s="94"/>
      <c r="BX51" s="94"/>
      <c r="BY51" s="94"/>
      <c r="BZ51" s="94"/>
      <c r="CA51" s="94"/>
      <c r="CT51" s="94"/>
      <c r="CU51" s="94"/>
      <c r="CV51" s="94"/>
      <c r="CW51" s="94"/>
      <c r="CX51" s="94"/>
      <c r="CY51" s="94"/>
    </row>
    <row r="52" spans="1:120" x14ac:dyDescent="0.2">
      <c r="A52" s="91" t="str">
        <f ca="1">CELL("filename")</f>
        <v>M:\IE\Projects\Nuffield via NFER AI and automation\Data\Results\Workbooks\MCAs\NE_MCA\[NE_MCA_MainTables.Main.xlsm]Manager</v>
      </c>
      <c r="B52" s="94"/>
      <c r="C52" s="94"/>
      <c r="D52" s="94"/>
      <c r="E52" s="94"/>
      <c r="F52" s="94"/>
      <c r="G52" s="94"/>
      <c r="Y52" s="91" t="str">
        <f ca="1">CELL("filename")</f>
        <v>M:\IE\Projects\Nuffield via NFER AI and automation\Data\Results\Workbooks\MCAs\NE_MCA\[NE_MCA_MainTables.Main.xlsm]Manager</v>
      </c>
      <c r="Z52" s="94"/>
      <c r="AA52" s="94"/>
      <c r="AB52" s="94"/>
      <c r="AC52" s="94"/>
      <c r="AD52" s="94"/>
      <c r="AE52" s="94"/>
      <c r="AW52" s="91" t="str">
        <f ca="1">CELL("filename")</f>
        <v>M:\IE\Projects\Nuffield via NFER AI and automation\Data\Results\Workbooks\MCAs\NE_MCA\[NE_MCA_MainTables.Main.xlsm]Manager</v>
      </c>
      <c r="AX52" s="94"/>
      <c r="AY52" s="94"/>
      <c r="AZ52" s="94"/>
      <c r="BA52" s="94"/>
      <c r="BB52" s="94"/>
      <c r="BC52" s="94"/>
      <c r="BU52" s="91" t="str">
        <f ca="1">CELL("filename")</f>
        <v>M:\IE\Projects\Nuffield via NFER AI and automation\Data\Results\Workbooks\MCAs\NE_MCA\[NE_MCA_MainTables.Main.xlsm]Manager</v>
      </c>
      <c r="BV52" s="94"/>
      <c r="BW52" s="94"/>
      <c r="BX52" s="94"/>
      <c r="BY52" s="94"/>
      <c r="BZ52" s="94"/>
      <c r="CA52" s="94"/>
      <c r="CS52" s="91" t="str">
        <f ca="1">CELL("filename")</f>
        <v>M:\IE\Projects\Nuffield via NFER AI and automation\Data\Results\Workbooks\MCAs\NE_MCA\[NE_MCA_MainTables.Main.xlsm]Manager</v>
      </c>
      <c r="CT52" s="94"/>
      <c r="CU52" s="94"/>
      <c r="CV52" s="94"/>
      <c r="CW52" s="94"/>
      <c r="CX52" s="94"/>
      <c r="CY52" s="94"/>
    </row>
    <row r="53" spans="1:120" ht="15.75" x14ac:dyDescent="0.25">
      <c r="A53" s="19" t="str">
        <f>CONCATENATE("Basic Table 5  Replacement Demand, ",A100,"-",A101,", by Industry Group and Qualification for ",name!$H$3)</f>
        <v>Basic Table 5  Replacement Demand, 2015-2025, by Industry Group and Qualification for M</v>
      </c>
      <c r="Y53" s="19" t="str">
        <f>CONCATENATE("Basic Table 5  Replacement Demand, ",A100,"-",A101,", by Industry Group and Qualification for ",name!$H$4)</f>
        <v>Basic Table 5  Replacement Demand, 2015-2025, by Industry Group and Qualification for F</v>
      </c>
      <c r="AW53" s="19" t="str">
        <f>CONCATENATE("Basic Table 5  Replacement Demand, ",A100,"-",A101,", by Industry Group and Qualification for ",name!$H$5)</f>
        <v xml:space="preserve">Basic Table 5  Replacement Demand, 2015-2025, by Industry Group and Qualification for </v>
      </c>
      <c r="BU53" s="19" t="str">
        <f>CONCATENATE("Basic Table 5  Replacement Demand, ",A100,"-",A101,", by Industry Group and Qualification for ",name!$H$6)</f>
        <v xml:space="preserve">Basic Table 5  Replacement Demand, 2015-2025, by Industry Group and Qualification for </v>
      </c>
      <c r="CS53" s="19" t="str">
        <f>CONCATENATE("Basic Table 5  Replacement Demand, ",A100,"-",A101,", by Industry Group and Qualification for ",name!$H$7)</f>
        <v xml:space="preserve">Basic Table 5  Replacement Demand, 2015-2025, by Industry Group and Qualification for </v>
      </c>
    </row>
    <row r="55" spans="1:120" x14ac:dyDescent="0.2">
      <c r="A55" s="92"/>
      <c r="B55" s="92"/>
      <c r="C55" s="92"/>
      <c r="D55" s="92"/>
      <c r="E55" s="92"/>
      <c r="F55" s="92"/>
      <c r="G55" s="92"/>
      <c r="H55" s="92"/>
      <c r="I55" s="92"/>
      <c r="J55" s="92"/>
      <c r="K55" s="92"/>
      <c r="L55" s="92"/>
      <c r="M55" s="92"/>
      <c r="N55" s="92"/>
      <c r="O55" s="92"/>
      <c r="P55" s="92"/>
      <c r="Q55" s="92"/>
      <c r="R55" s="92"/>
      <c r="S55" s="92"/>
      <c r="T55" s="92"/>
      <c r="U55" s="92"/>
      <c r="V55" s="92"/>
      <c r="W55" s="92"/>
      <c r="X55" s="116" t="str">
        <f>$X$3</f>
        <v>thousands</v>
      </c>
      <c r="Y55" s="92"/>
      <c r="Z55" s="92"/>
      <c r="AA55" s="92"/>
      <c r="AB55" s="92"/>
      <c r="AC55" s="92"/>
      <c r="AD55" s="92"/>
      <c r="AE55" s="92"/>
      <c r="AF55" s="92"/>
      <c r="AG55" s="92"/>
      <c r="AH55" s="92"/>
      <c r="AI55" s="92"/>
      <c r="AJ55" s="92"/>
      <c r="AK55" s="92"/>
      <c r="AL55" s="92"/>
      <c r="AM55" s="92"/>
      <c r="AN55" s="92"/>
      <c r="AO55" s="92"/>
      <c r="AP55" s="92"/>
      <c r="AQ55" s="92"/>
      <c r="AR55" s="92"/>
      <c r="AS55" s="92"/>
      <c r="AT55" s="92"/>
      <c r="AU55" s="92"/>
      <c r="AV55" s="116" t="str">
        <f>$X$3</f>
        <v>thousands</v>
      </c>
      <c r="AW55" s="92"/>
      <c r="AX55" s="92"/>
      <c r="AY55" s="92"/>
      <c r="AZ55" s="92"/>
      <c r="BA55" s="92"/>
      <c r="BB55" s="92"/>
      <c r="BC55" s="92"/>
      <c r="BD55" s="92"/>
      <c r="BE55" s="92"/>
      <c r="BF55" s="92"/>
      <c r="BG55" s="92"/>
      <c r="BH55" s="92"/>
      <c r="BI55" s="92"/>
      <c r="BJ55" s="92"/>
      <c r="BK55" s="92"/>
      <c r="BL55" s="92"/>
      <c r="BM55" s="92"/>
      <c r="BN55" s="92"/>
      <c r="BO55" s="92"/>
      <c r="BP55" s="92"/>
      <c r="BQ55" s="92"/>
      <c r="BR55" s="92"/>
      <c r="BS55" s="92"/>
      <c r="BT55" s="116" t="str">
        <f>$X$3</f>
        <v>thousands</v>
      </c>
      <c r="BU55" s="92"/>
      <c r="BV55" s="92"/>
      <c r="BW55" s="92"/>
      <c r="BX55" s="92"/>
      <c r="BY55" s="92"/>
      <c r="BZ55" s="92"/>
      <c r="CA55" s="92"/>
      <c r="CB55" s="92"/>
      <c r="CC55" s="92"/>
      <c r="CD55" s="92"/>
      <c r="CE55" s="92"/>
      <c r="CF55" s="92"/>
      <c r="CG55" s="92"/>
      <c r="CH55" s="92"/>
      <c r="CI55" s="92"/>
      <c r="CJ55" s="92"/>
      <c r="CK55" s="92"/>
      <c r="CL55" s="92"/>
      <c r="CM55" s="92"/>
      <c r="CN55" s="92"/>
      <c r="CO55" s="92"/>
      <c r="CP55" s="92"/>
      <c r="CQ55" s="92"/>
      <c r="CR55" s="116" t="str">
        <f>$X$3</f>
        <v>thousands</v>
      </c>
      <c r="CS55" s="92"/>
      <c r="CT55" s="92"/>
      <c r="CU55" s="92"/>
      <c r="CV55" s="92"/>
      <c r="CW55" s="92"/>
      <c r="CX55" s="92"/>
      <c r="CY55" s="92"/>
      <c r="CZ55" s="92"/>
      <c r="DA55" s="92"/>
      <c r="DB55" s="92"/>
      <c r="DC55" s="92"/>
      <c r="DD55" s="92"/>
      <c r="DE55" s="92"/>
      <c r="DF55" s="92"/>
      <c r="DG55" s="92"/>
      <c r="DH55" s="92"/>
      <c r="DI55" s="92"/>
      <c r="DJ55" s="92"/>
      <c r="DK55" s="92"/>
      <c r="DL55" s="92"/>
      <c r="DM55" s="92"/>
      <c r="DN55" s="92"/>
      <c r="DO55" s="92"/>
      <c r="DP55" s="116" t="str">
        <f>$X$3</f>
        <v>thousands</v>
      </c>
    </row>
    <row r="56" spans="1:120" x14ac:dyDescent="0.2">
      <c r="B56" s="385" t="str">
        <f>B4</f>
        <v>All qualifications</v>
      </c>
      <c r="C56" s="385"/>
      <c r="D56" s="385"/>
      <c r="E56" s="385"/>
      <c r="F56" s="385"/>
      <c r="G56" s="114"/>
      <c r="H56" s="385" t="str">
        <f>H4</f>
        <v>RQF8 Doctorate</v>
      </c>
      <c r="I56" s="385"/>
      <c r="J56" s="385"/>
      <c r="K56" s="385"/>
      <c r="L56" s="385"/>
      <c r="M56" s="114"/>
      <c r="N56" s="384" t="str">
        <f>N4</f>
        <v>RQF7 Other higher degree</v>
      </c>
      <c r="O56" s="384"/>
      <c r="P56" s="384"/>
      <c r="Q56" s="384"/>
      <c r="R56" s="384"/>
      <c r="S56" s="111"/>
      <c r="T56" s="384" t="str">
        <f>T4</f>
        <v>RQF6 First degree</v>
      </c>
      <c r="U56" s="384"/>
      <c r="V56" s="384"/>
      <c r="W56" s="384"/>
      <c r="X56" s="384"/>
      <c r="Z56" s="385" t="str">
        <f>Z4</f>
        <v>All qualifications</v>
      </c>
      <c r="AA56" s="385"/>
      <c r="AB56" s="385"/>
      <c r="AC56" s="385"/>
      <c r="AD56" s="385"/>
      <c r="AE56" s="114"/>
      <c r="AF56" s="385" t="str">
        <f>AF4</f>
        <v>RQF8 Doctorate</v>
      </c>
      <c r="AG56" s="385"/>
      <c r="AH56" s="385"/>
      <c r="AI56" s="385"/>
      <c r="AJ56" s="385"/>
      <c r="AK56" s="114"/>
      <c r="AL56" s="384" t="str">
        <f>AL4</f>
        <v>RQF7 Other higher degree</v>
      </c>
      <c r="AM56" s="384"/>
      <c r="AN56" s="384"/>
      <c r="AO56" s="384"/>
      <c r="AP56" s="384"/>
      <c r="AQ56" s="111"/>
      <c r="AR56" s="384" t="str">
        <f>AR4</f>
        <v>RQF6 First degree</v>
      </c>
      <c r="AS56" s="384"/>
      <c r="AT56" s="384"/>
      <c r="AU56" s="384"/>
      <c r="AV56" s="384"/>
      <c r="AX56" s="385" t="str">
        <f>AX4</f>
        <v>All qualifications</v>
      </c>
      <c r="AY56" s="385"/>
      <c r="AZ56" s="385"/>
      <c r="BA56" s="385"/>
      <c r="BB56" s="385"/>
      <c r="BC56" s="114"/>
      <c r="BD56" s="385" t="str">
        <f>BD4</f>
        <v>RQF8 Doctorate</v>
      </c>
      <c r="BE56" s="385"/>
      <c r="BF56" s="385"/>
      <c r="BG56" s="385"/>
      <c r="BH56" s="385"/>
      <c r="BI56" s="114"/>
      <c r="BJ56" s="384" t="str">
        <f>BJ4</f>
        <v>RQF7 Other higher degree</v>
      </c>
      <c r="BK56" s="384"/>
      <c r="BL56" s="384"/>
      <c r="BM56" s="384"/>
      <c r="BN56" s="384"/>
      <c r="BO56" s="111"/>
      <c r="BP56" s="384" t="str">
        <f>BP4</f>
        <v>RQF6 First degree</v>
      </c>
      <c r="BQ56" s="384"/>
      <c r="BR56" s="384"/>
      <c r="BS56" s="384"/>
      <c r="BT56" s="384"/>
      <c r="BV56" s="385" t="str">
        <f>BV4</f>
        <v>All qualifications</v>
      </c>
      <c r="BW56" s="385"/>
      <c r="BX56" s="385"/>
      <c r="BY56" s="385"/>
      <c r="BZ56" s="385"/>
      <c r="CA56" s="114"/>
      <c r="CB56" s="385" t="str">
        <f>CB4</f>
        <v>RQF8 Doctorate</v>
      </c>
      <c r="CC56" s="385"/>
      <c r="CD56" s="385"/>
      <c r="CE56" s="385"/>
      <c r="CF56" s="385"/>
      <c r="CG56" s="114"/>
      <c r="CH56" s="384" t="str">
        <f>CH4</f>
        <v>RQF7 Other higher degree</v>
      </c>
      <c r="CI56" s="384"/>
      <c r="CJ56" s="384"/>
      <c r="CK56" s="384"/>
      <c r="CL56" s="384"/>
      <c r="CM56" s="111"/>
      <c r="CN56" s="384" t="str">
        <f>CN4</f>
        <v>RQF6 First degree</v>
      </c>
      <c r="CO56" s="384"/>
      <c r="CP56" s="384"/>
      <c r="CQ56" s="384"/>
      <c r="CR56" s="384"/>
      <c r="CT56" s="385" t="str">
        <f>CT4</f>
        <v>All qualifications</v>
      </c>
      <c r="CU56" s="385"/>
      <c r="CV56" s="385"/>
      <c r="CW56" s="385"/>
      <c r="CX56" s="385"/>
      <c r="CY56" s="114"/>
      <c r="CZ56" s="385" t="str">
        <f>CZ4</f>
        <v>RQF8 Doctorate</v>
      </c>
      <c r="DA56" s="385"/>
      <c r="DB56" s="385"/>
      <c r="DC56" s="385"/>
      <c r="DD56" s="385"/>
      <c r="DE56" s="114"/>
      <c r="DF56" s="384" t="str">
        <f>DF4</f>
        <v>RQF7 Other higher degree</v>
      </c>
      <c r="DG56" s="384"/>
      <c r="DH56" s="384"/>
      <c r="DI56" s="384"/>
      <c r="DJ56" s="384"/>
      <c r="DK56" s="111"/>
      <c r="DL56" s="384" t="str">
        <f>DL4</f>
        <v>RQF6 First degree</v>
      </c>
      <c r="DM56" s="384"/>
      <c r="DN56" s="384"/>
      <c r="DO56" s="384"/>
      <c r="DP56" s="384"/>
    </row>
    <row r="58" spans="1:120" ht="38.25" x14ac:dyDescent="0.2">
      <c r="A58" s="113"/>
      <c r="B58" s="110" t="str">
        <f>B6</f>
        <v>RD p.a%</v>
      </c>
      <c r="C58" s="110" t="str">
        <f>C6</f>
        <v>2015 Level</v>
      </c>
      <c r="D58" s="110" t="str">
        <f>D6</f>
        <v>Net Change</v>
      </c>
      <c r="E58" s="110" t="str">
        <f>E6</f>
        <v>Replace-ment Demand</v>
      </c>
      <c r="F58" s="110" t="str">
        <f>F6</f>
        <v>Total Require-ment</v>
      </c>
      <c r="G58" s="109"/>
      <c r="H58" s="105" t="str">
        <f>B58</f>
        <v>RD p.a%</v>
      </c>
      <c r="I58" s="105" t="str">
        <f>C58</f>
        <v>2015 Level</v>
      </c>
      <c r="J58" s="105" t="str">
        <f>D58</f>
        <v>Net Change</v>
      </c>
      <c r="K58" s="105" t="str">
        <f>E58</f>
        <v>Replace-ment Demand</v>
      </c>
      <c r="L58" s="105" t="str">
        <f>F58</f>
        <v>Total Require-ment</v>
      </c>
      <c r="M58" s="104"/>
      <c r="N58" s="106" t="str">
        <f>H58</f>
        <v>RD p.a%</v>
      </c>
      <c r="O58" s="106" t="str">
        <f>I58</f>
        <v>2015 Level</v>
      </c>
      <c r="P58" s="106" t="str">
        <f>J58</f>
        <v>Net Change</v>
      </c>
      <c r="Q58" s="106" t="str">
        <f>K58</f>
        <v>Replace-ment Demand</v>
      </c>
      <c r="R58" s="106" t="str">
        <f>L58</f>
        <v>Total Require-ment</v>
      </c>
      <c r="S58" s="104"/>
      <c r="T58" s="106" t="str">
        <f>N58</f>
        <v>RD p.a%</v>
      </c>
      <c r="U58" s="106" t="str">
        <f>O58</f>
        <v>2015 Level</v>
      </c>
      <c r="V58" s="106" t="str">
        <f>P58</f>
        <v>Net Change</v>
      </c>
      <c r="W58" s="106" t="str">
        <f>Q58</f>
        <v>Replace-ment Demand</v>
      </c>
      <c r="X58" s="106" t="str">
        <f>R58</f>
        <v>Total Require-ment</v>
      </c>
      <c r="Y58" s="113"/>
      <c r="Z58" s="110" t="str">
        <f>Z6</f>
        <v>RD p.a%</v>
      </c>
      <c r="AA58" s="110" t="str">
        <f>AA6</f>
        <v>2015 Level</v>
      </c>
      <c r="AB58" s="110" t="str">
        <f>AB6</f>
        <v>Net Change</v>
      </c>
      <c r="AC58" s="110" t="str">
        <f>AC6</f>
        <v>Replace-ment Demand</v>
      </c>
      <c r="AD58" s="110" t="str">
        <f>AD6</f>
        <v>Total Require-ment</v>
      </c>
      <c r="AE58" s="109"/>
      <c r="AF58" s="105" t="str">
        <f>Z58</f>
        <v>RD p.a%</v>
      </c>
      <c r="AG58" s="105" t="str">
        <f>AA58</f>
        <v>2015 Level</v>
      </c>
      <c r="AH58" s="105" t="str">
        <f>AB58</f>
        <v>Net Change</v>
      </c>
      <c r="AI58" s="105" t="str">
        <f>AC58</f>
        <v>Replace-ment Demand</v>
      </c>
      <c r="AJ58" s="105" t="str">
        <f>AD58</f>
        <v>Total Require-ment</v>
      </c>
      <c r="AK58" s="104"/>
      <c r="AL58" s="106" t="str">
        <f>AF58</f>
        <v>RD p.a%</v>
      </c>
      <c r="AM58" s="106" t="str">
        <f>AG58</f>
        <v>2015 Level</v>
      </c>
      <c r="AN58" s="106" t="str">
        <f>AH58</f>
        <v>Net Change</v>
      </c>
      <c r="AO58" s="106" t="str">
        <f>AI58</f>
        <v>Replace-ment Demand</v>
      </c>
      <c r="AP58" s="106" t="str">
        <f>AJ58</f>
        <v>Total Require-ment</v>
      </c>
      <c r="AQ58" s="104"/>
      <c r="AR58" s="106" t="str">
        <f>AL58</f>
        <v>RD p.a%</v>
      </c>
      <c r="AS58" s="106" t="str">
        <f>AM58</f>
        <v>2015 Level</v>
      </c>
      <c r="AT58" s="106" t="str">
        <f>AN58</f>
        <v>Net Change</v>
      </c>
      <c r="AU58" s="106" t="str">
        <f>AO58</f>
        <v>Replace-ment Demand</v>
      </c>
      <c r="AV58" s="106" t="str">
        <f>AP58</f>
        <v>Total Require-ment</v>
      </c>
      <c r="AW58" s="113"/>
      <c r="AX58" s="110" t="str">
        <f>AX6</f>
        <v>RD p.a%</v>
      </c>
      <c r="AY58" s="110" t="str">
        <f>AY6</f>
        <v>2015 Level</v>
      </c>
      <c r="AZ58" s="110" t="str">
        <f>AZ6</f>
        <v>Net Change</v>
      </c>
      <c r="BA58" s="110" t="str">
        <f>BA6</f>
        <v>Replace-ment Demand</v>
      </c>
      <c r="BB58" s="110" t="str">
        <f>BB6</f>
        <v>Total Require-ment</v>
      </c>
      <c r="BC58" s="109"/>
      <c r="BD58" s="105" t="str">
        <f>AX58</f>
        <v>RD p.a%</v>
      </c>
      <c r="BE58" s="105" t="str">
        <f>AY58</f>
        <v>2015 Level</v>
      </c>
      <c r="BF58" s="105" t="str">
        <f>AZ58</f>
        <v>Net Change</v>
      </c>
      <c r="BG58" s="105" t="str">
        <f>BA58</f>
        <v>Replace-ment Demand</v>
      </c>
      <c r="BH58" s="105" t="str">
        <f>BB58</f>
        <v>Total Require-ment</v>
      </c>
      <c r="BI58" s="104"/>
      <c r="BJ58" s="106" t="str">
        <f>BD58</f>
        <v>RD p.a%</v>
      </c>
      <c r="BK58" s="106" t="str">
        <f>BE58</f>
        <v>2015 Level</v>
      </c>
      <c r="BL58" s="106" t="str">
        <f>BF58</f>
        <v>Net Change</v>
      </c>
      <c r="BM58" s="106" t="str">
        <f>BG58</f>
        <v>Replace-ment Demand</v>
      </c>
      <c r="BN58" s="106" t="str">
        <f>BH58</f>
        <v>Total Require-ment</v>
      </c>
      <c r="BO58" s="104"/>
      <c r="BP58" s="106" t="str">
        <f>BJ58</f>
        <v>RD p.a%</v>
      </c>
      <c r="BQ58" s="106" t="str">
        <f>BK58</f>
        <v>2015 Level</v>
      </c>
      <c r="BR58" s="106" t="str">
        <f>BL58</f>
        <v>Net Change</v>
      </c>
      <c r="BS58" s="106" t="str">
        <f>BM58</f>
        <v>Replace-ment Demand</v>
      </c>
      <c r="BT58" s="106" t="str">
        <f>BN58</f>
        <v>Total Require-ment</v>
      </c>
      <c r="BU58" s="113"/>
      <c r="BV58" s="110" t="str">
        <f>BV6</f>
        <v>RD p.a%</v>
      </c>
      <c r="BW58" s="110" t="str">
        <f>BW6</f>
        <v>2015 Level</v>
      </c>
      <c r="BX58" s="110" t="str">
        <f>BX6</f>
        <v>Net Change</v>
      </c>
      <c r="BY58" s="110" t="str">
        <f>BY6</f>
        <v>Replace-ment Demand</v>
      </c>
      <c r="BZ58" s="110" t="str">
        <f>BZ6</f>
        <v>Total Require-ment</v>
      </c>
      <c r="CA58" s="109"/>
      <c r="CB58" s="105" t="str">
        <f>BV58</f>
        <v>RD p.a%</v>
      </c>
      <c r="CC58" s="105" t="str">
        <f>BW58</f>
        <v>2015 Level</v>
      </c>
      <c r="CD58" s="105" t="str">
        <f>BX58</f>
        <v>Net Change</v>
      </c>
      <c r="CE58" s="105" t="str">
        <f>BY58</f>
        <v>Replace-ment Demand</v>
      </c>
      <c r="CF58" s="105" t="str">
        <f>BZ58</f>
        <v>Total Require-ment</v>
      </c>
      <c r="CG58" s="104"/>
      <c r="CH58" s="106" t="str">
        <f>CB58</f>
        <v>RD p.a%</v>
      </c>
      <c r="CI58" s="106" t="str">
        <f>CC58</f>
        <v>2015 Level</v>
      </c>
      <c r="CJ58" s="106" t="str">
        <f>CD58</f>
        <v>Net Change</v>
      </c>
      <c r="CK58" s="106" t="str">
        <f>CE58</f>
        <v>Replace-ment Demand</v>
      </c>
      <c r="CL58" s="106" t="str">
        <f>CF58</f>
        <v>Total Require-ment</v>
      </c>
      <c r="CM58" s="104"/>
      <c r="CN58" s="106" t="str">
        <f>CH58</f>
        <v>RD p.a%</v>
      </c>
      <c r="CO58" s="106" t="str">
        <f>CI58</f>
        <v>2015 Level</v>
      </c>
      <c r="CP58" s="106" t="str">
        <f>CJ58</f>
        <v>Net Change</v>
      </c>
      <c r="CQ58" s="106" t="str">
        <f>CK58</f>
        <v>Replace-ment Demand</v>
      </c>
      <c r="CR58" s="106" t="str">
        <f>CL58</f>
        <v>Total Require-ment</v>
      </c>
      <c r="CS58" s="113"/>
      <c r="CT58" s="110" t="str">
        <f>CT6</f>
        <v>RD p.a%</v>
      </c>
      <c r="CU58" s="110" t="str">
        <f>CU6</f>
        <v>2015 Level</v>
      </c>
      <c r="CV58" s="110" t="str">
        <f>CV6</f>
        <v>Net Change</v>
      </c>
      <c r="CW58" s="110" t="str">
        <f>CW6</f>
        <v>Replace-ment Demand</v>
      </c>
      <c r="CX58" s="110" t="str">
        <f>CX6</f>
        <v>Total Require-ment</v>
      </c>
      <c r="CY58" s="109"/>
      <c r="CZ58" s="105" t="str">
        <f>CT58</f>
        <v>RD p.a%</v>
      </c>
      <c r="DA58" s="105" t="str">
        <f>CU58</f>
        <v>2015 Level</v>
      </c>
      <c r="DB58" s="105" t="str">
        <f>CV58</f>
        <v>Net Change</v>
      </c>
      <c r="DC58" s="105" t="str">
        <f>CW58</f>
        <v>Replace-ment Demand</v>
      </c>
      <c r="DD58" s="105" t="str">
        <f>CX58</f>
        <v>Total Require-ment</v>
      </c>
      <c r="DE58" s="104"/>
      <c r="DF58" s="106" t="str">
        <f>CZ58</f>
        <v>RD p.a%</v>
      </c>
      <c r="DG58" s="106" t="str">
        <f>DA58</f>
        <v>2015 Level</v>
      </c>
      <c r="DH58" s="106" t="str">
        <f>DB58</f>
        <v>Net Change</v>
      </c>
      <c r="DI58" s="106" t="str">
        <f>DC58</f>
        <v>Replace-ment Demand</v>
      </c>
      <c r="DJ58" s="106" t="str">
        <f>DD58</f>
        <v>Total Require-ment</v>
      </c>
      <c r="DK58" s="104"/>
      <c r="DL58" s="106" t="str">
        <f>DF58</f>
        <v>RD p.a%</v>
      </c>
      <c r="DM58" s="106" t="str">
        <f>DG58</f>
        <v>2015 Level</v>
      </c>
      <c r="DN58" s="106" t="str">
        <f>DH58</f>
        <v>Net Change</v>
      </c>
      <c r="DO58" s="106" t="str">
        <f>DI58</f>
        <v>Replace-ment Demand</v>
      </c>
      <c r="DP58" s="106" t="str">
        <f>DJ58</f>
        <v>Total Require-ment</v>
      </c>
    </row>
    <row r="60" spans="1:120" x14ac:dyDescent="0.2">
      <c r="A60" s="91" t="e">
        <f>name!#REF!</f>
        <v>#REF!</v>
      </c>
      <c r="B60" s="40" t="e">
        <f t="shared" ref="B60:B77" si="44">IF(C60&gt;0,((1+(E60/C60))^(1/($A$101-$A$100))-1)*100,0)</f>
        <v>#VALUE!</v>
      </c>
      <c r="C60" s="94" t="e">
        <f t="array" ref="C60:C75">MMULT(aggregation!$B$3:$W$8,C8:C48)</f>
        <v>#VALUE!</v>
      </c>
      <c r="D60" s="94" t="e">
        <f t="array" ref="D60:D75">MMULT(aggregation!$B$3:$W$8,D8:D48)</f>
        <v>#VALUE!</v>
      </c>
      <c r="E60" s="94" t="e">
        <f t="array" ref="E60:E75">MMULT(aggregation!$B$3:$W$8,E8:E48)</f>
        <v>#VALUE!</v>
      </c>
      <c r="F60" s="94" t="e">
        <f t="array" ref="F60:F75">MMULT(aggregation!$B$3:$W$8,F8:F48)</f>
        <v>#VALUE!</v>
      </c>
      <c r="H60" s="40" t="e">
        <f t="shared" ref="H60:H77" si="45">IF(I60&gt;0,((1+(K60/I60))^(1/($A$101-$A$100))-1)*100,0)</f>
        <v>#VALUE!</v>
      </c>
      <c r="I60" s="94" t="e">
        <f t="array" ref="I60:I75">MMULT(aggregation!$B$3:$W$8,I8:I48)</f>
        <v>#VALUE!</v>
      </c>
      <c r="J60" s="94" t="e">
        <f t="array" ref="J60:J75">MMULT(aggregation!$B$3:$W$8,J8:J48)</f>
        <v>#VALUE!</v>
      </c>
      <c r="K60" s="94" t="e">
        <f t="array" ref="K60:K75">MMULT(aggregation!$B$3:$W$8,K8:K48)</f>
        <v>#VALUE!</v>
      </c>
      <c r="L60" s="94" t="e">
        <f t="array" ref="L60:L75">MMULT(aggregation!$B$3:$W$8,L8:L48)</f>
        <v>#VALUE!</v>
      </c>
      <c r="N60" s="40" t="e">
        <f t="shared" ref="N60:N77" si="46">IF(O60&gt;0,((1+(Q60/O60))^(1/($A$101-$A$100))-1)*100,0)</f>
        <v>#VALUE!</v>
      </c>
      <c r="O60" s="94" t="e">
        <f t="array" ref="O60:O75">MMULT(aggregation!$B$3:$W$8,O8:O48)</f>
        <v>#VALUE!</v>
      </c>
      <c r="P60" s="94" t="e">
        <f t="array" ref="P60:P75">MMULT(aggregation!$B$3:$W$8,P8:P48)</f>
        <v>#VALUE!</v>
      </c>
      <c r="Q60" s="94" t="e">
        <f t="array" ref="Q60:Q75">MMULT(aggregation!$B$3:$W$8,Q8:Q48)</f>
        <v>#VALUE!</v>
      </c>
      <c r="R60" s="94" t="e">
        <f t="array" ref="R60:R75">MMULT(aggregation!$B$3:$W$8,R8:R48)</f>
        <v>#VALUE!</v>
      </c>
      <c r="S60" s="94"/>
      <c r="T60" s="40" t="e">
        <f t="shared" ref="T60:T77" si="47">IF(U60&gt;0,((1+(W60/U60))^(1/($A$101-$A$100))-1)*100,0)</f>
        <v>#VALUE!</v>
      </c>
      <c r="U60" s="94" t="e">
        <f t="array" ref="U60:U75">MMULT(aggregation!$B$3:$W$8,U8:U48)</f>
        <v>#VALUE!</v>
      </c>
      <c r="V60" s="94" t="e">
        <f t="array" ref="V60:V75">MMULT(aggregation!$B$3:$W$8,V8:V48)</f>
        <v>#VALUE!</v>
      </c>
      <c r="W60" s="94" t="e">
        <f t="array" ref="W60:W75">MMULT(aggregation!$B$3:$W$8,W8:W48)</f>
        <v>#VALUE!</v>
      </c>
      <c r="X60" s="94" t="e">
        <f t="array" ref="X60:X75">MMULT(aggregation!$B$3:$W$8,X8:X48)</f>
        <v>#VALUE!</v>
      </c>
      <c r="Y60" s="91" t="e">
        <f>A60</f>
        <v>#REF!</v>
      </c>
      <c r="Z60" s="40" t="e">
        <f t="shared" ref="Z60:Z75" si="48">IF(AA60&gt;0,((1+(AC60/AA60))^(1/($A$101-$A$100))-1)*100,0)</f>
        <v>#VALUE!</v>
      </c>
      <c r="AA60" s="94" t="e">
        <f t="array" ref="AA60:AA75">MMULT(aggregation!$B$3:$W$8,AA8:AA48)</f>
        <v>#VALUE!</v>
      </c>
      <c r="AB60" s="94" t="e">
        <f t="array" ref="AB60:AB75">MMULT(aggregation!$B$3:$W$8,AB8:AB48)</f>
        <v>#VALUE!</v>
      </c>
      <c r="AC60" s="94" t="e">
        <f t="array" ref="AC60:AC75">MMULT(aggregation!$B$3:$W$8,AC8:AC48)</f>
        <v>#VALUE!</v>
      </c>
      <c r="AD60" s="94" t="e">
        <f t="array" ref="AD60:AD75">MMULT(aggregation!$B$3:$W$8,AD8:AD48)</f>
        <v>#VALUE!</v>
      </c>
      <c r="AF60" s="40" t="e">
        <f t="shared" ref="AF60:AF75" si="49">IF(AG60&gt;0,((1+(AI60/AG60))^(1/($A$101-$A$100))-1)*100,0)</f>
        <v>#VALUE!</v>
      </c>
      <c r="AG60" s="94" t="e">
        <f t="array" ref="AG60:AG75">MMULT(aggregation!$B$3:$W$8,AG8:AG48)</f>
        <v>#VALUE!</v>
      </c>
      <c r="AH60" s="94" t="e">
        <f t="array" ref="AH60:AH75">MMULT(aggregation!$B$3:$W$8,AH8:AH48)</f>
        <v>#VALUE!</v>
      </c>
      <c r="AI60" s="94" t="e">
        <f t="array" ref="AI60:AI75">MMULT(aggregation!$B$3:$W$8,AI8:AI48)</f>
        <v>#VALUE!</v>
      </c>
      <c r="AJ60" s="94" t="e">
        <f t="array" ref="AJ60:AJ75">MMULT(aggregation!$B$3:$W$8,AJ8:AJ48)</f>
        <v>#VALUE!</v>
      </c>
      <c r="AL60" s="40" t="e">
        <f t="shared" ref="AL60:AL75" si="50">IF(AM60&gt;0,((1+(AO60/AM60))^(1/($A$101-$A$100))-1)*100,0)</f>
        <v>#VALUE!</v>
      </c>
      <c r="AM60" s="94" t="e">
        <f t="array" ref="AM60:AM75">MMULT(aggregation!$B$3:$W$8,AM8:AM48)</f>
        <v>#VALUE!</v>
      </c>
      <c r="AN60" s="94" t="e">
        <f t="array" ref="AN60:AN75">MMULT(aggregation!$B$3:$W$8,AN8:AN48)</f>
        <v>#VALUE!</v>
      </c>
      <c r="AO60" s="94" t="e">
        <f t="array" ref="AO60:AO75">MMULT(aggregation!$B$3:$W$8,AO8:AO48)</f>
        <v>#VALUE!</v>
      </c>
      <c r="AP60" s="94" t="e">
        <f t="array" ref="AP60:AP75">MMULT(aggregation!$B$3:$W$8,AP8:AP48)</f>
        <v>#VALUE!</v>
      </c>
      <c r="AQ60" s="94"/>
      <c r="AR60" s="40" t="e">
        <f t="shared" ref="AR60:AR75" si="51">IF(AS60&gt;0,((1+(AU60/AS60))^(1/($A$101-$A$100))-1)*100,0)</f>
        <v>#VALUE!</v>
      </c>
      <c r="AS60" s="94" t="e">
        <f t="array" ref="AS60:AS75">MMULT(aggregation!$B$3:$W$8,AS8:AS48)</f>
        <v>#VALUE!</v>
      </c>
      <c r="AT60" s="94" t="e">
        <f t="array" ref="AT60:AT75">MMULT(aggregation!$B$3:$W$8,AT8:AT48)</f>
        <v>#VALUE!</v>
      </c>
      <c r="AU60" s="94" t="e">
        <f t="array" ref="AU60:AU75">MMULT(aggregation!$B$3:$W$8,AU8:AU48)</f>
        <v>#VALUE!</v>
      </c>
      <c r="AV60" s="94" t="e">
        <f t="array" ref="AV60:AV75">MMULT(aggregation!$B$3:$W$8,AV8:AV48)</f>
        <v>#VALUE!</v>
      </c>
      <c r="AW60" s="91" t="e">
        <f>Y60</f>
        <v>#REF!</v>
      </c>
      <c r="AX60" s="40" t="e">
        <f t="shared" ref="AX60:AX75" si="52">IF(AY60&gt;0,((1+(BA60/AY60))^(1/($A$101-$A$100))-1)*100,0)</f>
        <v>#VALUE!</v>
      </c>
      <c r="AY60" s="94" t="e">
        <f t="array" ref="AY60:AY75">MMULT(aggregation!$B$3:$W$8,AY8:AY48)</f>
        <v>#VALUE!</v>
      </c>
      <c r="AZ60" s="94" t="e">
        <f t="array" ref="AZ60:AZ75">MMULT(aggregation!$B$3:$W$8,AZ8:AZ48)</f>
        <v>#VALUE!</v>
      </c>
      <c r="BA60" s="94" t="e">
        <f t="array" ref="BA60:BA75">MMULT(aggregation!$B$3:$W$8,BA8:BA48)</f>
        <v>#VALUE!</v>
      </c>
      <c r="BB60" s="94" t="e">
        <f t="array" ref="BB60:BB75">MMULT(aggregation!$B$3:$W$8,BB8:BB48)</f>
        <v>#VALUE!</v>
      </c>
      <c r="BD60" s="40" t="e">
        <f t="shared" ref="BD60:BD75" si="53">IF(BE60&gt;0,((1+(BG60/BE60))^(1/($A$101-$A$100))-1)*100,0)</f>
        <v>#VALUE!</v>
      </c>
      <c r="BE60" s="94" t="e">
        <f t="array" ref="BE60:BE75">MMULT(aggregation!$B$3:$W$8,BE8:BE48)</f>
        <v>#VALUE!</v>
      </c>
      <c r="BF60" s="94" t="e">
        <f t="array" ref="BF60:BF75">MMULT(aggregation!$B$3:$W$8,BF8:BF48)</f>
        <v>#VALUE!</v>
      </c>
      <c r="BG60" s="94" t="e">
        <f t="array" ref="BG60:BG75">MMULT(aggregation!$B$3:$W$8,BG8:BG48)</f>
        <v>#VALUE!</v>
      </c>
      <c r="BH60" s="94" t="e">
        <f t="array" ref="BH60:BH75">MMULT(aggregation!$B$3:$W$8,BH8:BH48)</f>
        <v>#VALUE!</v>
      </c>
      <c r="BJ60" s="40" t="e">
        <f t="shared" ref="BJ60:BJ75" si="54">IF(BK60&gt;0,((1+(BM60/BK60))^(1/($A$101-$A$100))-1)*100,0)</f>
        <v>#VALUE!</v>
      </c>
      <c r="BK60" s="94" t="e">
        <f t="array" ref="BK60:BK75">MMULT(aggregation!$B$3:$W$8,BK8:BK48)</f>
        <v>#VALUE!</v>
      </c>
      <c r="BL60" s="94" t="e">
        <f t="array" ref="BL60:BL75">MMULT(aggregation!$B$3:$W$8,BL8:BL48)</f>
        <v>#VALUE!</v>
      </c>
      <c r="BM60" s="94" t="e">
        <f t="array" ref="BM60:BM75">MMULT(aggregation!$B$3:$W$8,BM8:BM48)</f>
        <v>#VALUE!</v>
      </c>
      <c r="BN60" s="94" t="e">
        <f t="array" ref="BN60:BN75">MMULT(aggregation!$B$3:$W$8,BN8:BN48)</f>
        <v>#VALUE!</v>
      </c>
      <c r="BO60" s="94"/>
      <c r="BP60" s="40" t="e">
        <f t="shared" ref="BP60:BP75" si="55">IF(BQ60&gt;0,((1+(BS60/BQ60))^(1/($A$101-$A$100))-1)*100,0)</f>
        <v>#VALUE!</v>
      </c>
      <c r="BQ60" s="94" t="e">
        <f t="array" ref="BQ60:BQ75">MMULT(aggregation!$B$3:$W$8,BQ8:BQ48)</f>
        <v>#VALUE!</v>
      </c>
      <c r="BR60" s="94" t="e">
        <f t="array" ref="BR60:BR75">MMULT(aggregation!$B$3:$W$8,BR8:BR48)</f>
        <v>#VALUE!</v>
      </c>
      <c r="BS60" s="94" t="e">
        <f t="array" ref="BS60:BS75">MMULT(aggregation!$B$3:$W$8,BS8:BS48)</f>
        <v>#VALUE!</v>
      </c>
      <c r="BT60" s="94" t="e">
        <f t="array" ref="BT60:BT75">MMULT(aggregation!$B$3:$W$8,BT8:BT48)</f>
        <v>#VALUE!</v>
      </c>
      <c r="BU60" s="91" t="e">
        <f>AW60</f>
        <v>#REF!</v>
      </c>
      <c r="BV60" s="40" t="e">
        <f t="shared" ref="BV60:BV75" si="56">IF(BW60&gt;0,((1+(BY60/BW60))^(1/($A$101-$A$100))-1)*100,0)</f>
        <v>#VALUE!</v>
      </c>
      <c r="BW60" s="94" t="e">
        <f t="array" ref="BW60:BW75">MMULT(aggregation!$B$3:$W$8,BW8:BW48)</f>
        <v>#VALUE!</v>
      </c>
      <c r="BX60" s="94" t="e">
        <f t="array" ref="BX60:BX75">MMULT(aggregation!$B$3:$W$8,BX8:BX48)</f>
        <v>#VALUE!</v>
      </c>
      <c r="BY60" s="94" t="e">
        <f t="array" ref="BY60:BY75">MMULT(aggregation!$B$3:$W$8,BY8:BY48)</f>
        <v>#VALUE!</v>
      </c>
      <c r="BZ60" s="94" t="e">
        <f t="array" ref="BZ60:BZ75">MMULT(aggregation!$B$3:$W$8,BZ8:BZ48)</f>
        <v>#VALUE!</v>
      </c>
      <c r="CB60" s="40" t="e">
        <f t="shared" ref="CB60:CB75" si="57">IF(CC60&gt;0,((1+(CE60/CC60))^(1/($A$101-$A$100))-1)*100,0)</f>
        <v>#VALUE!</v>
      </c>
      <c r="CC60" s="94" t="e">
        <f t="array" ref="CC60:CC75">MMULT(aggregation!$B$3:$W$8,CC8:CC48)</f>
        <v>#VALUE!</v>
      </c>
      <c r="CD60" s="94" t="e">
        <f t="array" ref="CD60:CD75">MMULT(aggregation!$B$3:$W$8,CD8:CD48)</f>
        <v>#VALUE!</v>
      </c>
      <c r="CE60" s="94" t="e">
        <f t="array" ref="CE60:CE75">MMULT(aggregation!$B$3:$W$8,CE8:CE48)</f>
        <v>#VALUE!</v>
      </c>
      <c r="CF60" s="94" t="e">
        <f t="array" ref="CF60:CF75">MMULT(aggregation!$B$3:$W$8,CF8:CF48)</f>
        <v>#VALUE!</v>
      </c>
      <c r="CH60" s="40" t="e">
        <f t="shared" ref="CH60:CH75" si="58">IF(CI60&gt;0,((1+(CK60/CI60))^(1/($A$101-$A$100))-1)*100,0)</f>
        <v>#VALUE!</v>
      </c>
      <c r="CI60" s="94" t="e">
        <f t="array" ref="CI60:CI75">MMULT(aggregation!$B$3:$W$8,CI8:CI48)</f>
        <v>#VALUE!</v>
      </c>
      <c r="CJ60" s="94" t="e">
        <f t="array" ref="CJ60:CJ75">MMULT(aggregation!$B$3:$W$8,CJ8:CJ48)</f>
        <v>#VALUE!</v>
      </c>
      <c r="CK60" s="94" t="e">
        <f t="array" ref="CK60:CK75">MMULT(aggregation!$B$3:$W$8,CK8:CK48)</f>
        <v>#VALUE!</v>
      </c>
      <c r="CL60" s="94" t="e">
        <f t="array" ref="CL60:CL75">MMULT(aggregation!$B$3:$W$8,CL8:CL48)</f>
        <v>#VALUE!</v>
      </c>
      <c r="CM60" s="94"/>
      <c r="CN60" s="40" t="e">
        <f t="shared" ref="CN60:CN75" si="59">IF(CO60&gt;0,((1+(CQ60/CO60))^(1/($A$101-$A$100))-1)*100,0)</f>
        <v>#VALUE!</v>
      </c>
      <c r="CO60" s="94" t="e">
        <f t="array" ref="CO60:CO75">MMULT(aggregation!$B$3:$W$8,CO8:CO48)</f>
        <v>#VALUE!</v>
      </c>
      <c r="CP60" s="94" t="e">
        <f t="array" ref="CP60:CP75">MMULT(aggregation!$B$3:$W$8,CP8:CP48)</f>
        <v>#VALUE!</v>
      </c>
      <c r="CQ60" s="94" t="e">
        <f t="array" ref="CQ60:CQ75">MMULT(aggregation!$B$3:$W$8,CQ8:CQ48)</f>
        <v>#VALUE!</v>
      </c>
      <c r="CR60" s="94" t="e">
        <f t="array" ref="CR60:CR75">MMULT(aggregation!$B$3:$W$8,CR8:CR48)</f>
        <v>#VALUE!</v>
      </c>
      <c r="CS60" s="91" t="e">
        <f>BU60</f>
        <v>#REF!</v>
      </c>
      <c r="CT60" s="40" t="e">
        <f t="shared" ref="CT60:CT75" si="60">IF(CU60&gt;0,((1+(CW60/CU60))^(1/($A$101-$A$100))-1)*100,0)</f>
        <v>#VALUE!</v>
      </c>
      <c r="CU60" s="94" t="e">
        <f t="array" ref="CU60:CU75">MMULT(aggregation!$B$3:$W$8,CU8:CU48)</f>
        <v>#VALUE!</v>
      </c>
      <c r="CV60" s="94" t="e">
        <f t="array" ref="CV60:CV75">MMULT(aggregation!$B$3:$W$8,CV8:CV48)</f>
        <v>#VALUE!</v>
      </c>
      <c r="CW60" s="94" t="e">
        <f t="array" ref="CW60:CW75">MMULT(aggregation!$B$3:$W$8,CW8:CW48)</f>
        <v>#VALUE!</v>
      </c>
      <c r="CX60" s="94" t="e">
        <f t="array" ref="CX60:CX75">MMULT(aggregation!$B$3:$W$8,CX8:CX48)</f>
        <v>#VALUE!</v>
      </c>
      <c r="CZ60" s="40" t="e">
        <f t="shared" ref="CZ60:CZ75" si="61">IF(DA60&gt;0,((1+(DC60/DA60))^(1/($A$101-$A$100))-1)*100,0)</f>
        <v>#VALUE!</v>
      </c>
      <c r="DA60" s="94" t="e">
        <f t="array" ref="DA60:DA75">MMULT(aggregation!$B$3:$W$8,DA8:DA48)</f>
        <v>#VALUE!</v>
      </c>
      <c r="DB60" s="94" t="e">
        <f t="array" ref="DB60:DB75">MMULT(aggregation!$B$3:$W$8,DB8:DB48)</f>
        <v>#VALUE!</v>
      </c>
      <c r="DC60" s="94" t="e">
        <f t="array" ref="DC60:DC75">MMULT(aggregation!$B$3:$W$8,DC8:DC48)</f>
        <v>#VALUE!</v>
      </c>
      <c r="DD60" s="94" t="e">
        <f t="array" ref="DD60:DD75">MMULT(aggregation!$B$3:$W$8,DD8:DD48)</f>
        <v>#VALUE!</v>
      </c>
      <c r="DF60" s="40" t="e">
        <f t="shared" ref="DF60:DF75" si="62">IF(DG60&gt;0,((1+(DI60/DG60))^(1/($A$101-$A$100))-1)*100,0)</f>
        <v>#VALUE!</v>
      </c>
      <c r="DG60" s="94" t="e">
        <f t="array" ref="DG60:DG75">MMULT(aggregation!$B$3:$W$8,DG8:DG48)</f>
        <v>#VALUE!</v>
      </c>
      <c r="DH60" s="94" t="e">
        <f t="array" ref="DH60:DH75">MMULT(aggregation!$B$3:$W$8,DH8:DH48)</f>
        <v>#VALUE!</v>
      </c>
      <c r="DI60" s="94" t="e">
        <f t="array" ref="DI60:DI75">MMULT(aggregation!$B$3:$W$8,DI8:DI48)</f>
        <v>#VALUE!</v>
      </c>
      <c r="DJ60" s="94" t="e">
        <f t="array" ref="DJ60:DJ75">MMULT(aggregation!$B$3:$W$8,DJ8:DJ48)</f>
        <v>#VALUE!</v>
      </c>
      <c r="DK60" s="94"/>
      <c r="DL60" s="40" t="e">
        <f t="shared" ref="DL60:DL75" si="63">IF(DM60&gt;0,((1+(DO60/DM60))^(1/($A$101-$A$100))-1)*100,0)</f>
        <v>#VALUE!</v>
      </c>
      <c r="DM60" s="94" t="e">
        <f t="array" ref="DM60:DM75">MMULT(aggregation!$B$3:$W$8,DM8:DM48)</f>
        <v>#VALUE!</v>
      </c>
      <c r="DN60" s="94" t="e">
        <f t="array" ref="DN60:DN75">MMULT(aggregation!$B$3:$W$8,DN8:DN48)</f>
        <v>#VALUE!</v>
      </c>
      <c r="DO60" s="94" t="e">
        <f t="array" ref="DO60:DO75">MMULT(aggregation!$B$3:$W$8,DO8:DO48)</f>
        <v>#VALUE!</v>
      </c>
      <c r="DP60" s="94" t="e">
        <f t="array" ref="DP60:DP75">MMULT(aggregation!$B$3:$W$8,DP8:DP48)</f>
        <v>#VALUE!</v>
      </c>
    </row>
    <row r="61" spans="1:120" x14ac:dyDescent="0.2">
      <c r="A61" s="91" t="e">
        <f>name!#REF!</f>
        <v>#REF!</v>
      </c>
      <c r="B61" s="40" t="e">
        <f t="shared" si="44"/>
        <v>#VALUE!</v>
      </c>
      <c r="C61" s="94" t="e">
        <v>#VALUE!</v>
      </c>
      <c r="D61" s="94" t="e">
        <v>#VALUE!</v>
      </c>
      <c r="E61" s="94" t="e">
        <v>#VALUE!</v>
      </c>
      <c r="F61" s="94" t="e">
        <v>#VALUE!</v>
      </c>
      <c r="H61" s="40" t="e">
        <f t="shared" si="45"/>
        <v>#VALUE!</v>
      </c>
      <c r="I61" s="94" t="e">
        <v>#VALUE!</v>
      </c>
      <c r="J61" s="94" t="e">
        <v>#VALUE!</v>
      </c>
      <c r="K61" s="94" t="e">
        <v>#VALUE!</v>
      </c>
      <c r="L61" s="94" t="e">
        <v>#VALUE!</v>
      </c>
      <c r="N61" s="40" t="e">
        <f t="shared" si="46"/>
        <v>#VALUE!</v>
      </c>
      <c r="O61" s="94" t="e">
        <v>#VALUE!</v>
      </c>
      <c r="P61" s="94" t="e">
        <v>#VALUE!</v>
      </c>
      <c r="Q61" s="94" t="e">
        <v>#VALUE!</v>
      </c>
      <c r="R61" s="94" t="e">
        <v>#VALUE!</v>
      </c>
      <c r="S61" s="94"/>
      <c r="T61" s="40" t="e">
        <f t="shared" si="47"/>
        <v>#VALUE!</v>
      </c>
      <c r="U61" s="94" t="e">
        <v>#VALUE!</v>
      </c>
      <c r="V61" s="94" t="e">
        <v>#VALUE!</v>
      </c>
      <c r="W61" s="94" t="e">
        <v>#VALUE!</v>
      </c>
      <c r="X61" s="94" t="e">
        <v>#VALUE!</v>
      </c>
      <c r="Y61" s="91" t="e">
        <f t="shared" ref="Y61:Y75" si="64">A61</f>
        <v>#REF!</v>
      </c>
      <c r="Z61" s="40" t="e">
        <f t="shared" si="48"/>
        <v>#VALUE!</v>
      </c>
      <c r="AA61" s="94" t="e">
        <v>#VALUE!</v>
      </c>
      <c r="AB61" s="94" t="e">
        <v>#VALUE!</v>
      </c>
      <c r="AC61" s="94" t="e">
        <v>#VALUE!</v>
      </c>
      <c r="AD61" s="94" t="e">
        <v>#VALUE!</v>
      </c>
      <c r="AF61" s="40" t="e">
        <f t="shared" si="49"/>
        <v>#VALUE!</v>
      </c>
      <c r="AG61" s="94" t="e">
        <v>#VALUE!</v>
      </c>
      <c r="AH61" s="94" t="e">
        <v>#VALUE!</v>
      </c>
      <c r="AI61" s="94" t="e">
        <v>#VALUE!</v>
      </c>
      <c r="AJ61" s="94" t="e">
        <v>#VALUE!</v>
      </c>
      <c r="AL61" s="40" t="e">
        <f t="shared" si="50"/>
        <v>#VALUE!</v>
      </c>
      <c r="AM61" s="94" t="e">
        <v>#VALUE!</v>
      </c>
      <c r="AN61" s="94" t="e">
        <v>#VALUE!</v>
      </c>
      <c r="AO61" s="94" t="e">
        <v>#VALUE!</v>
      </c>
      <c r="AP61" s="94" t="e">
        <v>#VALUE!</v>
      </c>
      <c r="AQ61" s="94"/>
      <c r="AR61" s="40" t="e">
        <f t="shared" si="51"/>
        <v>#VALUE!</v>
      </c>
      <c r="AS61" s="94" t="e">
        <v>#VALUE!</v>
      </c>
      <c r="AT61" s="94" t="e">
        <v>#VALUE!</v>
      </c>
      <c r="AU61" s="94" t="e">
        <v>#VALUE!</v>
      </c>
      <c r="AV61" s="94" t="e">
        <v>#VALUE!</v>
      </c>
      <c r="AW61" s="91" t="e">
        <f t="shared" ref="AW61:AW75" si="65">Y61</f>
        <v>#REF!</v>
      </c>
      <c r="AX61" s="40" t="e">
        <f t="shared" si="52"/>
        <v>#VALUE!</v>
      </c>
      <c r="AY61" s="94" t="e">
        <v>#VALUE!</v>
      </c>
      <c r="AZ61" s="94" t="e">
        <v>#VALUE!</v>
      </c>
      <c r="BA61" s="94" t="e">
        <v>#VALUE!</v>
      </c>
      <c r="BB61" s="94" t="e">
        <v>#VALUE!</v>
      </c>
      <c r="BD61" s="40" t="e">
        <f t="shared" si="53"/>
        <v>#VALUE!</v>
      </c>
      <c r="BE61" s="94" t="e">
        <v>#VALUE!</v>
      </c>
      <c r="BF61" s="94" t="e">
        <v>#VALUE!</v>
      </c>
      <c r="BG61" s="94" t="e">
        <v>#VALUE!</v>
      </c>
      <c r="BH61" s="94" t="e">
        <v>#VALUE!</v>
      </c>
      <c r="BJ61" s="40" t="e">
        <f t="shared" si="54"/>
        <v>#VALUE!</v>
      </c>
      <c r="BK61" s="94" t="e">
        <v>#VALUE!</v>
      </c>
      <c r="BL61" s="94" t="e">
        <v>#VALUE!</v>
      </c>
      <c r="BM61" s="94" t="e">
        <v>#VALUE!</v>
      </c>
      <c r="BN61" s="94" t="e">
        <v>#VALUE!</v>
      </c>
      <c r="BO61" s="94"/>
      <c r="BP61" s="40" t="e">
        <f t="shared" si="55"/>
        <v>#VALUE!</v>
      </c>
      <c r="BQ61" s="94" t="e">
        <v>#VALUE!</v>
      </c>
      <c r="BR61" s="94" t="e">
        <v>#VALUE!</v>
      </c>
      <c r="BS61" s="94" t="e">
        <v>#VALUE!</v>
      </c>
      <c r="BT61" s="94" t="e">
        <v>#VALUE!</v>
      </c>
      <c r="BU61" s="91" t="e">
        <f t="shared" ref="BU61:BU75" si="66">AW61</f>
        <v>#REF!</v>
      </c>
      <c r="BV61" s="40" t="e">
        <f t="shared" si="56"/>
        <v>#VALUE!</v>
      </c>
      <c r="BW61" s="94" t="e">
        <v>#VALUE!</v>
      </c>
      <c r="BX61" s="94" t="e">
        <v>#VALUE!</v>
      </c>
      <c r="BY61" s="94" t="e">
        <v>#VALUE!</v>
      </c>
      <c r="BZ61" s="94" t="e">
        <v>#VALUE!</v>
      </c>
      <c r="CB61" s="40" t="e">
        <f t="shared" si="57"/>
        <v>#VALUE!</v>
      </c>
      <c r="CC61" s="94" t="e">
        <v>#VALUE!</v>
      </c>
      <c r="CD61" s="94" t="e">
        <v>#VALUE!</v>
      </c>
      <c r="CE61" s="94" t="e">
        <v>#VALUE!</v>
      </c>
      <c r="CF61" s="94" t="e">
        <v>#VALUE!</v>
      </c>
      <c r="CH61" s="40" t="e">
        <f t="shared" si="58"/>
        <v>#VALUE!</v>
      </c>
      <c r="CI61" s="94" t="e">
        <v>#VALUE!</v>
      </c>
      <c r="CJ61" s="94" t="e">
        <v>#VALUE!</v>
      </c>
      <c r="CK61" s="94" t="e">
        <v>#VALUE!</v>
      </c>
      <c r="CL61" s="94" t="e">
        <v>#VALUE!</v>
      </c>
      <c r="CM61" s="94"/>
      <c r="CN61" s="40" t="e">
        <f t="shared" si="59"/>
        <v>#VALUE!</v>
      </c>
      <c r="CO61" s="94" t="e">
        <v>#VALUE!</v>
      </c>
      <c r="CP61" s="94" t="e">
        <v>#VALUE!</v>
      </c>
      <c r="CQ61" s="94" t="e">
        <v>#VALUE!</v>
      </c>
      <c r="CR61" s="94" t="e">
        <v>#VALUE!</v>
      </c>
      <c r="CS61" s="91" t="e">
        <f t="shared" ref="CS61:CS75" si="67">BU61</f>
        <v>#REF!</v>
      </c>
      <c r="CT61" s="40" t="e">
        <f t="shared" si="60"/>
        <v>#VALUE!</v>
      </c>
      <c r="CU61" s="94" t="e">
        <v>#VALUE!</v>
      </c>
      <c r="CV61" s="94" t="e">
        <v>#VALUE!</v>
      </c>
      <c r="CW61" s="94" t="e">
        <v>#VALUE!</v>
      </c>
      <c r="CX61" s="94" t="e">
        <v>#VALUE!</v>
      </c>
      <c r="CZ61" s="40" t="e">
        <f t="shared" si="61"/>
        <v>#VALUE!</v>
      </c>
      <c r="DA61" s="94" t="e">
        <v>#VALUE!</v>
      </c>
      <c r="DB61" s="94" t="e">
        <v>#VALUE!</v>
      </c>
      <c r="DC61" s="94" t="e">
        <v>#VALUE!</v>
      </c>
      <c r="DD61" s="94" t="e">
        <v>#VALUE!</v>
      </c>
      <c r="DF61" s="40" t="e">
        <f t="shared" si="62"/>
        <v>#VALUE!</v>
      </c>
      <c r="DG61" s="94" t="e">
        <v>#VALUE!</v>
      </c>
      <c r="DH61" s="94" t="e">
        <v>#VALUE!</v>
      </c>
      <c r="DI61" s="94" t="e">
        <v>#VALUE!</v>
      </c>
      <c r="DJ61" s="94" t="e">
        <v>#VALUE!</v>
      </c>
      <c r="DK61" s="94"/>
      <c r="DL61" s="40" t="e">
        <f t="shared" si="63"/>
        <v>#VALUE!</v>
      </c>
      <c r="DM61" s="94" t="e">
        <v>#VALUE!</v>
      </c>
      <c r="DN61" s="94" t="e">
        <v>#VALUE!</v>
      </c>
      <c r="DO61" s="94" t="e">
        <v>#VALUE!</v>
      </c>
      <c r="DP61" s="94" t="e">
        <v>#VALUE!</v>
      </c>
    </row>
    <row r="62" spans="1:120" x14ac:dyDescent="0.2">
      <c r="A62" s="91" t="e">
        <f>name!#REF!</f>
        <v>#REF!</v>
      </c>
      <c r="B62" s="40" t="e">
        <f t="shared" si="44"/>
        <v>#VALUE!</v>
      </c>
      <c r="C62" s="94" t="e">
        <v>#VALUE!</v>
      </c>
      <c r="D62" s="94" t="e">
        <v>#VALUE!</v>
      </c>
      <c r="E62" s="94" t="e">
        <v>#VALUE!</v>
      </c>
      <c r="F62" s="94" t="e">
        <v>#VALUE!</v>
      </c>
      <c r="H62" s="40" t="e">
        <f t="shared" si="45"/>
        <v>#VALUE!</v>
      </c>
      <c r="I62" s="94" t="e">
        <v>#VALUE!</v>
      </c>
      <c r="J62" s="94" t="e">
        <v>#VALUE!</v>
      </c>
      <c r="K62" s="94" t="e">
        <v>#VALUE!</v>
      </c>
      <c r="L62" s="94" t="e">
        <v>#VALUE!</v>
      </c>
      <c r="N62" s="40" t="e">
        <f t="shared" si="46"/>
        <v>#VALUE!</v>
      </c>
      <c r="O62" s="94" t="e">
        <v>#VALUE!</v>
      </c>
      <c r="P62" s="94" t="e">
        <v>#VALUE!</v>
      </c>
      <c r="Q62" s="94" t="e">
        <v>#VALUE!</v>
      </c>
      <c r="R62" s="94" t="e">
        <v>#VALUE!</v>
      </c>
      <c r="S62" s="94"/>
      <c r="T62" s="40" t="e">
        <f t="shared" si="47"/>
        <v>#VALUE!</v>
      </c>
      <c r="U62" s="94" t="e">
        <v>#VALUE!</v>
      </c>
      <c r="V62" s="94" t="e">
        <v>#VALUE!</v>
      </c>
      <c r="W62" s="94" t="e">
        <v>#VALUE!</v>
      </c>
      <c r="X62" s="94" t="e">
        <v>#VALUE!</v>
      </c>
      <c r="Y62" s="91" t="e">
        <f t="shared" si="64"/>
        <v>#REF!</v>
      </c>
      <c r="Z62" s="40" t="e">
        <f t="shared" si="48"/>
        <v>#VALUE!</v>
      </c>
      <c r="AA62" s="94" t="e">
        <v>#VALUE!</v>
      </c>
      <c r="AB62" s="94" t="e">
        <v>#VALUE!</v>
      </c>
      <c r="AC62" s="94" t="e">
        <v>#VALUE!</v>
      </c>
      <c r="AD62" s="94" t="e">
        <v>#VALUE!</v>
      </c>
      <c r="AF62" s="40" t="e">
        <f t="shared" si="49"/>
        <v>#VALUE!</v>
      </c>
      <c r="AG62" s="94" t="e">
        <v>#VALUE!</v>
      </c>
      <c r="AH62" s="94" t="e">
        <v>#VALUE!</v>
      </c>
      <c r="AI62" s="94" t="e">
        <v>#VALUE!</v>
      </c>
      <c r="AJ62" s="94" t="e">
        <v>#VALUE!</v>
      </c>
      <c r="AL62" s="40" t="e">
        <f t="shared" si="50"/>
        <v>#VALUE!</v>
      </c>
      <c r="AM62" s="94" t="e">
        <v>#VALUE!</v>
      </c>
      <c r="AN62" s="94" t="e">
        <v>#VALUE!</v>
      </c>
      <c r="AO62" s="94" t="e">
        <v>#VALUE!</v>
      </c>
      <c r="AP62" s="94" t="e">
        <v>#VALUE!</v>
      </c>
      <c r="AQ62" s="94"/>
      <c r="AR62" s="40" t="e">
        <f t="shared" si="51"/>
        <v>#VALUE!</v>
      </c>
      <c r="AS62" s="94" t="e">
        <v>#VALUE!</v>
      </c>
      <c r="AT62" s="94" t="e">
        <v>#VALUE!</v>
      </c>
      <c r="AU62" s="94" t="e">
        <v>#VALUE!</v>
      </c>
      <c r="AV62" s="94" t="e">
        <v>#VALUE!</v>
      </c>
      <c r="AW62" s="91" t="e">
        <f t="shared" si="65"/>
        <v>#REF!</v>
      </c>
      <c r="AX62" s="40" t="e">
        <f t="shared" si="52"/>
        <v>#VALUE!</v>
      </c>
      <c r="AY62" s="94" t="e">
        <v>#VALUE!</v>
      </c>
      <c r="AZ62" s="94" t="e">
        <v>#VALUE!</v>
      </c>
      <c r="BA62" s="94" t="e">
        <v>#VALUE!</v>
      </c>
      <c r="BB62" s="94" t="e">
        <v>#VALUE!</v>
      </c>
      <c r="BD62" s="40" t="e">
        <f t="shared" si="53"/>
        <v>#VALUE!</v>
      </c>
      <c r="BE62" s="94" t="e">
        <v>#VALUE!</v>
      </c>
      <c r="BF62" s="94" t="e">
        <v>#VALUE!</v>
      </c>
      <c r="BG62" s="94" t="e">
        <v>#VALUE!</v>
      </c>
      <c r="BH62" s="94" t="e">
        <v>#VALUE!</v>
      </c>
      <c r="BJ62" s="40" t="e">
        <f t="shared" si="54"/>
        <v>#VALUE!</v>
      </c>
      <c r="BK62" s="94" t="e">
        <v>#VALUE!</v>
      </c>
      <c r="BL62" s="94" t="e">
        <v>#VALUE!</v>
      </c>
      <c r="BM62" s="94" t="e">
        <v>#VALUE!</v>
      </c>
      <c r="BN62" s="94" t="e">
        <v>#VALUE!</v>
      </c>
      <c r="BO62" s="94"/>
      <c r="BP62" s="40" t="e">
        <f t="shared" si="55"/>
        <v>#VALUE!</v>
      </c>
      <c r="BQ62" s="94" t="e">
        <v>#VALUE!</v>
      </c>
      <c r="BR62" s="94" t="e">
        <v>#VALUE!</v>
      </c>
      <c r="BS62" s="94" t="e">
        <v>#VALUE!</v>
      </c>
      <c r="BT62" s="94" t="e">
        <v>#VALUE!</v>
      </c>
      <c r="BU62" s="91" t="e">
        <f t="shared" si="66"/>
        <v>#REF!</v>
      </c>
      <c r="BV62" s="40" t="e">
        <f t="shared" si="56"/>
        <v>#VALUE!</v>
      </c>
      <c r="BW62" s="94" t="e">
        <v>#VALUE!</v>
      </c>
      <c r="BX62" s="94" t="e">
        <v>#VALUE!</v>
      </c>
      <c r="BY62" s="94" t="e">
        <v>#VALUE!</v>
      </c>
      <c r="BZ62" s="94" t="e">
        <v>#VALUE!</v>
      </c>
      <c r="CB62" s="40" t="e">
        <f t="shared" si="57"/>
        <v>#VALUE!</v>
      </c>
      <c r="CC62" s="94" t="e">
        <v>#VALUE!</v>
      </c>
      <c r="CD62" s="94" t="e">
        <v>#VALUE!</v>
      </c>
      <c r="CE62" s="94" t="e">
        <v>#VALUE!</v>
      </c>
      <c r="CF62" s="94" t="e">
        <v>#VALUE!</v>
      </c>
      <c r="CH62" s="40" t="e">
        <f t="shared" si="58"/>
        <v>#VALUE!</v>
      </c>
      <c r="CI62" s="94" t="e">
        <v>#VALUE!</v>
      </c>
      <c r="CJ62" s="94" t="e">
        <v>#VALUE!</v>
      </c>
      <c r="CK62" s="94" t="e">
        <v>#VALUE!</v>
      </c>
      <c r="CL62" s="94" t="e">
        <v>#VALUE!</v>
      </c>
      <c r="CM62" s="94"/>
      <c r="CN62" s="40" t="e">
        <f t="shared" si="59"/>
        <v>#VALUE!</v>
      </c>
      <c r="CO62" s="94" t="e">
        <v>#VALUE!</v>
      </c>
      <c r="CP62" s="94" t="e">
        <v>#VALUE!</v>
      </c>
      <c r="CQ62" s="94" t="e">
        <v>#VALUE!</v>
      </c>
      <c r="CR62" s="94" t="e">
        <v>#VALUE!</v>
      </c>
      <c r="CS62" s="91" t="e">
        <f t="shared" si="67"/>
        <v>#REF!</v>
      </c>
      <c r="CT62" s="40" t="e">
        <f t="shared" si="60"/>
        <v>#VALUE!</v>
      </c>
      <c r="CU62" s="94" t="e">
        <v>#VALUE!</v>
      </c>
      <c r="CV62" s="94" t="e">
        <v>#VALUE!</v>
      </c>
      <c r="CW62" s="94" t="e">
        <v>#VALUE!</v>
      </c>
      <c r="CX62" s="94" t="e">
        <v>#VALUE!</v>
      </c>
      <c r="CZ62" s="40" t="e">
        <f t="shared" si="61"/>
        <v>#VALUE!</v>
      </c>
      <c r="DA62" s="94" t="e">
        <v>#VALUE!</v>
      </c>
      <c r="DB62" s="94" t="e">
        <v>#VALUE!</v>
      </c>
      <c r="DC62" s="94" t="e">
        <v>#VALUE!</v>
      </c>
      <c r="DD62" s="94" t="e">
        <v>#VALUE!</v>
      </c>
      <c r="DF62" s="40" t="e">
        <f t="shared" si="62"/>
        <v>#VALUE!</v>
      </c>
      <c r="DG62" s="94" t="e">
        <v>#VALUE!</v>
      </c>
      <c r="DH62" s="94" t="e">
        <v>#VALUE!</v>
      </c>
      <c r="DI62" s="94" t="e">
        <v>#VALUE!</v>
      </c>
      <c r="DJ62" s="94" t="e">
        <v>#VALUE!</v>
      </c>
      <c r="DK62" s="94"/>
      <c r="DL62" s="40" t="e">
        <f t="shared" si="63"/>
        <v>#VALUE!</v>
      </c>
      <c r="DM62" s="94" t="e">
        <v>#VALUE!</v>
      </c>
      <c r="DN62" s="94" t="e">
        <v>#VALUE!</v>
      </c>
      <c r="DO62" s="94" t="e">
        <v>#VALUE!</v>
      </c>
      <c r="DP62" s="94" t="e">
        <v>#VALUE!</v>
      </c>
    </row>
    <row r="63" spans="1:120" x14ac:dyDescent="0.2">
      <c r="A63" s="91" t="e">
        <f>name!#REF!</f>
        <v>#REF!</v>
      </c>
      <c r="B63" s="40" t="e">
        <f t="shared" si="44"/>
        <v>#VALUE!</v>
      </c>
      <c r="C63" s="94" t="e">
        <v>#VALUE!</v>
      </c>
      <c r="D63" s="94" t="e">
        <v>#VALUE!</v>
      </c>
      <c r="E63" s="94" t="e">
        <v>#VALUE!</v>
      </c>
      <c r="F63" s="94" t="e">
        <v>#VALUE!</v>
      </c>
      <c r="H63" s="40" t="e">
        <f t="shared" si="45"/>
        <v>#VALUE!</v>
      </c>
      <c r="I63" s="94" t="e">
        <v>#VALUE!</v>
      </c>
      <c r="J63" s="94" t="e">
        <v>#VALUE!</v>
      </c>
      <c r="K63" s="94" t="e">
        <v>#VALUE!</v>
      </c>
      <c r="L63" s="94" t="e">
        <v>#VALUE!</v>
      </c>
      <c r="N63" s="40" t="e">
        <f t="shared" si="46"/>
        <v>#VALUE!</v>
      </c>
      <c r="O63" s="94" t="e">
        <v>#VALUE!</v>
      </c>
      <c r="P63" s="94" t="e">
        <v>#VALUE!</v>
      </c>
      <c r="Q63" s="94" t="e">
        <v>#VALUE!</v>
      </c>
      <c r="R63" s="94" t="e">
        <v>#VALUE!</v>
      </c>
      <c r="S63" s="94"/>
      <c r="T63" s="40" t="e">
        <f t="shared" si="47"/>
        <v>#VALUE!</v>
      </c>
      <c r="U63" s="94" t="e">
        <v>#VALUE!</v>
      </c>
      <c r="V63" s="94" t="e">
        <v>#VALUE!</v>
      </c>
      <c r="W63" s="94" t="e">
        <v>#VALUE!</v>
      </c>
      <c r="X63" s="94" t="e">
        <v>#VALUE!</v>
      </c>
      <c r="Y63" s="91" t="e">
        <f t="shared" si="64"/>
        <v>#REF!</v>
      </c>
      <c r="Z63" s="40" t="e">
        <f t="shared" si="48"/>
        <v>#VALUE!</v>
      </c>
      <c r="AA63" s="94" t="e">
        <v>#VALUE!</v>
      </c>
      <c r="AB63" s="94" t="e">
        <v>#VALUE!</v>
      </c>
      <c r="AC63" s="94" t="e">
        <v>#VALUE!</v>
      </c>
      <c r="AD63" s="94" t="e">
        <v>#VALUE!</v>
      </c>
      <c r="AF63" s="40" t="e">
        <f t="shared" si="49"/>
        <v>#VALUE!</v>
      </c>
      <c r="AG63" s="94" t="e">
        <v>#VALUE!</v>
      </c>
      <c r="AH63" s="94" t="e">
        <v>#VALUE!</v>
      </c>
      <c r="AI63" s="94" t="e">
        <v>#VALUE!</v>
      </c>
      <c r="AJ63" s="94" t="e">
        <v>#VALUE!</v>
      </c>
      <c r="AL63" s="40" t="e">
        <f t="shared" si="50"/>
        <v>#VALUE!</v>
      </c>
      <c r="AM63" s="94" t="e">
        <v>#VALUE!</v>
      </c>
      <c r="AN63" s="94" t="e">
        <v>#VALUE!</v>
      </c>
      <c r="AO63" s="94" t="e">
        <v>#VALUE!</v>
      </c>
      <c r="AP63" s="94" t="e">
        <v>#VALUE!</v>
      </c>
      <c r="AQ63" s="94"/>
      <c r="AR63" s="40" t="e">
        <f t="shared" si="51"/>
        <v>#VALUE!</v>
      </c>
      <c r="AS63" s="94" t="e">
        <v>#VALUE!</v>
      </c>
      <c r="AT63" s="94" t="e">
        <v>#VALUE!</v>
      </c>
      <c r="AU63" s="94" t="e">
        <v>#VALUE!</v>
      </c>
      <c r="AV63" s="94" t="e">
        <v>#VALUE!</v>
      </c>
      <c r="AW63" s="91" t="e">
        <f t="shared" si="65"/>
        <v>#REF!</v>
      </c>
      <c r="AX63" s="40" t="e">
        <f t="shared" si="52"/>
        <v>#VALUE!</v>
      </c>
      <c r="AY63" s="94" t="e">
        <v>#VALUE!</v>
      </c>
      <c r="AZ63" s="94" t="e">
        <v>#VALUE!</v>
      </c>
      <c r="BA63" s="94" t="e">
        <v>#VALUE!</v>
      </c>
      <c r="BB63" s="94" t="e">
        <v>#VALUE!</v>
      </c>
      <c r="BD63" s="40" t="e">
        <f t="shared" si="53"/>
        <v>#VALUE!</v>
      </c>
      <c r="BE63" s="94" t="e">
        <v>#VALUE!</v>
      </c>
      <c r="BF63" s="94" t="e">
        <v>#VALUE!</v>
      </c>
      <c r="BG63" s="94" t="e">
        <v>#VALUE!</v>
      </c>
      <c r="BH63" s="94" t="e">
        <v>#VALUE!</v>
      </c>
      <c r="BJ63" s="40" t="e">
        <f t="shared" si="54"/>
        <v>#VALUE!</v>
      </c>
      <c r="BK63" s="94" t="e">
        <v>#VALUE!</v>
      </c>
      <c r="BL63" s="94" t="e">
        <v>#VALUE!</v>
      </c>
      <c r="BM63" s="94" t="e">
        <v>#VALUE!</v>
      </c>
      <c r="BN63" s="94" t="e">
        <v>#VALUE!</v>
      </c>
      <c r="BO63" s="94"/>
      <c r="BP63" s="40" t="e">
        <f t="shared" si="55"/>
        <v>#VALUE!</v>
      </c>
      <c r="BQ63" s="94" t="e">
        <v>#VALUE!</v>
      </c>
      <c r="BR63" s="94" t="e">
        <v>#VALUE!</v>
      </c>
      <c r="BS63" s="94" t="e">
        <v>#VALUE!</v>
      </c>
      <c r="BT63" s="94" t="e">
        <v>#VALUE!</v>
      </c>
      <c r="BU63" s="91" t="e">
        <f t="shared" si="66"/>
        <v>#REF!</v>
      </c>
      <c r="BV63" s="40" t="e">
        <f t="shared" si="56"/>
        <v>#VALUE!</v>
      </c>
      <c r="BW63" s="94" t="e">
        <v>#VALUE!</v>
      </c>
      <c r="BX63" s="94" t="e">
        <v>#VALUE!</v>
      </c>
      <c r="BY63" s="94" t="e">
        <v>#VALUE!</v>
      </c>
      <c r="BZ63" s="94" t="e">
        <v>#VALUE!</v>
      </c>
      <c r="CB63" s="40" t="e">
        <f t="shared" si="57"/>
        <v>#VALUE!</v>
      </c>
      <c r="CC63" s="94" t="e">
        <v>#VALUE!</v>
      </c>
      <c r="CD63" s="94" t="e">
        <v>#VALUE!</v>
      </c>
      <c r="CE63" s="94" t="e">
        <v>#VALUE!</v>
      </c>
      <c r="CF63" s="94" t="e">
        <v>#VALUE!</v>
      </c>
      <c r="CH63" s="40" t="e">
        <f t="shared" si="58"/>
        <v>#VALUE!</v>
      </c>
      <c r="CI63" s="94" t="e">
        <v>#VALUE!</v>
      </c>
      <c r="CJ63" s="94" t="e">
        <v>#VALUE!</v>
      </c>
      <c r="CK63" s="94" t="e">
        <v>#VALUE!</v>
      </c>
      <c r="CL63" s="94" t="e">
        <v>#VALUE!</v>
      </c>
      <c r="CM63" s="94"/>
      <c r="CN63" s="40" t="e">
        <f t="shared" si="59"/>
        <v>#VALUE!</v>
      </c>
      <c r="CO63" s="94" t="e">
        <v>#VALUE!</v>
      </c>
      <c r="CP63" s="94" t="e">
        <v>#VALUE!</v>
      </c>
      <c r="CQ63" s="94" t="e">
        <v>#VALUE!</v>
      </c>
      <c r="CR63" s="94" t="e">
        <v>#VALUE!</v>
      </c>
      <c r="CS63" s="91" t="e">
        <f t="shared" si="67"/>
        <v>#REF!</v>
      </c>
      <c r="CT63" s="40" t="e">
        <f t="shared" si="60"/>
        <v>#VALUE!</v>
      </c>
      <c r="CU63" s="94" t="e">
        <v>#VALUE!</v>
      </c>
      <c r="CV63" s="94" t="e">
        <v>#VALUE!</v>
      </c>
      <c r="CW63" s="94" t="e">
        <v>#VALUE!</v>
      </c>
      <c r="CX63" s="94" t="e">
        <v>#VALUE!</v>
      </c>
      <c r="CZ63" s="40" t="e">
        <f t="shared" si="61"/>
        <v>#VALUE!</v>
      </c>
      <c r="DA63" s="94" t="e">
        <v>#VALUE!</v>
      </c>
      <c r="DB63" s="94" t="e">
        <v>#VALUE!</v>
      </c>
      <c r="DC63" s="94" t="e">
        <v>#VALUE!</v>
      </c>
      <c r="DD63" s="94" t="e">
        <v>#VALUE!</v>
      </c>
      <c r="DF63" s="40" t="e">
        <f t="shared" si="62"/>
        <v>#VALUE!</v>
      </c>
      <c r="DG63" s="94" t="e">
        <v>#VALUE!</v>
      </c>
      <c r="DH63" s="94" t="e">
        <v>#VALUE!</v>
      </c>
      <c r="DI63" s="94" t="e">
        <v>#VALUE!</v>
      </c>
      <c r="DJ63" s="94" t="e">
        <v>#VALUE!</v>
      </c>
      <c r="DK63" s="94"/>
      <c r="DL63" s="40" t="e">
        <f t="shared" si="63"/>
        <v>#VALUE!</v>
      </c>
      <c r="DM63" s="94" t="e">
        <v>#VALUE!</v>
      </c>
      <c r="DN63" s="94" t="e">
        <v>#VALUE!</v>
      </c>
      <c r="DO63" s="94" t="e">
        <v>#VALUE!</v>
      </c>
      <c r="DP63" s="94" t="e">
        <v>#VALUE!</v>
      </c>
    </row>
    <row r="64" spans="1:120" x14ac:dyDescent="0.2">
      <c r="A64" s="91" t="e">
        <f>name!#REF!</f>
        <v>#REF!</v>
      </c>
      <c r="B64" s="40" t="e">
        <f t="shared" si="44"/>
        <v>#VALUE!</v>
      </c>
      <c r="C64" s="94" t="e">
        <v>#VALUE!</v>
      </c>
      <c r="D64" s="94" t="e">
        <v>#VALUE!</v>
      </c>
      <c r="E64" s="94" t="e">
        <v>#VALUE!</v>
      </c>
      <c r="F64" s="94" t="e">
        <v>#VALUE!</v>
      </c>
      <c r="H64" s="40" t="e">
        <f t="shared" si="45"/>
        <v>#VALUE!</v>
      </c>
      <c r="I64" s="94" t="e">
        <v>#VALUE!</v>
      </c>
      <c r="J64" s="94" t="e">
        <v>#VALUE!</v>
      </c>
      <c r="K64" s="94" t="e">
        <v>#VALUE!</v>
      </c>
      <c r="L64" s="94" t="e">
        <v>#VALUE!</v>
      </c>
      <c r="N64" s="40" t="e">
        <f t="shared" si="46"/>
        <v>#VALUE!</v>
      </c>
      <c r="O64" s="94" t="e">
        <v>#VALUE!</v>
      </c>
      <c r="P64" s="94" t="e">
        <v>#VALUE!</v>
      </c>
      <c r="Q64" s="94" t="e">
        <v>#VALUE!</v>
      </c>
      <c r="R64" s="94" t="e">
        <v>#VALUE!</v>
      </c>
      <c r="S64" s="94"/>
      <c r="T64" s="40" t="e">
        <f t="shared" si="47"/>
        <v>#VALUE!</v>
      </c>
      <c r="U64" s="94" t="e">
        <v>#VALUE!</v>
      </c>
      <c r="V64" s="94" t="e">
        <v>#VALUE!</v>
      </c>
      <c r="W64" s="94" t="e">
        <v>#VALUE!</v>
      </c>
      <c r="X64" s="94" t="e">
        <v>#VALUE!</v>
      </c>
      <c r="Y64" s="91" t="e">
        <f t="shared" si="64"/>
        <v>#REF!</v>
      </c>
      <c r="Z64" s="40" t="e">
        <f t="shared" si="48"/>
        <v>#VALUE!</v>
      </c>
      <c r="AA64" s="94" t="e">
        <v>#VALUE!</v>
      </c>
      <c r="AB64" s="94" t="e">
        <v>#VALUE!</v>
      </c>
      <c r="AC64" s="94" t="e">
        <v>#VALUE!</v>
      </c>
      <c r="AD64" s="94" t="e">
        <v>#VALUE!</v>
      </c>
      <c r="AF64" s="40" t="e">
        <f t="shared" si="49"/>
        <v>#VALUE!</v>
      </c>
      <c r="AG64" s="94" t="e">
        <v>#VALUE!</v>
      </c>
      <c r="AH64" s="94" t="e">
        <v>#VALUE!</v>
      </c>
      <c r="AI64" s="94" t="e">
        <v>#VALUE!</v>
      </c>
      <c r="AJ64" s="94" t="e">
        <v>#VALUE!</v>
      </c>
      <c r="AL64" s="40" t="e">
        <f t="shared" si="50"/>
        <v>#VALUE!</v>
      </c>
      <c r="AM64" s="94" t="e">
        <v>#VALUE!</v>
      </c>
      <c r="AN64" s="94" t="e">
        <v>#VALUE!</v>
      </c>
      <c r="AO64" s="94" t="e">
        <v>#VALUE!</v>
      </c>
      <c r="AP64" s="94" t="e">
        <v>#VALUE!</v>
      </c>
      <c r="AQ64" s="94"/>
      <c r="AR64" s="40" t="e">
        <f t="shared" si="51"/>
        <v>#VALUE!</v>
      </c>
      <c r="AS64" s="94" t="e">
        <v>#VALUE!</v>
      </c>
      <c r="AT64" s="94" t="e">
        <v>#VALUE!</v>
      </c>
      <c r="AU64" s="94" t="e">
        <v>#VALUE!</v>
      </c>
      <c r="AV64" s="94" t="e">
        <v>#VALUE!</v>
      </c>
      <c r="AW64" s="91" t="e">
        <f t="shared" si="65"/>
        <v>#REF!</v>
      </c>
      <c r="AX64" s="40" t="e">
        <f t="shared" si="52"/>
        <v>#VALUE!</v>
      </c>
      <c r="AY64" s="94" t="e">
        <v>#VALUE!</v>
      </c>
      <c r="AZ64" s="94" t="e">
        <v>#VALUE!</v>
      </c>
      <c r="BA64" s="94" t="e">
        <v>#VALUE!</v>
      </c>
      <c r="BB64" s="94" t="e">
        <v>#VALUE!</v>
      </c>
      <c r="BD64" s="40" t="e">
        <f t="shared" si="53"/>
        <v>#VALUE!</v>
      </c>
      <c r="BE64" s="94" t="e">
        <v>#VALUE!</v>
      </c>
      <c r="BF64" s="94" t="e">
        <v>#VALUE!</v>
      </c>
      <c r="BG64" s="94" t="e">
        <v>#VALUE!</v>
      </c>
      <c r="BH64" s="94" t="e">
        <v>#VALUE!</v>
      </c>
      <c r="BJ64" s="40" t="e">
        <f t="shared" si="54"/>
        <v>#VALUE!</v>
      </c>
      <c r="BK64" s="94" t="e">
        <v>#VALUE!</v>
      </c>
      <c r="BL64" s="94" t="e">
        <v>#VALUE!</v>
      </c>
      <c r="BM64" s="94" t="e">
        <v>#VALUE!</v>
      </c>
      <c r="BN64" s="94" t="e">
        <v>#VALUE!</v>
      </c>
      <c r="BO64" s="94"/>
      <c r="BP64" s="40" t="e">
        <f t="shared" si="55"/>
        <v>#VALUE!</v>
      </c>
      <c r="BQ64" s="94" t="e">
        <v>#VALUE!</v>
      </c>
      <c r="BR64" s="94" t="e">
        <v>#VALUE!</v>
      </c>
      <c r="BS64" s="94" t="e">
        <v>#VALUE!</v>
      </c>
      <c r="BT64" s="94" t="e">
        <v>#VALUE!</v>
      </c>
      <c r="BU64" s="91" t="e">
        <f t="shared" si="66"/>
        <v>#REF!</v>
      </c>
      <c r="BV64" s="40" t="e">
        <f t="shared" si="56"/>
        <v>#VALUE!</v>
      </c>
      <c r="BW64" s="94" t="e">
        <v>#VALUE!</v>
      </c>
      <c r="BX64" s="94" t="e">
        <v>#VALUE!</v>
      </c>
      <c r="BY64" s="94" t="e">
        <v>#VALUE!</v>
      </c>
      <c r="BZ64" s="94" t="e">
        <v>#VALUE!</v>
      </c>
      <c r="CB64" s="40" t="e">
        <f t="shared" si="57"/>
        <v>#VALUE!</v>
      </c>
      <c r="CC64" s="94" t="e">
        <v>#VALUE!</v>
      </c>
      <c r="CD64" s="94" t="e">
        <v>#VALUE!</v>
      </c>
      <c r="CE64" s="94" t="e">
        <v>#VALUE!</v>
      </c>
      <c r="CF64" s="94" t="e">
        <v>#VALUE!</v>
      </c>
      <c r="CH64" s="40" t="e">
        <f t="shared" si="58"/>
        <v>#VALUE!</v>
      </c>
      <c r="CI64" s="94" t="e">
        <v>#VALUE!</v>
      </c>
      <c r="CJ64" s="94" t="e">
        <v>#VALUE!</v>
      </c>
      <c r="CK64" s="94" t="e">
        <v>#VALUE!</v>
      </c>
      <c r="CL64" s="94" t="e">
        <v>#VALUE!</v>
      </c>
      <c r="CM64" s="94"/>
      <c r="CN64" s="40" t="e">
        <f t="shared" si="59"/>
        <v>#VALUE!</v>
      </c>
      <c r="CO64" s="94" t="e">
        <v>#VALUE!</v>
      </c>
      <c r="CP64" s="94" t="e">
        <v>#VALUE!</v>
      </c>
      <c r="CQ64" s="94" t="e">
        <v>#VALUE!</v>
      </c>
      <c r="CR64" s="94" t="e">
        <v>#VALUE!</v>
      </c>
      <c r="CS64" s="91" t="e">
        <f t="shared" si="67"/>
        <v>#REF!</v>
      </c>
      <c r="CT64" s="40" t="e">
        <f t="shared" si="60"/>
        <v>#VALUE!</v>
      </c>
      <c r="CU64" s="94" t="e">
        <v>#VALUE!</v>
      </c>
      <c r="CV64" s="94" t="e">
        <v>#VALUE!</v>
      </c>
      <c r="CW64" s="94" t="e">
        <v>#VALUE!</v>
      </c>
      <c r="CX64" s="94" t="e">
        <v>#VALUE!</v>
      </c>
      <c r="CZ64" s="40" t="e">
        <f t="shared" si="61"/>
        <v>#VALUE!</v>
      </c>
      <c r="DA64" s="94" t="e">
        <v>#VALUE!</v>
      </c>
      <c r="DB64" s="94" t="e">
        <v>#VALUE!</v>
      </c>
      <c r="DC64" s="94" t="e">
        <v>#VALUE!</v>
      </c>
      <c r="DD64" s="94" t="e">
        <v>#VALUE!</v>
      </c>
      <c r="DF64" s="40" t="e">
        <f t="shared" si="62"/>
        <v>#VALUE!</v>
      </c>
      <c r="DG64" s="94" t="e">
        <v>#VALUE!</v>
      </c>
      <c r="DH64" s="94" t="e">
        <v>#VALUE!</v>
      </c>
      <c r="DI64" s="94" t="e">
        <v>#VALUE!</v>
      </c>
      <c r="DJ64" s="94" t="e">
        <v>#VALUE!</v>
      </c>
      <c r="DK64" s="94"/>
      <c r="DL64" s="40" t="e">
        <f t="shared" si="63"/>
        <v>#VALUE!</v>
      </c>
      <c r="DM64" s="94" t="e">
        <v>#VALUE!</v>
      </c>
      <c r="DN64" s="94" t="e">
        <v>#VALUE!</v>
      </c>
      <c r="DO64" s="94" t="e">
        <v>#VALUE!</v>
      </c>
      <c r="DP64" s="94" t="e">
        <v>#VALUE!</v>
      </c>
    </row>
    <row r="65" spans="1:120" x14ac:dyDescent="0.2">
      <c r="A65" s="91" t="e">
        <f>name!#REF!</f>
        <v>#REF!</v>
      </c>
      <c r="B65" s="40" t="e">
        <f t="shared" si="44"/>
        <v>#VALUE!</v>
      </c>
      <c r="C65" s="94" t="e">
        <v>#VALUE!</v>
      </c>
      <c r="D65" s="94" t="e">
        <v>#VALUE!</v>
      </c>
      <c r="E65" s="94" t="e">
        <v>#VALUE!</v>
      </c>
      <c r="F65" s="94" t="e">
        <v>#VALUE!</v>
      </c>
      <c r="H65" s="40" t="e">
        <f t="shared" si="45"/>
        <v>#VALUE!</v>
      </c>
      <c r="I65" s="94" t="e">
        <v>#VALUE!</v>
      </c>
      <c r="J65" s="94" t="e">
        <v>#VALUE!</v>
      </c>
      <c r="K65" s="94" t="e">
        <v>#VALUE!</v>
      </c>
      <c r="L65" s="94" t="e">
        <v>#VALUE!</v>
      </c>
      <c r="N65" s="40" t="e">
        <f t="shared" si="46"/>
        <v>#VALUE!</v>
      </c>
      <c r="O65" s="94" t="e">
        <v>#VALUE!</v>
      </c>
      <c r="P65" s="94" t="e">
        <v>#VALUE!</v>
      </c>
      <c r="Q65" s="94" t="e">
        <v>#VALUE!</v>
      </c>
      <c r="R65" s="94" t="e">
        <v>#VALUE!</v>
      </c>
      <c r="S65" s="94"/>
      <c r="T65" s="40" t="e">
        <f t="shared" si="47"/>
        <v>#VALUE!</v>
      </c>
      <c r="U65" s="94" t="e">
        <v>#VALUE!</v>
      </c>
      <c r="V65" s="94" t="e">
        <v>#VALUE!</v>
      </c>
      <c r="W65" s="94" t="e">
        <v>#VALUE!</v>
      </c>
      <c r="X65" s="94" t="e">
        <v>#VALUE!</v>
      </c>
      <c r="Y65" s="91" t="e">
        <f t="shared" si="64"/>
        <v>#REF!</v>
      </c>
      <c r="Z65" s="40" t="e">
        <f t="shared" si="48"/>
        <v>#VALUE!</v>
      </c>
      <c r="AA65" s="94" t="e">
        <v>#VALUE!</v>
      </c>
      <c r="AB65" s="94" t="e">
        <v>#VALUE!</v>
      </c>
      <c r="AC65" s="94" t="e">
        <v>#VALUE!</v>
      </c>
      <c r="AD65" s="94" t="e">
        <v>#VALUE!</v>
      </c>
      <c r="AF65" s="40" t="e">
        <f t="shared" si="49"/>
        <v>#VALUE!</v>
      </c>
      <c r="AG65" s="94" t="e">
        <v>#VALUE!</v>
      </c>
      <c r="AH65" s="94" t="e">
        <v>#VALUE!</v>
      </c>
      <c r="AI65" s="94" t="e">
        <v>#VALUE!</v>
      </c>
      <c r="AJ65" s="94" t="e">
        <v>#VALUE!</v>
      </c>
      <c r="AL65" s="40" t="e">
        <f t="shared" si="50"/>
        <v>#VALUE!</v>
      </c>
      <c r="AM65" s="94" t="e">
        <v>#VALUE!</v>
      </c>
      <c r="AN65" s="94" t="e">
        <v>#VALUE!</v>
      </c>
      <c r="AO65" s="94" t="e">
        <v>#VALUE!</v>
      </c>
      <c r="AP65" s="94" t="e">
        <v>#VALUE!</v>
      </c>
      <c r="AQ65" s="94"/>
      <c r="AR65" s="40" t="e">
        <f t="shared" si="51"/>
        <v>#VALUE!</v>
      </c>
      <c r="AS65" s="94" t="e">
        <v>#VALUE!</v>
      </c>
      <c r="AT65" s="94" t="e">
        <v>#VALUE!</v>
      </c>
      <c r="AU65" s="94" t="e">
        <v>#VALUE!</v>
      </c>
      <c r="AV65" s="94" t="e">
        <v>#VALUE!</v>
      </c>
      <c r="AW65" s="91" t="e">
        <f t="shared" si="65"/>
        <v>#REF!</v>
      </c>
      <c r="AX65" s="40" t="e">
        <f t="shared" si="52"/>
        <v>#VALUE!</v>
      </c>
      <c r="AY65" s="94" t="e">
        <v>#VALUE!</v>
      </c>
      <c r="AZ65" s="94" t="e">
        <v>#VALUE!</v>
      </c>
      <c r="BA65" s="94" t="e">
        <v>#VALUE!</v>
      </c>
      <c r="BB65" s="94" t="e">
        <v>#VALUE!</v>
      </c>
      <c r="BD65" s="40" t="e">
        <f t="shared" si="53"/>
        <v>#VALUE!</v>
      </c>
      <c r="BE65" s="94" t="e">
        <v>#VALUE!</v>
      </c>
      <c r="BF65" s="94" t="e">
        <v>#VALUE!</v>
      </c>
      <c r="BG65" s="94" t="e">
        <v>#VALUE!</v>
      </c>
      <c r="BH65" s="94" t="e">
        <v>#VALUE!</v>
      </c>
      <c r="BJ65" s="40" t="e">
        <f t="shared" si="54"/>
        <v>#VALUE!</v>
      </c>
      <c r="BK65" s="94" t="e">
        <v>#VALUE!</v>
      </c>
      <c r="BL65" s="94" t="e">
        <v>#VALUE!</v>
      </c>
      <c r="BM65" s="94" t="e">
        <v>#VALUE!</v>
      </c>
      <c r="BN65" s="94" t="e">
        <v>#VALUE!</v>
      </c>
      <c r="BO65" s="94"/>
      <c r="BP65" s="40" t="e">
        <f t="shared" si="55"/>
        <v>#VALUE!</v>
      </c>
      <c r="BQ65" s="94" t="e">
        <v>#VALUE!</v>
      </c>
      <c r="BR65" s="94" t="e">
        <v>#VALUE!</v>
      </c>
      <c r="BS65" s="94" t="e">
        <v>#VALUE!</v>
      </c>
      <c r="BT65" s="94" t="e">
        <v>#VALUE!</v>
      </c>
      <c r="BU65" s="91" t="e">
        <f t="shared" si="66"/>
        <v>#REF!</v>
      </c>
      <c r="BV65" s="40" t="e">
        <f t="shared" si="56"/>
        <v>#VALUE!</v>
      </c>
      <c r="BW65" s="94" t="e">
        <v>#VALUE!</v>
      </c>
      <c r="BX65" s="94" t="e">
        <v>#VALUE!</v>
      </c>
      <c r="BY65" s="94" t="e">
        <v>#VALUE!</v>
      </c>
      <c r="BZ65" s="94" t="e">
        <v>#VALUE!</v>
      </c>
      <c r="CB65" s="40" t="e">
        <f t="shared" si="57"/>
        <v>#VALUE!</v>
      </c>
      <c r="CC65" s="94" t="e">
        <v>#VALUE!</v>
      </c>
      <c r="CD65" s="94" t="e">
        <v>#VALUE!</v>
      </c>
      <c r="CE65" s="94" t="e">
        <v>#VALUE!</v>
      </c>
      <c r="CF65" s="94" t="e">
        <v>#VALUE!</v>
      </c>
      <c r="CH65" s="40" t="e">
        <f t="shared" si="58"/>
        <v>#VALUE!</v>
      </c>
      <c r="CI65" s="94" t="e">
        <v>#VALUE!</v>
      </c>
      <c r="CJ65" s="94" t="e">
        <v>#VALUE!</v>
      </c>
      <c r="CK65" s="94" t="e">
        <v>#VALUE!</v>
      </c>
      <c r="CL65" s="94" t="e">
        <v>#VALUE!</v>
      </c>
      <c r="CM65" s="94"/>
      <c r="CN65" s="40" t="e">
        <f t="shared" si="59"/>
        <v>#VALUE!</v>
      </c>
      <c r="CO65" s="94" t="e">
        <v>#VALUE!</v>
      </c>
      <c r="CP65" s="94" t="e">
        <v>#VALUE!</v>
      </c>
      <c r="CQ65" s="94" t="e">
        <v>#VALUE!</v>
      </c>
      <c r="CR65" s="94" t="e">
        <v>#VALUE!</v>
      </c>
      <c r="CS65" s="91" t="e">
        <f t="shared" si="67"/>
        <v>#REF!</v>
      </c>
      <c r="CT65" s="40" t="e">
        <f t="shared" si="60"/>
        <v>#VALUE!</v>
      </c>
      <c r="CU65" s="94" t="e">
        <v>#VALUE!</v>
      </c>
      <c r="CV65" s="94" t="e">
        <v>#VALUE!</v>
      </c>
      <c r="CW65" s="94" t="e">
        <v>#VALUE!</v>
      </c>
      <c r="CX65" s="94" t="e">
        <v>#VALUE!</v>
      </c>
      <c r="CZ65" s="40" t="e">
        <f t="shared" si="61"/>
        <v>#VALUE!</v>
      </c>
      <c r="DA65" s="94" t="e">
        <v>#VALUE!</v>
      </c>
      <c r="DB65" s="94" t="e">
        <v>#VALUE!</v>
      </c>
      <c r="DC65" s="94" t="e">
        <v>#VALUE!</v>
      </c>
      <c r="DD65" s="94" t="e">
        <v>#VALUE!</v>
      </c>
      <c r="DF65" s="40" t="e">
        <f t="shared" si="62"/>
        <v>#VALUE!</v>
      </c>
      <c r="DG65" s="94" t="e">
        <v>#VALUE!</v>
      </c>
      <c r="DH65" s="94" t="e">
        <v>#VALUE!</v>
      </c>
      <c r="DI65" s="94" t="e">
        <v>#VALUE!</v>
      </c>
      <c r="DJ65" s="94" t="e">
        <v>#VALUE!</v>
      </c>
      <c r="DK65" s="94"/>
      <c r="DL65" s="40" t="e">
        <f t="shared" si="63"/>
        <v>#VALUE!</v>
      </c>
      <c r="DM65" s="94" t="e">
        <v>#VALUE!</v>
      </c>
      <c r="DN65" s="94" t="e">
        <v>#VALUE!</v>
      </c>
      <c r="DO65" s="94" t="e">
        <v>#VALUE!</v>
      </c>
      <c r="DP65" s="94" t="e">
        <v>#VALUE!</v>
      </c>
    </row>
    <row r="66" spans="1:120" x14ac:dyDescent="0.2">
      <c r="A66" s="91" t="e">
        <f>name!#REF!</f>
        <v>#REF!</v>
      </c>
      <c r="B66" s="40" t="e">
        <f t="shared" si="44"/>
        <v>#VALUE!</v>
      </c>
      <c r="C66" s="94" t="e">
        <v>#VALUE!</v>
      </c>
      <c r="D66" s="94" t="e">
        <v>#VALUE!</v>
      </c>
      <c r="E66" s="94" t="e">
        <v>#VALUE!</v>
      </c>
      <c r="F66" s="94" t="e">
        <v>#VALUE!</v>
      </c>
      <c r="H66" s="40" t="e">
        <f t="shared" si="45"/>
        <v>#VALUE!</v>
      </c>
      <c r="I66" s="94" t="e">
        <v>#VALUE!</v>
      </c>
      <c r="J66" s="94" t="e">
        <v>#VALUE!</v>
      </c>
      <c r="K66" s="94" t="e">
        <v>#VALUE!</v>
      </c>
      <c r="L66" s="94" t="e">
        <v>#VALUE!</v>
      </c>
      <c r="N66" s="40" t="e">
        <f t="shared" si="46"/>
        <v>#VALUE!</v>
      </c>
      <c r="O66" s="94" t="e">
        <v>#VALUE!</v>
      </c>
      <c r="P66" s="94" t="e">
        <v>#VALUE!</v>
      </c>
      <c r="Q66" s="94" t="e">
        <v>#VALUE!</v>
      </c>
      <c r="R66" s="94" t="e">
        <v>#VALUE!</v>
      </c>
      <c r="S66" s="94"/>
      <c r="T66" s="40" t="e">
        <f t="shared" si="47"/>
        <v>#VALUE!</v>
      </c>
      <c r="U66" s="94" t="e">
        <v>#VALUE!</v>
      </c>
      <c r="V66" s="94" t="e">
        <v>#VALUE!</v>
      </c>
      <c r="W66" s="94" t="e">
        <v>#VALUE!</v>
      </c>
      <c r="X66" s="94" t="e">
        <v>#VALUE!</v>
      </c>
      <c r="Y66" s="91" t="e">
        <f t="shared" si="64"/>
        <v>#REF!</v>
      </c>
      <c r="Z66" s="40" t="e">
        <f t="shared" si="48"/>
        <v>#VALUE!</v>
      </c>
      <c r="AA66" s="94" t="e">
        <v>#VALUE!</v>
      </c>
      <c r="AB66" s="94" t="e">
        <v>#VALUE!</v>
      </c>
      <c r="AC66" s="94" t="e">
        <v>#VALUE!</v>
      </c>
      <c r="AD66" s="94" t="e">
        <v>#VALUE!</v>
      </c>
      <c r="AF66" s="40" t="e">
        <f t="shared" si="49"/>
        <v>#VALUE!</v>
      </c>
      <c r="AG66" s="94" t="e">
        <v>#VALUE!</v>
      </c>
      <c r="AH66" s="94" t="e">
        <v>#VALUE!</v>
      </c>
      <c r="AI66" s="94" t="e">
        <v>#VALUE!</v>
      </c>
      <c r="AJ66" s="94" t="e">
        <v>#VALUE!</v>
      </c>
      <c r="AL66" s="40" t="e">
        <f t="shared" si="50"/>
        <v>#VALUE!</v>
      </c>
      <c r="AM66" s="94" t="e">
        <v>#VALUE!</v>
      </c>
      <c r="AN66" s="94" t="e">
        <v>#VALUE!</v>
      </c>
      <c r="AO66" s="94" t="e">
        <v>#VALUE!</v>
      </c>
      <c r="AP66" s="94" t="e">
        <v>#VALUE!</v>
      </c>
      <c r="AQ66" s="94"/>
      <c r="AR66" s="40" t="e">
        <f t="shared" si="51"/>
        <v>#VALUE!</v>
      </c>
      <c r="AS66" s="94" t="e">
        <v>#VALUE!</v>
      </c>
      <c r="AT66" s="94" t="e">
        <v>#VALUE!</v>
      </c>
      <c r="AU66" s="94" t="e">
        <v>#VALUE!</v>
      </c>
      <c r="AV66" s="94" t="e">
        <v>#VALUE!</v>
      </c>
      <c r="AW66" s="91" t="e">
        <f t="shared" si="65"/>
        <v>#REF!</v>
      </c>
      <c r="AX66" s="40" t="e">
        <f t="shared" si="52"/>
        <v>#VALUE!</v>
      </c>
      <c r="AY66" s="94" t="e">
        <v>#VALUE!</v>
      </c>
      <c r="AZ66" s="94" t="e">
        <v>#VALUE!</v>
      </c>
      <c r="BA66" s="94" t="e">
        <v>#VALUE!</v>
      </c>
      <c r="BB66" s="94" t="e">
        <v>#VALUE!</v>
      </c>
      <c r="BD66" s="40" t="e">
        <f t="shared" si="53"/>
        <v>#VALUE!</v>
      </c>
      <c r="BE66" s="94" t="e">
        <v>#VALUE!</v>
      </c>
      <c r="BF66" s="94" t="e">
        <v>#VALUE!</v>
      </c>
      <c r="BG66" s="94" t="e">
        <v>#VALUE!</v>
      </c>
      <c r="BH66" s="94" t="e">
        <v>#VALUE!</v>
      </c>
      <c r="BJ66" s="40" t="e">
        <f t="shared" si="54"/>
        <v>#VALUE!</v>
      </c>
      <c r="BK66" s="94" t="e">
        <v>#VALUE!</v>
      </c>
      <c r="BL66" s="94" t="e">
        <v>#VALUE!</v>
      </c>
      <c r="BM66" s="94" t="e">
        <v>#VALUE!</v>
      </c>
      <c r="BN66" s="94" t="e">
        <v>#VALUE!</v>
      </c>
      <c r="BO66" s="94"/>
      <c r="BP66" s="40" t="e">
        <f t="shared" si="55"/>
        <v>#VALUE!</v>
      </c>
      <c r="BQ66" s="94" t="e">
        <v>#VALUE!</v>
      </c>
      <c r="BR66" s="94" t="e">
        <v>#VALUE!</v>
      </c>
      <c r="BS66" s="94" t="e">
        <v>#VALUE!</v>
      </c>
      <c r="BT66" s="94" t="e">
        <v>#VALUE!</v>
      </c>
      <c r="BU66" s="91" t="e">
        <f t="shared" si="66"/>
        <v>#REF!</v>
      </c>
      <c r="BV66" s="40" t="e">
        <f t="shared" si="56"/>
        <v>#VALUE!</v>
      </c>
      <c r="BW66" s="94" t="e">
        <v>#VALUE!</v>
      </c>
      <c r="BX66" s="94" t="e">
        <v>#VALUE!</v>
      </c>
      <c r="BY66" s="94" t="e">
        <v>#VALUE!</v>
      </c>
      <c r="BZ66" s="94" t="e">
        <v>#VALUE!</v>
      </c>
      <c r="CB66" s="40" t="e">
        <f t="shared" si="57"/>
        <v>#VALUE!</v>
      </c>
      <c r="CC66" s="94" t="e">
        <v>#VALUE!</v>
      </c>
      <c r="CD66" s="94" t="e">
        <v>#VALUE!</v>
      </c>
      <c r="CE66" s="94" t="e">
        <v>#VALUE!</v>
      </c>
      <c r="CF66" s="94" t="e">
        <v>#VALUE!</v>
      </c>
      <c r="CH66" s="40" t="e">
        <f t="shared" si="58"/>
        <v>#VALUE!</v>
      </c>
      <c r="CI66" s="94" t="e">
        <v>#VALUE!</v>
      </c>
      <c r="CJ66" s="94" t="e">
        <v>#VALUE!</v>
      </c>
      <c r="CK66" s="94" t="e">
        <v>#VALUE!</v>
      </c>
      <c r="CL66" s="94" t="e">
        <v>#VALUE!</v>
      </c>
      <c r="CM66" s="94"/>
      <c r="CN66" s="40" t="e">
        <f t="shared" si="59"/>
        <v>#VALUE!</v>
      </c>
      <c r="CO66" s="94" t="e">
        <v>#VALUE!</v>
      </c>
      <c r="CP66" s="94" t="e">
        <v>#VALUE!</v>
      </c>
      <c r="CQ66" s="94" t="e">
        <v>#VALUE!</v>
      </c>
      <c r="CR66" s="94" t="e">
        <v>#VALUE!</v>
      </c>
      <c r="CS66" s="91" t="e">
        <f t="shared" si="67"/>
        <v>#REF!</v>
      </c>
      <c r="CT66" s="40" t="e">
        <f t="shared" si="60"/>
        <v>#VALUE!</v>
      </c>
      <c r="CU66" s="94" t="e">
        <v>#VALUE!</v>
      </c>
      <c r="CV66" s="94" t="e">
        <v>#VALUE!</v>
      </c>
      <c r="CW66" s="94" t="e">
        <v>#VALUE!</v>
      </c>
      <c r="CX66" s="94" t="e">
        <v>#VALUE!</v>
      </c>
      <c r="CZ66" s="40" t="e">
        <f t="shared" si="61"/>
        <v>#VALUE!</v>
      </c>
      <c r="DA66" s="94" t="e">
        <v>#VALUE!</v>
      </c>
      <c r="DB66" s="94" t="e">
        <v>#VALUE!</v>
      </c>
      <c r="DC66" s="94" t="e">
        <v>#VALUE!</v>
      </c>
      <c r="DD66" s="94" t="e">
        <v>#VALUE!</v>
      </c>
      <c r="DF66" s="40" t="e">
        <f t="shared" si="62"/>
        <v>#VALUE!</v>
      </c>
      <c r="DG66" s="94" t="e">
        <v>#VALUE!</v>
      </c>
      <c r="DH66" s="94" t="e">
        <v>#VALUE!</v>
      </c>
      <c r="DI66" s="94" t="e">
        <v>#VALUE!</v>
      </c>
      <c r="DJ66" s="94" t="e">
        <v>#VALUE!</v>
      </c>
      <c r="DK66" s="94"/>
      <c r="DL66" s="40" t="e">
        <f t="shared" si="63"/>
        <v>#VALUE!</v>
      </c>
      <c r="DM66" s="94" t="e">
        <v>#VALUE!</v>
      </c>
      <c r="DN66" s="94" t="e">
        <v>#VALUE!</v>
      </c>
      <c r="DO66" s="94" t="e">
        <v>#VALUE!</v>
      </c>
      <c r="DP66" s="94" t="e">
        <v>#VALUE!</v>
      </c>
    </row>
    <row r="67" spans="1:120" x14ac:dyDescent="0.2">
      <c r="A67" s="91" t="e">
        <f>name!#REF!</f>
        <v>#REF!</v>
      </c>
      <c r="B67" s="40" t="e">
        <f t="shared" si="44"/>
        <v>#VALUE!</v>
      </c>
      <c r="C67" s="94" t="e">
        <v>#VALUE!</v>
      </c>
      <c r="D67" s="94" t="e">
        <v>#VALUE!</v>
      </c>
      <c r="E67" s="94" t="e">
        <v>#VALUE!</v>
      </c>
      <c r="F67" s="94" t="e">
        <v>#VALUE!</v>
      </c>
      <c r="H67" s="40" t="e">
        <f t="shared" si="45"/>
        <v>#VALUE!</v>
      </c>
      <c r="I67" s="94" t="e">
        <v>#VALUE!</v>
      </c>
      <c r="J67" s="94" t="e">
        <v>#VALUE!</v>
      </c>
      <c r="K67" s="94" t="e">
        <v>#VALUE!</v>
      </c>
      <c r="L67" s="94" t="e">
        <v>#VALUE!</v>
      </c>
      <c r="N67" s="40" t="e">
        <f t="shared" si="46"/>
        <v>#VALUE!</v>
      </c>
      <c r="O67" s="94" t="e">
        <v>#VALUE!</v>
      </c>
      <c r="P67" s="94" t="e">
        <v>#VALUE!</v>
      </c>
      <c r="Q67" s="94" t="e">
        <v>#VALUE!</v>
      </c>
      <c r="R67" s="94" t="e">
        <v>#VALUE!</v>
      </c>
      <c r="S67" s="94"/>
      <c r="T67" s="40" t="e">
        <f t="shared" si="47"/>
        <v>#VALUE!</v>
      </c>
      <c r="U67" s="94" t="e">
        <v>#VALUE!</v>
      </c>
      <c r="V67" s="94" t="e">
        <v>#VALUE!</v>
      </c>
      <c r="W67" s="94" t="e">
        <v>#VALUE!</v>
      </c>
      <c r="X67" s="94" t="e">
        <v>#VALUE!</v>
      </c>
      <c r="Y67" s="91" t="e">
        <f t="shared" si="64"/>
        <v>#REF!</v>
      </c>
      <c r="Z67" s="40" t="e">
        <f t="shared" si="48"/>
        <v>#VALUE!</v>
      </c>
      <c r="AA67" s="94" t="e">
        <v>#VALUE!</v>
      </c>
      <c r="AB67" s="94" t="e">
        <v>#VALUE!</v>
      </c>
      <c r="AC67" s="94" t="e">
        <v>#VALUE!</v>
      </c>
      <c r="AD67" s="94" t="e">
        <v>#VALUE!</v>
      </c>
      <c r="AF67" s="40" t="e">
        <f t="shared" si="49"/>
        <v>#VALUE!</v>
      </c>
      <c r="AG67" s="94" t="e">
        <v>#VALUE!</v>
      </c>
      <c r="AH67" s="94" t="e">
        <v>#VALUE!</v>
      </c>
      <c r="AI67" s="94" t="e">
        <v>#VALUE!</v>
      </c>
      <c r="AJ67" s="94" t="e">
        <v>#VALUE!</v>
      </c>
      <c r="AL67" s="40" t="e">
        <f t="shared" si="50"/>
        <v>#VALUE!</v>
      </c>
      <c r="AM67" s="94" t="e">
        <v>#VALUE!</v>
      </c>
      <c r="AN67" s="94" t="e">
        <v>#VALUE!</v>
      </c>
      <c r="AO67" s="94" t="e">
        <v>#VALUE!</v>
      </c>
      <c r="AP67" s="94" t="e">
        <v>#VALUE!</v>
      </c>
      <c r="AQ67" s="94"/>
      <c r="AR67" s="40" t="e">
        <f t="shared" si="51"/>
        <v>#VALUE!</v>
      </c>
      <c r="AS67" s="94" t="e">
        <v>#VALUE!</v>
      </c>
      <c r="AT67" s="94" t="e">
        <v>#VALUE!</v>
      </c>
      <c r="AU67" s="94" t="e">
        <v>#VALUE!</v>
      </c>
      <c r="AV67" s="94" t="e">
        <v>#VALUE!</v>
      </c>
      <c r="AW67" s="91" t="e">
        <f t="shared" si="65"/>
        <v>#REF!</v>
      </c>
      <c r="AX67" s="40" t="e">
        <f t="shared" si="52"/>
        <v>#VALUE!</v>
      </c>
      <c r="AY67" s="94" t="e">
        <v>#VALUE!</v>
      </c>
      <c r="AZ67" s="94" t="e">
        <v>#VALUE!</v>
      </c>
      <c r="BA67" s="94" t="e">
        <v>#VALUE!</v>
      </c>
      <c r="BB67" s="94" t="e">
        <v>#VALUE!</v>
      </c>
      <c r="BD67" s="40" t="e">
        <f t="shared" si="53"/>
        <v>#VALUE!</v>
      </c>
      <c r="BE67" s="94" t="e">
        <v>#VALUE!</v>
      </c>
      <c r="BF67" s="94" t="e">
        <v>#VALUE!</v>
      </c>
      <c r="BG67" s="94" t="e">
        <v>#VALUE!</v>
      </c>
      <c r="BH67" s="94" t="e">
        <v>#VALUE!</v>
      </c>
      <c r="BJ67" s="40" t="e">
        <f t="shared" si="54"/>
        <v>#VALUE!</v>
      </c>
      <c r="BK67" s="94" t="e">
        <v>#VALUE!</v>
      </c>
      <c r="BL67" s="94" t="e">
        <v>#VALUE!</v>
      </c>
      <c r="BM67" s="94" t="e">
        <v>#VALUE!</v>
      </c>
      <c r="BN67" s="94" t="e">
        <v>#VALUE!</v>
      </c>
      <c r="BO67" s="94"/>
      <c r="BP67" s="40" t="e">
        <f t="shared" si="55"/>
        <v>#VALUE!</v>
      </c>
      <c r="BQ67" s="94" t="e">
        <v>#VALUE!</v>
      </c>
      <c r="BR67" s="94" t="e">
        <v>#VALUE!</v>
      </c>
      <c r="BS67" s="94" t="e">
        <v>#VALUE!</v>
      </c>
      <c r="BT67" s="94" t="e">
        <v>#VALUE!</v>
      </c>
      <c r="BU67" s="91" t="e">
        <f t="shared" si="66"/>
        <v>#REF!</v>
      </c>
      <c r="BV67" s="40" t="e">
        <f t="shared" si="56"/>
        <v>#VALUE!</v>
      </c>
      <c r="BW67" s="94" t="e">
        <v>#VALUE!</v>
      </c>
      <c r="BX67" s="94" t="e">
        <v>#VALUE!</v>
      </c>
      <c r="BY67" s="94" t="e">
        <v>#VALUE!</v>
      </c>
      <c r="BZ67" s="94" t="e">
        <v>#VALUE!</v>
      </c>
      <c r="CB67" s="40" t="e">
        <f t="shared" si="57"/>
        <v>#VALUE!</v>
      </c>
      <c r="CC67" s="94" t="e">
        <v>#VALUE!</v>
      </c>
      <c r="CD67" s="94" t="e">
        <v>#VALUE!</v>
      </c>
      <c r="CE67" s="94" t="e">
        <v>#VALUE!</v>
      </c>
      <c r="CF67" s="94" t="e">
        <v>#VALUE!</v>
      </c>
      <c r="CH67" s="40" t="e">
        <f t="shared" si="58"/>
        <v>#VALUE!</v>
      </c>
      <c r="CI67" s="94" t="e">
        <v>#VALUE!</v>
      </c>
      <c r="CJ67" s="94" t="e">
        <v>#VALUE!</v>
      </c>
      <c r="CK67" s="94" t="e">
        <v>#VALUE!</v>
      </c>
      <c r="CL67" s="94" t="e">
        <v>#VALUE!</v>
      </c>
      <c r="CM67" s="94"/>
      <c r="CN67" s="40" t="e">
        <f t="shared" si="59"/>
        <v>#VALUE!</v>
      </c>
      <c r="CO67" s="94" t="e">
        <v>#VALUE!</v>
      </c>
      <c r="CP67" s="94" t="e">
        <v>#VALUE!</v>
      </c>
      <c r="CQ67" s="94" t="e">
        <v>#VALUE!</v>
      </c>
      <c r="CR67" s="94" t="e">
        <v>#VALUE!</v>
      </c>
      <c r="CS67" s="91" t="e">
        <f t="shared" si="67"/>
        <v>#REF!</v>
      </c>
      <c r="CT67" s="40" t="e">
        <f t="shared" si="60"/>
        <v>#VALUE!</v>
      </c>
      <c r="CU67" s="94" t="e">
        <v>#VALUE!</v>
      </c>
      <c r="CV67" s="94" t="e">
        <v>#VALUE!</v>
      </c>
      <c r="CW67" s="94" t="e">
        <v>#VALUE!</v>
      </c>
      <c r="CX67" s="94" t="e">
        <v>#VALUE!</v>
      </c>
      <c r="CZ67" s="40" t="e">
        <f t="shared" si="61"/>
        <v>#VALUE!</v>
      </c>
      <c r="DA67" s="94" t="e">
        <v>#VALUE!</v>
      </c>
      <c r="DB67" s="94" t="e">
        <v>#VALUE!</v>
      </c>
      <c r="DC67" s="94" t="e">
        <v>#VALUE!</v>
      </c>
      <c r="DD67" s="94" t="e">
        <v>#VALUE!</v>
      </c>
      <c r="DF67" s="40" t="e">
        <f t="shared" si="62"/>
        <v>#VALUE!</v>
      </c>
      <c r="DG67" s="94" t="e">
        <v>#VALUE!</v>
      </c>
      <c r="DH67" s="94" t="e">
        <v>#VALUE!</v>
      </c>
      <c r="DI67" s="94" t="e">
        <v>#VALUE!</v>
      </c>
      <c r="DJ67" s="94" t="e">
        <v>#VALUE!</v>
      </c>
      <c r="DK67" s="94"/>
      <c r="DL67" s="40" t="e">
        <f t="shared" si="63"/>
        <v>#VALUE!</v>
      </c>
      <c r="DM67" s="94" t="e">
        <v>#VALUE!</v>
      </c>
      <c r="DN67" s="94" t="e">
        <v>#VALUE!</v>
      </c>
      <c r="DO67" s="94" t="e">
        <v>#VALUE!</v>
      </c>
      <c r="DP67" s="94" t="e">
        <v>#VALUE!</v>
      </c>
    </row>
    <row r="68" spans="1:120" x14ac:dyDescent="0.2">
      <c r="A68" s="91" t="e">
        <f>name!#REF!</f>
        <v>#REF!</v>
      </c>
      <c r="B68" s="40" t="e">
        <f t="shared" si="44"/>
        <v>#VALUE!</v>
      </c>
      <c r="C68" s="94" t="e">
        <v>#VALUE!</v>
      </c>
      <c r="D68" s="94" t="e">
        <v>#VALUE!</v>
      </c>
      <c r="E68" s="94" t="e">
        <v>#VALUE!</v>
      </c>
      <c r="F68" s="94" t="e">
        <v>#VALUE!</v>
      </c>
      <c r="H68" s="40" t="e">
        <f t="shared" si="45"/>
        <v>#VALUE!</v>
      </c>
      <c r="I68" s="94" t="e">
        <v>#VALUE!</v>
      </c>
      <c r="J68" s="94" t="e">
        <v>#VALUE!</v>
      </c>
      <c r="K68" s="94" t="e">
        <v>#VALUE!</v>
      </c>
      <c r="L68" s="94" t="e">
        <v>#VALUE!</v>
      </c>
      <c r="N68" s="40" t="e">
        <f t="shared" si="46"/>
        <v>#VALUE!</v>
      </c>
      <c r="O68" s="94" t="e">
        <v>#VALUE!</v>
      </c>
      <c r="P68" s="94" t="e">
        <v>#VALUE!</v>
      </c>
      <c r="Q68" s="94" t="e">
        <v>#VALUE!</v>
      </c>
      <c r="R68" s="94" t="e">
        <v>#VALUE!</v>
      </c>
      <c r="S68" s="94"/>
      <c r="T68" s="40" t="e">
        <f t="shared" si="47"/>
        <v>#VALUE!</v>
      </c>
      <c r="U68" s="94" t="e">
        <v>#VALUE!</v>
      </c>
      <c r="V68" s="94" t="e">
        <v>#VALUE!</v>
      </c>
      <c r="W68" s="94" t="e">
        <v>#VALUE!</v>
      </c>
      <c r="X68" s="94" t="e">
        <v>#VALUE!</v>
      </c>
      <c r="Y68" s="91" t="e">
        <f t="shared" si="64"/>
        <v>#REF!</v>
      </c>
      <c r="Z68" s="40" t="e">
        <f t="shared" si="48"/>
        <v>#VALUE!</v>
      </c>
      <c r="AA68" s="94" t="e">
        <v>#VALUE!</v>
      </c>
      <c r="AB68" s="94" t="e">
        <v>#VALUE!</v>
      </c>
      <c r="AC68" s="94" t="e">
        <v>#VALUE!</v>
      </c>
      <c r="AD68" s="94" t="e">
        <v>#VALUE!</v>
      </c>
      <c r="AF68" s="40" t="e">
        <f t="shared" si="49"/>
        <v>#VALUE!</v>
      </c>
      <c r="AG68" s="94" t="e">
        <v>#VALUE!</v>
      </c>
      <c r="AH68" s="94" t="e">
        <v>#VALUE!</v>
      </c>
      <c r="AI68" s="94" t="e">
        <v>#VALUE!</v>
      </c>
      <c r="AJ68" s="94" t="e">
        <v>#VALUE!</v>
      </c>
      <c r="AL68" s="40" t="e">
        <f t="shared" si="50"/>
        <v>#VALUE!</v>
      </c>
      <c r="AM68" s="94" t="e">
        <v>#VALUE!</v>
      </c>
      <c r="AN68" s="94" t="e">
        <v>#VALUE!</v>
      </c>
      <c r="AO68" s="94" t="e">
        <v>#VALUE!</v>
      </c>
      <c r="AP68" s="94" t="e">
        <v>#VALUE!</v>
      </c>
      <c r="AQ68" s="94"/>
      <c r="AR68" s="40" t="e">
        <f t="shared" si="51"/>
        <v>#VALUE!</v>
      </c>
      <c r="AS68" s="94" t="e">
        <v>#VALUE!</v>
      </c>
      <c r="AT68" s="94" t="e">
        <v>#VALUE!</v>
      </c>
      <c r="AU68" s="94" t="e">
        <v>#VALUE!</v>
      </c>
      <c r="AV68" s="94" t="e">
        <v>#VALUE!</v>
      </c>
      <c r="AW68" s="91" t="e">
        <f t="shared" si="65"/>
        <v>#REF!</v>
      </c>
      <c r="AX68" s="40" t="e">
        <f t="shared" si="52"/>
        <v>#VALUE!</v>
      </c>
      <c r="AY68" s="94" t="e">
        <v>#VALUE!</v>
      </c>
      <c r="AZ68" s="94" t="e">
        <v>#VALUE!</v>
      </c>
      <c r="BA68" s="94" t="e">
        <v>#VALUE!</v>
      </c>
      <c r="BB68" s="94" t="e">
        <v>#VALUE!</v>
      </c>
      <c r="BD68" s="40" t="e">
        <f t="shared" si="53"/>
        <v>#VALUE!</v>
      </c>
      <c r="BE68" s="94" t="e">
        <v>#VALUE!</v>
      </c>
      <c r="BF68" s="94" t="e">
        <v>#VALUE!</v>
      </c>
      <c r="BG68" s="94" t="e">
        <v>#VALUE!</v>
      </c>
      <c r="BH68" s="94" t="e">
        <v>#VALUE!</v>
      </c>
      <c r="BJ68" s="40" t="e">
        <f t="shared" si="54"/>
        <v>#VALUE!</v>
      </c>
      <c r="BK68" s="94" t="e">
        <v>#VALUE!</v>
      </c>
      <c r="BL68" s="94" t="e">
        <v>#VALUE!</v>
      </c>
      <c r="BM68" s="94" t="e">
        <v>#VALUE!</v>
      </c>
      <c r="BN68" s="94" t="e">
        <v>#VALUE!</v>
      </c>
      <c r="BO68" s="94"/>
      <c r="BP68" s="40" t="e">
        <f t="shared" si="55"/>
        <v>#VALUE!</v>
      </c>
      <c r="BQ68" s="94" t="e">
        <v>#VALUE!</v>
      </c>
      <c r="BR68" s="94" t="e">
        <v>#VALUE!</v>
      </c>
      <c r="BS68" s="94" t="e">
        <v>#VALUE!</v>
      </c>
      <c r="BT68" s="94" t="e">
        <v>#VALUE!</v>
      </c>
      <c r="BU68" s="91" t="e">
        <f t="shared" si="66"/>
        <v>#REF!</v>
      </c>
      <c r="BV68" s="40" t="e">
        <f t="shared" si="56"/>
        <v>#VALUE!</v>
      </c>
      <c r="BW68" s="94" t="e">
        <v>#VALUE!</v>
      </c>
      <c r="BX68" s="94" t="e">
        <v>#VALUE!</v>
      </c>
      <c r="BY68" s="94" t="e">
        <v>#VALUE!</v>
      </c>
      <c r="BZ68" s="94" t="e">
        <v>#VALUE!</v>
      </c>
      <c r="CB68" s="40" t="e">
        <f t="shared" si="57"/>
        <v>#VALUE!</v>
      </c>
      <c r="CC68" s="94" t="e">
        <v>#VALUE!</v>
      </c>
      <c r="CD68" s="94" t="e">
        <v>#VALUE!</v>
      </c>
      <c r="CE68" s="94" t="e">
        <v>#VALUE!</v>
      </c>
      <c r="CF68" s="94" t="e">
        <v>#VALUE!</v>
      </c>
      <c r="CH68" s="40" t="e">
        <f t="shared" si="58"/>
        <v>#VALUE!</v>
      </c>
      <c r="CI68" s="94" t="e">
        <v>#VALUE!</v>
      </c>
      <c r="CJ68" s="94" t="e">
        <v>#VALUE!</v>
      </c>
      <c r="CK68" s="94" t="e">
        <v>#VALUE!</v>
      </c>
      <c r="CL68" s="94" t="e">
        <v>#VALUE!</v>
      </c>
      <c r="CM68" s="94"/>
      <c r="CN68" s="40" t="e">
        <f t="shared" si="59"/>
        <v>#VALUE!</v>
      </c>
      <c r="CO68" s="94" t="e">
        <v>#VALUE!</v>
      </c>
      <c r="CP68" s="94" t="e">
        <v>#VALUE!</v>
      </c>
      <c r="CQ68" s="94" t="e">
        <v>#VALUE!</v>
      </c>
      <c r="CR68" s="94" t="e">
        <v>#VALUE!</v>
      </c>
      <c r="CS68" s="91" t="e">
        <f t="shared" si="67"/>
        <v>#REF!</v>
      </c>
      <c r="CT68" s="40" t="e">
        <f t="shared" si="60"/>
        <v>#VALUE!</v>
      </c>
      <c r="CU68" s="94" t="e">
        <v>#VALUE!</v>
      </c>
      <c r="CV68" s="94" t="e">
        <v>#VALUE!</v>
      </c>
      <c r="CW68" s="94" t="e">
        <v>#VALUE!</v>
      </c>
      <c r="CX68" s="94" t="e">
        <v>#VALUE!</v>
      </c>
      <c r="CZ68" s="40" t="e">
        <f t="shared" si="61"/>
        <v>#VALUE!</v>
      </c>
      <c r="DA68" s="94" t="e">
        <v>#VALUE!</v>
      </c>
      <c r="DB68" s="94" t="e">
        <v>#VALUE!</v>
      </c>
      <c r="DC68" s="94" t="e">
        <v>#VALUE!</v>
      </c>
      <c r="DD68" s="94" t="e">
        <v>#VALUE!</v>
      </c>
      <c r="DF68" s="40" t="e">
        <f t="shared" si="62"/>
        <v>#VALUE!</v>
      </c>
      <c r="DG68" s="94" t="e">
        <v>#VALUE!</v>
      </c>
      <c r="DH68" s="94" t="e">
        <v>#VALUE!</v>
      </c>
      <c r="DI68" s="94" t="e">
        <v>#VALUE!</v>
      </c>
      <c r="DJ68" s="94" t="e">
        <v>#VALUE!</v>
      </c>
      <c r="DK68" s="94"/>
      <c r="DL68" s="40" t="e">
        <f t="shared" si="63"/>
        <v>#VALUE!</v>
      </c>
      <c r="DM68" s="94" t="e">
        <v>#VALUE!</v>
      </c>
      <c r="DN68" s="94" t="e">
        <v>#VALUE!</v>
      </c>
      <c r="DO68" s="94" t="e">
        <v>#VALUE!</v>
      </c>
      <c r="DP68" s="94" t="e">
        <v>#VALUE!</v>
      </c>
    </row>
    <row r="69" spans="1:120" x14ac:dyDescent="0.2">
      <c r="A69" s="91" t="e">
        <f>name!#REF!</f>
        <v>#REF!</v>
      </c>
      <c r="B69" s="40" t="e">
        <f t="shared" si="44"/>
        <v>#VALUE!</v>
      </c>
      <c r="C69" s="94" t="e">
        <v>#VALUE!</v>
      </c>
      <c r="D69" s="94" t="e">
        <v>#VALUE!</v>
      </c>
      <c r="E69" s="94" t="e">
        <v>#VALUE!</v>
      </c>
      <c r="F69" s="94" t="e">
        <v>#VALUE!</v>
      </c>
      <c r="H69" s="40" t="e">
        <f t="shared" si="45"/>
        <v>#VALUE!</v>
      </c>
      <c r="I69" s="94" t="e">
        <v>#VALUE!</v>
      </c>
      <c r="J69" s="94" t="e">
        <v>#VALUE!</v>
      </c>
      <c r="K69" s="94" t="e">
        <v>#VALUE!</v>
      </c>
      <c r="L69" s="94" t="e">
        <v>#VALUE!</v>
      </c>
      <c r="N69" s="40" t="e">
        <f t="shared" si="46"/>
        <v>#VALUE!</v>
      </c>
      <c r="O69" s="94" t="e">
        <v>#VALUE!</v>
      </c>
      <c r="P69" s="94" t="e">
        <v>#VALUE!</v>
      </c>
      <c r="Q69" s="94" t="e">
        <v>#VALUE!</v>
      </c>
      <c r="R69" s="94" t="e">
        <v>#VALUE!</v>
      </c>
      <c r="S69" s="94"/>
      <c r="T69" s="40" t="e">
        <f t="shared" si="47"/>
        <v>#VALUE!</v>
      </c>
      <c r="U69" s="94" t="e">
        <v>#VALUE!</v>
      </c>
      <c r="V69" s="94" t="e">
        <v>#VALUE!</v>
      </c>
      <c r="W69" s="94" t="e">
        <v>#VALUE!</v>
      </c>
      <c r="X69" s="94" t="e">
        <v>#VALUE!</v>
      </c>
      <c r="Y69" s="91" t="e">
        <f t="shared" si="64"/>
        <v>#REF!</v>
      </c>
      <c r="Z69" s="40" t="e">
        <f t="shared" si="48"/>
        <v>#VALUE!</v>
      </c>
      <c r="AA69" s="94" t="e">
        <v>#VALUE!</v>
      </c>
      <c r="AB69" s="94" t="e">
        <v>#VALUE!</v>
      </c>
      <c r="AC69" s="94" t="e">
        <v>#VALUE!</v>
      </c>
      <c r="AD69" s="94" t="e">
        <v>#VALUE!</v>
      </c>
      <c r="AF69" s="40" t="e">
        <f t="shared" si="49"/>
        <v>#VALUE!</v>
      </c>
      <c r="AG69" s="94" t="e">
        <v>#VALUE!</v>
      </c>
      <c r="AH69" s="94" t="e">
        <v>#VALUE!</v>
      </c>
      <c r="AI69" s="94" t="e">
        <v>#VALUE!</v>
      </c>
      <c r="AJ69" s="94" t="e">
        <v>#VALUE!</v>
      </c>
      <c r="AL69" s="40" t="e">
        <f t="shared" si="50"/>
        <v>#VALUE!</v>
      </c>
      <c r="AM69" s="94" t="e">
        <v>#VALUE!</v>
      </c>
      <c r="AN69" s="94" t="e">
        <v>#VALUE!</v>
      </c>
      <c r="AO69" s="94" t="e">
        <v>#VALUE!</v>
      </c>
      <c r="AP69" s="94" t="e">
        <v>#VALUE!</v>
      </c>
      <c r="AQ69" s="94"/>
      <c r="AR69" s="40" t="e">
        <f t="shared" si="51"/>
        <v>#VALUE!</v>
      </c>
      <c r="AS69" s="94" t="e">
        <v>#VALUE!</v>
      </c>
      <c r="AT69" s="94" t="e">
        <v>#VALUE!</v>
      </c>
      <c r="AU69" s="94" t="e">
        <v>#VALUE!</v>
      </c>
      <c r="AV69" s="94" t="e">
        <v>#VALUE!</v>
      </c>
      <c r="AW69" s="91" t="e">
        <f t="shared" si="65"/>
        <v>#REF!</v>
      </c>
      <c r="AX69" s="40" t="e">
        <f t="shared" si="52"/>
        <v>#VALUE!</v>
      </c>
      <c r="AY69" s="94" t="e">
        <v>#VALUE!</v>
      </c>
      <c r="AZ69" s="94" t="e">
        <v>#VALUE!</v>
      </c>
      <c r="BA69" s="94" t="e">
        <v>#VALUE!</v>
      </c>
      <c r="BB69" s="94" t="e">
        <v>#VALUE!</v>
      </c>
      <c r="BD69" s="40" t="e">
        <f t="shared" si="53"/>
        <v>#VALUE!</v>
      </c>
      <c r="BE69" s="94" t="e">
        <v>#VALUE!</v>
      </c>
      <c r="BF69" s="94" t="e">
        <v>#VALUE!</v>
      </c>
      <c r="BG69" s="94" t="e">
        <v>#VALUE!</v>
      </c>
      <c r="BH69" s="94" t="e">
        <v>#VALUE!</v>
      </c>
      <c r="BJ69" s="40" t="e">
        <f t="shared" si="54"/>
        <v>#VALUE!</v>
      </c>
      <c r="BK69" s="94" t="e">
        <v>#VALUE!</v>
      </c>
      <c r="BL69" s="94" t="e">
        <v>#VALUE!</v>
      </c>
      <c r="BM69" s="94" t="e">
        <v>#VALUE!</v>
      </c>
      <c r="BN69" s="94" t="e">
        <v>#VALUE!</v>
      </c>
      <c r="BO69" s="94"/>
      <c r="BP69" s="40" t="e">
        <f t="shared" si="55"/>
        <v>#VALUE!</v>
      </c>
      <c r="BQ69" s="94" t="e">
        <v>#VALUE!</v>
      </c>
      <c r="BR69" s="94" t="e">
        <v>#VALUE!</v>
      </c>
      <c r="BS69" s="94" t="e">
        <v>#VALUE!</v>
      </c>
      <c r="BT69" s="94" t="e">
        <v>#VALUE!</v>
      </c>
      <c r="BU69" s="91" t="e">
        <f t="shared" si="66"/>
        <v>#REF!</v>
      </c>
      <c r="BV69" s="40" t="e">
        <f t="shared" si="56"/>
        <v>#VALUE!</v>
      </c>
      <c r="BW69" s="94" t="e">
        <v>#VALUE!</v>
      </c>
      <c r="BX69" s="94" t="e">
        <v>#VALUE!</v>
      </c>
      <c r="BY69" s="94" t="e">
        <v>#VALUE!</v>
      </c>
      <c r="BZ69" s="94" t="e">
        <v>#VALUE!</v>
      </c>
      <c r="CB69" s="40" t="e">
        <f t="shared" si="57"/>
        <v>#VALUE!</v>
      </c>
      <c r="CC69" s="94" t="e">
        <v>#VALUE!</v>
      </c>
      <c r="CD69" s="94" t="e">
        <v>#VALUE!</v>
      </c>
      <c r="CE69" s="94" t="e">
        <v>#VALUE!</v>
      </c>
      <c r="CF69" s="94" t="e">
        <v>#VALUE!</v>
      </c>
      <c r="CH69" s="40" t="e">
        <f t="shared" si="58"/>
        <v>#VALUE!</v>
      </c>
      <c r="CI69" s="94" t="e">
        <v>#VALUE!</v>
      </c>
      <c r="CJ69" s="94" t="e">
        <v>#VALUE!</v>
      </c>
      <c r="CK69" s="94" t="e">
        <v>#VALUE!</v>
      </c>
      <c r="CL69" s="94" t="e">
        <v>#VALUE!</v>
      </c>
      <c r="CM69" s="94"/>
      <c r="CN69" s="40" t="e">
        <f t="shared" si="59"/>
        <v>#VALUE!</v>
      </c>
      <c r="CO69" s="94" t="e">
        <v>#VALUE!</v>
      </c>
      <c r="CP69" s="94" t="e">
        <v>#VALUE!</v>
      </c>
      <c r="CQ69" s="94" t="e">
        <v>#VALUE!</v>
      </c>
      <c r="CR69" s="94" t="e">
        <v>#VALUE!</v>
      </c>
      <c r="CS69" s="91" t="e">
        <f t="shared" si="67"/>
        <v>#REF!</v>
      </c>
      <c r="CT69" s="40" t="e">
        <f t="shared" si="60"/>
        <v>#VALUE!</v>
      </c>
      <c r="CU69" s="94" t="e">
        <v>#VALUE!</v>
      </c>
      <c r="CV69" s="94" t="e">
        <v>#VALUE!</v>
      </c>
      <c r="CW69" s="94" t="e">
        <v>#VALUE!</v>
      </c>
      <c r="CX69" s="94" t="e">
        <v>#VALUE!</v>
      </c>
      <c r="CZ69" s="40" t="e">
        <f t="shared" si="61"/>
        <v>#VALUE!</v>
      </c>
      <c r="DA69" s="94" t="e">
        <v>#VALUE!</v>
      </c>
      <c r="DB69" s="94" t="e">
        <v>#VALUE!</v>
      </c>
      <c r="DC69" s="94" t="e">
        <v>#VALUE!</v>
      </c>
      <c r="DD69" s="94" t="e">
        <v>#VALUE!</v>
      </c>
      <c r="DF69" s="40" t="e">
        <f t="shared" si="62"/>
        <v>#VALUE!</v>
      </c>
      <c r="DG69" s="94" t="e">
        <v>#VALUE!</v>
      </c>
      <c r="DH69" s="94" t="e">
        <v>#VALUE!</v>
      </c>
      <c r="DI69" s="94" t="e">
        <v>#VALUE!</v>
      </c>
      <c r="DJ69" s="94" t="e">
        <v>#VALUE!</v>
      </c>
      <c r="DK69" s="94"/>
      <c r="DL69" s="40" t="e">
        <f t="shared" si="63"/>
        <v>#VALUE!</v>
      </c>
      <c r="DM69" s="94" t="e">
        <v>#VALUE!</v>
      </c>
      <c r="DN69" s="94" t="e">
        <v>#VALUE!</v>
      </c>
      <c r="DO69" s="94" t="e">
        <v>#VALUE!</v>
      </c>
      <c r="DP69" s="94" t="e">
        <v>#VALUE!</v>
      </c>
    </row>
    <row r="70" spans="1:120" x14ac:dyDescent="0.2">
      <c r="A70" s="91" t="e">
        <f>name!#REF!</f>
        <v>#REF!</v>
      </c>
      <c r="B70" s="40" t="e">
        <f t="shared" si="44"/>
        <v>#VALUE!</v>
      </c>
      <c r="C70" s="94" t="e">
        <v>#VALUE!</v>
      </c>
      <c r="D70" s="94" t="e">
        <v>#VALUE!</v>
      </c>
      <c r="E70" s="94" t="e">
        <v>#VALUE!</v>
      </c>
      <c r="F70" s="94" t="e">
        <v>#VALUE!</v>
      </c>
      <c r="H70" s="40" t="e">
        <f t="shared" si="45"/>
        <v>#VALUE!</v>
      </c>
      <c r="I70" s="94" t="e">
        <v>#VALUE!</v>
      </c>
      <c r="J70" s="94" t="e">
        <v>#VALUE!</v>
      </c>
      <c r="K70" s="94" t="e">
        <v>#VALUE!</v>
      </c>
      <c r="L70" s="94" t="e">
        <v>#VALUE!</v>
      </c>
      <c r="N70" s="40" t="e">
        <f t="shared" si="46"/>
        <v>#VALUE!</v>
      </c>
      <c r="O70" s="94" t="e">
        <v>#VALUE!</v>
      </c>
      <c r="P70" s="94" t="e">
        <v>#VALUE!</v>
      </c>
      <c r="Q70" s="94" t="e">
        <v>#VALUE!</v>
      </c>
      <c r="R70" s="94" t="e">
        <v>#VALUE!</v>
      </c>
      <c r="S70" s="94"/>
      <c r="T70" s="40" t="e">
        <f t="shared" si="47"/>
        <v>#VALUE!</v>
      </c>
      <c r="U70" s="94" t="e">
        <v>#VALUE!</v>
      </c>
      <c r="V70" s="94" t="e">
        <v>#VALUE!</v>
      </c>
      <c r="W70" s="94" t="e">
        <v>#VALUE!</v>
      </c>
      <c r="X70" s="94" t="e">
        <v>#VALUE!</v>
      </c>
      <c r="Y70" s="91" t="e">
        <f t="shared" si="64"/>
        <v>#REF!</v>
      </c>
      <c r="Z70" s="40" t="e">
        <f t="shared" si="48"/>
        <v>#VALUE!</v>
      </c>
      <c r="AA70" s="94" t="e">
        <v>#VALUE!</v>
      </c>
      <c r="AB70" s="94" t="e">
        <v>#VALUE!</v>
      </c>
      <c r="AC70" s="94" t="e">
        <v>#VALUE!</v>
      </c>
      <c r="AD70" s="94" t="e">
        <v>#VALUE!</v>
      </c>
      <c r="AF70" s="40" t="e">
        <f t="shared" si="49"/>
        <v>#VALUE!</v>
      </c>
      <c r="AG70" s="94" t="e">
        <v>#VALUE!</v>
      </c>
      <c r="AH70" s="94" t="e">
        <v>#VALUE!</v>
      </c>
      <c r="AI70" s="94" t="e">
        <v>#VALUE!</v>
      </c>
      <c r="AJ70" s="94" t="e">
        <v>#VALUE!</v>
      </c>
      <c r="AL70" s="40" t="e">
        <f t="shared" si="50"/>
        <v>#VALUE!</v>
      </c>
      <c r="AM70" s="94" t="e">
        <v>#VALUE!</v>
      </c>
      <c r="AN70" s="94" t="e">
        <v>#VALUE!</v>
      </c>
      <c r="AO70" s="94" t="e">
        <v>#VALUE!</v>
      </c>
      <c r="AP70" s="94" t="e">
        <v>#VALUE!</v>
      </c>
      <c r="AQ70" s="94"/>
      <c r="AR70" s="40" t="e">
        <f t="shared" si="51"/>
        <v>#VALUE!</v>
      </c>
      <c r="AS70" s="94" t="e">
        <v>#VALUE!</v>
      </c>
      <c r="AT70" s="94" t="e">
        <v>#VALUE!</v>
      </c>
      <c r="AU70" s="94" t="e">
        <v>#VALUE!</v>
      </c>
      <c r="AV70" s="94" t="e">
        <v>#VALUE!</v>
      </c>
      <c r="AW70" s="91" t="e">
        <f t="shared" si="65"/>
        <v>#REF!</v>
      </c>
      <c r="AX70" s="40" t="e">
        <f t="shared" si="52"/>
        <v>#VALUE!</v>
      </c>
      <c r="AY70" s="94" t="e">
        <v>#VALUE!</v>
      </c>
      <c r="AZ70" s="94" t="e">
        <v>#VALUE!</v>
      </c>
      <c r="BA70" s="94" t="e">
        <v>#VALUE!</v>
      </c>
      <c r="BB70" s="94" t="e">
        <v>#VALUE!</v>
      </c>
      <c r="BD70" s="40" t="e">
        <f t="shared" si="53"/>
        <v>#VALUE!</v>
      </c>
      <c r="BE70" s="94" t="e">
        <v>#VALUE!</v>
      </c>
      <c r="BF70" s="94" t="e">
        <v>#VALUE!</v>
      </c>
      <c r="BG70" s="94" t="e">
        <v>#VALUE!</v>
      </c>
      <c r="BH70" s="94" t="e">
        <v>#VALUE!</v>
      </c>
      <c r="BJ70" s="40" t="e">
        <f t="shared" si="54"/>
        <v>#VALUE!</v>
      </c>
      <c r="BK70" s="94" t="e">
        <v>#VALUE!</v>
      </c>
      <c r="BL70" s="94" t="e">
        <v>#VALUE!</v>
      </c>
      <c r="BM70" s="94" t="e">
        <v>#VALUE!</v>
      </c>
      <c r="BN70" s="94" t="e">
        <v>#VALUE!</v>
      </c>
      <c r="BO70" s="94"/>
      <c r="BP70" s="40" t="e">
        <f t="shared" si="55"/>
        <v>#VALUE!</v>
      </c>
      <c r="BQ70" s="94" t="e">
        <v>#VALUE!</v>
      </c>
      <c r="BR70" s="94" t="e">
        <v>#VALUE!</v>
      </c>
      <c r="BS70" s="94" t="e">
        <v>#VALUE!</v>
      </c>
      <c r="BT70" s="94" t="e">
        <v>#VALUE!</v>
      </c>
      <c r="BU70" s="91" t="e">
        <f t="shared" si="66"/>
        <v>#REF!</v>
      </c>
      <c r="BV70" s="40" t="e">
        <f t="shared" si="56"/>
        <v>#VALUE!</v>
      </c>
      <c r="BW70" s="94" t="e">
        <v>#VALUE!</v>
      </c>
      <c r="BX70" s="94" t="e">
        <v>#VALUE!</v>
      </c>
      <c r="BY70" s="94" t="e">
        <v>#VALUE!</v>
      </c>
      <c r="BZ70" s="94" t="e">
        <v>#VALUE!</v>
      </c>
      <c r="CB70" s="40" t="e">
        <f t="shared" si="57"/>
        <v>#VALUE!</v>
      </c>
      <c r="CC70" s="94" t="e">
        <v>#VALUE!</v>
      </c>
      <c r="CD70" s="94" t="e">
        <v>#VALUE!</v>
      </c>
      <c r="CE70" s="94" t="e">
        <v>#VALUE!</v>
      </c>
      <c r="CF70" s="94" t="e">
        <v>#VALUE!</v>
      </c>
      <c r="CH70" s="40" t="e">
        <f t="shared" si="58"/>
        <v>#VALUE!</v>
      </c>
      <c r="CI70" s="94" t="e">
        <v>#VALUE!</v>
      </c>
      <c r="CJ70" s="94" t="e">
        <v>#VALUE!</v>
      </c>
      <c r="CK70" s="94" t="e">
        <v>#VALUE!</v>
      </c>
      <c r="CL70" s="94" t="e">
        <v>#VALUE!</v>
      </c>
      <c r="CM70" s="94"/>
      <c r="CN70" s="40" t="e">
        <f t="shared" si="59"/>
        <v>#VALUE!</v>
      </c>
      <c r="CO70" s="94" t="e">
        <v>#VALUE!</v>
      </c>
      <c r="CP70" s="94" t="e">
        <v>#VALUE!</v>
      </c>
      <c r="CQ70" s="94" t="e">
        <v>#VALUE!</v>
      </c>
      <c r="CR70" s="94" t="e">
        <v>#VALUE!</v>
      </c>
      <c r="CS70" s="91" t="e">
        <f t="shared" si="67"/>
        <v>#REF!</v>
      </c>
      <c r="CT70" s="40" t="e">
        <f t="shared" si="60"/>
        <v>#VALUE!</v>
      </c>
      <c r="CU70" s="94" t="e">
        <v>#VALUE!</v>
      </c>
      <c r="CV70" s="94" t="e">
        <v>#VALUE!</v>
      </c>
      <c r="CW70" s="94" t="e">
        <v>#VALUE!</v>
      </c>
      <c r="CX70" s="94" t="e">
        <v>#VALUE!</v>
      </c>
      <c r="CZ70" s="40" t="e">
        <f t="shared" si="61"/>
        <v>#VALUE!</v>
      </c>
      <c r="DA70" s="94" t="e">
        <v>#VALUE!</v>
      </c>
      <c r="DB70" s="94" t="e">
        <v>#VALUE!</v>
      </c>
      <c r="DC70" s="94" t="e">
        <v>#VALUE!</v>
      </c>
      <c r="DD70" s="94" t="e">
        <v>#VALUE!</v>
      </c>
      <c r="DF70" s="40" t="e">
        <f t="shared" si="62"/>
        <v>#VALUE!</v>
      </c>
      <c r="DG70" s="94" t="e">
        <v>#VALUE!</v>
      </c>
      <c r="DH70" s="94" t="e">
        <v>#VALUE!</v>
      </c>
      <c r="DI70" s="94" t="e">
        <v>#VALUE!</v>
      </c>
      <c r="DJ70" s="94" t="e">
        <v>#VALUE!</v>
      </c>
      <c r="DK70" s="94"/>
      <c r="DL70" s="40" t="e">
        <f t="shared" si="63"/>
        <v>#VALUE!</v>
      </c>
      <c r="DM70" s="94" t="e">
        <v>#VALUE!</v>
      </c>
      <c r="DN70" s="94" t="e">
        <v>#VALUE!</v>
      </c>
      <c r="DO70" s="94" t="e">
        <v>#VALUE!</v>
      </c>
      <c r="DP70" s="94" t="e">
        <v>#VALUE!</v>
      </c>
    </row>
    <row r="71" spans="1:120" x14ac:dyDescent="0.2">
      <c r="A71" s="91" t="e">
        <f>name!#REF!</f>
        <v>#REF!</v>
      </c>
      <c r="B71" s="40" t="e">
        <f t="shared" si="44"/>
        <v>#VALUE!</v>
      </c>
      <c r="C71" s="94" t="e">
        <v>#VALUE!</v>
      </c>
      <c r="D71" s="94" t="e">
        <v>#VALUE!</v>
      </c>
      <c r="E71" s="94" t="e">
        <v>#VALUE!</v>
      </c>
      <c r="F71" s="94" t="e">
        <v>#VALUE!</v>
      </c>
      <c r="H71" s="40" t="e">
        <f t="shared" si="45"/>
        <v>#VALUE!</v>
      </c>
      <c r="I71" s="94" t="e">
        <v>#VALUE!</v>
      </c>
      <c r="J71" s="94" t="e">
        <v>#VALUE!</v>
      </c>
      <c r="K71" s="94" t="e">
        <v>#VALUE!</v>
      </c>
      <c r="L71" s="94" t="e">
        <v>#VALUE!</v>
      </c>
      <c r="N71" s="40" t="e">
        <f t="shared" si="46"/>
        <v>#VALUE!</v>
      </c>
      <c r="O71" s="94" t="e">
        <v>#VALUE!</v>
      </c>
      <c r="P71" s="94" t="e">
        <v>#VALUE!</v>
      </c>
      <c r="Q71" s="94" t="e">
        <v>#VALUE!</v>
      </c>
      <c r="R71" s="94" t="e">
        <v>#VALUE!</v>
      </c>
      <c r="S71" s="94"/>
      <c r="T71" s="40" t="e">
        <f t="shared" si="47"/>
        <v>#VALUE!</v>
      </c>
      <c r="U71" s="94" t="e">
        <v>#VALUE!</v>
      </c>
      <c r="V71" s="94" t="e">
        <v>#VALUE!</v>
      </c>
      <c r="W71" s="94" t="e">
        <v>#VALUE!</v>
      </c>
      <c r="X71" s="94" t="e">
        <v>#VALUE!</v>
      </c>
      <c r="Y71" s="91" t="e">
        <f t="shared" si="64"/>
        <v>#REF!</v>
      </c>
      <c r="Z71" s="40" t="e">
        <f t="shared" si="48"/>
        <v>#VALUE!</v>
      </c>
      <c r="AA71" s="94" t="e">
        <v>#VALUE!</v>
      </c>
      <c r="AB71" s="94" t="e">
        <v>#VALUE!</v>
      </c>
      <c r="AC71" s="94" t="e">
        <v>#VALUE!</v>
      </c>
      <c r="AD71" s="94" t="e">
        <v>#VALUE!</v>
      </c>
      <c r="AF71" s="40" t="e">
        <f t="shared" si="49"/>
        <v>#VALUE!</v>
      </c>
      <c r="AG71" s="94" t="e">
        <v>#VALUE!</v>
      </c>
      <c r="AH71" s="94" t="e">
        <v>#VALUE!</v>
      </c>
      <c r="AI71" s="94" t="e">
        <v>#VALUE!</v>
      </c>
      <c r="AJ71" s="94" t="e">
        <v>#VALUE!</v>
      </c>
      <c r="AL71" s="40" t="e">
        <f t="shared" si="50"/>
        <v>#VALUE!</v>
      </c>
      <c r="AM71" s="94" t="e">
        <v>#VALUE!</v>
      </c>
      <c r="AN71" s="94" t="e">
        <v>#VALUE!</v>
      </c>
      <c r="AO71" s="94" t="e">
        <v>#VALUE!</v>
      </c>
      <c r="AP71" s="94" t="e">
        <v>#VALUE!</v>
      </c>
      <c r="AQ71" s="94"/>
      <c r="AR71" s="40" t="e">
        <f t="shared" si="51"/>
        <v>#VALUE!</v>
      </c>
      <c r="AS71" s="94" t="e">
        <v>#VALUE!</v>
      </c>
      <c r="AT71" s="94" t="e">
        <v>#VALUE!</v>
      </c>
      <c r="AU71" s="94" t="e">
        <v>#VALUE!</v>
      </c>
      <c r="AV71" s="94" t="e">
        <v>#VALUE!</v>
      </c>
      <c r="AW71" s="91" t="e">
        <f t="shared" si="65"/>
        <v>#REF!</v>
      </c>
      <c r="AX71" s="40" t="e">
        <f t="shared" si="52"/>
        <v>#VALUE!</v>
      </c>
      <c r="AY71" s="94" t="e">
        <v>#VALUE!</v>
      </c>
      <c r="AZ71" s="94" t="e">
        <v>#VALUE!</v>
      </c>
      <c r="BA71" s="94" t="e">
        <v>#VALUE!</v>
      </c>
      <c r="BB71" s="94" t="e">
        <v>#VALUE!</v>
      </c>
      <c r="BD71" s="40" t="e">
        <f t="shared" si="53"/>
        <v>#VALUE!</v>
      </c>
      <c r="BE71" s="94" t="e">
        <v>#VALUE!</v>
      </c>
      <c r="BF71" s="94" t="e">
        <v>#VALUE!</v>
      </c>
      <c r="BG71" s="94" t="e">
        <v>#VALUE!</v>
      </c>
      <c r="BH71" s="94" t="e">
        <v>#VALUE!</v>
      </c>
      <c r="BJ71" s="40" t="e">
        <f t="shared" si="54"/>
        <v>#VALUE!</v>
      </c>
      <c r="BK71" s="94" t="e">
        <v>#VALUE!</v>
      </c>
      <c r="BL71" s="94" t="e">
        <v>#VALUE!</v>
      </c>
      <c r="BM71" s="94" t="e">
        <v>#VALUE!</v>
      </c>
      <c r="BN71" s="94" t="e">
        <v>#VALUE!</v>
      </c>
      <c r="BO71" s="94"/>
      <c r="BP71" s="40" t="e">
        <f t="shared" si="55"/>
        <v>#VALUE!</v>
      </c>
      <c r="BQ71" s="94" t="e">
        <v>#VALUE!</v>
      </c>
      <c r="BR71" s="94" t="e">
        <v>#VALUE!</v>
      </c>
      <c r="BS71" s="94" t="e">
        <v>#VALUE!</v>
      </c>
      <c r="BT71" s="94" t="e">
        <v>#VALUE!</v>
      </c>
      <c r="BU71" s="91" t="e">
        <f t="shared" si="66"/>
        <v>#REF!</v>
      </c>
      <c r="BV71" s="40" t="e">
        <f t="shared" si="56"/>
        <v>#VALUE!</v>
      </c>
      <c r="BW71" s="94" t="e">
        <v>#VALUE!</v>
      </c>
      <c r="BX71" s="94" t="e">
        <v>#VALUE!</v>
      </c>
      <c r="BY71" s="94" t="e">
        <v>#VALUE!</v>
      </c>
      <c r="BZ71" s="94" t="e">
        <v>#VALUE!</v>
      </c>
      <c r="CB71" s="40" t="e">
        <f t="shared" si="57"/>
        <v>#VALUE!</v>
      </c>
      <c r="CC71" s="94" t="e">
        <v>#VALUE!</v>
      </c>
      <c r="CD71" s="94" t="e">
        <v>#VALUE!</v>
      </c>
      <c r="CE71" s="94" t="e">
        <v>#VALUE!</v>
      </c>
      <c r="CF71" s="94" t="e">
        <v>#VALUE!</v>
      </c>
      <c r="CH71" s="40" t="e">
        <f t="shared" si="58"/>
        <v>#VALUE!</v>
      </c>
      <c r="CI71" s="94" t="e">
        <v>#VALUE!</v>
      </c>
      <c r="CJ71" s="94" t="e">
        <v>#VALUE!</v>
      </c>
      <c r="CK71" s="94" t="e">
        <v>#VALUE!</v>
      </c>
      <c r="CL71" s="94" t="e">
        <v>#VALUE!</v>
      </c>
      <c r="CM71" s="94"/>
      <c r="CN71" s="40" t="e">
        <f t="shared" si="59"/>
        <v>#VALUE!</v>
      </c>
      <c r="CO71" s="94" t="e">
        <v>#VALUE!</v>
      </c>
      <c r="CP71" s="94" t="e">
        <v>#VALUE!</v>
      </c>
      <c r="CQ71" s="94" t="e">
        <v>#VALUE!</v>
      </c>
      <c r="CR71" s="94" t="e">
        <v>#VALUE!</v>
      </c>
      <c r="CS71" s="91" t="e">
        <f t="shared" si="67"/>
        <v>#REF!</v>
      </c>
      <c r="CT71" s="40" t="e">
        <f t="shared" si="60"/>
        <v>#VALUE!</v>
      </c>
      <c r="CU71" s="94" t="e">
        <v>#VALUE!</v>
      </c>
      <c r="CV71" s="94" t="e">
        <v>#VALUE!</v>
      </c>
      <c r="CW71" s="94" t="e">
        <v>#VALUE!</v>
      </c>
      <c r="CX71" s="94" t="e">
        <v>#VALUE!</v>
      </c>
      <c r="CZ71" s="40" t="e">
        <f t="shared" si="61"/>
        <v>#VALUE!</v>
      </c>
      <c r="DA71" s="94" t="e">
        <v>#VALUE!</v>
      </c>
      <c r="DB71" s="94" t="e">
        <v>#VALUE!</v>
      </c>
      <c r="DC71" s="94" t="e">
        <v>#VALUE!</v>
      </c>
      <c r="DD71" s="94" t="e">
        <v>#VALUE!</v>
      </c>
      <c r="DF71" s="40" t="e">
        <f t="shared" si="62"/>
        <v>#VALUE!</v>
      </c>
      <c r="DG71" s="94" t="e">
        <v>#VALUE!</v>
      </c>
      <c r="DH71" s="94" t="e">
        <v>#VALUE!</v>
      </c>
      <c r="DI71" s="94" t="e">
        <v>#VALUE!</v>
      </c>
      <c r="DJ71" s="94" t="e">
        <v>#VALUE!</v>
      </c>
      <c r="DK71" s="94"/>
      <c r="DL71" s="40" t="e">
        <f t="shared" si="63"/>
        <v>#VALUE!</v>
      </c>
      <c r="DM71" s="94" t="e">
        <v>#VALUE!</v>
      </c>
      <c r="DN71" s="94" t="e">
        <v>#VALUE!</v>
      </c>
      <c r="DO71" s="94" t="e">
        <v>#VALUE!</v>
      </c>
      <c r="DP71" s="94" t="e">
        <v>#VALUE!</v>
      </c>
    </row>
    <row r="72" spans="1:120" x14ac:dyDescent="0.2">
      <c r="A72" s="91" t="e">
        <f>name!#REF!</f>
        <v>#REF!</v>
      </c>
      <c r="B72" s="40" t="e">
        <f t="shared" si="44"/>
        <v>#VALUE!</v>
      </c>
      <c r="C72" s="94" t="e">
        <v>#VALUE!</v>
      </c>
      <c r="D72" s="94" t="e">
        <v>#VALUE!</v>
      </c>
      <c r="E72" s="94" t="e">
        <v>#VALUE!</v>
      </c>
      <c r="F72" s="94" t="e">
        <v>#VALUE!</v>
      </c>
      <c r="H72" s="40" t="e">
        <f t="shared" si="45"/>
        <v>#VALUE!</v>
      </c>
      <c r="I72" s="94" t="e">
        <v>#VALUE!</v>
      </c>
      <c r="J72" s="94" t="e">
        <v>#VALUE!</v>
      </c>
      <c r="K72" s="94" t="e">
        <v>#VALUE!</v>
      </c>
      <c r="L72" s="94" t="e">
        <v>#VALUE!</v>
      </c>
      <c r="N72" s="40" t="e">
        <f t="shared" si="46"/>
        <v>#VALUE!</v>
      </c>
      <c r="O72" s="94" t="e">
        <v>#VALUE!</v>
      </c>
      <c r="P72" s="94" t="e">
        <v>#VALUE!</v>
      </c>
      <c r="Q72" s="94" t="e">
        <v>#VALUE!</v>
      </c>
      <c r="R72" s="94" t="e">
        <v>#VALUE!</v>
      </c>
      <c r="S72" s="94"/>
      <c r="T72" s="40" t="e">
        <f t="shared" si="47"/>
        <v>#VALUE!</v>
      </c>
      <c r="U72" s="94" t="e">
        <v>#VALUE!</v>
      </c>
      <c r="V72" s="94" t="e">
        <v>#VALUE!</v>
      </c>
      <c r="W72" s="94" t="e">
        <v>#VALUE!</v>
      </c>
      <c r="X72" s="94" t="e">
        <v>#VALUE!</v>
      </c>
      <c r="Y72" s="91" t="e">
        <f t="shared" si="64"/>
        <v>#REF!</v>
      </c>
      <c r="Z72" s="40" t="e">
        <f t="shared" si="48"/>
        <v>#VALUE!</v>
      </c>
      <c r="AA72" s="94" t="e">
        <v>#VALUE!</v>
      </c>
      <c r="AB72" s="94" t="e">
        <v>#VALUE!</v>
      </c>
      <c r="AC72" s="94" t="e">
        <v>#VALUE!</v>
      </c>
      <c r="AD72" s="94" t="e">
        <v>#VALUE!</v>
      </c>
      <c r="AF72" s="40" t="e">
        <f t="shared" si="49"/>
        <v>#VALUE!</v>
      </c>
      <c r="AG72" s="94" t="e">
        <v>#VALUE!</v>
      </c>
      <c r="AH72" s="94" t="e">
        <v>#VALUE!</v>
      </c>
      <c r="AI72" s="94" t="e">
        <v>#VALUE!</v>
      </c>
      <c r="AJ72" s="94" t="e">
        <v>#VALUE!</v>
      </c>
      <c r="AL72" s="40" t="e">
        <f t="shared" si="50"/>
        <v>#VALUE!</v>
      </c>
      <c r="AM72" s="94" t="e">
        <v>#VALUE!</v>
      </c>
      <c r="AN72" s="94" t="e">
        <v>#VALUE!</v>
      </c>
      <c r="AO72" s="94" t="e">
        <v>#VALUE!</v>
      </c>
      <c r="AP72" s="94" t="e">
        <v>#VALUE!</v>
      </c>
      <c r="AQ72" s="94"/>
      <c r="AR72" s="40" t="e">
        <f t="shared" si="51"/>
        <v>#VALUE!</v>
      </c>
      <c r="AS72" s="94" t="e">
        <v>#VALUE!</v>
      </c>
      <c r="AT72" s="94" t="e">
        <v>#VALUE!</v>
      </c>
      <c r="AU72" s="94" t="e">
        <v>#VALUE!</v>
      </c>
      <c r="AV72" s="94" t="e">
        <v>#VALUE!</v>
      </c>
      <c r="AW72" s="91" t="e">
        <f t="shared" si="65"/>
        <v>#REF!</v>
      </c>
      <c r="AX72" s="40" t="e">
        <f t="shared" si="52"/>
        <v>#VALUE!</v>
      </c>
      <c r="AY72" s="94" t="e">
        <v>#VALUE!</v>
      </c>
      <c r="AZ72" s="94" t="e">
        <v>#VALUE!</v>
      </c>
      <c r="BA72" s="94" t="e">
        <v>#VALUE!</v>
      </c>
      <c r="BB72" s="94" t="e">
        <v>#VALUE!</v>
      </c>
      <c r="BD72" s="40" t="e">
        <f t="shared" si="53"/>
        <v>#VALUE!</v>
      </c>
      <c r="BE72" s="94" t="e">
        <v>#VALUE!</v>
      </c>
      <c r="BF72" s="94" t="e">
        <v>#VALUE!</v>
      </c>
      <c r="BG72" s="94" t="e">
        <v>#VALUE!</v>
      </c>
      <c r="BH72" s="94" t="e">
        <v>#VALUE!</v>
      </c>
      <c r="BJ72" s="40" t="e">
        <f t="shared" si="54"/>
        <v>#VALUE!</v>
      </c>
      <c r="BK72" s="94" t="e">
        <v>#VALUE!</v>
      </c>
      <c r="BL72" s="94" t="e">
        <v>#VALUE!</v>
      </c>
      <c r="BM72" s="94" t="e">
        <v>#VALUE!</v>
      </c>
      <c r="BN72" s="94" t="e">
        <v>#VALUE!</v>
      </c>
      <c r="BO72" s="94"/>
      <c r="BP72" s="40" t="e">
        <f t="shared" si="55"/>
        <v>#VALUE!</v>
      </c>
      <c r="BQ72" s="94" t="e">
        <v>#VALUE!</v>
      </c>
      <c r="BR72" s="94" t="e">
        <v>#VALUE!</v>
      </c>
      <c r="BS72" s="94" t="e">
        <v>#VALUE!</v>
      </c>
      <c r="BT72" s="94" t="e">
        <v>#VALUE!</v>
      </c>
      <c r="BU72" s="91" t="e">
        <f t="shared" si="66"/>
        <v>#REF!</v>
      </c>
      <c r="BV72" s="40" t="e">
        <f t="shared" si="56"/>
        <v>#VALUE!</v>
      </c>
      <c r="BW72" s="94" t="e">
        <v>#VALUE!</v>
      </c>
      <c r="BX72" s="94" t="e">
        <v>#VALUE!</v>
      </c>
      <c r="BY72" s="94" t="e">
        <v>#VALUE!</v>
      </c>
      <c r="BZ72" s="94" t="e">
        <v>#VALUE!</v>
      </c>
      <c r="CB72" s="40" t="e">
        <f t="shared" si="57"/>
        <v>#VALUE!</v>
      </c>
      <c r="CC72" s="94" t="e">
        <v>#VALUE!</v>
      </c>
      <c r="CD72" s="94" t="e">
        <v>#VALUE!</v>
      </c>
      <c r="CE72" s="94" t="e">
        <v>#VALUE!</v>
      </c>
      <c r="CF72" s="94" t="e">
        <v>#VALUE!</v>
      </c>
      <c r="CH72" s="40" t="e">
        <f t="shared" si="58"/>
        <v>#VALUE!</v>
      </c>
      <c r="CI72" s="94" t="e">
        <v>#VALUE!</v>
      </c>
      <c r="CJ72" s="94" t="e">
        <v>#VALUE!</v>
      </c>
      <c r="CK72" s="94" t="e">
        <v>#VALUE!</v>
      </c>
      <c r="CL72" s="94" t="e">
        <v>#VALUE!</v>
      </c>
      <c r="CM72" s="94"/>
      <c r="CN72" s="40" t="e">
        <f t="shared" si="59"/>
        <v>#VALUE!</v>
      </c>
      <c r="CO72" s="94" t="e">
        <v>#VALUE!</v>
      </c>
      <c r="CP72" s="94" t="e">
        <v>#VALUE!</v>
      </c>
      <c r="CQ72" s="94" t="e">
        <v>#VALUE!</v>
      </c>
      <c r="CR72" s="94" t="e">
        <v>#VALUE!</v>
      </c>
      <c r="CS72" s="91" t="e">
        <f t="shared" si="67"/>
        <v>#REF!</v>
      </c>
      <c r="CT72" s="40" t="e">
        <f t="shared" si="60"/>
        <v>#VALUE!</v>
      </c>
      <c r="CU72" s="94" t="e">
        <v>#VALUE!</v>
      </c>
      <c r="CV72" s="94" t="e">
        <v>#VALUE!</v>
      </c>
      <c r="CW72" s="94" t="e">
        <v>#VALUE!</v>
      </c>
      <c r="CX72" s="94" t="e">
        <v>#VALUE!</v>
      </c>
      <c r="CZ72" s="40" t="e">
        <f t="shared" si="61"/>
        <v>#VALUE!</v>
      </c>
      <c r="DA72" s="94" t="e">
        <v>#VALUE!</v>
      </c>
      <c r="DB72" s="94" t="e">
        <v>#VALUE!</v>
      </c>
      <c r="DC72" s="94" t="e">
        <v>#VALUE!</v>
      </c>
      <c r="DD72" s="94" t="e">
        <v>#VALUE!</v>
      </c>
      <c r="DF72" s="40" t="e">
        <f t="shared" si="62"/>
        <v>#VALUE!</v>
      </c>
      <c r="DG72" s="94" t="e">
        <v>#VALUE!</v>
      </c>
      <c r="DH72" s="94" t="e">
        <v>#VALUE!</v>
      </c>
      <c r="DI72" s="94" t="e">
        <v>#VALUE!</v>
      </c>
      <c r="DJ72" s="94" t="e">
        <v>#VALUE!</v>
      </c>
      <c r="DK72" s="94"/>
      <c r="DL72" s="40" t="e">
        <f t="shared" si="63"/>
        <v>#VALUE!</v>
      </c>
      <c r="DM72" s="94" t="e">
        <v>#VALUE!</v>
      </c>
      <c r="DN72" s="94" t="e">
        <v>#VALUE!</v>
      </c>
      <c r="DO72" s="94" t="e">
        <v>#VALUE!</v>
      </c>
      <c r="DP72" s="94" t="e">
        <v>#VALUE!</v>
      </c>
    </row>
    <row r="73" spans="1:120" x14ac:dyDescent="0.2">
      <c r="A73" s="91" t="e">
        <f>name!#REF!</f>
        <v>#REF!</v>
      </c>
      <c r="B73" s="40" t="e">
        <f t="shared" si="44"/>
        <v>#VALUE!</v>
      </c>
      <c r="C73" s="94" t="e">
        <v>#VALUE!</v>
      </c>
      <c r="D73" s="94" t="e">
        <v>#VALUE!</v>
      </c>
      <c r="E73" s="94" t="e">
        <v>#VALUE!</v>
      </c>
      <c r="F73" s="94" t="e">
        <v>#VALUE!</v>
      </c>
      <c r="H73" s="40" t="e">
        <f t="shared" si="45"/>
        <v>#VALUE!</v>
      </c>
      <c r="I73" s="94" t="e">
        <v>#VALUE!</v>
      </c>
      <c r="J73" s="94" t="e">
        <v>#VALUE!</v>
      </c>
      <c r="K73" s="94" t="e">
        <v>#VALUE!</v>
      </c>
      <c r="L73" s="94" t="e">
        <v>#VALUE!</v>
      </c>
      <c r="N73" s="40" t="e">
        <f t="shared" si="46"/>
        <v>#VALUE!</v>
      </c>
      <c r="O73" s="94" t="e">
        <v>#VALUE!</v>
      </c>
      <c r="P73" s="94" t="e">
        <v>#VALUE!</v>
      </c>
      <c r="Q73" s="94" t="e">
        <v>#VALUE!</v>
      </c>
      <c r="R73" s="94" t="e">
        <v>#VALUE!</v>
      </c>
      <c r="S73" s="94"/>
      <c r="T73" s="40" t="e">
        <f t="shared" si="47"/>
        <v>#VALUE!</v>
      </c>
      <c r="U73" s="94" t="e">
        <v>#VALUE!</v>
      </c>
      <c r="V73" s="94" t="e">
        <v>#VALUE!</v>
      </c>
      <c r="W73" s="94" t="e">
        <v>#VALUE!</v>
      </c>
      <c r="X73" s="94" t="e">
        <v>#VALUE!</v>
      </c>
      <c r="Y73" s="91" t="e">
        <f t="shared" si="64"/>
        <v>#REF!</v>
      </c>
      <c r="Z73" s="40" t="e">
        <f t="shared" si="48"/>
        <v>#VALUE!</v>
      </c>
      <c r="AA73" s="94" t="e">
        <v>#VALUE!</v>
      </c>
      <c r="AB73" s="94" t="e">
        <v>#VALUE!</v>
      </c>
      <c r="AC73" s="94" t="e">
        <v>#VALUE!</v>
      </c>
      <c r="AD73" s="94" t="e">
        <v>#VALUE!</v>
      </c>
      <c r="AF73" s="40" t="e">
        <f t="shared" si="49"/>
        <v>#VALUE!</v>
      </c>
      <c r="AG73" s="94" t="e">
        <v>#VALUE!</v>
      </c>
      <c r="AH73" s="94" t="e">
        <v>#VALUE!</v>
      </c>
      <c r="AI73" s="94" t="e">
        <v>#VALUE!</v>
      </c>
      <c r="AJ73" s="94" t="e">
        <v>#VALUE!</v>
      </c>
      <c r="AL73" s="40" t="e">
        <f t="shared" si="50"/>
        <v>#VALUE!</v>
      </c>
      <c r="AM73" s="94" t="e">
        <v>#VALUE!</v>
      </c>
      <c r="AN73" s="94" t="e">
        <v>#VALUE!</v>
      </c>
      <c r="AO73" s="94" t="e">
        <v>#VALUE!</v>
      </c>
      <c r="AP73" s="94" t="e">
        <v>#VALUE!</v>
      </c>
      <c r="AQ73" s="94"/>
      <c r="AR73" s="40" t="e">
        <f t="shared" si="51"/>
        <v>#VALUE!</v>
      </c>
      <c r="AS73" s="94" t="e">
        <v>#VALUE!</v>
      </c>
      <c r="AT73" s="94" t="e">
        <v>#VALUE!</v>
      </c>
      <c r="AU73" s="94" t="e">
        <v>#VALUE!</v>
      </c>
      <c r="AV73" s="94" t="e">
        <v>#VALUE!</v>
      </c>
      <c r="AW73" s="91" t="e">
        <f t="shared" si="65"/>
        <v>#REF!</v>
      </c>
      <c r="AX73" s="40" t="e">
        <f t="shared" si="52"/>
        <v>#VALUE!</v>
      </c>
      <c r="AY73" s="94" t="e">
        <v>#VALUE!</v>
      </c>
      <c r="AZ73" s="94" t="e">
        <v>#VALUE!</v>
      </c>
      <c r="BA73" s="94" t="e">
        <v>#VALUE!</v>
      </c>
      <c r="BB73" s="94" t="e">
        <v>#VALUE!</v>
      </c>
      <c r="BD73" s="40" t="e">
        <f t="shared" si="53"/>
        <v>#VALUE!</v>
      </c>
      <c r="BE73" s="94" t="e">
        <v>#VALUE!</v>
      </c>
      <c r="BF73" s="94" t="e">
        <v>#VALUE!</v>
      </c>
      <c r="BG73" s="94" t="e">
        <v>#VALUE!</v>
      </c>
      <c r="BH73" s="94" t="e">
        <v>#VALUE!</v>
      </c>
      <c r="BJ73" s="40" t="e">
        <f t="shared" si="54"/>
        <v>#VALUE!</v>
      </c>
      <c r="BK73" s="94" t="e">
        <v>#VALUE!</v>
      </c>
      <c r="BL73" s="94" t="e">
        <v>#VALUE!</v>
      </c>
      <c r="BM73" s="94" t="e">
        <v>#VALUE!</v>
      </c>
      <c r="BN73" s="94" t="e">
        <v>#VALUE!</v>
      </c>
      <c r="BO73" s="94"/>
      <c r="BP73" s="40" t="e">
        <f t="shared" si="55"/>
        <v>#VALUE!</v>
      </c>
      <c r="BQ73" s="94" t="e">
        <v>#VALUE!</v>
      </c>
      <c r="BR73" s="94" t="e">
        <v>#VALUE!</v>
      </c>
      <c r="BS73" s="94" t="e">
        <v>#VALUE!</v>
      </c>
      <c r="BT73" s="94" t="e">
        <v>#VALUE!</v>
      </c>
      <c r="BU73" s="91" t="e">
        <f t="shared" si="66"/>
        <v>#REF!</v>
      </c>
      <c r="BV73" s="40" t="e">
        <f t="shared" si="56"/>
        <v>#VALUE!</v>
      </c>
      <c r="BW73" s="94" t="e">
        <v>#VALUE!</v>
      </c>
      <c r="BX73" s="94" t="e">
        <v>#VALUE!</v>
      </c>
      <c r="BY73" s="94" t="e">
        <v>#VALUE!</v>
      </c>
      <c r="BZ73" s="94" t="e">
        <v>#VALUE!</v>
      </c>
      <c r="CB73" s="40" t="e">
        <f t="shared" si="57"/>
        <v>#VALUE!</v>
      </c>
      <c r="CC73" s="94" t="e">
        <v>#VALUE!</v>
      </c>
      <c r="CD73" s="94" t="e">
        <v>#VALUE!</v>
      </c>
      <c r="CE73" s="94" t="e">
        <v>#VALUE!</v>
      </c>
      <c r="CF73" s="94" t="e">
        <v>#VALUE!</v>
      </c>
      <c r="CH73" s="40" t="e">
        <f t="shared" si="58"/>
        <v>#VALUE!</v>
      </c>
      <c r="CI73" s="94" t="e">
        <v>#VALUE!</v>
      </c>
      <c r="CJ73" s="94" t="e">
        <v>#VALUE!</v>
      </c>
      <c r="CK73" s="94" t="e">
        <v>#VALUE!</v>
      </c>
      <c r="CL73" s="94" t="e">
        <v>#VALUE!</v>
      </c>
      <c r="CM73" s="94"/>
      <c r="CN73" s="40" t="e">
        <f t="shared" si="59"/>
        <v>#VALUE!</v>
      </c>
      <c r="CO73" s="94" t="e">
        <v>#VALUE!</v>
      </c>
      <c r="CP73" s="94" t="e">
        <v>#VALUE!</v>
      </c>
      <c r="CQ73" s="94" t="e">
        <v>#VALUE!</v>
      </c>
      <c r="CR73" s="94" t="e">
        <v>#VALUE!</v>
      </c>
      <c r="CS73" s="91" t="e">
        <f t="shared" si="67"/>
        <v>#REF!</v>
      </c>
      <c r="CT73" s="40" t="e">
        <f t="shared" si="60"/>
        <v>#VALUE!</v>
      </c>
      <c r="CU73" s="94" t="e">
        <v>#VALUE!</v>
      </c>
      <c r="CV73" s="94" t="e">
        <v>#VALUE!</v>
      </c>
      <c r="CW73" s="94" t="e">
        <v>#VALUE!</v>
      </c>
      <c r="CX73" s="94" t="e">
        <v>#VALUE!</v>
      </c>
      <c r="CZ73" s="40" t="e">
        <f t="shared" si="61"/>
        <v>#VALUE!</v>
      </c>
      <c r="DA73" s="94" t="e">
        <v>#VALUE!</v>
      </c>
      <c r="DB73" s="94" t="e">
        <v>#VALUE!</v>
      </c>
      <c r="DC73" s="94" t="e">
        <v>#VALUE!</v>
      </c>
      <c r="DD73" s="94" t="e">
        <v>#VALUE!</v>
      </c>
      <c r="DF73" s="40" t="e">
        <f t="shared" si="62"/>
        <v>#VALUE!</v>
      </c>
      <c r="DG73" s="94" t="e">
        <v>#VALUE!</v>
      </c>
      <c r="DH73" s="94" t="e">
        <v>#VALUE!</v>
      </c>
      <c r="DI73" s="94" t="e">
        <v>#VALUE!</v>
      </c>
      <c r="DJ73" s="94" t="e">
        <v>#VALUE!</v>
      </c>
      <c r="DK73" s="94"/>
      <c r="DL73" s="40" t="e">
        <f t="shared" si="63"/>
        <v>#VALUE!</v>
      </c>
      <c r="DM73" s="94" t="e">
        <v>#VALUE!</v>
      </c>
      <c r="DN73" s="94" t="e">
        <v>#VALUE!</v>
      </c>
      <c r="DO73" s="94" t="e">
        <v>#VALUE!</v>
      </c>
      <c r="DP73" s="94" t="e">
        <v>#VALUE!</v>
      </c>
    </row>
    <row r="74" spans="1:120" x14ac:dyDescent="0.2">
      <c r="A74" s="91" t="e">
        <f>name!#REF!</f>
        <v>#REF!</v>
      </c>
      <c r="B74" s="40" t="e">
        <f t="shared" si="44"/>
        <v>#VALUE!</v>
      </c>
      <c r="C74" s="94" t="e">
        <v>#VALUE!</v>
      </c>
      <c r="D74" s="94" t="e">
        <v>#VALUE!</v>
      </c>
      <c r="E74" s="94" t="e">
        <v>#VALUE!</v>
      </c>
      <c r="F74" s="94" t="e">
        <v>#VALUE!</v>
      </c>
      <c r="H74" s="40" t="e">
        <f t="shared" si="45"/>
        <v>#VALUE!</v>
      </c>
      <c r="I74" s="94" t="e">
        <v>#VALUE!</v>
      </c>
      <c r="J74" s="94" t="e">
        <v>#VALUE!</v>
      </c>
      <c r="K74" s="94" t="e">
        <v>#VALUE!</v>
      </c>
      <c r="L74" s="94" t="e">
        <v>#VALUE!</v>
      </c>
      <c r="N74" s="40" t="e">
        <f t="shared" si="46"/>
        <v>#VALUE!</v>
      </c>
      <c r="O74" s="94" t="e">
        <v>#VALUE!</v>
      </c>
      <c r="P74" s="94" t="e">
        <v>#VALUE!</v>
      </c>
      <c r="Q74" s="94" t="e">
        <v>#VALUE!</v>
      </c>
      <c r="R74" s="94" t="e">
        <v>#VALUE!</v>
      </c>
      <c r="S74" s="94"/>
      <c r="T74" s="40" t="e">
        <f t="shared" si="47"/>
        <v>#VALUE!</v>
      </c>
      <c r="U74" s="94" t="e">
        <v>#VALUE!</v>
      </c>
      <c r="V74" s="94" t="e">
        <v>#VALUE!</v>
      </c>
      <c r="W74" s="94" t="e">
        <v>#VALUE!</v>
      </c>
      <c r="X74" s="94" t="e">
        <v>#VALUE!</v>
      </c>
      <c r="Y74" s="91" t="e">
        <f t="shared" si="64"/>
        <v>#REF!</v>
      </c>
      <c r="Z74" s="40" t="e">
        <f t="shared" si="48"/>
        <v>#VALUE!</v>
      </c>
      <c r="AA74" s="94" t="e">
        <v>#VALUE!</v>
      </c>
      <c r="AB74" s="94" t="e">
        <v>#VALUE!</v>
      </c>
      <c r="AC74" s="94" t="e">
        <v>#VALUE!</v>
      </c>
      <c r="AD74" s="94" t="e">
        <v>#VALUE!</v>
      </c>
      <c r="AF74" s="40" t="e">
        <f t="shared" si="49"/>
        <v>#VALUE!</v>
      </c>
      <c r="AG74" s="94" t="e">
        <v>#VALUE!</v>
      </c>
      <c r="AH74" s="94" t="e">
        <v>#VALUE!</v>
      </c>
      <c r="AI74" s="94" t="e">
        <v>#VALUE!</v>
      </c>
      <c r="AJ74" s="94" t="e">
        <v>#VALUE!</v>
      </c>
      <c r="AL74" s="40" t="e">
        <f t="shared" si="50"/>
        <v>#VALUE!</v>
      </c>
      <c r="AM74" s="94" t="e">
        <v>#VALUE!</v>
      </c>
      <c r="AN74" s="94" t="e">
        <v>#VALUE!</v>
      </c>
      <c r="AO74" s="94" t="e">
        <v>#VALUE!</v>
      </c>
      <c r="AP74" s="94" t="e">
        <v>#VALUE!</v>
      </c>
      <c r="AQ74" s="94"/>
      <c r="AR74" s="40" t="e">
        <f t="shared" si="51"/>
        <v>#VALUE!</v>
      </c>
      <c r="AS74" s="94" t="e">
        <v>#VALUE!</v>
      </c>
      <c r="AT74" s="94" t="e">
        <v>#VALUE!</v>
      </c>
      <c r="AU74" s="94" t="e">
        <v>#VALUE!</v>
      </c>
      <c r="AV74" s="94" t="e">
        <v>#VALUE!</v>
      </c>
      <c r="AW74" s="91" t="e">
        <f t="shared" si="65"/>
        <v>#REF!</v>
      </c>
      <c r="AX74" s="40" t="e">
        <f t="shared" si="52"/>
        <v>#VALUE!</v>
      </c>
      <c r="AY74" s="94" t="e">
        <v>#VALUE!</v>
      </c>
      <c r="AZ74" s="94" t="e">
        <v>#VALUE!</v>
      </c>
      <c r="BA74" s="94" t="e">
        <v>#VALUE!</v>
      </c>
      <c r="BB74" s="94" t="e">
        <v>#VALUE!</v>
      </c>
      <c r="BD74" s="40" t="e">
        <f t="shared" si="53"/>
        <v>#VALUE!</v>
      </c>
      <c r="BE74" s="94" t="e">
        <v>#VALUE!</v>
      </c>
      <c r="BF74" s="94" t="e">
        <v>#VALUE!</v>
      </c>
      <c r="BG74" s="94" t="e">
        <v>#VALUE!</v>
      </c>
      <c r="BH74" s="94" t="e">
        <v>#VALUE!</v>
      </c>
      <c r="BJ74" s="40" t="e">
        <f t="shared" si="54"/>
        <v>#VALUE!</v>
      </c>
      <c r="BK74" s="94" t="e">
        <v>#VALUE!</v>
      </c>
      <c r="BL74" s="94" t="e">
        <v>#VALUE!</v>
      </c>
      <c r="BM74" s="94" t="e">
        <v>#VALUE!</v>
      </c>
      <c r="BN74" s="94" t="e">
        <v>#VALUE!</v>
      </c>
      <c r="BO74" s="94"/>
      <c r="BP74" s="40" t="e">
        <f t="shared" si="55"/>
        <v>#VALUE!</v>
      </c>
      <c r="BQ74" s="94" t="e">
        <v>#VALUE!</v>
      </c>
      <c r="BR74" s="94" t="e">
        <v>#VALUE!</v>
      </c>
      <c r="BS74" s="94" t="e">
        <v>#VALUE!</v>
      </c>
      <c r="BT74" s="94" t="e">
        <v>#VALUE!</v>
      </c>
      <c r="BU74" s="91" t="e">
        <f t="shared" si="66"/>
        <v>#REF!</v>
      </c>
      <c r="BV74" s="40" t="e">
        <f t="shared" si="56"/>
        <v>#VALUE!</v>
      </c>
      <c r="BW74" s="94" t="e">
        <v>#VALUE!</v>
      </c>
      <c r="BX74" s="94" t="e">
        <v>#VALUE!</v>
      </c>
      <c r="BY74" s="94" t="e">
        <v>#VALUE!</v>
      </c>
      <c r="BZ74" s="94" t="e">
        <v>#VALUE!</v>
      </c>
      <c r="CB74" s="40" t="e">
        <f t="shared" si="57"/>
        <v>#VALUE!</v>
      </c>
      <c r="CC74" s="94" t="e">
        <v>#VALUE!</v>
      </c>
      <c r="CD74" s="94" t="e">
        <v>#VALUE!</v>
      </c>
      <c r="CE74" s="94" t="e">
        <v>#VALUE!</v>
      </c>
      <c r="CF74" s="94" t="e">
        <v>#VALUE!</v>
      </c>
      <c r="CH74" s="40" t="e">
        <f t="shared" si="58"/>
        <v>#VALUE!</v>
      </c>
      <c r="CI74" s="94" t="e">
        <v>#VALUE!</v>
      </c>
      <c r="CJ74" s="94" t="e">
        <v>#VALUE!</v>
      </c>
      <c r="CK74" s="94" t="e">
        <v>#VALUE!</v>
      </c>
      <c r="CL74" s="94" t="e">
        <v>#VALUE!</v>
      </c>
      <c r="CM74" s="94"/>
      <c r="CN74" s="40" t="e">
        <f t="shared" si="59"/>
        <v>#VALUE!</v>
      </c>
      <c r="CO74" s="94" t="e">
        <v>#VALUE!</v>
      </c>
      <c r="CP74" s="94" t="e">
        <v>#VALUE!</v>
      </c>
      <c r="CQ74" s="94" t="e">
        <v>#VALUE!</v>
      </c>
      <c r="CR74" s="94" t="e">
        <v>#VALUE!</v>
      </c>
      <c r="CS74" s="91" t="e">
        <f t="shared" si="67"/>
        <v>#REF!</v>
      </c>
      <c r="CT74" s="40" t="e">
        <f t="shared" si="60"/>
        <v>#VALUE!</v>
      </c>
      <c r="CU74" s="94" t="e">
        <v>#VALUE!</v>
      </c>
      <c r="CV74" s="94" t="e">
        <v>#VALUE!</v>
      </c>
      <c r="CW74" s="94" t="e">
        <v>#VALUE!</v>
      </c>
      <c r="CX74" s="94" t="e">
        <v>#VALUE!</v>
      </c>
      <c r="CZ74" s="40" t="e">
        <f t="shared" si="61"/>
        <v>#VALUE!</v>
      </c>
      <c r="DA74" s="94" t="e">
        <v>#VALUE!</v>
      </c>
      <c r="DB74" s="94" t="e">
        <v>#VALUE!</v>
      </c>
      <c r="DC74" s="94" t="e">
        <v>#VALUE!</v>
      </c>
      <c r="DD74" s="94" t="e">
        <v>#VALUE!</v>
      </c>
      <c r="DF74" s="40" t="e">
        <f t="shared" si="62"/>
        <v>#VALUE!</v>
      </c>
      <c r="DG74" s="94" t="e">
        <v>#VALUE!</v>
      </c>
      <c r="DH74" s="94" t="e">
        <v>#VALUE!</v>
      </c>
      <c r="DI74" s="94" t="e">
        <v>#VALUE!</v>
      </c>
      <c r="DJ74" s="94" t="e">
        <v>#VALUE!</v>
      </c>
      <c r="DK74" s="94"/>
      <c r="DL74" s="40" t="e">
        <f t="shared" si="63"/>
        <v>#VALUE!</v>
      </c>
      <c r="DM74" s="94" t="e">
        <v>#VALUE!</v>
      </c>
      <c r="DN74" s="94" t="e">
        <v>#VALUE!</v>
      </c>
      <c r="DO74" s="94" t="e">
        <v>#VALUE!</v>
      </c>
      <c r="DP74" s="94" t="e">
        <v>#VALUE!</v>
      </c>
    </row>
    <row r="75" spans="1:120" x14ac:dyDescent="0.2">
      <c r="A75" s="91" t="e">
        <f>name!#REF!</f>
        <v>#REF!</v>
      </c>
      <c r="B75" s="40" t="e">
        <f t="shared" si="44"/>
        <v>#VALUE!</v>
      </c>
      <c r="C75" s="94" t="e">
        <v>#VALUE!</v>
      </c>
      <c r="D75" s="94" t="e">
        <v>#VALUE!</v>
      </c>
      <c r="E75" s="94" t="e">
        <v>#VALUE!</v>
      </c>
      <c r="F75" s="94" t="e">
        <v>#VALUE!</v>
      </c>
      <c r="H75" s="40" t="e">
        <f t="shared" si="45"/>
        <v>#VALUE!</v>
      </c>
      <c r="I75" s="94" t="e">
        <v>#VALUE!</v>
      </c>
      <c r="J75" s="94" t="e">
        <v>#VALUE!</v>
      </c>
      <c r="K75" s="94" t="e">
        <v>#VALUE!</v>
      </c>
      <c r="L75" s="94" t="e">
        <v>#VALUE!</v>
      </c>
      <c r="N75" s="40" t="e">
        <f t="shared" si="46"/>
        <v>#VALUE!</v>
      </c>
      <c r="O75" s="94" t="e">
        <v>#VALUE!</v>
      </c>
      <c r="P75" s="94" t="e">
        <v>#VALUE!</v>
      </c>
      <c r="Q75" s="94" t="e">
        <v>#VALUE!</v>
      </c>
      <c r="R75" s="94" t="e">
        <v>#VALUE!</v>
      </c>
      <c r="S75" s="94"/>
      <c r="T75" s="40" t="e">
        <f t="shared" si="47"/>
        <v>#VALUE!</v>
      </c>
      <c r="U75" s="94" t="e">
        <v>#VALUE!</v>
      </c>
      <c r="V75" s="94" t="e">
        <v>#VALUE!</v>
      </c>
      <c r="W75" s="94" t="e">
        <v>#VALUE!</v>
      </c>
      <c r="X75" s="94" t="e">
        <v>#VALUE!</v>
      </c>
      <c r="Y75" s="91" t="e">
        <f t="shared" si="64"/>
        <v>#REF!</v>
      </c>
      <c r="Z75" s="40" t="e">
        <f t="shared" si="48"/>
        <v>#VALUE!</v>
      </c>
      <c r="AA75" s="94" t="e">
        <v>#VALUE!</v>
      </c>
      <c r="AB75" s="94" t="e">
        <v>#VALUE!</v>
      </c>
      <c r="AC75" s="94" t="e">
        <v>#VALUE!</v>
      </c>
      <c r="AD75" s="94" t="e">
        <v>#VALUE!</v>
      </c>
      <c r="AF75" s="40" t="e">
        <f t="shared" si="49"/>
        <v>#VALUE!</v>
      </c>
      <c r="AG75" s="94" t="e">
        <v>#VALUE!</v>
      </c>
      <c r="AH75" s="94" t="e">
        <v>#VALUE!</v>
      </c>
      <c r="AI75" s="94" t="e">
        <v>#VALUE!</v>
      </c>
      <c r="AJ75" s="94" t="e">
        <v>#VALUE!</v>
      </c>
      <c r="AL75" s="40" t="e">
        <f t="shared" si="50"/>
        <v>#VALUE!</v>
      </c>
      <c r="AM75" s="94" t="e">
        <v>#VALUE!</v>
      </c>
      <c r="AN75" s="94" t="e">
        <v>#VALUE!</v>
      </c>
      <c r="AO75" s="94" t="e">
        <v>#VALUE!</v>
      </c>
      <c r="AP75" s="94" t="e">
        <v>#VALUE!</v>
      </c>
      <c r="AQ75" s="94"/>
      <c r="AR75" s="40" t="e">
        <f t="shared" si="51"/>
        <v>#VALUE!</v>
      </c>
      <c r="AS75" s="94" t="e">
        <v>#VALUE!</v>
      </c>
      <c r="AT75" s="94" t="e">
        <v>#VALUE!</v>
      </c>
      <c r="AU75" s="94" t="e">
        <v>#VALUE!</v>
      </c>
      <c r="AV75" s="94" t="e">
        <v>#VALUE!</v>
      </c>
      <c r="AW75" s="91" t="e">
        <f t="shared" si="65"/>
        <v>#REF!</v>
      </c>
      <c r="AX75" s="40" t="e">
        <f t="shared" si="52"/>
        <v>#VALUE!</v>
      </c>
      <c r="AY75" s="94" t="e">
        <v>#VALUE!</v>
      </c>
      <c r="AZ75" s="94" t="e">
        <v>#VALUE!</v>
      </c>
      <c r="BA75" s="94" t="e">
        <v>#VALUE!</v>
      </c>
      <c r="BB75" s="94" t="e">
        <v>#VALUE!</v>
      </c>
      <c r="BD75" s="40" t="e">
        <f t="shared" si="53"/>
        <v>#VALUE!</v>
      </c>
      <c r="BE75" s="94" t="e">
        <v>#VALUE!</v>
      </c>
      <c r="BF75" s="94" t="e">
        <v>#VALUE!</v>
      </c>
      <c r="BG75" s="94" t="e">
        <v>#VALUE!</v>
      </c>
      <c r="BH75" s="94" t="e">
        <v>#VALUE!</v>
      </c>
      <c r="BJ75" s="40" t="e">
        <f t="shared" si="54"/>
        <v>#VALUE!</v>
      </c>
      <c r="BK75" s="94" t="e">
        <v>#VALUE!</v>
      </c>
      <c r="BL75" s="94" t="e">
        <v>#VALUE!</v>
      </c>
      <c r="BM75" s="94" t="e">
        <v>#VALUE!</v>
      </c>
      <c r="BN75" s="94" t="e">
        <v>#VALUE!</v>
      </c>
      <c r="BO75" s="94"/>
      <c r="BP75" s="40" t="e">
        <f t="shared" si="55"/>
        <v>#VALUE!</v>
      </c>
      <c r="BQ75" s="94" t="e">
        <v>#VALUE!</v>
      </c>
      <c r="BR75" s="94" t="e">
        <v>#VALUE!</v>
      </c>
      <c r="BS75" s="94" t="e">
        <v>#VALUE!</v>
      </c>
      <c r="BT75" s="94" t="e">
        <v>#VALUE!</v>
      </c>
      <c r="BU75" s="91" t="e">
        <f t="shared" si="66"/>
        <v>#REF!</v>
      </c>
      <c r="BV75" s="40" t="e">
        <f t="shared" si="56"/>
        <v>#VALUE!</v>
      </c>
      <c r="BW75" s="94" t="e">
        <v>#VALUE!</v>
      </c>
      <c r="BX75" s="94" t="e">
        <v>#VALUE!</v>
      </c>
      <c r="BY75" s="94" t="e">
        <v>#VALUE!</v>
      </c>
      <c r="BZ75" s="94" t="e">
        <v>#VALUE!</v>
      </c>
      <c r="CB75" s="40" t="e">
        <f t="shared" si="57"/>
        <v>#VALUE!</v>
      </c>
      <c r="CC75" s="94" t="e">
        <v>#VALUE!</v>
      </c>
      <c r="CD75" s="94" t="e">
        <v>#VALUE!</v>
      </c>
      <c r="CE75" s="94" t="e">
        <v>#VALUE!</v>
      </c>
      <c r="CF75" s="94" t="e">
        <v>#VALUE!</v>
      </c>
      <c r="CH75" s="40" t="e">
        <f t="shared" si="58"/>
        <v>#VALUE!</v>
      </c>
      <c r="CI75" s="94" t="e">
        <v>#VALUE!</v>
      </c>
      <c r="CJ75" s="94" t="e">
        <v>#VALUE!</v>
      </c>
      <c r="CK75" s="94" t="e">
        <v>#VALUE!</v>
      </c>
      <c r="CL75" s="94" t="e">
        <v>#VALUE!</v>
      </c>
      <c r="CM75" s="94"/>
      <c r="CN75" s="40" t="e">
        <f t="shared" si="59"/>
        <v>#VALUE!</v>
      </c>
      <c r="CO75" s="94" t="e">
        <v>#VALUE!</v>
      </c>
      <c r="CP75" s="94" t="e">
        <v>#VALUE!</v>
      </c>
      <c r="CQ75" s="94" t="e">
        <v>#VALUE!</v>
      </c>
      <c r="CR75" s="94" t="e">
        <v>#VALUE!</v>
      </c>
      <c r="CS75" s="91" t="e">
        <f t="shared" si="67"/>
        <v>#REF!</v>
      </c>
      <c r="CT75" s="40" t="e">
        <f t="shared" si="60"/>
        <v>#VALUE!</v>
      </c>
      <c r="CU75" s="94" t="e">
        <v>#VALUE!</v>
      </c>
      <c r="CV75" s="94" t="e">
        <v>#VALUE!</v>
      </c>
      <c r="CW75" s="94" t="e">
        <v>#VALUE!</v>
      </c>
      <c r="CX75" s="94" t="e">
        <v>#VALUE!</v>
      </c>
      <c r="CZ75" s="40" t="e">
        <f t="shared" si="61"/>
        <v>#VALUE!</v>
      </c>
      <c r="DA75" s="94" t="e">
        <v>#VALUE!</v>
      </c>
      <c r="DB75" s="94" t="e">
        <v>#VALUE!</v>
      </c>
      <c r="DC75" s="94" t="e">
        <v>#VALUE!</v>
      </c>
      <c r="DD75" s="94" t="e">
        <v>#VALUE!</v>
      </c>
      <c r="DF75" s="40" t="e">
        <f t="shared" si="62"/>
        <v>#VALUE!</v>
      </c>
      <c r="DG75" s="94" t="e">
        <v>#VALUE!</v>
      </c>
      <c r="DH75" s="94" t="e">
        <v>#VALUE!</v>
      </c>
      <c r="DI75" s="94" t="e">
        <v>#VALUE!</v>
      </c>
      <c r="DJ75" s="94" t="e">
        <v>#VALUE!</v>
      </c>
      <c r="DK75" s="94"/>
      <c r="DL75" s="40" t="e">
        <f t="shared" si="63"/>
        <v>#VALUE!</v>
      </c>
      <c r="DM75" s="94" t="e">
        <v>#VALUE!</v>
      </c>
      <c r="DN75" s="94" t="e">
        <v>#VALUE!</v>
      </c>
      <c r="DO75" s="94" t="e">
        <v>#VALUE!</v>
      </c>
      <c r="DP75" s="94" t="e">
        <v>#VALUE!</v>
      </c>
    </row>
    <row r="76" spans="1:120" x14ac:dyDescent="0.2">
      <c r="B76" s="40"/>
      <c r="H76" s="40"/>
      <c r="N76" s="40"/>
      <c r="T76" s="40"/>
      <c r="Z76" s="40"/>
      <c r="AF76" s="40"/>
      <c r="AL76" s="40"/>
      <c r="AR76" s="40"/>
      <c r="AX76" s="40"/>
      <c r="BD76" s="40"/>
      <c r="BJ76" s="40"/>
      <c r="BP76" s="40"/>
      <c r="BV76" s="40"/>
      <c r="CB76" s="40"/>
      <c r="CH76" s="40"/>
      <c r="CN76" s="40"/>
      <c r="CT76" s="40"/>
      <c r="CZ76" s="40"/>
      <c r="DF76" s="40"/>
      <c r="DL76" s="40"/>
    </row>
    <row r="77" spans="1:120" x14ac:dyDescent="0.2">
      <c r="A77" s="92" t="e">
        <f>name!#REF!</f>
        <v>#REF!</v>
      </c>
      <c r="B77" s="43">
        <f t="shared" si="44"/>
        <v>2.7912372459239387</v>
      </c>
      <c r="C77" s="93">
        <f>C50</f>
        <v>4561.2992279926211</v>
      </c>
      <c r="D77" s="93">
        <f>D50</f>
        <v>431.97496524334053</v>
      </c>
      <c r="E77" s="93">
        <f>E50</f>
        <v>1445.5882710202891</v>
      </c>
      <c r="F77" s="93">
        <f>F50</f>
        <v>1877.5632362636297</v>
      </c>
      <c r="G77" s="92"/>
      <c r="H77" s="43">
        <f t="shared" si="45"/>
        <v>2.6517730789267446</v>
      </c>
      <c r="I77" s="93">
        <f>I50</f>
        <v>774.77767553257945</v>
      </c>
      <c r="J77" s="93">
        <f>J50</f>
        <v>-90.9176985646708</v>
      </c>
      <c r="K77" s="93">
        <f>K50</f>
        <v>231.78692033646578</v>
      </c>
      <c r="L77" s="93">
        <f>L50</f>
        <v>140.86922177179497</v>
      </c>
      <c r="M77" s="92"/>
      <c r="N77" s="43">
        <f t="shared" si="46"/>
        <v>2.6893242464146816</v>
      </c>
      <c r="O77" s="93">
        <f>O50</f>
        <v>1810.6123702397726</v>
      </c>
      <c r="P77" s="93">
        <f>P50</f>
        <v>208.84741372398935</v>
      </c>
      <c r="Q77" s="93">
        <f>Q50</f>
        <v>550.29225403969679</v>
      </c>
      <c r="R77" s="93">
        <f>R50</f>
        <v>759.13966776368613</v>
      </c>
      <c r="S77" s="93"/>
      <c r="T77" s="43">
        <f t="shared" si="47"/>
        <v>2.9376202991175049</v>
      </c>
      <c r="U77" s="93">
        <f>U50</f>
        <v>1975.9091822202711</v>
      </c>
      <c r="V77" s="93">
        <f>V50</f>
        <v>314.04525008402186</v>
      </c>
      <c r="W77" s="93">
        <f>W50</f>
        <v>663.50909664412427</v>
      </c>
      <c r="X77" s="93">
        <f>X50</f>
        <v>977.55434672814613</v>
      </c>
      <c r="Y77" s="92" t="e">
        <f>A77</f>
        <v>#REF!</v>
      </c>
      <c r="Z77" s="43">
        <f>IF(AA77&gt;0,((1+(AC77/AA77))^(1/($A$101-$A$100))-1)*100,0)</f>
        <v>2.9771972098236787</v>
      </c>
      <c r="AA77" s="93">
        <f>AA50</f>
        <v>2141.7348734083043</v>
      </c>
      <c r="AB77" s="93">
        <f>AB50</f>
        <v>328.18012130131888</v>
      </c>
      <c r="AC77" s="93">
        <f>AC50</f>
        <v>730.21185757939747</v>
      </c>
      <c r="AD77" s="93">
        <f>AD50</f>
        <v>1058.3919788807164</v>
      </c>
      <c r="AE77" s="92"/>
      <c r="AF77" s="43">
        <f>IF(AG77&gt;0,((1+(AI77/AG77))^(1/($A$101-$A$100))-1)*100,0)</f>
        <v>3.0280155732974823</v>
      </c>
      <c r="AG77" s="93">
        <f>AG50</f>
        <v>114.36183531349347</v>
      </c>
      <c r="AH77" s="93">
        <f>AH50</f>
        <v>10.806009020856356</v>
      </c>
      <c r="AI77" s="93">
        <f>AI50</f>
        <v>39.749458273691218</v>
      </c>
      <c r="AJ77" s="93">
        <f>AJ50</f>
        <v>50.555467294547576</v>
      </c>
      <c r="AK77" s="92"/>
      <c r="AL77" s="43">
        <f>IF(AM77&gt;0,((1+(AO77/AM77))^(1/($A$101-$A$100))-1)*100,0)</f>
        <v>2.9663353480916088</v>
      </c>
      <c r="AM77" s="93">
        <f>AM50</f>
        <v>484.03376220781502</v>
      </c>
      <c r="AN77" s="93">
        <f>AN50</f>
        <v>80.752171418150368</v>
      </c>
      <c r="AO77" s="93">
        <f>AO50</f>
        <v>164.34415782441963</v>
      </c>
      <c r="AP77" s="93">
        <f>AP50</f>
        <v>245.09632924256999</v>
      </c>
      <c r="AQ77" s="93"/>
      <c r="AR77" s="43">
        <f>IF(AS77&gt;0,((1+(AU77/AS77))^(1/($A$101-$A$100))-1)*100,0)</f>
        <v>2.9768281396108875</v>
      </c>
      <c r="AS77" s="93">
        <f>AS50</f>
        <v>1543.3392758869961</v>
      </c>
      <c r="AT77" s="93">
        <f>AT50</f>
        <v>236.62194086231219</v>
      </c>
      <c r="AU77" s="93">
        <f>AU50</f>
        <v>526.11824148128676</v>
      </c>
      <c r="AV77" s="93">
        <f>AV50</f>
        <v>762.74018234359892</v>
      </c>
      <c r="AW77" s="92" t="e">
        <f>Y77</f>
        <v>#REF!</v>
      </c>
      <c r="AX77" s="43">
        <f>IF(AY77&gt;0,((1+(BA77/AY77))^(1/($A$101-$A$100))-1)*100,0)</f>
        <v>2.5960689907792656</v>
      </c>
      <c r="AY77" s="93">
        <f>AY50</f>
        <v>1169.4910110900296</v>
      </c>
      <c r="AZ77" s="93">
        <f>AZ50</f>
        <v>61.012733866251224</v>
      </c>
      <c r="BA77" s="93">
        <f>BA50</f>
        <v>341.64688672572964</v>
      </c>
      <c r="BB77" s="93">
        <f>BB50</f>
        <v>402.65962059198085</v>
      </c>
      <c r="BC77" s="92"/>
      <c r="BD77" s="43">
        <f>IF(BE77&gt;0,((1+(BG77/BE77))^(1/($A$101-$A$100))-1)*100,0)</f>
        <v>2.5108134589674425</v>
      </c>
      <c r="BE77" s="93">
        <f>BE50</f>
        <v>196.77997170605971</v>
      </c>
      <c r="BF77" s="93">
        <f>BF50</f>
        <v>-19.19988351079143</v>
      </c>
      <c r="BG77" s="93">
        <f>BG50</f>
        <v>55.380896948664599</v>
      </c>
      <c r="BH77" s="93">
        <f>BH50</f>
        <v>36.181013437873169</v>
      </c>
      <c r="BI77" s="92"/>
      <c r="BJ77" s="43">
        <f>IF(BK77&gt;0,((1+(BM77/BK77))^(1/($A$101-$A$100))-1)*100,0)</f>
        <v>2.5531077119064882</v>
      </c>
      <c r="BK77" s="93">
        <f>BK50</f>
        <v>650.12175377402275</v>
      </c>
      <c r="BL77" s="93">
        <f>BL50</f>
        <v>42.192712487148434</v>
      </c>
      <c r="BM77" s="93">
        <f>BM50</f>
        <v>186.41100647521165</v>
      </c>
      <c r="BN77" s="93">
        <f>BN50</f>
        <v>228.60371896236009</v>
      </c>
      <c r="BO77" s="93"/>
      <c r="BP77" s="43">
        <f>IF(BQ77&gt;0,((1+(BS77/BQ77))^(1/($A$101-$A$100))-1)*100,0)</f>
        <v>2.7334678665663192</v>
      </c>
      <c r="BQ77" s="93">
        <f>BQ50</f>
        <v>322.58928560994713</v>
      </c>
      <c r="BR77" s="93">
        <f>BR50</f>
        <v>38.019904889894228</v>
      </c>
      <c r="BS77" s="93">
        <f>BS50</f>
        <v>99.854983301853494</v>
      </c>
      <c r="BT77" s="93">
        <f>BT50</f>
        <v>137.87488819174771</v>
      </c>
      <c r="BU77" s="92" t="e">
        <f>AW77</f>
        <v>#REF!</v>
      </c>
      <c r="BV77" s="43">
        <f>IF(BW77&gt;0,((1+(BY77/BW77))^(1/($A$101-$A$100))-1)*100,0)</f>
        <v>2.5889208699682698</v>
      </c>
      <c r="BW77" s="93">
        <f>BW50</f>
        <v>786.26148565798121</v>
      </c>
      <c r="BX77" s="93">
        <f>BX50</f>
        <v>-16.768227409449015</v>
      </c>
      <c r="BY77" s="93">
        <f>BY50</f>
        <v>228.98528730973825</v>
      </c>
      <c r="BZ77" s="93">
        <f>BZ50</f>
        <v>212.21705990028923</v>
      </c>
      <c r="CA77" s="92"/>
      <c r="CB77" s="43">
        <f>IF(CC77&gt;0,((1+(CE77/CC77))^(1/($A$101-$A$100))-1)*100,0)</f>
        <v>2.5278948366694864</v>
      </c>
      <c r="CC77" s="93">
        <f>CC50</f>
        <v>257.91842111045776</v>
      </c>
      <c r="CD77" s="93">
        <f>CD50</f>
        <v>-52.179148361626908</v>
      </c>
      <c r="CE77" s="93">
        <f>CE50</f>
        <v>73.138570554183204</v>
      </c>
      <c r="CF77" s="93">
        <f>CF50</f>
        <v>20.959422192556296</v>
      </c>
      <c r="CG77" s="92"/>
      <c r="CH77" s="43">
        <f>IF(CI77&gt;0,((1+(CK77/CI77))^(1/($A$101-$A$100))-1)*100,0)</f>
        <v>2.5655949055339189</v>
      </c>
      <c r="CI77" s="93">
        <f>CI50</f>
        <v>462.50112579230256</v>
      </c>
      <c r="CJ77" s="93">
        <f>CJ50</f>
        <v>18.263082416840735</v>
      </c>
      <c r="CK77" s="93">
        <f>CK50</f>
        <v>133.33911166207648</v>
      </c>
      <c r="CL77" s="93">
        <f>CL50</f>
        <v>151.60219407891722</v>
      </c>
      <c r="CM77" s="93"/>
      <c r="CN77" s="43">
        <f>IF(CO77&gt;0,((1+(CQ77/CO77))^(1/($A$101-$A$100))-1)*100,0)</f>
        <v>2.9840981402702971</v>
      </c>
      <c r="CO77" s="93">
        <f>CO50</f>
        <v>65.841938755220539</v>
      </c>
      <c r="CP77" s="93">
        <f>CP50</f>
        <v>17.147838535337179</v>
      </c>
      <c r="CQ77" s="93">
        <f>CQ50</f>
        <v>22.507605093478684</v>
      </c>
      <c r="CR77" s="93">
        <f>CR50</f>
        <v>39.65544362881586</v>
      </c>
      <c r="CS77" s="92" t="e">
        <f>BU77</f>
        <v>#REF!</v>
      </c>
      <c r="CT77" s="43">
        <f>IF(CU77&gt;0,((1+(CW77/CU77))^(1/($A$101-$A$100))-1)*100,0)</f>
        <v>2.7533233225370157</v>
      </c>
      <c r="CU77" s="93">
        <f>CU50</f>
        <v>463.81185783630696</v>
      </c>
      <c r="CV77" s="93">
        <f>CV50</f>
        <v>59.550337485219423</v>
      </c>
      <c r="CW77" s="93">
        <f>CW50</f>
        <v>144.74423940542175</v>
      </c>
      <c r="CX77" s="93">
        <f>CX50</f>
        <v>204.29457689064117</v>
      </c>
      <c r="CY77" s="92"/>
      <c r="CZ77" s="43">
        <f>IF(DA77&gt;0,((1+(DC77/DA77))^(1/($A$101-$A$100))-1)*100,0)</f>
        <v>2.7273559755584653</v>
      </c>
      <c r="DA77" s="93">
        <f>DA50</f>
        <v>205.71744740256855</v>
      </c>
      <c r="DB77" s="93">
        <f>DB50</f>
        <v>-30.344675713108767</v>
      </c>
      <c r="DC77" s="93">
        <f>DC50</f>
        <v>63.517994559926827</v>
      </c>
      <c r="DD77" s="93">
        <f>DD50</f>
        <v>33.173318846818063</v>
      </c>
      <c r="DE77" s="92"/>
      <c r="DF77" s="43">
        <f>IF(DG77&gt;0,((1+(DI77/DG77))^(1/($A$101-$A$100))-1)*100,0)</f>
        <v>2.7323553670193235</v>
      </c>
      <c r="DG77" s="93">
        <f>DG50</f>
        <v>213.95572846563186</v>
      </c>
      <c r="DH77" s="93">
        <f>DH50</f>
        <v>67.639447401849822</v>
      </c>
      <c r="DI77" s="93">
        <f>DI50</f>
        <v>66.197978077989319</v>
      </c>
      <c r="DJ77" s="93">
        <f>DJ50</f>
        <v>133.83742547983914</v>
      </c>
      <c r="DK77" s="93"/>
      <c r="DL77" s="43">
        <f>IF(DM77&gt;0,((1+(DO77/DM77))^(1/($A$101-$A$100))-1)*100,0)</f>
        <v>2.9736201868302725</v>
      </c>
      <c r="DM77" s="93">
        <f>DM50</f>
        <v>44.13868196810671</v>
      </c>
      <c r="DN77" s="93">
        <f>DN50</f>
        <v>22.25556579647839</v>
      </c>
      <c r="DO77" s="93">
        <f>DO50</f>
        <v>15.028266767505601</v>
      </c>
      <c r="DP77" s="93">
        <f>DP50</f>
        <v>37.283832563983992</v>
      </c>
    </row>
    <row r="79" spans="1:120" x14ac:dyDescent="0.2">
      <c r="A79" s="91" t="str">
        <f ca="1">CELL("filename")</f>
        <v>M:\IE\Projects\Nuffield via NFER AI and automation\Data\Results\Workbooks\MCAs\NE_MCA\[NE_MCA_MainTables.Main.xlsm]Manager</v>
      </c>
      <c r="Y79" s="91" t="str">
        <f ca="1">CELL("filename")</f>
        <v>M:\IE\Projects\Nuffield via NFER AI and automation\Data\Results\Workbooks\MCAs\NE_MCA\[NE_MCA_MainTables.Main.xlsm]Manager</v>
      </c>
      <c r="AW79" s="91" t="str">
        <f ca="1">CELL("filename")</f>
        <v>M:\IE\Projects\Nuffield via NFER AI and automation\Data\Results\Workbooks\MCAs\NE_MCA\[NE_MCA_MainTables.Main.xlsm]Manager</v>
      </c>
      <c r="BU79" s="91" t="str">
        <f ca="1">CELL("filename")</f>
        <v>M:\IE\Projects\Nuffield via NFER AI and automation\Data\Results\Workbooks\MCAs\NE_MCA\[NE_MCA_MainTables.Main.xlsm]Manager</v>
      </c>
      <c r="CS79" s="91" t="str">
        <f ca="1">CELL("filename")</f>
        <v>M:\IE\Projects\Nuffield via NFER AI and automation\Data\Results\Workbooks\MCAs\NE_MCA\[NE_MCA_MainTables.Main.xlsm]Manager</v>
      </c>
    </row>
    <row r="80" spans="1:120" ht="15.75" x14ac:dyDescent="0.25">
      <c r="A80" s="19" t="str">
        <f>CONCATENATE("Basic Table 5  Replacement Demand, ",A100,"-",A101,", by Industry Sector and Qualification for ",name!$H$3)</f>
        <v>Basic Table 5  Replacement Demand, 2015-2025, by Industry Sector and Qualification for M</v>
      </c>
      <c r="Y80" s="19" t="str">
        <f>CONCATENATE("Basic Table 5  Replacement Demand, ",A100,"-",A101,", by Industry Sector and Qualification for ",name!$H$4)</f>
        <v>Basic Table 5  Replacement Demand, 2015-2025, by Industry Sector and Qualification for F</v>
      </c>
      <c r="AW80" s="19" t="str">
        <f>CONCATENATE("Basic Table 5  Replacement Demand, ",A100,"-",A101,", by Industry Sector and Qualification for ",name!$H$5)</f>
        <v xml:space="preserve">Basic Table 5  Replacement Demand, 2015-2025, by Industry Sector and Qualification for </v>
      </c>
      <c r="BU80" s="19" t="str">
        <f>CONCATENATE("Basic Table 5  Replacement Demand, ",A100,"-",A101,", by Industry Sector and Qualification for ",name!$H$6)</f>
        <v xml:space="preserve">Basic Table 5  Replacement Demand, 2015-2025, by Industry Sector and Qualification for </v>
      </c>
      <c r="CS80" s="19" t="str">
        <f>CONCATENATE("Basic Table 5  Replacement Demand, ",A100,"-",A101,", by Industry Sector and Qualification for ",name!$H$7)</f>
        <v xml:space="preserve">Basic Table 5  Replacement Demand, 2015-2025, by Industry Sector and Qualification for </v>
      </c>
    </row>
    <row r="82" spans="1:120" x14ac:dyDescent="0.2">
      <c r="A82" s="92"/>
      <c r="B82" s="92"/>
      <c r="C82" s="92"/>
      <c r="D82" s="92"/>
      <c r="E82" s="92"/>
      <c r="F82" s="92"/>
      <c r="G82" s="92"/>
      <c r="H82" s="92"/>
      <c r="I82" s="92"/>
      <c r="J82" s="92"/>
      <c r="K82" s="92"/>
      <c r="L82" s="92"/>
      <c r="M82" s="92"/>
      <c r="N82" s="92"/>
      <c r="O82" s="92"/>
      <c r="P82" s="92"/>
      <c r="Q82" s="92"/>
      <c r="R82" s="92"/>
      <c r="S82" s="92"/>
      <c r="T82" s="92"/>
      <c r="U82" s="92"/>
      <c r="V82" s="92"/>
      <c r="W82" s="92"/>
      <c r="X82" s="116" t="str">
        <f>$X$3</f>
        <v>thousands</v>
      </c>
      <c r="Y82" s="92"/>
      <c r="Z82" s="92"/>
      <c r="AA82" s="92"/>
      <c r="AB82" s="92"/>
      <c r="AC82" s="92"/>
      <c r="AD82" s="92"/>
      <c r="AE82" s="92"/>
      <c r="AF82" s="92"/>
      <c r="AG82" s="92"/>
      <c r="AH82" s="92"/>
      <c r="AI82" s="92"/>
      <c r="AJ82" s="92"/>
      <c r="AK82" s="92"/>
      <c r="AL82" s="92"/>
      <c r="AM82" s="92"/>
      <c r="AN82" s="92"/>
      <c r="AO82" s="92"/>
      <c r="AP82" s="92"/>
      <c r="AQ82" s="92"/>
      <c r="AR82" s="92"/>
      <c r="AS82" s="92"/>
      <c r="AT82" s="92"/>
      <c r="AU82" s="92"/>
      <c r="AV82" s="116" t="str">
        <f>$X$3</f>
        <v>thousands</v>
      </c>
      <c r="AW82" s="92"/>
      <c r="AX82" s="92"/>
      <c r="AY82" s="92"/>
      <c r="AZ82" s="92"/>
      <c r="BA82" s="92"/>
      <c r="BB82" s="92"/>
      <c r="BC82" s="92"/>
      <c r="BD82" s="92"/>
      <c r="BE82" s="92"/>
      <c r="BF82" s="92"/>
      <c r="BG82" s="92"/>
      <c r="BH82" s="92"/>
      <c r="BI82" s="92"/>
      <c r="BJ82" s="92"/>
      <c r="BK82" s="92"/>
      <c r="BL82" s="92"/>
      <c r="BM82" s="92"/>
      <c r="BN82" s="92"/>
      <c r="BO82" s="92"/>
      <c r="BP82" s="92"/>
      <c r="BQ82" s="92"/>
      <c r="BR82" s="92"/>
      <c r="BS82" s="92"/>
      <c r="BT82" s="116" t="str">
        <f>$X$3</f>
        <v>thousands</v>
      </c>
      <c r="BU82" s="92"/>
      <c r="BV82" s="92"/>
      <c r="BW82" s="92"/>
      <c r="BX82" s="92"/>
      <c r="BY82" s="92"/>
      <c r="BZ82" s="92"/>
      <c r="CA82" s="92"/>
      <c r="CB82" s="92"/>
      <c r="CC82" s="92"/>
      <c r="CD82" s="92"/>
      <c r="CE82" s="92"/>
      <c r="CF82" s="92"/>
      <c r="CG82" s="92"/>
      <c r="CH82" s="92"/>
      <c r="CI82" s="92"/>
      <c r="CJ82" s="92"/>
      <c r="CK82" s="92"/>
      <c r="CL82" s="92"/>
      <c r="CM82" s="92"/>
      <c r="CN82" s="92"/>
      <c r="CO82" s="92"/>
      <c r="CP82" s="92"/>
      <c r="CQ82" s="92"/>
      <c r="CR82" s="116" t="str">
        <f>$X$3</f>
        <v>thousands</v>
      </c>
      <c r="CS82" s="92"/>
      <c r="CT82" s="92"/>
      <c r="CU82" s="92"/>
      <c r="CV82" s="92"/>
      <c r="CW82" s="92"/>
      <c r="CX82" s="92"/>
      <c r="CY82" s="92"/>
      <c r="CZ82" s="92"/>
      <c r="DA82" s="92"/>
      <c r="DB82" s="92"/>
      <c r="DC82" s="92"/>
      <c r="DD82" s="92"/>
      <c r="DE82" s="92"/>
      <c r="DF82" s="92"/>
      <c r="DG82" s="92"/>
      <c r="DH82" s="92"/>
      <c r="DI82" s="92"/>
      <c r="DJ82" s="92"/>
      <c r="DK82" s="92"/>
      <c r="DL82" s="92"/>
      <c r="DM82" s="92"/>
      <c r="DN82" s="92"/>
      <c r="DO82" s="92"/>
      <c r="DP82" s="116" t="str">
        <f>$X$3</f>
        <v>thousands</v>
      </c>
    </row>
    <row r="83" spans="1:120" x14ac:dyDescent="0.2">
      <c r="B83" s="385" t="str">
        <f>B4</f>
        <v>All qualifications</v>
      </c>
      <c r="C83" s="385"/>
      <c r="D83" s="385"/>
      <c r="E83" s="385"/>
      <c r="F83" s="385"/>
      <c r="G83" s="114"/>
      <c r="H83" s="385" t="str">
        <f>H4</f>
        <v>RQF8 Doctorate</v>
      </c>
      <c r="I83" s="385"/>
      <c r="J83" s="385"/>
      <c r="K83" s="385"/>
      <c r="L83" s="385"/>
      <c r="M83" s="114"/>
      <c r="N83" s="384" t="str">
        <f>N4</f>
        <v>RQF7 Other higher degree</v>
      </c>
      <c r="O83" s="384"/>
      <c r="P83" s="384"/>
      <c r="Q83" s="384"/>
      <c r="R83" s="384"/>
      <c r="S83" s="111"/>
      <c r="T83" s="384" t="str">
        <f>T4</f>
        <v>RQF6 First degree</v>
      </c>
      <c r="U83" s="384"/>
      <c r="V83" s="384"/>
      <c r="W83" s="384"/>
      <c r="X83" s="384"/>
      <c r="Z83" s="385" t="str">
        <f>Z4</f>
        <v>All qualifications</v>
      </c>
      <c r="AA83" s="385"/>
      <c r="AB83" s="385"/>
      <c r="AC83" s="385"/>
      <c r="AD83" s="385"/>
      <c r="AE83" s="114"/>
      <c r="AF83" s="385" t="str">
        <f>AF4</f>
        <v>RQF8 Doctorate</v>
      </c>
      <c r="AG83" s="385"/>
      <c r="AH83" s="385"/>
      <c r="AI83" s="385"/>
      <c r="AJ83" s="385"/>
      <c r="AK83" s="114"/>
      <c r="AL83" s="384" t="str">
        <f>AL4</f>
        <v>RQF7 Other higher degree</v>
      </c>
      <c r="AM83" s="384"/>
      <c r="AN83" s="384"/>
      <c r="AO83" s="384"/>
      <c r="AP83" s="384"/>
      <c r="AQ83" s="111"/>
      <c r="AR83" s="384" t="str">
        <f>AR4</f>
        <v>RQF6 First degree</v>
      </c>
      <c r="AS83" s="384"/>
      <c r="AT83" s="384"/>
      <c r="AU83" s="384"/>
      <c r="AV83" s="384"/>
      <c r="AX83" s="385" t="str">
        <f>AX4</f>
        <v>All qualifications</v>
      </c>
      <c r="AY83" s="385"/>
      <c r="AZ83" s="385"/>
      <c r="BA83" s="385"/>
      <c r="BB83" s="385"/>
      <c r="BC83" s="114"/>
      <c r="BD83" s="385" t="str">
        <f>BD4</f>
        <v>RQF8 Doctorate</v>
      </c>
      <c r="BE83" s="385"/>
      <c r="BF83" s="385"/>
      <c r="BG83" s="385"/>
      <c r="BH83" s="385"/>
      <c r="BI83" s="114"/>
      <c r="BJ83" s="384" t="str">
        <f>BJ4</f>
        <v>RQF7 Other higher degree</v>
      </c>
      <c r="BK83" s="384"/>
      <c r="BL83" s="384"/>
      <c r="BM83" s="384"/>
      <c r="BN83" s="384"/>
      <c r="BO83" s="111"/>
      <c r="BP83" s="384" t="str">
        <f>BP4</f>
        <v>RQF6 First degree</v>
      </c>
      <c r="BQ83" s="384"/>
      <c r="BR83" s="384"/>
      <c r="BS83" s="384"/>
      <c r="BT83" s="384"/>
      <c r="BV83" s="385" t="str">
        <f>BV4</f>
        <v>All qualifications</v>
      </c>
      <c r="BW83" s="385"/>
      <c r="BX83" s="385"/>
      <c r="BY83" s="385"/>
      <c r="BZ83" s="385"/>
      <c r="CA83" s="114"/>
      <c r="CB83" s="385" t="str">
        <f>CB4</f>
        <v>RQF8 Doctorate</v>
      </c>
      <c r="CC83" s="385"/>
      <c r="CD83" s="385"/>
      <c r="CE83" s="385"/>
      <c r="CF83" s="385"/>
      <c r="CG83" s="114"/>
      <c r="CH83" s="384" t="str">
        <f>CH4</f>
        <v>RQF7 Other higher degree</v>
      </c>
      <c r="CI83" s="384"/>
      <c r="CJ83" s="384"/>
      <c r="CK83" s="384"/>
      <c r="CL83" s="384"/>
      <c r="CM83" s="111"/>
      <c r="CN83" s="384" t="str">
        <f>CN4</f>
        <v>RQF6 First degree</v>
      </c>
      <c r="CO83" s="384"/>
      <c r="CP83" s="384"/>
      <c r="CQ83" s="384"/>
      <c r="CR83" s="384"/>
      <c r="CT83" s="385" t="str">
        <f>CT4</f>
        <v>All qualifications</v>
      </c>
      <c r="CU83" s="385"/>
      <c r="CV83" s="385"/>
      <c r="CW83" s="385"/>
      <c r="CX83" s="385"/>
      <c r="CY83" s="114"/>
      <c r="CZ83" s="385" t="str">
        <f>CZ4</f>
        <v>RQF8 Doctorate</v>
      </c>
      <c r="DA83" s="385"/>
      <c r="DB83" s="385"/>
      <c r="DC83" s="385"/>
      <c r="DD83" s="385"/>
      <c r="DE83" s="114"/>
      <c r="DF83" s="384" t="str">
        <f>DF4</f>
        <v>RQF7 Other higher degree</v>
      </c>
      <c r="DG83" s="384"/>
      <c r="DH83" s="384"/>
      <c r="DI83" s="384"/>
      <c r="DJ83" s="384"/>
      <c r="DK83" s="111"/>
      <c r="DL83" s="384" t="str">
        <f>DL4</f>
        <v>RQF6 First degree</v>
      </c>
      <c r="DM83" s="384"/>
      <c r="DN83" s="384"/>
      <c r="DO83" s="384"/>
      <c r="DP83" s="384"/>
    </row>
    <row r="85" spans="1:120" ht="38.25" x14ac:dyDescent="0.2">
      <c r="A85" s="113"/>
      <c r="B85" s="110" t="str">
        <f>B6</f>
        <v>RD p.a%</v>
      </c>
      <c r="C85" s="110" t="str">
        <f>C6</f>
        <v>2015 Level</v>
      </c>
      <c r="D85" s="110" t="str">
        <f>D6</f>
        <v>Net Change</v>
      </c>
      <c r="E85" s="110" t="str">
        <f>E6</f>
        <v>Replace-ment Demand</v>
      </c>
      <c r="F85" s="110" t="str">
        <f>F6</f>
        <v>Total Require-ment</v>
      </c>
      <c r="G85" s="109"/>
      <c r="H85" s="105" t="str">
        <f>B85</f>
        <v>RD p.a%</v>
      </c>
      <c r="I85" s="105" t="str">
        <f>C85</f>
        <v>2015 Level</v>
      </c>
      <c r="J85" s="105" t="str">
        <f>D85</f>
        <v>Net Change</v>
      </c>
      <c r="K85" s="105" t="str">
        <f>E85</f>
        <v>Replace-ment Demand</v>
      </c>
      <c r="L85" s="105" t="str">
        <f>F85</f>
        <v>Total Require-ment</v>
      </c>
      <c r="M85" s="104"/>
      <c r="N85" s="106" t="str">
        <f>H85</f>
        <v>RD p.a%</v>
      </c>
      <c r="O85" s="106" t="str">
        <f>I85</f>
        <v>2015 Level</v>
      </c>
      <c r="P85" s="106" t="str">
        <f>J85</f>
        <v>Net Change</v>
      </c>
      <c r="Q85" s="106" t="str">
        <f>K85</f>
        <v>Replace-ment Demand</v>
      </c>
      <c r="R85" s="106" t="str">
        <f>L85</f>
        <v>Total Require-ment</v>
      </c>
      <c r="S85" s="104"/>
      <c r="T85" s="106" t="str">
        <f>N85</f>
        <v>RD p.a%</v>
      </c>
      <c r="U85" s="106" t="str">
        <f>O85</f>
        <v>2015 Level</v>
      </c>
      <c r="V85" s="106" t="str">
        <f>P85</f>
        <v>Net Change</v>
      </c>
      <c r="W85" s="106" t="str">
        <f>Q85</f>
        <v>Replace-ment Demand</v>
      </c>
      <c r="X85" s="106" t="str">
        <f>R85</f>
        <v>Total Require-ment</v>
      </c>
      <c r="Y85" s="113"/>
      <c r="Z85" s="110" t="str">
        <f>Z6</f>
        <v>RD p.a%</v>
      </c>
      <c r="AA85" s="110" t="str">
        <f>AA6</f>
        <v>2015 Level</v>
      </c>
      <c r="AB85" s="110" t="str">
        <f>AB6</f>
        <v>Net Change</v>
      </c>
      <c r="AC85" s="110" t="str">
        <f>AC6</f>
        <v>Replace-ment Demand</v>
      </c>
      <c r="AD85" s="110" t="str">
        <f>AD6</f>
        <v>Total Require-ment</v>
      </c>
      <c r="AE85" s="109"/>
      <c r="AF85" s="105" t="str">
        <f>Z85</f>
        <v>RD p.a%</v>
      </c>
      <c r="AG85" s="105" t="str">
        <f>AA85</f>
        <v>2015 Level</v>
      </c>
      <c r="AH85" s="105" t="str">
        <f>AB85</f>
        <v>Net Change</v>
      </c>
      <c r="AI85" s="105" t="str">
        <f>AC85</f>
        <v>Replace-ment Demand</v>
      </c>
      <c r="AJ85" s="105" t="str">
        <f>AD85</f>
        <v>Total Require-ment</v>
      </c>
      <c r="AK85" s="104"/>
      <c r="AL85" s="106" t="str">
        <f>AF85</f>
        <v>RD p.a%</v>
      </c>
      <c r="AM85" s="106" t="str">
        <f>AG85</f>
        <v>2015 Level</v>
      </c>
      <c r="AN85" s="106" t="str">
        <f>AH85</f>
        <v>Net Change</v>
      </c>
      <c r="AO85" s="106" t="str">
        <f>AI85</f>
        <v>Replace-ment Demand</v>
      </c>
      <c r="AP85" s="106" t="str">
        <f>AJ85</f>
        <v>Total Require-ment</v>
      </c>
      <c r="AQ85" s="104"/>
      <c r="AR85" s="106" t="str">
        <f>AL85</f>
        <v>RD p.a%</v>
      </c>
      <c r="AS85" s="106" t="str">
        <f>AM85</f>
        <v>2015 Level</v>
      </c>
      <c r="AT85" s="106" t="str">
        <f>AN85</f>
        <v>Net Change</v>
      </c>
      <c r="AU85" s="106" t="str">
        <f>AO85</f>
        <v>Replace-ment Demand</v>
      </c>
      <c r="AV85" s="106" t="str">
        <f>AP85</f>
        <v>Total Require-ment</v>
      </c>
      <c r="AW85" s="113"/>
      <c r="AX85" s="110" t="str">
        <f>AX6</f>
        <v>RD p.a%</v>
      </c>
      <c r="AY85" s="110" t="str">
        <f>AY6</f>
        <v>2015 Level</v>
      </c>
      <c r="AZ85" s="110" t="str">
        <f>AZ6</f>
        <v>Net Change</v>
      </c>
      <c r="BA85" s="110" t="str">
        <f>BA6</f>
        <v>Replace-ment Demand</v>
      </c>
      <c r="BB85" s="110" t="str">
        <f>BB6</f>
        <v>Total Require-ment</v>
      </c>
      <c r="BC85" s="109"/>
      <c r="BD85" s="105" t="str">
        <f>AX85</f>
        <v>RD p.a%</v>
      </c>
      <c r="BE85" s="105" t="str">
        <f>AY85</f>
        <v>2015 Level</v>
      </c>
      <c r="BF85" s="105" t="str">
        <f>AZ85</f>
        <v>Net Change</v>
      </c>
      <c r="BG85" s="105" t="str">
        <f>BA85</f>
        <v>Replace-ment Demand</v>
      </c>
      <c r="BH85" s="105" t="str">
        <f>BB85</f>
        <v>Total Require-ment</v>
      </c>
      <c r="BI85" s="104"/>
      <c r="BJ85" s="106" t="str">
        <f>BD85</f>
        <v>RD p.a%</v>
      </c>
      <c r="BK85" s="106" t="str">
        <f>BE85</f>
        <v>2015 Level</v>
      </c>
      <c r="BL85" s="106" t="str">
        <f>BF85</f>
        <v>Net Change</v>
      </c>
      <c r="BM85" s="106" t="str">
        <f>BG85</f>
        <v>Replace-ment Demand</v>
      </c>
      <c r="BN85" s="106" t="str">
        <f>BH85</f>
        <v>Total Require-ment</v>
      </c>
      <c r="BO85" s="104"/>
      <c r="BP85" s="106" t="str">
        <f>BJ85</f>
        <v>RD p.a%</v>
      </c>
      <c r="BQ85" s="106" t="str">
        <f>BK85</f>
        <v>2015 Level</v>
      </c>
      <c r="BR85" s="106" t="str">
        <f>BL85</f>
        <v>Net Change</v>
      </c>
      <c r="BS85" s="106" t="str">
        <f>BM85</f>
        <v>Replace-ment Demand</v>
      </c>
      <c r="BT85" s="106" t="str">
        <f>BN85</f>
        <v>Total Require-ment</v>
      </c>
      <c r="BU85" s="113"/>
      <c r="BV85" s="110" t="str">
        <f>BV6</f>
        <v>RD p.a%</v>
      </c>
      <c r="BW85" s="110" t="str">
        <f>BW6</f>
        <v>2015 Level</v>
      </c>
      <c r="BX85" s="110" t="str">
        <f>BX6</f>
        <v>Net Change</v>
      </c>
      <c r="BY85" s="110" t="str">
        <f>BY6</f>
        <v>Replace-ment Demand</v>
      </c>
      <c r="BZ85" s="110" t="str">
        <f>BZ6</f>
        <v>Total Require-ment</v>
      </c>
      <c r="CA85" s="109"/>
      <c r="CB85" s="105" t="str">
        <f>BV85</f>
        <v>RD p.a%</v>
      </c>
      <c r="CC85" s="105" t="str">
        <f>BW85</f>
        <v>2015 Level</v>
      </c>
      <c r="CD85" s="105" t="str">
        <f>BX85</f>
        <v>Net Change</v>
      </c>
      <c r="CE85" s="105" t="str">
        <f>BY85</f>
        <v>Replace-ment Demand</v>
      </c>
      <c r="CF85" s="105" t="str">
        <f>BZ85</f>
        <v>Total Require-ment</v>
      </c>
      <c r="CG85" s="104"/>
      <c r="CH85" s="106" t="str">
        <f>CB85</f>
        <v>RD p.a%</v>
      </c>
      <c r="CI85" s="106" t="str">
        <f>CC85</f>
        <v>2015 Level</v>
      </c>
      <c r="CJ85" s="106" t="str">
        <f>CD85</f>
        <v>Net Change</v>
      </c>
      <c r="CK85" s="106" t="str">
        <f>CE85</f>
        <v>Replace-ment Demand</v>
      </c>
      <c r="CL85" s="106" t="str">
        <f>CF85</f>
        <v>Total Require-ment</v>
      </c>
      <c r="CM85" s="104"/>
      <c r="CN85" s="106" t="str">
        <f>CH85</f>
        <v>RD p.a%</v>
      </c>
      <c r="CO85" s="106" t="str">
        <f>CI85</f>
        <v>2015 Level</v>
      </c>
      <c r="CP85" s="106" t="str">
        <f>CJ85</f>
        <v>Net Change</v>
      </c>
      <c r="CQ85" s="106" t="str">
        <f>CK85</f>
        <v>Replace-ment Demand</v>
      </c>
      <c r="CR85" s="106" t="str">
        <f>CL85</f>
        <v>Total Require-ment</v>
      </c>
      <c r="CS85" s="113"/>
      <c r="CT85" s="110" t="str">
        <f>CT6</f>
        <v>RD p.a%</v>
      </c>
      <c r="CU85" s="110" t="str">
        <f>CU6</f>
        <v>2015 Level</v>
      </c>
      <c r="CV85" s="110" t="str">
        <f>CV6</f>
        <v>Net Change</v>
      </c>
      <c r="CW85" s="110" t="str">
        <f>CW6</f>
        <v>Replace-ment Demand</v>
      </c>
      <c r="CX85" s="110" t="str">
        <f>CX6</f>
        <v>Total Require-ment</v>
      </c>
      <c r="CY85" s="109"/>
      <c r="CZ85" s="105" t="str">
        <f>CT85</f>
        <v>RD p.a%</v>
      </c>
      <c r="DA85" s="105" t="str">
        <f>CU85</f>
        <v>2015 Level</v>
      </c>
      <c r="DB85" s="105" t="str">
        <f>CV85</f>
        <v>Net Change</v>
      </c>
      <c r="DC85" s="105" t="str">
        <f>CW85</f>
        <v>Replace-ment Demand</v>
      </c>
      <c r="DD85" s="105" t="str">
        <f>CX85</f>
        <v>Total Require-ment</v>
      </c>
      <c r="DE85" s="104"/>
      <c r="DF85" s="106" t="str">
        <f>CZ85</f>
        <v>RD p.a%</v>
      </c>
      <c r="DG85" s="106" t="str">
        <f>DA85</f>
        <v>2015 Level</v>
      </c>
      <c r="DH85" s="106" t="str">
        <f>DB85</f>
        <v>Net Change</v>
      </c>
      <c r="DI85" s="106" t="str">
        <f>DC85</f>
        <v>Replace-ment Demand</v>
      </c>
      <c r="DJ85" s="106" t="str">
        <f>DD85</f>
        <v>Total Require-ment</v>
      </c>
      <c r="DK85" s="104"/>
      <c r="DL85" s="106" t="str">
        <f>DF85</f>
        <v>RD p.a%</v>
      </c>
      <c r="DM85" s="106" t="str">
        <f>DG85</f>
        <v>2015 Level</v>
      </c>
      <c r="DN85" s="106" t="str">
        <f>DH85</f>
        <v>Net Change</v>
      </c>
      <c r="DO85" s="106" t="str">
        <f>DI85</f>
        <v>Replace-ment Demand</v>
      </c>
      <c r="DP85" s="106" t="str">
        <f>DJ85</f>
        <v>Total Require-ment</v>
      </c>
    </row>
    <row r="87" spans="1:120" x14ac:dyDescent="0.2">
      <c r="A87" s="91" t="str">
        <f>name!C4</f>
        <v>Primary sector and utilities</v>
      </c>
      <c r="B87" s="40" t="e">
        <f t="shared" ref="B87:B94" si="68">IF(C87&gt;0,((1+(E87/C87))^(1/($A$101-$A$100))-1)*100,0)</f>
        <v>#REF!</v>
      </c>
      <c r="C87" s="94" t="e">
        <f t="array" ref="C87:C92">MMULT(aggregation!#REF!,BasicTable5!C8:C48)</f>
        <v>#REF!</v>
      </c>
      <c r="D87" s="94" t="e">
        <f t="array" ref="D87:D92">MMULT(aggregation!#REF!,BasicTable5!D8:D48)</f>
        <v>#REF!</v>
      </c>
      <c r="E87" s="94" t="e">
        <f t="array" ref="E87:E92">MMULT(aggregation!#REF!,BasicTable5!E8:E48)</f>
        <v>#REF!</v>
      </c>
      <c r="F87" s="94" t="e">
        <f t="array" ref="F87:F92">MMULT(aggregation!#REF!,BasicTable5!F8:F48)</f>
        <v>#REF!</v>
      </c>
      <c r="H87" s="40" t="e">
        <f t="shared" ref="H87:H94" si="69">IF(I87&gt;0,((1+(K87/I87))^(1/($A$101-$A$100))-1)*100,0)</f>
        <v>#REF!</v>
      </c>
      <c r="I87" s="94" t="e">
        <f t="array" ref="I87:I92">MMULT(aggregation!#REF!,BasicTable5!I8:I48)</f>
        <v>#REF!</v>
      </c>
      <c r="J87" s="94" t="e">
        <f t="array" ref="J87:J92">MMULT(aggregation!#REF!,BasicTable5!J8:J48)</f>
        <v>#REF!</v>
      </c>
      <c r="K87" s="94" t="e">
        <f t="array" ref="K87:K92">MMULT(aggregation!#REF!,BasicTable5!K8:K48)</f>
        <v>#REF!</v>
      </c>
      <c r="L87" s="94" t="e">
        <f t="array" ref="L87:L92">MMULT(aggregation!#REF!,BasicTable5!L8:L48)</f>
        <v>#REF!</v>
      </c>
      <c r="N87" s="40" t="e">
        <f t="shared" ref="N87:N94" si="70">IF(O87&gt;0,((1+(Q87/O87))^(1/($A$101-$A$100))-1)*100,0)</f>
        <v>#REF!</v>
      </c>
      <c r="O87" s="94" t="e">
        <f t="array" ref="O87:O92">MMULT(aggregation!#REF!,BasicTable5!O8:O48)</f>
        <v>#REF!</v>
      </c>
      <c r="P87" s="94" t="e">
        <f t="array" ref="P87:P92">MMULT(aggregation!#REF!,BasicTable5!P8:P48)</f>
        <v>#REF!</v>
      </c>
      <c r="Q87" s="94" t="e">
        <f t="array" ref="Q87:Q92">MMULT(aggregation!#REF!,BasicTable5!Q8:Q48)</f>
        <v>#REF!</v>
      </c>
      <c r="R87" s="94" t="e">
        <f t="array" ref="R87:R92">MMULT(aggregation!#REF!,BasicTable5!R8:R48)</f>
        <v>#REF!</v>
      </c>
      <c r="S87" s="94"/>
      <c r="T87" s="40" t="e">
        <f t="shared" ref="T87:T94" si="71">IF(U87&gt;0,((1+(W87/U87))^(1/($A$101-$A$100))-1)*100,0)</f>
        <v>#REF!</v>
      </c>
      <c r="U87" s="94" t="e">
        <f t="array" ref="U87:U92">MMULT(aggregation!#REF!,BasicTable5!U8:U48)</f>
        <v>#REF!</v>
      </c>
      <c r="V87" s="94" t="e">
        <f t="array" ref="V87:V92">MMULT(aggregation!#REF!,BasicTable5!V8:V48)</f>
        <v>#REF!</v>
      </c>
      <c r="W87" s="94" t="e">
        <f t="array" ref="W87:W92">MMULT(aggregation!#REF!,BasicTable5!W8:W48)</f>
        <v>#REF!</v>
      </c>
      <c r="X87" s="94" t="e">
        <f t="array" ref="X87:X92">MMULT(aggregation!#REF!,BasicTable5!X8:X48)</f>
        <v>#REF!</v>
      </c>
      <c r="Y87" s="91" t="str">
        <f t="shared" ref="Y87:Y92" si="72">A87</f>
        <v>Primary sector and utilities</v>
      </c>
      <c r="Z87" s="40" t="e">
        <f t="shared" ref="Z87:Z92" si="73">IF(AA87&gt;0,((1+(AC87/AA87))^(1/($A$101-$A$100))-1)*100,0)</f>
        <v>#REF!</v>
      </c>
      <c r="AA87" s="94" t="e">
        <f t="array" ref="AA87:AA92">MMULT(aggregation!#REF!,BasicTable5!AA8:AA48)</f>
        <v>#REF!</v>
      </c>
      <c r="AB87" s="94" t="e">
        <f t="array" ref="AB87:AB92">MMULT(aggregation!#REF!,BasicTable5!AB8:AB48)</f>
        <v>#REF!</v>
      </c>
      <c r="AC87" s="94" t="e">
        <f t="array" ref="AC87:AC92">MMULT(aggregation!#REF!,BasicTable5!AC8:AC48)</f>
        <v>#REF!</v>
      </c>
      <c r="AD87" s="94" t="e">
        <f t="array" ref="AD87:AD92">MMULT(aggregation!#REF!,BasicTable5!AD8:AD48)</f>
        <v>#REF!</v>
      </c>
      <c r="AF87" s="40" t="e">
        <f t="shared" ref="AF87:AF92" si="74">IF(AG87&gt;0,((1+(AI87/AG87))^(1/($A$101-$A$100))-1)*100,0)</f>
        <v>#REF!</v>
      </c>
      <c r="AG87" s="94" t="e">
        <f t="array" ref="AG87:AG92">MMULT(aggregation!#REF!,BasicTable5!AG8:AG48)</f>
        <v>#REF!</v>
      </c>
      <c r="AH87" s="94" t="e">
        <f t="array" ref="AH87:AH92">MMULT(aggregation!#REF!,BasicTable5!AH8:AH48)</f>
        <v>#REF!</v>
      </c>
      <c r="AI87" s="94" t="e">
        <f t="array" ref="AI87:AI92">MMULT(aggregation!#REF!,BasicTable5!AI8:AI48)</f>
        <v>#REF!</v>
      </c>
      <c r="AJ87" s="94" t="e">
        <f t="array" ref="AJ87:AJ92">MMULT(aggregation!#REF!,BasicTable5!AJ8:AJ48)</f>
        <v>#REF!</v>
      </c>
      <c r="AL87" s="40" t="e">
        <f t="shared" ref="AL87:AL92" si="75">IF(AM87&gt;0,((1+(AO87/AM87))^(1/($A$101-$A$100))-1)*100,0)</f>
        <v>#REF!</v>
      </c>
      <c r="AM87" s="94" t="e">
        <f t="array" ref="AM87:AM92">MMULT(aggregation!#REF!,BasicTable5!AM8:AM48)</f>
        <v>#REF!</v>
      </c>
      <c r="AN87" s="94" t="e">
        <f t="array" ref="AN87:AN92">MMULT(aggregation!#REF!,BasicTable5!AN8:AN48)</f>
        <v>#REF!</v>
      </c>
      <c r="AO87" s="94" t="e">
        <f t="array" ref="AO87:AO92">MMULT(aggregation!#REF!,BasicTable5!AO8:AO48)</f>
        <v>#REF!</v>
      </c>
      <c r="AP87" s="94" t="e">
        <f t="array" ref="AP87:AP92">MMULT(aggregation!#REF!,BasicTable5!AP8:AP48)</f>
        <v>#REF!</v>
      </c>
      <c r="AQ87" s="94"/>
      <c r="AR87" s="40" t="e">
        <f t="shared" ref="AR87:AR92" si="76">IF(AS87&gt;0,((1+(AU87/AS87))^(1/($A$101-$A$100))-1)*100,0)</f>
        <v>#REF!</v>
      </c>
      <c r="AS87" s="94" t="e">
        <f t="array" ref="AS87:AS92">MMULT(aggregation!#REF!,BasicTable5!AS8:AS48)</f>
        <v>#REF!</v>
      </c>
      <c r="AT87" s="94" t="e">
        <f t="array" ref="AT87:AT92">MMULT(aggregation!#REF!,BasicTable5!AT8:AT48)</f>
        <v>#REF!</v>
      </c>
      <c r="AU87" s="94" t="e">
        <f t="array" ref="AU87:AU92">MMULT(aggregation!#REF!,BasicTable5!AU8:AU48)</f>
        <v>#REF!</v>
      </c>
      <c r="AV87" s="94" t="e">
        <f t="array" ref="AV87:AV92">MMULT(aggregation!#REF!,BasicTable5!AV8:AV48)</f>
        <v>#REF!</v>
      </c>
      <c r="AW87" s="91" t="str">
        <f t="shared" ref="AW87:AW92" si="77">Y87</f>
        <v>Primary sector and utilities</v>
      </c>
      <c r="AX87" s="40" t="e">
        <f t="shared" ref="AX87:AX92" si="78">IF(AY87&gt;0,((1+(BA87/AY87))^(1/($A$101-$A$100))-1)*100,0)</f>
        <v>#REF!</v>
      </c>
      <c r="AY87" s="94" t="e">
        <f t="array" ref="AY87:AY92">MMULT(aggregation!#REF!,BasicTable5!AY8:AY48)</f>
        <v>#REF!</v>
      </c>
      <c r="AZ87" s="94" t="e">
        <f t="array" ref="AZ87:AZ92">MMULT(aggregation!#REF!,BasicTable5!AZ8:AZ48)</f>
        <v>#REF!</v>
      </c>
      <c r="BA87" s="94" t="e">
        <f t="array" ref="BA87:BA92">MMULT(aggregation!#REF!,BasicTable5!BA8:BA48)</f>
        <v>#REF!</v>
      </c>
      <c r="BB87" s="94" t="e">
        <f t="array" ref="BB87:BB92">MMULT(aggregation!#REF!,BasicTable5!BB8:BB48)</f>
        <v>#REF!</v>
      </c>
      <c r="BD87" s="40" t="e">
        <f t="shared" ref="BD87:BD92" si="79">IF(BE87&gt;0,((1+(BG87/BE87))^(1/($A$101-$A$100))-1)*100,0)</f>
        <v>#REF!</v>
      </c>
      <c r="BE87" s="94" t="e">
        <f t="array" ref="BE87:BE92">MMULT(aggregation!#REF!,BasicTable5!BE8:BE48)</f>
        <v>#REF!</v>
      </c>
      <c r="BF87" s="94" t="e">
        <f t="array" ref="BF87:BF92">MMULT(aggregation!#REF!,BasicTable5!BF8:BF48)</f>
        <v>#REF!</v>
      </c>
      <c r="BG87" s="94" t="e">
        <f t="array" ref="BG87:BG92">MMULT(aggregation!#REF!,BasicTable5!BG8:BG48)</f>
        <v>#REF!</v>
      </c>
      <c r="BH87" s="94" t="e">
        <f t="array" ref="BH87:BH92">MMULT(aggregation!#REF!,BasicTable5!BH8:BH48)</f>
        <v>#REF!</v>
      </c>
      <c r="BJ87" s="40" t="e">
        <f t="shared" ref="BJ87:BJ92" si="80">IF(BK87&gt;0,((1+(BM87/BK87))^(1/($A$101-$A$100))-1)*100,0)</f>
        <v>#REF!</v>
      </c>
      <c r="BK87" s="94" t="e">
        <f t="array" ref="BK87:BK92">MMULT(aggregation!#REF!,BasicTable5!BK8:BK48)</f>
        <v>#REF!</v>
      </c>
      <c r="BL87" s="94" t="e">
        <f t="array" ref="BL87:BL92">MMULT(aggregation!#REF!,BasicTable5!BL8:BL48)</f>
        <v>#REF!</v>
      </c>
      <c r="BM87" s="94" t="e">
        <f t="array" ref="BM87:BM92">MMULT(aggregation!#REF!,BasicTable5!BM8:BM48)</f>
        <v>#REF!</v>
      </c>
      <c r="BN87" s="94" t="e">
        <f t="array" ref="BN87:BN92">MMULT(aggregation!#REF!,BasicTable5!BN8:BN48)</f>
        <v>#REF!</v>
      </c>
      <c r="BO87" s="94"/>
      <c r="BP87" s="40" t="e">
        <f t="shared" ref="BP87:BP92" si="81">IF(BQ87&gt;0,((1+(BS87/BQ87))^(1/($A$101-$A$100))-1)*100,0)</f>
        <v>#REF!</v>
      </c>
      <c r="BQ87" s="94" t="e">
        <f t="array" ref="BQ87:BQ92">MMULT(aggregation!#REF!,BasicTable5!BQ8:BQ48)</f>
        <v>#REF!</v>
      </c>
      <c r="BR87" s="94" t="e">
        <f t="array" ref="BR87:BR92">MMULT(aggregation!#REF!,BasicTable5!BR8:BR48)</f>
        <v>#REF!</v>
      </c>
      <c r="BS87" s="94" t="e">
        <f t="array" ref="BS87:BS92">MMULT(aggregation!#REF!,BasicTable5!BS8:BS48)</f>
        <v>#REF!</v>
      </c>
      <c r="BT87" s="94" t="e">
        <f t="array" ref="BT87:BT92">MMULT(aggregation!#REF!,BasicTable5!BT8:BT48)</f>
        <v>#REF!</v>
      </c>
      <c r="BU87" s="91" t="str">
        <f t="shared" ref="BU87:BU92" si="82">AW87</f>
        <v>Primary sector and utilities</v>
      </c>
      <c r="BV87" s="40" t="e">
        <f t="shared" ref="BV87:BV92" si="83">IF(BW87&gt;0,((1+(BY87/BW87))^(1/($A$101-$A$100))-1)*100,0)</f>
        <v>#REF!</v>
      </c>
      <c r="BW87" s="94" t="e">
        <f t="array" ref="BW87:BW92">MMULT(aggregation!#REF!,BasicTable5!BW8:BW48)</f>
        <v>#REF!</v>
      </c>
      <c r="BX87" s="94" t="e">
        <f t="array" ref="BX87:BX92">MMULT(aggregation!#REF!,BasicTable5!BX8:BX48)</f>
        <v>#REF!</v>
      </c>
      <c r="BY87" s="94" t="e">
        <f t="array" ref="BY87:BY92">MMULT(aggregation!#REF!,BasicTable5!BY8:BY48)</f>
        <v>#REF!</v>
      </c>
      <c r="BZ87" s="94" t="e">
        <f t="array" ref="BZ87:BZ92">MMULT(aggregation!#REF!,BasicTable5!BZ8:BZ48)</f>
        <v>#REF!</v>
      </c>
      <c r="CB87" s="40" t="e">
        <f t="shared" ref="CB87:CB92" si="84">IF(CC87&gt;0,((1+(CE87/CC87))^(1/($A$101-$A$100))-1)*100,0)</f>
        <v>#REF!</v>
      </c>
      <c r="CC87" s="94" t="e">
        <f t="array" ref="CC87:CC92">MMULT(aggregation!#REF!,BasicTable5!CC8:CC48)</f>
        <v>#REF!</v>
      </c>
      <c r="CD87" s="94" t="e">
        <f t="array" ref="CD87:CD92">MMULT(aggregation!#REF!,BasicTable5!CD8:CD48)</f>
        <v>#REF!</v>
      </c>
      <c r="CE87" s="94" t="e">
        <f t="array" ref="CE87:CE92">MMULT(aggregation!#REF!,BasicTable5!CE8:CE48)</f>
        <v>#REF!</v>
      </c>
      <c r="CF87" s="94" t="e">
        <f t="array" ref="CF87:CF92">MMULT(aggregation!#REF!,BasicTable5!CF8:CF48)</f>
        <v>#REF!</v>
      </c>
      <c r="CH87" s="40" t="e">
        <f t="shared" ref="CH87:CH92" si="85">IF(CI87&gt;0,((1+(CK87/CI87))^(1/($A$101-$A$100))-1)*100,0)</f>
        <v>#REF!</v>
      </c>
      <c r="CI87" s="94" t="e">
        <f t="array" ref="CI87:CI92">MMULT(aggregation!#REF!,BasicTable5!CI8:CI48)</f>
        <v>#REF!</v>
      </c>
      <c r="CJ87" s="94" t="e">
        <f t="array" ref="CJ87:CJ92">MMULT(aggregation!#REF!,BasicTable5!CJ8:CJ48)</f>
        <v>#REF!</v>
      </c>
      <c r="CK87" s="94" t="e">
        <f t="array" ref="CK87:CK92">MMULT(aggregation!#REF!,BasicTable5!CK8:CK48)</f>
        <v>#REF!</v>
      </c>
      <c r="CL87" s="94" t="e">
        <f t="array" ref="CL87:CL92">MMULT(aggregation!#REF!,BasicTable5!CL8:CL48)</f>
        <v>#REF!</v>
      </c>
      <c r="CM87" s="94"/>
      <c r="CN87" s="40" t="e">
        <f t="shared" ref="CN87:CN92" si="86">IF(CO87&gt;0,((1+(CQ87/CO87))^(1/($A$101-$A$100))-1)*100,0)</f>
        <v>#REF!</v>
      </c>
      <c r="CO87" s="94" t="e">
        <f t="array" ref="CO87:CO92">MMULT(aggregation!#REF!,BasicTable5!CO8:CO48)</f>
        <v>#REF!</v>
      </c>
      <c r="CP87" s="94" t="e">
        <f t="array" ref="CP87:CP92">MMULT(aggregation!#REF!,BasicTable5!CP8:CP48)</f>
        <v>#REF!</v>
      </c>
      <c r="CQ87" s="94" t="e">
        <f t="array" ref="CQ87:CQ92">MMULT(aggregation!#REF!,BasicTable5!CQ8:CQ48)</f>
        <v>#REF!</v>
      </c>
      <c r="CR87" s="94" t="e">
        <f t="array" ref="CR87:CR92">MMULT(aggregation!#REF!,BasicTable5!CR8:CR48)</f>
        <v>#REF!</v>
      </c>
      <c r="CS87" s="91" t="str">
        <f t="shared" ref="CS87:CS92" si="87">BU87</f>
        <v>Primary sector and utilities</v>
      </c>
      <c r="CT87" s="40" t="e">
        <f t="shared" ref="CT87:CT92" si="88">IF(CU87&gt;0,((1+(CW87/CU87))^(1/($A$101-$A$100))-1)*100,0)</f>
        <v>#REF!</v>
      </c>
      <c r="CU87" s="94" t="e">
        <f t="array" ref="CU87:CU92">MMULT(aggregation!#REF!,BasicTable5!CU8:CU48)</f>
        <v>#REF!</v>
      </c>
      <c r="CV87" s="94" t="e">
        <f t="array" ref="CV87:CV92">MMULT(aggregation!#REF!,BasicTable5!CV8:CV48)</f>
        <v>#REF!</v>
      </c>
      <c r="CW87" s="94" t="e">
        <f t="array" ref="CW87:CW92">MMULT(aggregation!#REF!,BasicTable5!CW8:CW48)</f>
        <v>#REF!</v>
      </c>
      <c r="CX87" s="94" t="e">
        <f t="array" ref="CX87:CX92">MMULT(aggregation!#REF!,BasicTable5!CX8:CX48)</f>
        <v>#REF!</v>
      </c>
      <c r="CZ87" s="40" t="e">
        <f t="shared" ref="CZ87:CZ92" si="89">IF(DA87&gt;0,((1+(DC87/DA87))^(1/($A$101-$A$100))-1)*100,0)</f>
        <v>#REF!</v>
      </c>
      <c r="DA87" s="94" t="e">
        <f t="array" ref="DA87:DA92">MMULT(aggregation!#REF!,BasicTable5!DA8:DA48)</f>
        <v>#REF!</v>
      </c>
      <c r="DB87" s="94" t="e">
        <f t="array" ref="DB87:DB92">MMULT(aggregation!#REF!,BasicTable5!DB8:DB48)</f>
        <v>#REF!</v>
      </c>
      <c r="DC87" s="94" t="e">
        <f t="array" ref="DC87:DC92">MMULT(aggregation!#REF!,BasicTable5!DC8:DC48)</f>
        <v>#REF!</v>
      </c>
      <c r="DD87" s="94" t="e">
        <f t="array" ref="DD87:DD92">MMULT(aggregation!#REF!,BasicTable5!DD8:DD48)</f>
        <v>#REF!</v>
      </c>
      <c r="DF87" s="40" t="e">
        <f t="shared" ref="DF87:DF92" si="90">IF(DG87&gt;0,((1+(DI87/DG87))^(1/($A$101-$A$100))-1)*100,0)</f>
        <v>#REF!</v>
      </c>
      <c r="DG87" s="94" t="e">
        <f t="array" ref="DG87:DG92">MMULT(aggregation!#REF!,BasicTable5!DG8:DG48)</f>
        <v>#REF!</v>
      </c>
      <c r="DH87" s="94" t="e">
        <f t="array" ref="DH87:DH92">MMULT(aggregation!#REF!,BasicTable5!DH8:DH48)</f>
        <v>#REF!</v>
      </c>
      <c r="DI87" s="94" t="e">
        <f t="array" ref="DI87:DI92">MMULT(aggregation!#REF!,BasicTable5!DI8:DI48)</f>
        <v>#REF!</v>
      </c>
      <c r="DJ87" s="94" t="e">
        <f t="array" ref="DJ87:DJ92">MMULT(aggregation!#REF!,BasicTable5!DJ8:DJ48)</f>
        <v>#REF!</v>
      </c>
      <c r="DK87" s="94"/>
      <c r="DL87" s="40" t="e">
        <f t="shared" ref="DL87:DL92" si="91">IF(DM87&gt;0,((1+(DO87/DM87))^(1/($A$101-$A$100))-1)*100,0)</f>
        <v>#REF!</v>
      </c>
      <c r="DM87" s="94" t="e">
        <f t="array" ref="DM87:DM92">MMULT(aggregation!#REF!,BasicTable5!DM8:DM48)</f>
        <v>#REF!</v>
      </c>
      <c r="DN87" s="94" t="e">
        <f t="array" ref="DN87:DN92">MMULT(aggregation!#REF!,BasicTable5!DN8:DN48)</f>
        <v>#REF!</v>
      </c>
      <c r="DO87" s="94" t="e">
        <f t="array" ref="DO87:DO92">MMULT(aggregation!#REF!,BasicTable5!DO8:DO48)</f>
        <v>#REF!</v>
      </c>
      <c r="DP87" s="94" t="e">
        <f t="array" ref="DP87:DP92">MMULT(aggregation!#REF!,BasicTable5!DP8:DP48)</f>
        <v>#REF!</v>
      </c>
    </row>
    <row r="88" spans="1:120" x14ac:dyDescent="0.2">
      <c r="A88" s="91" t="str">
        <f>name!C5</f>
        <v>Manufacturing</v>
      </c>
      <c r="B88" s="40" t="e">
        <f t="shared" si="68"/>
        <v>#REF!</v>
      </c>
      <c r="C88" s="94" t="e">
        <v>#REF!</v>
      </c>
      <c r="D88" s="94" t="e">
        <v>#REF!</v>
      </c>
      <c r="E88" s="94" t="e">
        <v>#REF!</v>
      </c>
      <c r="F88" s="94" t="e">
        <v>#REF!</v>
      </c>
      <c r="H88" s="40" t="e">
        <f t="shared" si="69"/>
        <v>#REF!</v>
      </c>
      <c r="I88" s="94" t="e">
        <v>#REF!</v>
      </c>
      <c r="J88" s="94" t="e">
        <v>#REF!</v>
      </c>
      <c r="K88" s="94" t="e">
        <v>#REF!</v>
      </c>
      <c r="L88" s="94" t="e">
        <v>#REF!</v>
      </c>
      <c r="N88" s="40" t="e">
        <f t="shared" si="70"/>
        <v>#REF!</v>
      </c>
      <c r="O88" s="94" t="e">
        <v>#REF!</v>
      </c>
      <c r="P88" s="94" t="e">
        <v>#REF!</v>
      </c>
      <c r="Q88" s="94" t="e">
        <v>#REF!</v>
      </c>
      <c r="R88" s="94" t="e">
        <v>#REF!</v>
      </c>
      <c r="S88" s="94"/>
      <c r="T88" s="40" t="e">
        <f t="shared" si="71"/>
        <v>#REF!</v>
      </c>
      <c r="U88" s="94" t="e">
        <v>#REF!</v>
      </c>
      <c r="V88" s="94" t="e">
        <v>#REF!</v>
      </c>
      <c r="W88" s="94" t="e">
        <v>#REF!</v>
      </c>
      <c r="X88" s="94" t="e">
        <v>#REF!</v>
      </c>
      <c r="Y88" s="91" t="str">
        <f t="shared" si="72"/>
        <v>Manufacturing</v>
      </c>
      <c r="Z88" s="40" t="e">
        <f t="shared" si="73"/>
        <v>#REF!</v>
      </c>
      <c r="AA88" s="94" t="e">
        <v>#REF!</v>
      </c>
      <c r="AB88" s="94" t="e">
        <v>#REF!</v>
      </c>
      <c r="AC88" s="94" t="e">
        <v>#REF!</v>
      </c>
      <c r="AD88" s="94" t="e">
        <v>#REF!</v>
      </c>
      <c r="AF88" s="40" t="e">
        <f t="shared" si="74"/>
        <v>#REF!</v>
      </c>
      <c r="AG88" s="94" t="e">
        <v>#REF!</v>
      </c>
      <c r="AH88" s="94" t="e">
        <v>#REF!</v>
      </c>
      <c r="AI88" s="94" t="e">
        <v>#REF!</v>
      </c>
      <c r="AJ88" s="94" t="e">
        <v>#REF!</v>
      </c>
      <c r="AL88" s="40" t="e">
        <f t="shared" si="75"/>
        <v>#REF!</v>
      </c>
      <c r="AM88" s="94" t="e">
        <v>#REF!</v>
      </c>
      <c r="AN88" s="94" t="e">
        <v>#REF!</v>
      </c>
      <c r="AO88" s="94" t="e">
        <v>#REF!</v>
      </c>
      <c r="AP88" s="94" t="e">
        <v>#REF!</v>
      </c>
      <c r="AQ88" s="94"/>
      <c r="AR88" s="40" t="e">
        <f t="shared" si="76"/>
        <v>#REF!</v>
      </c>
      <c r="AS88" s="94" t="e">
        <v>#REF!</v>
      </c>
      <c r="AT88" s="94" t="e">
        <v>#REF!</v>
      </c>
      <c r="AU88" s="94" t="e">
        <v>#REF!</v>
      </c>
      <c r="AV88" s="94" t="e">
        <v>#REF!</v>
      </c>
      <c r="AW88" s="91" t="str">
        <f t="shared" si="77"/>
        <v>Manufacturing</v>
      </c>
      <c r="AX88" s="40" t="e">
        <f t="shared" si="78"/>
        <v>#REF!</v>
      </c>
      <c r="AY88" s="94" t="e">
        <v>#REF!</v>
      </c>
      <c r="AZ88" s="94" t="e">
        <v>#REF!</v>
      </c>
      <c r="BA88" s="94" t="e">
        <v>#REF!</v>
      </c>
      <c r="BB88" s="94" t="e">
        <v>#REF!</v>
      </c>
      <c r="BD88" s="40" t="e">
        <f t="shared" si="79"/>
        <v>#REF!</v>
      </c>
      <c r="BE88" s="94" t="e">
        <v>#REF!</v>
      </c>
      <c r="BF88" s="94" t="e">
        <v>#REF!</v>
      </c>
      <c r="BG88" s="94" t="e">
        <v>#REF!</v>
      </c>
      <c r="BH88" s="94" t="e">
        <v>#REF!</v>
      </c>
      <c r="BJ88" s="40" t="e">
        <f t="shared" si="80"/>
        <v>#REF!</v>
      </c>
      <c r="BK88" s="94" t="e">
        <v>#REF!</v>
      </c>
      <c r="BL88" s="94" t="e">
        <v>#REF!</v>
      </c>
      <c r="BM88" s="94" t="e">
        <v>#REF!</v>
      </c>
      <c r="BN88" s="94" t="e">
        <v>#REF!</v>
      </c>
      <c r="BO88" s="94"/>
      <c r="BP88" s="40" t="e">
        <f t="shared" si="81"/>
        <v>#REF!</v>
      </c>
      <c r="BQ88" s="94" t="e">
        <v>#REF!</v>
      </c>
      <c r="BR88" s="94" t="e">
        <v>#REF!</v>
      </c>
      <c r="BS88" s="94" t="e">
        <v>#REF!</v>
      </c>
      <c r="BT88" s="94" t="e">
        <v>#REF!</v>
      </c>
      <c r="BU88" s="91" t="str">
        <f t="shared" si="82"/>
        <v>Manufacturing</v>
      </c>
      <c r="BV88" s="40" t="e">
        <f t="shared" si="83"/>
        <v>#REF!</v>
      </c>
      <c r="BW88" s="94" t="e">
        <v>#REF!</v>
      </c>
      <c r="BX88" s="94" t="e">
        <v>#REF!</v>
      </c>
      <c r="BY88" s="94" t="e">
        <v>#REF!</v>
      </c>
      <c r="BZ88" s="94" t="e">
        <v>#REF!</v>
      </c>
      <c r="CB88" s="40" t="e">
        <f t="shared" si="84"/>
        <v>#REF!</v>
      </c>
      <c r="CC88" s="94" t="e">
        <v>#REF!</v>
      </c>
      <c r="CD88" s="94" t="e">
        <v>#REF!</v>
      </c>
      <c r="CE88" s="94" t="e">
        <v>#REF!</v>
      </c>
      <c r="CF88" s="94" t="e">
        <v>#REF!</v>
      </c>
      <c r="CH88" s="40" t="e">
        <f t="shared" si="85"/>
        <v>#REF!</v>
      </c>
      <c r="CI88" s="94" t="e">
        <v>#REF!</v>
      </c>
      <c r="CJ88" s="94" t="e">
        <v>#REF!</v>
      </c>
      <c r="CK88" s="94" t="e">
        <v>#REF!</v>
      </c>
      <c r="CL88" s="94" t="e">
        <v>#REF!</v>
      </c>
      <c r="CM88" s="94"/>
      <c r="CN88" s="40" t="e">
        <f t="shared" si="86"/>
        <v>#REF!</v>
      </c>
      <c r="CO88" s="94" t="e">
        <v>#REF!</v>
      </c>
      <c r="CP88" s="94" t="e">
        <v>#REF!</v>
      </c>
      <c r="CQ88" s="94" t="e">
        <v>#REF!</v>
      </c>
      <c r="CR88" s="94" t="e">
        <v>#REF!</v>
      </c>
      <c r="CS88" s="91" t="str">
        <f t="shared" si="87"/>
        <v>Manufacturing</v>
      </c>
      <c r="CT88" s="40" t="e">
        <f t="shared" si="88"/>
        <v>#REF!</v>
      </c>
      <c r="CU88" s="94" t="e">
        <v>#REF!</v>
      </c>
      <c r="CV88" s="94" t="e">
        <v>#REF!</v>
      </c>
      <c r="CW88" s="94" t="e">
        <v>#REF!</v>
      </c>
      <c r="CX88" s="94" t="e">
        <v>#REF!</v>
      </c>
      <c r="CZ88" s="40" t="e">
        <f t="shared" si="89"/>
        <v>#REF!</v>
      </c>
      <c r="DA88" s="94" t="e">
        <v>#REF!</v>
      </c>
      <c r="DB88" s="94" t="e">
        <v>#REF!</v>
      </c>
      <c r="DC88" s="94" t="e">
        <v>#REF!</v>
      </c>
      <c r="DD88" s="94" t="e">
        <v>#REF!</v>
      </c>
      <c r="DF88" s="40" t="e">
        <f t="shared" si="90"/>
        <v>#REF!</v>
      </c>
      <c r="DG88" s="94" t="e">
        <v>#REF!</v>
      </c>
      <c r="DH88" s="94" t="e">
        <v>#REF!</v>
      </c>
      <c r="DI88" s="94" t="e">
        <v>#REF!</v>
      </c>
      <c r="DJ88" s="94" t="e">
        <v>#REF!</v>
      </c>
      <c r="DK88" s="94"/>
      <c r="DL88" s="40" t="e">
        <f t="shared" si="91"/>
        <v>#REF!</v>
      </c>
      <c r="DM88" s="94" t="e">
        <v>#REF!</v>
      </c>
      <c r="DN88" s="94" t="e">
        <v>#REF!</v>
      </c>
      <c r="DO88" s="94" t="e">
        <v>#REF!</v>
      </c>
      <c r="DP88" s="94" t="e">
        <v>#REF!</v>
      </c>
    </row>
    <row r="89" spans="1:120" x14ac:dyDescent="0.2">
      <c r="A89" s="91" t="str">
        <f>name!C6</f>
        <v>Construction</v>
      </c>
      <c r="B89" s="40" t="e">
        <f t="shared" si="68"/>
        <v>#REF!</v>
      </c>
      <c r="C89" s="94" t="e">
        <v>#REF!</v>
      </c>
      <c r="D89" s="94" t="e">
        <v>#REF!</v>
      </c>
      <c r="E89" s="94" t="e">
        <v>#REF!</v>
      </c>
      <c r="F89" s="94" t="e">
        <v>#REF!</v>
      </c>
      <c r="H89" s="40" t="e">
        <f t="shared" si="69"/>
        <v>#REF!</v>
      </c>
      <c r="I89" s="94" t="e">
        <v>#REF!</v>
      </c>
      <c r="J89" s="94" t="e">
        <v>#REF!</v>
      </c>
      <c r="K89" s="94" t="e">
        <v>#REF!</v>
      </c>
      <c r="L89" s="94" t="e">
        <v>#REF!</v>
      </c>
      <c r="N89" s="40" t="e">
        <f t="shared" si="70"/>
        <v>#REF!</v>
      </c>
      <c r="O89" s="94" t="e">
        <v>#REF!</v>
      </c>
      <c r="P89" s="94" t="e">
        <v>#REF!</v>
      </c>
      <c r="Q89" s="94" t="e">
        <v>#REF!</v>
      </c>
      <c r="R89" s="94" t="e">
        <v>#REF!</v>
      </c>
      <c r="S89" s="94"/>
      <c r="T89" s="40" t="e">
        <f t="shared" si="71"/>
        <v>#REF!</v>
      </c>
      <c r="U89" s="94" t="e">
        <v>#REF!</v>
      </c>
      <c r="V89" s="94" t="e">
        <v>#REF!</v>
      </c>
      <c r="W89" s="94" t="e">
        <v>#REF!</v>
      </c>
      <c r="X89" s="94" t="e">
        <v>#REF!</v>
      </c>
      <c r="Y89" s="91" t="str">
        <f t="shared" si="72"/>
        <v>Construction</v>
      </c>
      <c r="Z89" s="40" t="e">
        <f t="shared" si="73"/>
        <v>#REF!</v>
      </c>
      <c r="AA89" s="94" t="e">
        <v>#REF!</v>
      </c>
      <c r="AB89" s="94" t="e">
        <v>#REF!</v>
      </c>
      <c r="AC89" s="94" t="e">
        <v>#REF!</v>
      </c>
      <c r="AD89" s="94" t="e">
        <v>#REF!</v>
      </c>
      <c r="AF89" s="40" t="e">
        <f t="shared" si="74"/>
        <v>#REF!</v>
      </c>
      <c r="AG89" s="94" t="e">
        <v>#REF!</v>
      </c>
      <c r="AH89" s="94" t="e">
        <v>#REF!</v>
      </c>
      <c r="AI89" s="94" t="e">
        <v>#REF!</v>
      </c>
      <c r="AJ89" s="94" t="e">
        <v>#REF!</v>
      </c>
      <c r="AL89" s="40" t="e">
        <f t="shared" si="75"/>
        <v>#REF!</v>
      </c>
      <c r="AM89" s="94" t="e">
        <v>#REF!</v>
      </c>
      <c r="AN89" s="94" t="e">
        <v>#REF!</v>
      </c>
      <c r="AO89" s="94" t="e">
        <v>#REF!</v>
      </c>
      <c r="AP89" s="94" t="e">
        <v>#REF!</v>
      </c>
      <c r="AQ89" s="94"/>
      <c r="AR89" s="40" t="e">
        <f t="shared" si="76"/>
        <v>#REF!</v>
      </c>
      <c r="AS89" s="94" t="e">
        <v>#REF!</v>
      </c>
      <c r="AT89" s="94" t="e">
        <v>#REF!</v>
      </c>
      <c r="AU89" s="94" t="e">
        <v>#REF!</v>
      </c>
      <c r="AV89" s="94" t="e">
        <v>#REF!</v>
      </c>
      <c r="AW89" s="91" t="str">
        <f t="shared" si="77"/>
        <v>Construction</v>
      </c>
      <c r="AX89" s="40" t="e">
        <f t="shared" si="78"/>
        <v>#REF!</v>
      </c>
      <c r="AY89" s="94" t="e">
        <v>#REF!</v>
      </c>
      <c r="AZ89" s="94" t="e">
        <v>#REF!</v>
      </c>
      <c r="BA89" s="94" t="e">
        <v>#REF!</v>
      </c>
      <c r="BB89" s="94" t="e">
        <v>#REF!</v>
      </c>
      <c r="BD89" s="40" t="e">
        <f t="shared" si="79"/>
        <v>#REF!</v>
      </c>
      <c r="BE89" s="94" t="e">
        <v>#REF!</v>
      </c>
      <c r="BF89" s="94" t="e">
        <v>#REF!</v>
      </c>
      <c r="BG89" s="94" t="e">
        <v>#REF!</v>
      </c>
      <c r="BH89" s="94" t="e">
        <v>#REF!</v>
      </c>
      <c r="BJ89" s="40" t="e">
        <f t="shared" si="80"/>
        <v>#REF!</v>
      </c>
      <c r="BK89" s="94" t="e">
        <v>#REF!</v>
      </c>
      <c r="BL89" s="94" t="e">
        <v>#REF!</v>
      </c>
      <c r="BM89" s="94" t="e">
        <v>#REF!</v>
      </c>
      <c r="BN89" s="94" t="e">
        <v>#REF!</v>
      </c>
      <c r="BO89" s="94"/>
      <c r="BP89" s="40" t="e">
        <f t="shared" si="81"/>
        <v>#REF!</v>
      </c>
      <c r="BQ89" s="94" t="e">
        <v>#REF!</v>
      </c>
      <c r="BR89" s="94" t="e">
        <v>#REF!</v>
      </c>
      <c r="BS89" s="94" t="e">
        <v>#REF!</v>
      </c>
      <c r="BT89" s="94" t="e">
        <v>#REF!</v>
      </c>
      <c r="BU89" s="91" t="str">
        <f t="shared" si="82"/>
        <v>Construction</v>
      </c>
      <c r="BV89" s="40" t="e">
        <f t="shared" si="83"/>
        <v>#REF!</v>
      </c>
      <c r="BW89" s="94" t="e">
        <v>#REF!</v>
      </c>
      <c r="BX89" s="94" t="e">
        <v>#REF!</v>
      </c>
      <c r="BY89" s="94" t="e">
        <v>#REF!</v>
      </c>
      <c r="BZ89" s="94" t="e">
        <v>#REF!</v>
      </c>
      <c r="CB89" s="40" t="e">
        <f t="shared" si="84"/>
        <v>#REF!</v>
      </c>
      <c r="CC89" s="94" t="e">
        <v>#REF!</v>
      </c>
      <c r="CD89" s="94" t="e">
        <v>#REF!</v>
      </c>
      <c r="CE89" s="94" t="e">
        <v>#REF!</v>
      </c>
      <c r="CF89" s="94" t="e">
        <v>#REF!</v>
      </c>
      <c r="CH89" s="40" t="e">
        <f t="shared" si="85"/>
        <v>#REF!</v>
      </c>
      <c r="CI89" s="94" t="e">
        <v>#REF!</v>
      </c>
      <c r="CJ89" s="94" t="e">
        <v>#REF!</v>
      </c>
      <c r="CK89" s="94" t="e">
        <v>#REF!</v>
      </c>
      <c r="CL89" s="94" t="e">
        <v>#REF!</v>
      </c>
      <c r="CM89" s="94"/>
      <c r="CN89" s="40" t="e">
        <f t="shared" si="86"/>
        <v>#REF!</v>
      </c>
      <c r="CO89" s="94" t="e">
        <v>#REF!</v>
      </c>
      <c r="CP89" s="94" t="e">
        <v>#REF!</v>
      </c>
      <c r="CQ89" s="94" t="e">
        <v>#REF!</v>
      </c>
      <c r="CR89" s="94" t="e">
        <v>#REF!</v>
      </c>
      <c r="CS89" s="91" t="str">
        <f t="shared" si="87"/>
        <v>Construction</v>
      </c>
      <c r="CT89" s="40" t="e">
        <f t="shared" si="88"/>
        <v>#REF!</v>
      </c>
      <c r="CU89" s="94" t="e">
        <v>#REF!</v>
      </c>
      <c r="CV89" s="94" t="e">
        <v>#REF!</v>
      </c>
      <c r="CW89" s="94" t="e">
        <v>#REF!</v>
      </c>
      <c r="CX89" s="94" t="e">
        <v>#REF!</v>
      </c>
      <c r="CZ89" s="40" t="e">
        <f t="shared" si="89"/>
        <v>#REF!</v>
      </c>
      <c r="DA89" s="94" t="e">
        <v>#REF!</v>
      </c>
      <c r="DB89" s="94" t="e">
        <v>#REF!</v>
      </c>
      <c r="DC89" s="94" t="e">
        <v>#REF!</v>
      </c>
      <c r="DD89" s="94" t="e">
        <v>#REF!</v>
      </c>
      <c r="DF89" s="40" t="e">
        <f t="shared" si="90"/>
        <v>#REF!</v>
      </c>
      <c r="DG89" s="94" t="e">
        <v>#REF!</v>
      </c>
      <c r="DH89" s="94" t="e">
        <v>#REF!</v>
      </c>
      <c r="DI89" s="94" t="e">
        <v>#REF!</v>
      </c>
      <c r="DJ89" s="94" t="e">
        <v>#REF!</v>
      </c>
      <c r="DK89" s="94"/>
      <c r="DL89" s="40" t="e">
        <f t="shared" si="91"/>
        <v>#REF!</v>
      </c>
      <c r="DM89" s="94" t="e">
        <v>#REF!</v>
      </c>
      <c r="DN89" s="94" t="e">
        <v>#REF!</v>
      </c>
      <c r="DO89" s="94" t="e">
        <v>#REF!</v>
      </c>
      <c r="DP89" s="94" t="e">
        <v>#REF!</v>
      </c>
    </row>
    <row r="90" spans="1:120" x14ac:dyDescent="0.2">
      <c r="A90" s="91" t="str">
        <f>name!C7</f>
        <v>Trade, accomod. and transport</v>
      </c>
      <c r="B90" s="40" t="e">
        <f t="shared" si="68"/>
        <v>#REF!</v>
      </c>
      <c r="C90" s="94" t="e">
        <v>#REF!</v>
      </c>
      <c r="D90" s="94" t="e">
        <v>#REF!</v>
      </c>
      <c r="E90" s="94" t="e">
        <v>#REF!</v>
      </c>
      <c r="F90" s="94" t="e">
        <v>#REF!</v>
      </c>
      <c r="H90" s="40" t="e">
        <f t="shared" si="69"/>
        <v>#REF!</v>
      </c>
      <c r="I90" s="94" t="e">
        <v>#REF!</v>
      </c>
      <c r="J90" s="94" t="e">
        <v>#REF!</v>
      </c>
      <c r="K90" s="94" t="e">
        <v>#REF!</v>
      </c>
      <c r="L90" s="94" t="e">
        <v>#REF!</v>
      </c>
      <c r="N90" s="40" t="e">
        <f t="shared" si="70"/>
        <v>#REF!</v>
      </c>
      <c r="O90" s="94" t="e">
        <v>#REF!</v>
      </c>
      <c r="P90" s="94" t="e">
        <v>#REF!</v>
      </c>
      <c r="Q90" s="94" t="e">
        <v>#REF!</v>
      </c>
      <c r="R90" s="94" t="e">
        <v>#REF!</v>
      </c>
      <c r="S90" s="94"/>
      <c r="T90" s="40" t="e">
        <f t="shared" si="71"/>
        <v>#REF!</v>
      </c>
      <c r="U90" s="94" t="e">
        <v>#REF!</v>
      </c>
      <c r="V90" s="94" t="e">
        <v>#REF!</v>
      </c>
      <c r="W90" s="94" t="e">
        <v>#REF!</v>
      </c>
      <c r="X90" s="94" t="e">
        <v>#REF!</v>
      </c>
      <c r="Y90" s="91" t="str">
        <f t="shared" si="72"/>
        <v>Trade, accomod. and transport</v>
      </c>
      <c r="Z90" s="40" t="e">
        <f t="shared" si="73"/>
        <v>#REF!</v>
      </c>
      <c r="AA90" s="94" t="e">
        <v>#REF!</v>
      </c>
      <c r="AB90" s="94" t="e">
        <v>#REF!</v>
      </c>
      <c r="AC90" s="94" t="e">
        <v>#REF!</v>
      </c>
      <c r="AD90" s="94" t="e">
        <v>#REF!</v>
      </c>
      <c r="AF90" s="40" t="e">
        <f t="shared" si="74"/>
        <v>#REF!</v>
      </c>
      <c r="AG90" s="94" t="e">
        <v>#REF!</v>
      </c>
      <c r="AH90" s="94" t="e">
        <v>#REF!</v>
      </c>
      <c r="AI90" s="94" t="e">
        <v>#REF!</v>
      </c>
      <c r="AJ90" s="94" t="e">
        <v>#REF!</v>
      </c>
      <c r="AL90" s="40" t="e">
        <f t="shared" si="75"/>
        <v>#REF!</v>
      </c>
      <c r="AM90" s="94" t="e">
        <v>#REF!</v>
      </c>
      <c r="AN90" s="94" t="e">
        <v>#REF!</v>
      </c>
      <c r="AO90" s="94" t="e">
        <v>#REF!</v>
      </c>
      <c r="AP90" s="94" t="e">
        <v>#REF!</v>
      </c>
      <c r="AQ90" s="94"/>
      <c r="AR90" s="40" t="e">
        <f t="shared" si="76"/>
        <v>#REF!</v>
      </c>
      <c r="AS90" s="94" t="e">
        <v>#REF!</v>
      </c>
      <c r="AT90" s="94" t="e">
        <v>#REF!</v>
      </c>
      <c r="AU90" s="94" t="e">
        <v>#REF!</v>
      </c>
      <c r="AV90" s="94" t="e">
        <v>#REF!</v>
      </c>
      <c r="AW90" s="91" t="str">
        <f t="shared" si="77"/>
        <v>Trade, accomod. and transport</v>
      </c>
      <c r="AX90" s="40" t="e">
        <f t="shared" si="78"/>
        <v>#REF!</v>
      </c>
      <c r="AY90" s="94" t="e">
        <v>#REF!</v>
      </c>
      <c r="AZ90" s="94" t="e">
        <v>#REF!</v>
      </c>
      <c r="BA90" s="94" t="e">
        <v>#REF!</v>
      </c>
      <c r="BB90" s="94" t="e">
        <v>#REF!</v>
      </c>
      <c r="BD90" s="40" t="e">
        <f t="shared" si="79"/>
        <v>#REF!</v>
      </c>
      <c r="BE90" s="94" t="e">
        <v>#REF!</v>
      </c>
      <c r="BF90" s="94" t="e">
        <v>#REF!</v>
      </c>
      <c r="BG90" s="94" t="e">
        <v>#REF!</v>
      </c>
      <c r="BH90" s="94" t="e">
        <v>#REF!</v>
      </c>
      <c r="BJ90" s="40" t="e">
        <f t="shared" si="80"/>
        <v>#REF!</v>
      </c>
      <c r="BK90" s="94" t="e">
        <v>#REF!</v>
      </c>
      <c r="BL90" s="94" t="e">
        <v>#REF!</v>
      </c>
      <c r="BM90" s="94" t="e">
        <v>#REF!</v>
      </c>
      <c r="BN90" s="94" t="e">
        <v>#REF!</v>
      </c>
      <c r="BO90" s="94"/>
      <c r="BP90" s="40" t="e">
        <f t="shared" si="81"/>
        <v>#REF!</v>
      </c>
      <c r="BQ90" s="94" t="e">
        <v>#REF!</v>
      </c>
      <c r="BR90" s="94" t="e">
        <v>#REF!</v>
      </c>
      <c r="BS90" s="94" t="e">
        <v>#REF!</v>
      </c>
      <c r="BT90" s="94" t="e">
        <v>#REF!</v>
      </c>
      <c r="BU90" s="91" t="str">
        <f t="shared" si="82"/>
        <v>Trade, accomod. and transport</v>
      </c>
      <c r="BV90" s="40" t="e">
        <f t="shared" si="83"/>
        <v>#REF!</v>
      </c>
      <c r="BW90" s="94" t="e">
        <v>#REF!</v>
      </c>
      <c r="BX90" s="94" t="e">
        <v>#REF!</v>
      </c>
      <c r="BY90" s="94" t="e">
        <v>#REF!</v>
      </c>
      <c r="BZ90" s="94" t="e">
        <v>#REF!</v>
      </c>
      <c r="CB90" s="40" t="e">
        <f t="shared" si="84"/>
        <v>#REF!</v>
      </c>
      <c r="CC90" s="94" t="e">
        <v>#REF!</v>
      </c>
      <c r="CD90" s="94" t="e">
        <v>#REF!</v>
      </c>
      <c r="CE90" s="94" t="e">
        <v>#REF!</v>
      </c>
      <c r="CF90" s="94" t="e">
        <v>#REF!</v>
      </c>
      <c r="CH90" s="40" t="e">
        <f t="shared" si="85"/>
        <v>#REF!</v>
      </c>
      <c r="CI90" s="94" t="e">
        <v>#REF!</v>
      </c>
      <c r="CJ90" s="94" t="e">
        <v>#REF!</v>
      </c>
      <c r="CK90" s="94" t="e">
        <v>#REF!</v>
      </c>
      <c r="CL90" s="94" t="e">
        <v>#REF!</v>
      </c>
      <c r="CM90" s="94"/>
      <c r="CN90" s="40" t="e">
        <f t="shared" si="86"/>
        <v>#REF!</v>
      </c>
      <c r="CO90" s="94" t="e">
        <v>#REF!</v>
      </c>
      <c r="CP90" s="94" t="e">
        <v>#REF!</v>
      </c>
      <c r="CQ90" s="94" t="e">
        <v>#REF!</v>
      </c>
      <c r="CR90" s="94" t="e">
        <v>#REF!</v>
      </c>
      <c r="CS90" s="91" t="str">
        <f t="shared" si="87"/>
        <v>Trade, accomod. and transport</v>
      </c>
      <c r="CT90" s="40" t="e">
        <f t="shared" si="88"/>
        <v>#REF!</v>
      </c>
      <c r="CU90" s="94" t="e">
        <v>#REF!</v>
      </c>
      <c r="CV90" s="94" t="e">
        <v>#REF!</v>
      </c>
      <c r="CW90" s="94" t="e">
        <v>#REF!</v>
      </c>
      <c r="CX90" s="94" t="e">
        <v>#REF!</v>
      </c>
      <c r="CZ90" s="40" t="e">
        <f t="shared" si="89"/>
        <v>#REF!</v>
      </c>
      <c r="DA90" s="94" t="e">
        <v>#REF!</v>
      </c>
      <c r="DB90" s="94" t="e">
        <v>#REF!</v>
      </c>
      <c r="DC90" s="94" t="e">
        <v>#REF!</v>
      </c>
      <c r="DD90" s="94" t="e">
        <v>#REF!</v>
      </c>
      <c r="DF90" s="40" t="e">
        <f t="shared" si="90"/>
        <v>#REF!</v>
      </c>
      <c r="DG90" s="94" t="e">
        <v>#REF!</v>
      </c>
      <c r="DH90" s="94" t="e">
        <v>#REF!</v>
      </c>
      <c r="DI90" s="94" t="e">
        <v>#REF!</v>
      </c>
      <c r="DJ90" s="94" t="e">
        <v>#REF!</v>
      </c>
      <c r="DK90" s="94"/>
      <c r="DL90" s="40" t="e">
        <f t="shared" si="91"/>
        <v>#REF!</v>
      </c>
      <c r="DM90" s="94" t="e">
        <v>#REF!</v>
      </c>
      <c r="DN90" s="94" t="e">
        <v>#REF!</v>
      </c>
      <c r="DO90" s="94" t="e">
        <v>#REF!</v>
      </c>
      <c r="DP90" s="94" t="e">
        <v>#REF!</v>
      </c>
    </row>
    <row r="91" spans="1:120" x14ac:dyDescent="0.2">
      <c r="A91" s="91" t="str">
        <f>name!C8</f>
        <v>Business and other services</v>
      </c>
      <c r="B91" s="40" t="e">
        <f t="shared" si="68"/>
        <v>#REF!</v>
      </c>
      <c r="C91" s="94" t="e">
        <v>#REF!</v>
      </c>
      <c r="D91" s="94" t="e">
        <v>#REF!</v>
      </c>
      <c r="E91" s="94" t="e">
        <v>#REF!</v>
      </c>
      <c r="F91" s="94" t="e">
        <v>#REF!</v>
      </c>
      <c r="H91" s="40" t="e">
        <f t="shared" si="69"/>
        <v>#REF!</v>
      </c>
      <c r="I91" s="94" t="e">
        <v>#REF!</v>
      </c>
      <c r="J91" s="94" t="e">
        <v>#REF!</v>
      </c>
      <c r="K91" s="94" t="e">
        <v>#REF!</v>
      </c>
      <c r="L91" s="94" t="e">
        <v>#REF!</v>
      </c>
      <c r="N91" s="40" t="e">
        <f t="shared" si="70"/>
        <v>#REF!</v>
      </c>
      <c r="O91" s="94" t="e">
        <v>#REF!</v>
      </c>
      <c r="P91" s="94" t="e">
        <v>#REF!</v>
      </c>
      <c r="Q91" s="94" t="e">
        <v>#REF!</v>
      </c>
      <c r="R91" s="94" t="e">
        <v>#REF!</v>
      </c>
      <c r="S91" s="94"/>
      <c r="T91" s="40" t="e">
        <f t="shared" si="71"/>
        <v>#REF!</v>
      </c>
      <c r="U91" s="94" t="e">
        <v>#REF!</v>
      </c>
      <c r="V91" s="94" t="e">
        <v>#REF!</v>
      </c>
      <c r="W91" s="94" t="e">
        <v>#REF!</v>
      </c>
      <c r="X91" s="94" t="e">
        <v>#REF!</v>
      </c>
      <c r="Y91" s="91" t="str">
        <f t="shared" si="72"/>
        <v>Business and other services</v>
      </c>
      <c r="Z91" s="40" t="e">
        <f t="shared" si="73"/>
        <v>#REF!</v>
      </c>
      <c r="AA91" s="94" t="e">
        <v>#REF!</v>
      </c>
      <c r="AB91" s="94" t="e">
        <v>#REF!</v>
      </c>
      <c r="AC91" s="94" t="e">
        <v>#REF!</v>
      </c>
      <c r="AD91" s="94" t="e">
        <v>#REF!</v>
      </c>
      <c r="AF91" s="40" t="e">
        <f t="shared" si="74"/>
        <v>#REF!</v>
      </c>
      <c r="AG91" s="94" t="e">
        <v>#REF!</v>
      </c>
      <c r="AH91" s="94" t="e">
        <v>#REF!</v>
      </c>
      <c r="AI91" s="94" t="e">
        <v>#REF!</v>
      </c>
      <c r="AJ91" s="94" t="e">
        <v>#REF!</v>
      </c>
      <c r="AL91" s="40" t="e">
        <f t="shared" si="75"/>
        <v>#REF!</v>
      </c>
      <c r="AM91" s="94" t="e">
        <v>#REF!</v>
      </c>
      <c r="AN91" s="94" t="e">
        <v>#REF!</v>
      </c>
      <c r="AO91" s="94" t="e">
        <v>#REF!</v>
      </c>
      <c r="AP91" s="94" t="e">
        <v>#REF!</v>
      </c>
      <c r="AQ91" s="94"/>
      <c r="AR91" s="40" t="e">
        <f t="shared" si="76"/>
        <v>#REF!</v>
      </c>
      <c r="AS91" s="94" t="e">
        <v>#REF!</v>
      </c>
      <c r="AT91" s="94" t="e">
        <v>#REF!</v>
      </c>
      <c r="AU91" s="94" t="e">
        <v>#REF!</v>
      </c>
      <c r="AV91" s="94" t="e">
        <v>#REF!</v>
      </c>
      <c r="AW91" s="91" t="str">
        <f t="shared" si="77"/>
        <v>Business and other services</v>
      </c>
      <c r="AX91" s="40" t="e">
        <f t="shared" si="78"/>
        <v>#REF!</v>
      </c>
      <c r="AY91" s="94" t="e">
        <v>#REF!</v>
      </c>
      <c r="AZ91" s="94" t="e">
        <v>#REF!</v>
      </c>
      <c r="BA91" s="94" t="e">
        <v>#REF!</v>
      </c>
      <c r="BB91" s="94" t="e">
        <v>#REF!</v>
      </c>
      <c r="BD91" s="40" t="e">
        <f t="shared" si="79"/>
        <v>#REF!</v>
      </c>
      <c r="BE91" s="94" t="e">
        <v>#REF!</v>
      </c>
      <c r="BF91" s="94" t="e">
        <v>#REF!</v>
      </c>
      <c r="BG91" s="94" t="e">
        <v>#REF!</v>
      </c>
      <c r="BH91" s="94" t="e">
        <v>#REF!</v>
      </c>
      <c r="BJ91" s="40" t="e">
        <f t="shared" si="80"/>
        <v>#REF!</v>
      </c>
      <c r="BK91" s="94" t="e">
        <v>#REF!</v>
      </c>
      <c r="BL91" s="94" t="e">
        <v>#REF!</v>
      </c>
      <c r="BM91" s="94" t="e">
        <v>#REF!</v>
      </c>
      <c r="BN91" s="94" t="e">
        <v>#REF!</v>
      </c>
      <c r="BO91" s="94"/>
      <c r="BP91" s="40" t="e">
        <f t="shared" si="81"/>
        <v>#REF!</v>
      </c>
      <c r="BQ91" s="94" t="e">
        <v>#REF!</v>
      </c>
      <c r="BR91" s="94" t="e">
        <v>#REF!</v>
      </c>
      <c r="BS91" s="94" t="e">
        <v>#REF!</v>
      </c>
      <c r="BT91" s="94" t="e">
        <v>#REF!</v>
      </c>
      <c r="BU91" s="91" t="str">
        <f t="shared" si="82"/>
        <v>Business and other services</v>
      </c>
      <c r="BV91" s="40" t="e">
        <f t="shared" si="83"/>
        <v>#REF!</v>
      </c>
      <c r="BW91" s="94" t="e">
        <v>#REF!</v>
      </c>
      <c r="BX91" s="94" t="e">
        <v>#REF!</v>
      </c>
      <c r="BY91" s="94" t="e">
        <v>#REF!</v>
      </c>
      <c r="BZ91" s="94" t="e">
        <v>#REF!</v>
      </c>
      <c r="CB91" s="40" t="e">
        <f t="shared" si="84"/>
        <v>#REF!</v>
      </c>
      <c r="CC91" s="94" t="e">
        <v>#REF!</v>
      </c>
      <c r="CD91" s="94" t="e">
        <v>#REF!</v>
      </c>
      <c r="CE91" s="94" t="e">
        <v>#REF!</v>
      </c>
      <c r="CF91" s="94" t="e">
        <v>#REF!</v>
      </c>
      <c r="CH91" s="40" t="e">
        <f t="shared" si="85"/>
        <v>#REF!</v>
      </c>
      <c r="CI91" s="94" t="e">
        <v>#REF!</v>
      </c>
      <c r="CJ91" s="94" t="e">
        <v>#REF!</v>
      </c>
      <c r="CK91" s="94" t="e">
        <v>#REF!</v>
      </c>
      <c r="CL91" s="94" t="e">
        <v>#REF!</v>
      </c>
      <c r="CM91" s="94"/>
      <c r="CN91" s="40" t="e">
        <f t="shared" si="86"/>
        <v>#REF!</v>
      </c>
      <c r="CO91" s="94" t="e">
        <v>#REF!</v>
      </c>
      <c r="CP91" s="94" t="e">
        <v>#REF!</v>
      </c>
      <c r="CQ91" s="94" t="e">
        <v>#REF!</v>
      </c>
      <c r="CR91" s="94" t="e">
        <v>#REF!</v>
      </c>
      <c r="CS91" s="91" t="str">
        <f t="shared" si="87"/>
        <v>Business and other services</v>
      </c>
      <c r="CT91" s="40" t="e">
        <f t="shared" si="88"/>
        <v>#REF!</v>
      </c>
      <c r="CU91" s="94" t="e">
        <v>#REF!</v>
      </c>
      <c r="CV91" s="94" t="e">
        <v>#REF!</v>
      </c>
      <c r="CW91" s="94" t="e">
        <v>#REF!</v>
      </c>
      <c r="CX91" s="94" t="e">
        <v>#REF!</v>
      </c>
      <c r="CZ91" s="40" t="e">
        <f t="shared" si="89"/>
        <v>#REF!</v>
      </c>
      <c r="DA91" s="94" t="e">
        <v>#REF!</v>
      </c>
      <c r="DB91" s="94" t="e">
        <v>#REF!</v>
      </c>
      <c r="DC91" s="94" t="e">
        <v>#REF!</v>
      </c>
      <c r="DD91" s="94" t="e">
        <v>#REF!</v>
      </c>
      <c r="DF91" s="40" t="e">
        <f t="shared" si="90"/>
        <v>#REF!</v>
      </c>
      <c r="DG91" s="94" t="e">
        <v>#REF!</v>
      </c>
      <c r="DH91" s="94" t="e">
        <v>#REF!</v>
      </c>
      <c r="DI91" s="94" t="e">
        <v>#REF!</v>
      </c>
      <c r="DJ91" s="94" t="e">
        <v>#REF!</v>
      </c>
      <c r="DK91" s="94"/>
      <c r="DL91" s="40" t="e">
        <f t="shared" si="91"/>
        <v>#REF!</v>
      </c>
      <c r="DM91" s="94" t="e">
        <v>#REF!</v>
      </c>
      <c r="DN91" s="94" t="e">
        <v>#REF!</v>
      </c>
      <c r="DO91" s="94" t="e">
        <v>#REF!</v>
      </c>
      <c r="DP91" s="94" t="e">
        <v>#REF!</v>
      </c>
    </row>
    <row r="92" spans="1:120" x14ac:dyDescent="0.2">
      <c r="A92" s="91" t="str">
        <f>name!C9</f>
        <v>Non-marketed services</v>
      </c>
      <c r="B92" s="40" t="e">
        <f t="shared" si="68"/>
        <v>#REF!</v>
      </c>
      <c r="C92" s="94" t="e">
        <v>#REF!</v>
      </c>
      <c r="D92" s="94" t="e">
        <v>#REF!</v>
      </c>
      <c r="E92" s="94" t="e">
        <v>#REF!</v>
      </c>
      <c r="F92" s="94" t="e">
        <v>#REF!</v>
      </c>
      <c r="H92" s="40" t="e">
        <f t="shared" si="69"/>
        <v>#REF!</v>
      </c>
      <c r="I92" s="94" t="e">
        <v>#REF!</v>
      </c>
      <c r="J92" s="94" t="e">
        <v>#REF!</v>
      </c>
      <c r="K92" s="94" t="e">
        <v>#REF!</v>
      </c>
      <c r="L92" s="94" t="e">
        <v>#REF!</v>
      </c>
      <c r="N92" s="40" t="e">
        <f t="shared" si="70"/>
        <v>#REF!</v>
      </c>
      <c r="O92" s="94" t="e">
        <v>#REF!</v>
      </c>
      <c r="P92" s="94" t="e">
        <v>#REF!</v>
      </c>
      <c r="Q92" s="94" t="e">
        <v>#REF!</v>
      </c>
      <c r="R92" s="94" t="e">
        <v>#REF!</v>
      </c>
      <c r="S92" s="94"/>
      <c r="T92" s="40" t="e">
        <f t="shared" si="71"/>
        <v>#REF!</v>
      </c>
      <c r="U92" s="94" t="e">
        <v>#REF!</v>
      </c>
      <c r="V92" s="94" t="e">
        <v>#REF!</v>
      </c>
      <c r="W92" s="94" t="e">
        <v>#REF!</v>
      </c>
      <c r="X92" s="94" t="e">
        <v>#REF!</v>
      </c>
      <c r="Y92" s="91" t="str">
        <f t="shared" si="72"/>
        <v>Non-marketed services</v>
      </c>
      <c r="Z92" s="40" t="e">
        <f t="shared" si="73"/>
        <v>#REF!</v>
      </c>
      <c r="AA92" s="94" t="e">
        <v>#REF!</v>
      </c>
      <c r="AB92" s="94" t="e">
        <v>#REF!</v>
      </c>
      <c r="AC92" s="94" t="e">
        <v>#REF!</v>
      </c>
      <c r="AD92" s="94" t="e">
        <v>#REF!</v>
      </c>
      <c r="AF92" s="40" t="e">
        <f t="shared" si="74"/>
        <v>#REF!</v>
      </c>
      <c r="AG92" s="94" t="e">
        <v>#REF!</v>
      </c>
      <c r="AH92" s="94" t="e">
        <v>#REF!</v>
      </c>
      <c r="AI92" s="94" t="e">
        <v>#REF!</v>
      </c>
      <c r="AJ92" s="94" t="e">
        <v>#REF!</v>
      </c>
      <c r="AL92" s="40" t="e">
        <f t="shared" si="75"/>
        <v>#REF!</v>
      </c>
      <c r="AM92" s="94" t="e">
        <v>#REF!</v>
      </c>
      <c r="AN92" s="94" t="e">
        <v>#REF!</v>
      </c>
      <c r="AO92" s="94" t="e">
        <v>#REF!</v>
      </c>
      <c r="AP92" s="94" t="e">
        <v>#REF!</v>
      </c>
      <c r="AQ92" s="94"/>
      <c r="AR92" s="40" t="e">
        <f t="shared" si="76"/>
        <v>#REF!</v>
      </c>
      <c r="AS92" s="94" t="e">
        <v>#REF!</v>
      </c>
      <c r="AT92" s="94" t="e">
        <v>#REF!</v>
      </c>
      <c r="AU92" s="94" t="e">
        <v>#REF!</v>
      </c>
      <c r="AV92" s="94" t="e">
        <v>#REF!</v>
      </c>
      <c r="AW92" s="91" t="str">
        <f t="shared" si="77"/>
        <v>Non-marketed services</v>
      </c>
      <c r="AX92" s="40" t="e">
        <f t="shared" si="78"/>
        <v>#REF!</v>
      </c>
      <c r="AY92" s="94" t="e">
        <v>#REF!</v>
      </c>
      <c r="AZ92" s="94" t="e">
        <v>#REF!</v>
      </c>
      <c r="BA92" s="94" t="e">
        <v>#REF!</v>
      </c>
      <c r="BB92" s="94" t="e">
        <v>#REF!</v>
      </c>
      <c r="BD92" s="40" t="e">
        <f t="shared" si="79"/>
        <v>#REF!</v>
      </c>
      <c r="BE92" s="94" t="e">
        <v>#REF!</v>
      </c>
      <c r="BF92" s="94" t="e">
        <v>#REF!</v>
      </c>
      <c r="BG92" s="94" t="e">
        <v>#REF!</v>
      </c>
      <c r="BH92" s="94" t="e">
        <v>#REF!</v>
      </c>
      <c r="BJ92" s="40" t="e">
        <f t="shared" si="80"/>
        <v>#REF!</v>
      </c>
      <c r="BK92" s="94" t="e">
        <v>#REF!</v>
      </c>
      <c r="BL92" s="94" t="e">
        <v>#REF!</v>
      </c>
      <c r="BM92" s="94" t="e">
        <v>#REF!</v>
      </c>
      <c r="BN92" s="94" t="e">
        <v>#REF!</v>
      </c>
      <c r="BO92" s="94"/>
      <c r="BP92" s="40" t="e">
        <f t="shared" si="81"/>
        <v>#REF!</v>
      </c>
      <c r="BQ92" s="94" t="e">
        <v>#REF!</v>
      </c>
      <c r="BR92" s="94" t="e">
        <v>#REF!</v>
      </c>
      <c r="BS92" s="94" t="e">
        <v>#REF!</v>
      </c>
      <c r="BT92" s="94" t="e">
        <v>#REF!</v>
      </c>
      <c r="BU92" s="91" t="str">
        <f t="shared" si="82"/>
        <v>Non-marketed services</v>
      </c>
      <c r="BV92" s="40" t="e">
        <f t="shared" si="83"/>
        <v>#REF!</v>
      </c>
      <c r="BW92" s="94" t="e">
        <v>#REF!</v>
      </c>
      <c r="BX92" s="94" t="e">
        <v>#REF!</v>
      </c>
      <c r="BY92" s="94" t="e">
        <v>#REF!</v>
      </c>
      <c r="BZ92" s="94" t="e">
        <v>#REF!</v>
      </c>
      <c r="CB92" s="40" t="e">
        <f t="shared" si="84"/>
        <v>#REF!</v>
      </c>
      <c r="CC92" s="94" t="e">
        <v>#REF!</v>
      </c>
      <c r="CD92" s="94" t="e">
        <v>#REF!</v>
      </c>
      <c r="CE92" s="94" t="e">
        <v>#REF!</v>
      </c>
      <c r="CF92" s="94" t="e">
        <v>#REF!</v>
      </c>
      <c r="CH92" s="40" t="e">
        <f t="shared" si="85"/>
        <v>#REF!</v>
      </c>
      <c r="CI92" s="94" t="e">
        <v>#REF!</v>
      </c>
      <c r="CJ92" s="94" t="e">
        <v>#REF!</v>
      </c>
      <c r="CK92" s="94" t="e">
        <v>#REF!</v>
      </c>
      <c r="CL92" s="94" t="e">
        <v>#REF!</v>
      </c>
      <c r="CM92" s="94"/>
      <c r="CN92" s="40" t="e">
        <f t="shared" si="86"/>
        <v>#REF!</v>
      </c>
      <c r="CO92" s="94" t="e">
        <v>#REF!</v>
      </c>
      <c r="CP92" s="94" t="e">
        <v>#REF!</v>
      </c>
      <c r="CQ92" s="94" t="e">
        <v>#REF!</v>
      </c>
      <c r="CR92" s="94" t="e">
        <v>#REF!</v>
      </c>
      <c r="CS92" s="91" t="str">
        <f t="shared" si="87"/>
        <v>Non-marketed services</v>
      </c>
      <c r="CT92" s="40" t="e">
        <f t="shared" si="88"/>
        <v>#REF!</v>
      </c>
      <c r="CU92" s="94" t="e">
        <v>#REF!</v>
      </c>
      <c r="CV92" s="94" t="e">
        <v>#REF!</v>
      </c>
      <c r="CW92" s="94" t="e">
        <v>#REF!</v>
      </c>
      <c r="CX92" s="94" t="e">
        <v>#REF!</v>
      </c>
      <c r="CZ92" s="40" t="e">
        <f t="shared" si="89"/>
        <v>#REF!</v>
      </c>
      <c r="DA92" s="94" t="e">
        <v>#REF!</v>
      </c>
      <c r="DB92" s="94" t="e">
        <v>#REF!</v>
      </c>
      <c r="DC92" s="94" t="e">
        <v>#REF!</v>
      </c>
      <c r="DD92" s="94" t="e">
        <v>#REF!</v>
      </c>
      <c r="DF92" s="40" t="e">
        <f t="shared" si="90"/>
        <v>#REF!</v>
      </c>
      <c r="DG92" s="94" t="e">
        <v>#REF!</v>
      </c>
      <c r="DH92" s="94" t="e">
        <v>#REF!</v>
      </c>
      <c r="DI92" s="94" t="e">
        <v>#REF!</v>
      </c>
      <c r="DJ92" s="94" t="e">
        <v>#REF!</v>
      </c>
      <c r="DK92" s="94"/>
      <c r="DL92" s="40" t="e">
        <f t="shared" si="91"/>
        <v>#REF!</v>
      </c>
      <c r="DM92" s="94" t="e">
        <v>#REF!</v>
      </c>
      <c r="DN92" s="94" t="e">
        <v>#REF!</v>
      </c>
      <c r="DO92" s="94" t="e">
        <v>#REF!</v>
      </c>
      <c r="DP92" s="94" t="e">
        <v>#REF!</v>
      </c>
    </row>
    <row r="93" spans="1:120" x14ac:dyDescent="0.2">
      <c r="B93" s="40"/>
      <c r="C93" s="94"/>
      <c r="D93" s="94"/>
      <c r="E93" s="94"/>
      <c r="F93" s="94"/>
      <c r="H93" s="40"/>
      <c r="I93" s="94"/>
      <c r="J93" s="94"/>
      <c r="K93" s="94"/>
      <c r="L93" s="94"/>
      <c r="N93" s="40"/>
      <c r="O93" s="94"/>
      <c r="P93" s="94"/>
      <c r="Q93" s="94"/>
      <c r="R93" s="94"/>
      <c r="S93" s="94"/>
      <c r="T93" s="40"/>
      <c r="U93" s="94"/>
      <c r="V93" s="94"/>
      <c r="W93" s="94"/>
      <c r="X93" s="94"/>
      <c r="Z93" s="40"/>
      <c r="AA93" s="94"/>
      <c r="AB93" s="94"/>
      <c r="AC93" s="94"/>
      <c r="AD93" s="94"/>
      <c r="AF93" s="40"/>
      <c r="AG93" s="94"/>
      <c r="AH93" s="94"/>
      <c r="AI93" s="94"/>
      <c r="AJ93" s="94"/>
      <c r="AL93" s="40"/>
      <c r="AM93" s="94"/>
      <c r="AN93" s="94"/>
      <c r="AO93" s="94"/>
      <c r="AP93" s="94"/>
      <c r="AQ93" s="94"/>
      <c r="AR93" s="40"/>
      <c r="AS93" s="94"/>
      <c r="AT93" s="94"/>
      <c r="AU93" s="94"/>
      <c r="AV93" s="94"/>
      <c r="AX93" s="40"/>
      <c r="AY93" s="94"/>
      <c r="AZ93" s="94"/>
      <c r="BA93" s="94"/>
      <c r="BB93" s="94"/>
      <c r="BD93" s="40"/>
      <c r="BE93" s="94"/>
      <c r="BF93" s="94"/>
      <c r="BG93" s="94"/>
      <c r="BH93" s="94"/>
      <c r="BJ93" s="40"/>
      <c r="BK93" s="94"/>
      <c r="BL93" s="94"/>
      <c r="BM93" s="94"/>
      <c r="BN93" s="94"/>
      <c r="BO93" s="94"/>
      <c r="BP93" s="40"/>
      <c r="BQ93" s="94"/>
      <c r="BR93" s="94"/>
      <c r="BS93" s="94"/>
      <c r="BT93" s="94"/>
      <c r="BV93" s="40"/>
      <c r="BW93" s="94"/>
      <c r="BX93" s="94"/>
      <c r="BY93" s="94"/>
      <c r="BZ93" s="94"/>
      <c r="CB93" s="40"/>
      <c r="CC93" s="94"/>
      <c r="CD93" s="94"/>
      <c r="CE93" s="94"/>
      <c r="CF93" s="94"/>
      <c r="CH93" s="40"/>
      <c r="CI93" s="94"/>
      <c r="CJ93" s="94"/>
      <c r="CK93" s="94"/>
      <c r="CL93" s="94"/>
      <c r="CM93" s="94"/>
      <c r="CN93" s="40"/>
      <c r="CO93" s="94"/>
      <c r="CP93" s="94"/>
      <c r="CQ93" s="94"/>
      <c r="CR93" s="94"/>
      <c r="CT93" s="40"/>
      <c r="CU93" s="94"/>
      <c r="CV93" s="94"/>
      <c r="CW93" s="94"/>
      <c r="CX93" s="94"/>
      <c r="CZ93" s="40"/>
      <c r="DA93" s="94"/>
      <c r="DB93" s="94"/>
      <c r="DC93" s="94"/>
      <c r="DD93" s="94"/>
      <c r="DF93" s="40"/>
      <c r="DG93" s="94"/>
      <c r="DH93" s="94"/>
      <c r="DI93" s="94"/>
      <c r="DJ93" s="94"/>
      <c r="DK93" s="94"/>
      <c r="DL93" s="40"/>
      <c r="DM93" s="94"/>
      <c r="DN93" s="94"/>
      <c r="DO93" s="94"/>
      <c r="DP93" s="94"/>
    </row>
    <row r="94" spans="1:120" x14ac:dyDescent="0.2">
      <c r="A94" s="91" t="str">
        <f>name!C3</f>
        <v>All industries</v>
      </c>
      <c r="B94" s="40">
        <f t="shared" si="68"/>
        <v>2.7912372459239387</v>
      </c>
      <c r="C94" s="94">
        <f>C50</f>
        <v>4561.2992279926211</v>
      </c>
      <c r="D94" s="94">
        <f>D50</f>
        <v>431.97496524334053</v>
      </c>
      <c r="E94" s="94">
        <f>E50</f>
        <v>1445.5882710202891</v>
      </c>
      <c r="F94" s="94">
        <f>F50</f>
        <v>1877.5632362636297</v>
      </c>
      <c r="H94" s="40">
        <f t="shared" si="69"/>
        <v>2.6517730789267446</v>
      </c>
      <c r="I94" s="94">
        <f>I50</f>
        <v>774.77767553257945</v>
      </c>
      <c r="J94" s="94">
        <f>J50</f>
        <v>-90.9176985646708</v>
      </c>
      <c r="K94" s="94">
        <f>K50</f>
        <v>231.78692033646578</v>
      </c>
      <c r="L94" s="94">
        <f>L50</f>
        <v>140.86922177179497</v>
      </c>
      <c r="N94" s="40">
        <f t="shared" si="70"/>
        <v>2.6893242464146816</v>
      </c>
      <c r="O94" s="94">
        <f>O50</f>
        <v>1810.6123702397726</v>
      </c>
      <c r="P94" s="94">
        <f>P50</f>
        <v>208.84741372398935</v>
      </c>
      <c r="Q94" s="94">
        <f>Q50</f>
        <v>550.29225403969679</v>
      </c>
      <c r="R94" s="94">
        <f>R50</f>
        <v>759.13966776368613</v>
      </c>
      <c r="S94" s="94"/>
      <c r="T94" s="40">
        <f t="shared" si="71"/>
        <v>2.9376202991175049</v>
      </c>
      <c r="U94" s="94">
        <f>U50</f>
        <v>1975.9091822202711</v>
      </c>
      <c r="V94" s="94">
        <f>V50</f>
        <v>314.04525008402186</v>
      </c>
      <c r="W94" s="94">
        <f>W50</f>
        <v>663.50909664412427</v>
      </c>
      <c r="X94" s="94">
        <f>X50</f>
        <v>977.55434672814613</v>
      </c>
      <c r="Y94" s="92" t="str">
        <f>A94</f>
        <v>All industries</v>
      </c>
      <c r="Z94" s="40">
        <f>IF(AA94&gt;0,((1+(AC94/AA94))^(1/($A$101-$A$100))-1)*100,0)</f>
        <v>2.9771972098236787</v>
      </c>
      <c r="AA94" s="94">
        <f>AA50</f>
        <v>2141.7348734083043</v>
      </c>
      <c r="AB94" s="94">
        <f>AB50</f>
        <v>328.18012130131888</v>
      </c>
      <c r="AC94" s="94">
        <f>AC50</f>
        <v>730.21185757939747</v>
      </c>
      <c r="AD94" s="94">
        <f>AD50</f>
        <v>1058.3919788807164</v>
      </c>
      <c r="AF94" s="40">
        <f>IF(AG94&gt;0,((1+(AI94/AG94))^(1/($A$101-$A$100))-1)*100,0)</f>
        <v>3.0280155732974823</v>
      </c>
      <c r="AG94" s="94">
        <f>AG50</f>
        <v>114.36183531349347</v>
      </c>
      <c r="AH94" s="94">
        <f>AH50</f>
        <v>10.806009020856356</v>
      </c>
      <c r="AI94" s="94">
        <f>AI50</f>
        <v>39.749458273691218</v>
      </c>
      <c r="AJ94" s="94">
        <f>AJ50</f>
        <v>50.555467294547576</v>
      </c>
      <c r="AL94" s="40">
        <f>IF(AM94&gt;0,((1+(AO94/AM94))^(1/($A$101-$A$100))-1)*100,0)</f>
        <v>2.9663353480916088</v>
      </c>
      <c r="AM94" s="94">
        <f>AM50</f>
        <v>484.03376220781502</v>
      </c>
      <c r="AN94" s="94">
        <f>AN50</f>
        <v>80.752171418150368</v>
      </c>
      <c r="AO94" s="94">
        <f>AO50</f>
        <v>164.34415782441963</v>
      </c>
      <c r="AP94" s="94">
        <f>AP50</f>
        <v>245.09632924256999</v>
      </c>
      <c r="AQ94" s="94"/>
      <c r="AR94" s="40">
        <f>IF(AS94&gt;0,((1+(AU94/AS94))^(1/($A$101-$A$100))-1)*100,0)</f>
        <v>2.9768281396108875</v>
      </c>
      <c r="AS94" s="94">
        <f>AS50</f>
        <v>1543.3392758869961</v>
      </c>
      <c r="AT94" s="94">
        <f>AT50</f>
        <v>236.62194086231219</v>
      </c>
      <c r="AU94" s="94">
        <f>AU50</f>
        <v>526.11824148128676</v>
      </c>
      <c r="AV94" s="94">
        <f>AV50</f>
        <v>762.74018234359892</v>
      </c>
      <c r="AW94" s="92" t="str">
        <f>Y94</f>
        <v>All industries</v>
      </c>
      <c r="AX94" s="40">
        <f>IF(AY94&gt;0,((1+(BA94/AY94))^(1/($A$101-$A$100))-1)*100,0)</f>
        <v>2.5960689907792656</v>
      </c>
      <c r="AY94" s="94">
        <f>AY50</f>
        <v>1169.4910110900296</v>
      </c>
      <c r="AZ94" s="94">
        <f>AZ50</f>
        <v>61.012733866251224</v>
      </c>
      <c r="BA94" s="94">
        <f>BA50</f>
        <v>341.64688672572964</v>
      </c>
      <c r="BB94" s="94">
        <f>BB50</f>
        <v>402.65962059198085</v>
      </c>
      <c r="BD94" s="40">
        <f>IF(BE94&gt;0,((1+(BG94/BE94))^(1/($A$101-$A$100))-1)*100,0)</f>
        <v>2.5108134589674425</v>
      </c>
      <c r="BE94" s="94">
        <f>BE50</f>
        <v>196.77997170605971</v>
      </c>
      <c r="BF94" s="94">
        <f>BF50</f>
        <v>-19.19988351079143</v>
      </c>
      <c r="BG94" s="94">
        <f>BG50</f>
        <v>55.380896948664599</v>
      </c>
      <c r="BH94" s="94">
        <f>BH50</f>
        <v>36.181013437873169</v>
      </c>
      <c r="BJ94" s="40">
        <f>IF(BK94&gt;0,((1+(BM94/BK94))^(1/($A$101-$A$100))-1)*100,0)</f>
        <v>2.5531077119064882</v>
      </c>
      <c r="BK94" s="94">
        <f>BK50</f>
        <v>650.12175377402275</v>
      </c>
      <c r="BL94" s="94">
        <f>BL50</f>
        <v>42.192712487148434</v>
      </c>
      <c r="BM94" s="94">
        <f>BM50</f>
        <v>186.41100647521165</v>
      </c>
      <c r="BN94" s="94">
        <f>BN50</f>
        <v>228.60371896236009</v>
      </c>
      <c r="BO94" s="94"/>
      <c r="BP94" s="40">
        <f>IF(BQ94&gt;0,((1+(BS94/BQ94))^(1/($A$101-$A$100))-1)*100,0)</f>
        <v>2.7334678665663192</v>
      </c>
      <c r="BQ94" s="94">
        <f>BQ50</f>
        <v>322.58928560994713</v>
      </c>
      <c r="BR94" s="94">
        <f>BR50</f>
        <v>38.019904889894228</v>
      </c>
      <c r="BS94" s="94">
        <f>BS50</f>
        <v>99.854983301853494</v>
      </c>
      <c r="BT94" s="94">
        <f>BT50</f>
        <v>137.87488819174771</v>
      </c>
      <c r="BU94" s="92" t="str">
        <f>AW94</f>
        <v>All industries</v>
      </c>
      <c r="BV94" s="40">
        <f>IF(BW94&gt;0,((1+(BY94/BW94))^(1/($A$101-$A$100))-1)*100,0)</f>
        <v>2.5889208699682698</v>
      </c>
      <c r="BW94" s="94">
        <f>BW50</f>
        <v>786.26148565798121</v>
      </c>
      <c r="BX94" s="94">
        <f>BX50</f>
        <v>-16.768227409449015</v>
      </c>
      <c r="BY94" s="94">
        <f>BY50</f>
        <v>228.98528730973825</v>
      </c>
      <c r="BZ94" s="94">
        <f>BZ50</f>
        <v>212.21705990028923</v>
      </c>
      <c r="CB94" s="40">
        <f>IF(CC94&gt;0,((1+(CE94/CC94))^(1/($A$101-$A$100))-1)*100,0)</f>
        <v>2.5278948366694864</v>
      </c>
      <c r="CC94" s="94">
        <f>CC50</f>
        <v>257.91842111045776</v>
      </c>
      <c r="CD94" s="94">
        <f>CD50</f>
        <v>-52.179148361626908</v>
      </c>
      <c r="CE94" s="94">
        <f>CE50</f>
        <v>73.138570554183204</v>
      </c>
      <c r="CF94" s="94">
        <f>CF50</f>
        <v>20.959422192556296</v>
      </c>
      <c r="CH94" s="40">
        <f>IF(CI94&gt;0,((1+(CK94/CI94))^(1/($A$101-$A$100))-1)*100,0)</f>
        <v>2.5655949055339189</v>
      </c>
      <c r="CI94" s="94">
        <f>CI50</f>
        <v>462.50112579230256</v>
      </c>
      <c r="CJ94" s="94">
        <f>CJ50</f>
        <v>18.263082416840735</v>
      </c>
      <c r="CK94" s="94">
        <f>CK50</f>
        <v>133.33911166207648</v>
      </c>
      <c r="CL94" s="94">
        <f>CL50</f>
        <v>151.60219407891722</v>
      </c>
      <c r="CM94" s="94"/>
      <c r="CN94" s="40">
        <f>IF(CO94&gt;0,((1+(CQ94/CO94))^(1/($A$101-$A$100))-1)*100,0)</f>
        <v>2.9840981402702971</v>
      </c>
      <c r="CO94" s="94">
        <f>CO50</f>
        <v>65.841938755220539</v>
      </c>
      <c r="CP94" s="94">
        <f>CP50</f>
        <v>17.147838535337179</v>
      </c>
      <c r="CQ94" s="94">
        <f>CQ50</f>
        <v>22.507605093478684</v>
      </c>
      <c r="CR94" s="94">
        <f>CR50</f>
        <v>39.65544362881586</v>
      </c>
      <c r="CS94" s="92" t="str">
        <f>BU94</f>
        <v>All industries</v>
      </c>
      <c r="CT94" s="40">
        <f>IF(CU94&gt;0,((1+(CW94/CU94))^(1/($A$101-$A$100))-1)*100,0)</f>
        <v>2.7533233225370157</v>
      </c>
      <c r="CU94" s="94">
        <f>CU50</f>
        <v>463.81185783630696</v>
      </c>
      <c r="CV94" s="94">
        <f>CV50</f>
        <v>59.550337485219423</v>
      </c>
      <c r="CW94" s="94">
        <f>CW50</f>
        <v>144.74423940542175</v>
      </c>
      <c r="CX94" s="94">
        <f>CX50</f>
        <v>204.29457689064117</v>
      </c>
      <c r="CZ94" s="40">
        <f>IF(DA94&gt;0,((1+(DC94/DA94))^(1/($A$101-$A$100))-1)*100,0)</f>
        <v>2.7273559755584653</v>
      </c>
      <c r="DA94" s="94">
        <f>DA50</f>
        <v>205.71744740256855</v>
      </c>
      <c r="DB94" s="94">
        <f>DB50</f>
        <v>-30.344675713108767</v>
      </c>
      <c r="DC94" s="94">
        <f>DC50</f>
        <v>63.517994559926827</v>
      </c>
      <c r="DD94" s="94">
        <f>DD50</f>
        <v>33.173318846818063</v>
      </c>
      <c r="DF94" s="40">
        <f>IF(DG94&gt;0,((1+(DI94/DG94))^(1/($A$101-$A$100))-1)*100,0)</f>
        <v>2.7323553670193235</v>
      </c>
      <c r="DG94" s="94">
        <f>DG50</f>
        <v>213.95572846563186</v>
      </c>
      <c r="DH94" s="94">
        <f>DH50</f>
        <v>67.639447401849822</v>
      </c>
      <c r="DI94" s="94">
        <f>DI50</f>
        <v>66.197978077989319</v>
      </c>
      <c r="DJ94" s="94">
        <f>DJ50</f>
        <v>133.83742547983914</v>
      </c>
      <c r="DK94" s="94"/>
      <c r="DL94" s="40">
        <f>IF(DM94&gt;0,((1+(DO94/DM94))^(1/($A$101-$A$100))-1)*100,0)</f>
        <v>2.9736201868302725</v>
      </c>
      <c r="DM94" s="94">
        <f>DM50</f>
        <v>44.13868196810671</v>
      </c>
      <c r="DN94" s="94">
        <f>DN50</f>
        <v>22.25556579647839</v>
      </c>
      <c r="DO94" s="94">
        <f>DO50</f>
        <v>15.028266767505601</v>
      </c>
      <c r="DP94" s="94">
        <f>DP50</f>
        <v>37.283832563983992</v>
      </c>
    </row>
    <row r="95" spans="1:120" x14ac:dyDescent="0.2">
      <c r="A95" s="96"/>
      <c r="B95" s="112"/>
      <c r="C95" s="112"/>
      <c r="D95" s="112"/>
      <c r="E95" s="112"/>
      <c r="F95" s="112"/>
      <c r="G95" s="96"/>
      <c r="H95" s="112"/>
      <c r="I95" s="112"/>
      <c r="J95" s="112"/>
      <c r="K95" s="112"/>
      <c r="L95" s="112"/>
      <c r="M95" s="96"/>
      <c r="N95" s="96"/>
      <c r="O95" s="112"/>
      <c r="P95" s="112"/>
      <c r="Q95" s="112"/>
      <c r="R95" s="112"/>
      <c r="S95" s="112"/>
      <c r="T95" s="96"/>
      <c r="U95" s="112"/>
      <c r="V95" s="112"/>
      <c r="W95" s="112"/>
      <c r="X95" s="112"/>
      <c r="Y95" s="96"/>
      <c r="Z95" s="112"/>
      <c r="AA95" s="112"/>
      <c r="AB95" s="112"/>
      <c r="AC95" s="112"/>
      <c r="AD95" s="112"/>
      <c r="AE95" s="96"/>
      <c r="AF95" s="112"/>
      <c r="AG95" s="112"/>
      <c r="AH95" s="112"/>
      <c r="AI95" s="112"/>
      <c r="AJ95" s="112"/>
      <c r="AK95" s="96"/>
      <c r="AL95" s="96"/>
      <c r="AM95" s="112"/>
      <c r="AN95" s="112"/>
      <c r="AO95" s="112"/>
      <c r="AP95" s="112"/>
      <c r="AQ95" s="112"/>
      <c r="AR95" s="96"/>
      <c r="AS95" s="112"/>
      <c r="AT95" s="112"/>
      <c r="AU95" s="112"/>
      <c r="AV95" s="112"/>
      <c r="AW95" s="96"/>
      <c r="AX95" s="112"/>
      <c r="AY95" s="112"/>
      <c r="AZ95" s="112"/>
      <c r="BA95" s="112"/>
      <c r="BB95" s="112"/>
      <c r="BC95" s="96"/>
      <c r="BD95" s="112"/>
      <c r="BE95" s="112"/>
      <c r="BF95" s="112"/>
      <c r="BG95" s="112"/>
      <c r="BH95" s="112"/>
      <c r="BI95" s="96"/>
      <c r="BJ95" s="96"/>
      <c r="BK95" s="112"/>
      <c r="BL95" s="112"/>
      <c r="BM95" s="112"/>
      <c r="BN95" s="112"/>
      <c r="BO95" s="112"/>
      <c r="BP95" s="96"/>
      <c r="BQ95" s="112"/>
      <c r="BR95" s="112"/>
      <c r="BS95" s="112"/>
      <c r="BT95" s="112"/>
      <c r="BU95" s="96"/>
      <c r="BV95" s="112"/>
      <c r="BW95" s="112"/>
      <c r="BX95" s="112"/>
      <c r="BY95" s="112"/>
      <c r="BZ95" s="112"/>
      <c r="CA95" s="96"/>
      <c r="CB95" s="112"/>
      <c r="CC95" s="112"/>
      <c r="CD95" s="112"/>
      <c r="CE95" s="112"/>
      <c r="CF95" s="112"/>
      <c r="CG95" s="96"/>
      <c r="CH95" s="96"/>
      <c r="CI95" s="112"/>
      <c r="CJ95" s="112"/>
      <c r="CK95" s="112"/>
      <c r="CL95" s="112"/>
      <c r="CM95" s="112"/>
      <c r="CN95" s="96"/>
      <c r="CO95" s="112"/>
      <c r="CP95" s="112"/>
      <c r="CQ95" s="112"/>
      <c r="CR95" s="112"/>
      <c r="CS95" s="96"/>
      <c r="CT95" s="112"/>
      <c r="CU95" s="112"/>
      <c r="CV95" s="112"/>
      <c r="CW95" s="112"/>
      <c r="CX95" s="112"/>
      <c r="CY95" s="96"/>
      <c r="CZ95" s="112"/>
      <c r="DA95" s="112"/>
      <c r="DB95" s="112"/>
      <c r="DC95" s="112"/>
      <c r="DD95" s="112"/>
      <c r="DE95" s="96"/>
      <c r="DF95" s="96"/>
      <c r="DG95" s="112"/>
      <c r="DH95" s="112"/>
      <c r="DI95" s="112"/>
      <c r="DJ95" s="112"/>
      <c r="DK95" s="112"/>
      <c r="DL95" s="96"/>
      <c r="DM95" s="112"/>
      <c r="DN95" s="112"/>
      <c r="DO95" s="112"/>
      <c r="DP95" s="112"/>
    </row>
    <row r="96" spans="1:120" x14ac:dyDescent="0.2">
      <c r="A96" s="91" t="str">
        <f ca="1">CELL("filename")</f>
        <v>M:\IE\Projects\Nuffield via NFER AI and automation\Data\Results\Workbooks\MCAs\NE_MCA\[NE_MCA_MainTables.Main.xlsm]Manager</v>
      </c>
      <c r="Y96" s="91" t="str">
        <f ca="1">CELL("filename")</f>
        <v>M:\IE\Projects\Nuffield via NFER AI and automation\Data\Results\Workbooks\MCAs\NE_MCA\[NE_MCA_MainTables.Main.xlsm]Manager</v>
      </c>
      <c r="AW96" s="91" t="str">
        <f ca="1">CELL("filename")</f>
        <v>M:\IE\Projects\Nuffield via NFER AI and automation\Data\Results\Workbooks\MCAs\NE_MCA\[NE_MCA_MainTables.Main.xlsm]Manager</v>
      </c>
      <c r="BU96" s="91" t="str">
        <f ca="1">CELL("filename")</f>
        <v>M:\IE\Projects\Nuffield via NFER AI and automation\Data\Results\Workbooks\MCAs\NE_MCA\[NE_MCA_MainTables.Main.xlsm]Manager</v>
      </c>
      <c r="CS96" s="91" t="str">
        <f ca="1">CELL("filename")</f>
        <v>M:\IE\Projects\Nuffield via NFER AI and automation\Data\Results\Workbooks\MCAs\NE_MCA\[NE_MCA_MainTables.Main.xlsm]Manager</v>
      </c>
    </row>
    <row r="99" spans="1:1" x14ac:dyDescent="0.2">
      <c r="A99" s="91" t="s">
        <v>51</v>
      </c>
    </row>
    <row r="100" spans="1:1" x14ac:dyDescent="0.2">
      <c r="A100" s="91">
        <v>2015</v>
      </c>
    </row>
    <row r="101" spans="1:1" x14ac:dyDescent="0.2">
      <c r="A101" s="91">
        <v>2025</v>
      </c>
    </row>
  </sheetData>
  <mergeCells count="60">
    <mergeCell ref="BV56:BZ56"/>
    <mergeCell ref="B83:F83"/>
    <mergeCell ref="H83:L83"/>
    <mergeCell ref="B4:F4"/>
    <mergeCell ref="H4:L4"/>
    <mergeCell ref="B56:F56"/>
    <mergeCell ref="H56:L56"/>
    <mergeCell ref="AF4:AJ4"/>
    <mergeCell ref="Z56:AD56"/>
    <mergeCell ref="AF56:AJ56"/>
    <mergeCell ref="Z83:AD83"/>
    <mergeCell ref="AF83:AJ83"/>
    <mergeCell ref="DF4:DJ4"/>
    <mergeCell ref="DL4:DP4"/>
    <mergeCell ref="AX83:BB83"/>
    <mergeCell ref="BD83:BH83"/>
    <mergeCell ref="CH4:CL4"/>
    <mergeCell ref="CN4:CR4"/>
    <mergeCell ref="CB56:CF56"/>
    <mergeCell ref="BV83:BZ83"/>
    <mergeCell ref="CB83:CF83"/>
    <mergeCell ref="AX4:BB4"/>
    <mergeCell ref="BD4:BH4"/>
    <mergeCell ref="AX56:BB56"/>
    <mergeCell ref="BD56:BH56"/>
    <mergeCell ref="BJ56:BN56"/>
    <mergeCell ref="BV4:BZ4"/>
    <mergeCell ref="CB4:CF4"/>
    <mergeCell ref="CZ83:DD83"/>
    <mergeCell ref="N4:R4"/>
    <mergeCell ref="T4:X4"/>
    <mergeCell ref="AL4:AP4"/>
    <mergeCell ref="AR4:AV4"/>
    <mergeCell ref="BJ4:BN4"/>
    <mergeCell ref="BP4:BT4"/>
    <mergeCell ref="CT4:CX4"/>
    <mergeCell ref="CZ4:DD4"/>
    <mergeCell ref="CT56:CX56"/>
    <mergeCell ref="CZ56:DD56"/>
    <mergeCell ref="AL56:AP56"/>
    <mergeCell ref="AR56:AV56"/>
    <mergeCell ref="AL83:AP83"/>
    <mergeCell ref="AR83:AV83"/>
    <mergeCell ref="Z4:AD4"/>
    <mergeCell ref="DL83:DP83"/>
    <mergeCell ref="N83:R83"/>
    <mergeCell ref="T83:X83"/>
    <mergeCell ref="N56:R56"/>
    <mergeCell ref="T56:X56"/>
    <mergeCell ref="BP56:BT56"/>
    <mergeCell ref="CH56:CL56"/>
    <mergeCell ref="CN56:CR56"/>
    <mergeCell ref="DF56:DJ56"/>
    <mergeCell ref="DL56:DP56"/>
    <mergeCell ref="BJ83:BN83"/>
    <mergeCell ref="BP83:BT83"/>
    <mergeCell ref="CH83:CL83"/>
    <mergeCell ref="CN83:CR83"/>
    <mergeCell ref="DF83:DJ83"/>
    <mergeCell ref="CT83:CX83"/>
  </mergeCells>
  <pageMargins left="0.31496062992125984" right="0.31496062992125984" top="0.74803149606299213" bottom="0.74803149606299213" header="0.31496062992125984" footer="0.31496062992125984"/>
  <pageSetup paperSize="9" scale="65" pageOrder="overThenDown" orientation="landscape" r:id="rId1"/>
  <rowBreaks count="2" manualBreakCount="2">
    <brk id="52" max="16383" man="1"/>
    <brk id="96" max="16383" man="1"/>
  </rowBreaks>
  <colBreaks count="4" manualBreakCount="4">
    <brk id="24" max="1048575" man="1"/>
    <brk id="48" max="1048575" man="1"/>
    <brk id="96" max="1048575" man="1"/>
    <brk id="120" max="1048575" man="1"/>
  </colBreaks>
  <ignoredErrors>
    <ignoredError sqref="F8:F48 L8 L9:L50 F50 R8:R50 X8:X50 AD8:AD50 AJ8:AJ50 AP8:AP50 AV8:AV50 BB8:BB50 BH8:BH50 BN8:BN50 BT8:BT50 BZ8:BZ50 CF8:CF50 CL8:CM50 CR8:CR50 CX8:CX50 DD8:DD50 DJ8:DJ50 DP8:DP50" formulaRange="1"/>
  </ignoredErrors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200-000000000000}">
  <sheetPr codeName="Sheet56">
    <pageSetUpPr fitToPage="1"/>
  </sheetPr>
  <dimension ref="A1:AF81"/>
  <sheetViews>
    <sheetView zoomScale="85" zoomScaleNormal="85" zoomScaleSheetLayoutView="85" workbookViewId="0">
      <selection activeCell="E45" sqref="E45"/>
    </sheetView>
  </sheetViews>
  <sheetFormatPr defaultColWidth="9.140625" defaultRowHeight="12.75" x14ac:dyDescent="0.2"/>
  <cols>
    <col min="1" max="1" width="50.7109375" style="130" customWidth="1"/>
    <col min="2" max="2" width="13" style="130" customWidth="1"/>
    <col min="3" max="3" width="9.7109375" style="130" customWidth="1"/>
    <col min="4" max="4" width="10.140625" style="130" customWidth="1"/>
    <col min="5" max="5" width="13" style="130" customWidth="1"/>
    <col min="6" max="6" width="9.7109375" style="130" customWidth="1"/>
    <col min="7" max="7" width="3.7109375" style="130" customWidth="1"/>
    <col min="8" max="9" width="10.140625" style="130" customWidth="1"/>
    <col min="10" max="10" width="3.7109375" style="130" customWidth="1"/>
    <col min="11" max="12" width="10.140625" style="130" customWidth="1"/>
    <col min="13" max="13" width="3.7109375" style="130" customWidth="1"/>
    <col min="14" max="14" width="11.42578125" style="130" customWidth="1"/>
    <col min="15" max="15" width="10.140625" style="130" customWidth="1"/>
    <col min="16" max="16" width="3.7109375" style="130" customWidth="1"/>
    <col min="17" max="18" width="10.140625" style="130" customWidth="1"/>
    <col min="19" max="19" width="2.42578125" style="130" customWidth="1"/>
    <col min="20" max="22" width="13" style="130" customWidth="1"/>
    <col min="23" max="23" width="23.28515625" style="130" customWidth="1"/>
    <col min="24" max="24" width="9.140625" style="130"/>
    <col min="25" max="25" width="12.28515625" style="130" customWidth="1"/>
    <col min="26" max="26" width="10.85546875" style="130" customWidth="1"/>
    <col min="27" max="27" width="8.140625" style="130" customWidth="1"/>
    <col min="28" max="28" width="8" style="130" customWidth="1"/>
    <col min="29" max="16384" width="9.140625" style="130"/>
  </cols>
  <sheetData>
    <row r="1" spans="1:32" ht="12.75" customHeight="1" x14ac:dyDescent="0.2">
      <c r="A1" s="128" t="e">
        <f>CONCATENATE("Table 4.6  Shift-share by industry, ",I3)</f>
        <v>#REF!</v>
      </c>
      <c r="B1" s="129"/>
      <c r="C1" s="129"/>
      <c r="D1" s="129"/>
      <c r="E1" s="129"/>
      <c r="F1" s="129"/>
      <c r="G1" s="129"/>
      <c r="H1" s="129"/>
      <c r="I1" s="129"/>
      <c r="J1" s="129"/>
      <c r="K1" s="129"/>
      <c r="L1" s="129"/>
      <c r="M1" s="129"/>
      <c r="N1" s="129"/>
      <c r="O1" s="129"/>
      <c r="P1" s="129"/>
      <c r="Q1" s="129"/>
      <c r="R1" s="129"/>
      <c r="S1" s="129"/>
      <c r="T1" s="129"/>
      <c r="U1" s="129"/>
    </row>
    <row r="2" spans="1:32" ht="12.75" customHeight="1" x14ac:dyDescent="0.2">
      <c r="A2" s="128"/>
      <c r="B2" s="128"/>
      <c r="C2" s="128"/>
      <c r="D2" s="128"/>
      <c r="E2" s="128"/>
      <c r="F2" s="128"/>
      <c r="G2" s="128"/>
      <c r="H2" s="128"/>
      <c r="I2" s="128"/>
      <c r="J2" s="128"/>
      <c r="K2" s="386" t="s">
        <v>59</v>
      </c>
      <c r="L2" s="386"/>
      <c r="M2" s="386"/>
      <c r="N2" s="386"/>
      <c r="O2" s="386"/>
      <c r="P2" s="386"/>
      <c r="Q2" s="386"/>
      <c r="R2" s="386"/>
      <c r="S2" s="192"/>
      <c r="T2" s="192"/>
      <c r="U2" s="129"/>
    </row>
    <row r="3" spans="1:32" ht="12.75" customHeight="1" x14ac:dyDescent="0.2">
      <c r="A3" s="129"/>
      <c r="B3" s="131" t="s">
        <v>60</v>
      </c>
      <c r="C3" s="132" t="e">
        <f>#REF!</f>
        <v>#REF!</v>
      </c>
      <c r="D3" s="128"/>
      <c r="E3" s="131" t="s">
        <v>61</v>
      </c>
      <c r="F3" s="132" t="e">
        <f>#REF!</f>
        <v>#REF!</v>
      </c>
      <c r="G3" s="128"/>
      <c r="H3" s="131" t="s">
        <v>19</v>
      </c>
      <c r="I3" s="131" t="e">
        <f>CONCATENATE(C3,"-",F3)</f>
        <v>#REF!</v>
      </c>
      <c r="J3" s="128"/>
      <c r="K3" s="387" t="s">
        <v>62</v>
      </c>
      <c r="L3" s="387"/>
      <c r="M3" s="128"/>
      <c r="N3" s="388" t="s">
        <v>75</v>
      </c>
      <c r="O3" s="388"/>
      <c r="P3" s="128"/>
      <c r="Q3" s="388" t="s">
        <v>74</v>
      </c>
      <c r="R3" s="388"/>
      <c r="S3" s="192"/>
      <c r="T3" s="193" t="s">
        <v>78</v>
      </c>
      <c r="U3" s="153" t="s">
        <v>77</v>
      </c>
      <c r="V3" s="160"/>
      <c r="AA3" s="160"/>
      <c r="AD3" s="160"/>
    </row>
    <row r="4" spans="1:32" ht="12.75" customHeight="1" x14ac:dyDescent="0.2">
      <c r="A4" s="133" t="s">
        <v>65</v>
      </c>
      <c r="B4" s="134" t="s">
        <v>66</v>
      </c>
      <c r="C4" s="134" t="s">
        <v>67</v>
      </c>
      <c r="D4" s="128"/>
      <c r="E4" s="134" t="str">
        <f>B4</f>
        <v>000s</v>
      </c>
      <c r="F4" s="134" t="str">
        <f>C4</f>
        <v>% share</v>
      </c>
      <c r="G4" s="128"/>
      <c r="H4" s="134" t="str">
        <f>E4</f>
        <v>000s</v>
      </c>
      <c r="I4" s="134" t="s">
        <v>68</v>
      </c>
      <c r="J4" s="128"/>
      <c r="K4" s="134" t="str">
        <f>H4</f>
        <v>000s</v>
      </c>
      <c r="L4" s="134" t="str">
        <f>I4</f>
        <v xml:space="preserve">%   </v>
      </c>
      <c r="M4" s="128"/>
      <c r="N4" s="134" t="str">
        <f>K4</f>
        <v>000s</v>
      </c>
      <c r="O4" s="134" t="str">
        <f>L4</f>
        <v xml:space="preserve">%   </v>
      </c>
      <c r="P4" s="128"/>
      <c r="Q4" s="134" t="str">
        <f>N4</f>
        <v>000s</v>
      </c>
      <c r="R4" s="134" t="str">
        <f>O4</f>
        <v xml:space="preserve">%   </v>
      </c>
      <c r="S4" s="154"/>
      <c r="T4" s="134"/>
      <c r="U4" s="166"/>
      <c r="V4" s="160"/>
      <c r="W4" s="168"/>
      <c r="Y4" s="161"/>
      <c r="Z4" s="161"/>
      <c r="AA4" s="160"/>
      <c r="AB4" s="161"/>
      <c r="AC4" s="160"/>
    </row>
    <row r="5" spans="1:32" ht="12.75" customHeight="1" x14ac:dyDescent="0.2">
      <c r="A5" s="133"/>
      <c r="B5" s="131"/>
      <c r="C5" s="159"/>
      <c r="D5" s="128" t="s">
        <v>76</v>
      </c>
      <c r="E5" s="131"/>
      <c r="F5" s="159"/>
      <c r="G5" s="128"/>
      <c r="H5" s="131"/>
      <c r="I5" s="131"/>
      <c r="J5" s="128"/>
      <c r="K5" s="131"/>
      <c r="L5" s="131"/>
      <c r="M5" s="128"/>
      <c r="N5" s="131"/>
      <c r="O5" s="131"/>
      <c r="P5" s="128"/>
      <c r="Q5" s="159"/>
      <c r="R5" s="159"/>
      <c r="S5" s="134"/>
      <c r="T5" s="134"/>
      <c r="U5" s="155"/>
      <c r="V5" s="160"/>
      <c r="W5" s="136"/>
    </row>
    <row r="6" spans="1:32" x14ac:dyDescent="0.2">
      <c r="A6" s="36" t="str">
        <f>name!A4</f>
        <v>Agriculture, etc</v>
      </c>
      <c r="B6" s="150">
        <v>290.31999999994002</v>
      </c>
      <c r="C6" s="141">
        <v>0.93859557238401636</v>
      </c>
      <c r="D6" s="164">
        <v>100</v>
      </c>
      <c r="E6" s="150">
        <v>302.0150000000844</v>
      </c>
      <c r="F6" s="141">
        <v>0.90967729595909619</v>
      </c>
      <c r="G6" s="146"/>
      <c r="H6" s="150">
        <v>11.695000000144354</v>
      </c>
      <c r="I6" s="142">
        <v>4.0283135850601992</v>
      </c>
      <c r="J6" s="146"/>
      <c r="K6" s="150">
        <v>21.295935731168065</v>
      </c>
      <c r="L6" s="142">
        <v>7.3353319547990026</v>
      </c>
      <c r="M6" s="146"/>
      <c r="N6" s="150">
        <v>-0.65613111154677028</v>
      </c>
      <c r="O6" s="142">
        <v>-0.22600272511260189</v>
      </c>
      <c r="P6" s="146"/>
      <c r="Q6" s="151">
        <v>-8.9448046194769404</v>
      </c>
      <c r="R6" s="141">
        <v>-3.0810156446262016</v>
      </c>
      <c r="S6" s="141"/>
      <c r="T6" s="162">
        <v>290.31999999994002</v>
      </c>
      <c r="U6" s="163">
        <v>302.0150000000844</v>
      </c>
      <c r="V6" s="169"/>
      <c r="Y6" s="135"/>
      <c r="Z6" s="151"/>
      <c r="AA6" s="151"/>
      <c r="AB6" s="135"/>
      <c r="AC6" s="151"/>
      <c r="AE6" s="135"/>
      <c r="AF6" s="151"/>
    </row>
    <row r="7" spans="1:32" x14ac:dyDescent="0.2">
      <c r="A7" t="str">
        <f>name!A5</f>
        <v>Coal, oil &amp; gas; Mining &amp; related</v>
      </c>
      <c r="B7" s="151">
        <v>12.074999999997509</v>
      </c>
      <c r="C7" s="141">
        <v>3.9038101186749101E-2</v>
      </c>
      <c r="D7" s="165">
        <v>100</v>
      </c>
      <c r="E7" s="151">
        <v>12.334000000003453</v>
      </c>
      <c r="F7" s="141">
        <v>3.715033944790655E-2</v>
      </c>
      <c r="H7" s="151">
        <v>0.25900000000594448</v>
      </c>
      <c r="I7" s="141">
        <v>2.1449275362815561</v>
      </c>
      <c r="K7" s="151">
        <v>0.88574133354179663</v>
      </c>
      <c r="L7" s="141">
        <v>7.3353319547990017</v>
      </c>
      <c r="N7" s="151">
        <v>-4.283170925688029E-2</v>
      </c>
      <c r="O7" s="141">
        <v>-0.35471394829721842</v>
      </c>
      <c r="Q7" s="151">
        <v>-0.58390962427897186</v>
      </c>
      <c r="R7" s="141">
        <v>-4.8356904702202259</v>
      </c>
      <c r="S7" s="141"/>
      <c r="T7" s="162">
        <v>12.074999999997509</v>
      </c>
      <c r="U7" s="163">
        <v>12.334000000003453</v>
      </c>
      <c r="V7" s="169"/>
      <c r="W7" s="136"/>
      <c r="Y7" s="135"/>
      <c r="Z7" s="151"/>
      <c r="AA7" s="151"/>
      <c r="AB7" s="135"/>
      <c r="AC7" s="151"/>
      <c r="AE7" s="135"/>
      <c r="AF7" s="151"/>
    </row>
    <row r="8" spans="1:32" x14ac:dyDescent="0.2">
      <c r="A8" t="str">
        <f>name!A6</f>
        <v>Food products</v>
      </c>
      <c r="B8" s="151">
        <v>10.050999999997924</v>
      </c>
      <c r="C8" s="141">
        <v>3.2494571844970191E-2</v>
      </c>
      <c r="D8" s="165">
        <v>100</v>
      </c>
      <c r="E8" s="151">
        <v>9.1810000000025642</v>
      </c>
      <c r="F8" s="141">
        <v>2.7653418718277107E-2</v>
      </c>
      <c r="H8" s="151">
        <v>-0.86999999999535793</v>
      </c>
      <c r="I8" s="141">
        <v>-8.6558551387477642</v>
      </c>
      <c r="K8" s="151">
        <v>0.7372742147766953</v>
      </c>
      <c r="L8" s="141">
        <v>7.3353319547990017</v>
      </c>
      <c r="N8" s="151">
        <v>-0.1098416494645672</v>
      </c>
      <c r="O8" s="141">
        <v>-1.0928429953695145</v>
      </c>
      <c r="Q8" s="151">
        <v>-1.497432565307486</v>
      </c>
      <c r="R8" s="141">
        <v>-14.898344098177249</v>
      </c>
      <c r="S8" s="141"/>
      <c r="T8" s="162">
        <v>10.050999999997924</v>
      </c>
      <c r="U8" s="163">
        <v>9.1810000000025642</v>
      </c>
      <c r="V8" s="169"/>
      <c r="Y8" s="135"/>
      <c r="Z8" s="151"/>
      <c r="AA8" s="151"/>
      <c r="AB8" s="135"/>
      <c r="AC8" s="151"/>
      <c r="AE8" s="135"/>
      <c r="AF8" s="151"/>
    </row>
    <row r="9" spans="1:32" x14ac:dyDescent="0.2">
      <c r="A9" t="str">
        <f>name!A7</f>
        <v>Beverages and tobacco</v>
      </c>
      <c r="B9" s="151">
        <v>2.1699999999991144</v>
      </c>
      <c r="C9" s="141">
        <v>7.0155428219650902E-3</v>
      </c>
      <c r="D9" s="165">
        <v>100</v>
      </c>
      <c r="E9" s="151">
        <v>1.1269999999995304</v>
      </c>
      <c r="F9" s="141">
        <v>3.3945542855327972E-3</v>
      </c>
      <c r="H9" s="151">
        <v>-1.042999999999584</v>
      </c>
      <c r="I9" s="141">
        <v>-48.064516129032704</v>
      </c>
      <c r="K9" s="151">
        <v>0.15917670341907339</v>
      </c>
      <c r="L9" s="141">
        <v>7.3353319547990026</v>
      </c>
      <c r="N9" s="151">
        <v>-8.2157152051436144E-2</v>
      </c>
      <c r="O9" s="141">
        <v>-3.786043873339616</v>
      </c>
      <c r="Q9" s="151">
        <v>-1.1200195513672213</v>
      </c>
      <c r="R9" s="141">
        <v>-51.613804210492084</v>
      </c>
      <c r="S9" s="141"/>
      <c r="T9" s="162">
        <v>2.1699999999991144</v>
      </c>
      <c r="U9" s="163">
        <v>1.1269999999995304</v>
      </c>
      <c r="V9" s="169"/>
      <c r="W9" s="136"/>
      <c r="Y9" s="135"/>
      <c r="Z9" s="151"/>
      <c r="AA9" s="151"/>
      <c r="AB9" s="135"/>
      <c r="AC9" s="151"/>
      <c r="AE9" s="135"/>
      <c r="AF9" s="151"/>
    </row>
    <row r="10" spans="1:32" x14ac:dyDescent="0.2">
      <c r="A10" t="str">
        <f>name!A8</f>
        <v>Textiles</v>
      </c>
      <c r="B10" s="151">
        <v>11.083999999995481</v>
      </c>
      <c r="C10" s="141">
        <v>3.5834228865742432E-2</v>
      </c>
      <c r="D10" s="165">
        <v>100</v>
      </c>
      <c r="E10" s="151">
        <v>7.2319999999969857</v>
      </c>
      <c r="F10" s="141">
        <v>2.1782978343365737E-2</v>
      </c>
      <c r="H10" s="151">
        <v>-3.851999999998494</v>
      </c>
      <c r="I10" s="141">
        <v>-34.75279682425176</v>
      </c>
      <c r="K10" s="151">
        <v>0.81304819386958971</v>
      </c>
      <c r="L10" s="141">
        <v>7.3353319547989999</v>
      </c>
      <c r="N10" s="151">
        <v>-0.31881093078995182</v>
      </c>
      <c r="O10" s="141">
        <v>-2.8763165895893343</v>
      </c>
      <c r="Q10" s="151">
        <v>-4.3462372630781321</v>
      </c>
      <c r="R10" s="141">
        <v>-39.211812189461426</v>
      </c>
      <c r="S10" s="141"/>
      <c r="T10" s="162">
        <v>11.083999999995481</v>
      </c>
      <c r="U10" s="163">
        <v>7.2319999999969857</v>
      </c>
      <c r="V10" s="169"/>
      <c r="Y10" s="135"/>
      <c r="Z10" s="151"/>
      <c r="AA10" s="151"/>
      <c r="AB10" s="135"/>
      <c r="AC10" s="151"/>
      <c r="AE10" s="135"/>
      <c r="AF10" s="151"/>
    </row>
    <row r="11" spans="1:32" x14ac:dyDescent="0.2">
      <c r="A11" t="str">
        <f>name!A9</f>
        <v>Wearing apparel; Leather, etc</v>
      </c>
      <c r="B11" s="151">
        <v>37.589999999984677</v>
      </c>
      <c r="C11" s="141">
        <v>0.12152730630307274</v>
      </c>
      <c r="D11" s="165">
        <v>100</v>
      </c>
      <c r="E11" s="151">
        <v>29.919999999987525</v>
      </c>
      <c r="F11" s="141">
        <v>9.0119844031181243E-2</v>
      </c>
      <c r="H11" s="151">
        <v>-7.6699999999971515</v>
      </c>
      <c r="I11" s="141">
        <v>-20.404362862464161</v>
      </c>
      <c r="K11" s="151">
        <v>2.7573512818078205</v>
      </c>
      <c r="L11" s="141">
        <v>7.3353319547990017</v>
      </c>
      <c r="N11" s="151">
        <v>-0.7126086226066608</v>
      </c>
      <c r="O11" s="141">
        <v>-1.8957398845622542</v>
      </c>
      <c r="Q11" s="151">
        <v>-9.7147426591983113</v>
      </c>
      <c r="R11" s="141">
        <v>-25.843954932700907</v>
      </c>
      <c r="S11" s="141"/>
      <c r="T11" s="162">
        <v>37.589999999984677</v>
      </c>
      <c r="U11" s="163">
        <v>29.919999999987525</v>
      </c>
      <c r="V11" s="169"/>
      <c r="W11" s="136"/>
      <c r="Y11" s="135"/>
      <c r="Z11" s="151"/>
      <c r="AA11" s="151"/>
      <c r="AB11" s="135"/>
      <c r="AC11" s="151"/>
      <c r="AE11" s="135"/>
      <c r="AF11" s="151"/>
    </row>
    <row r="12" spans="1:32" x14ac:dyDescent="0.2">
      <c r="A12" t="str">
        <f>name!A10</f>
        <v xml:space="preserve">Wood and cork </v>
      </c>
      <c r="B12" s="151">
        <v>395.97300000001809</v>
      </c>
      <c r="C12" s="141">
        <v>1.2801684506190061</v>
      </c>
      <c r="D12" s="165">
        <v>100</v>
      </c>
      <c r="E12" s="151">
        <v>368.47099999980418</v>
      </c>
      <c r="F12" s="141">
        <v>1.1098445538104806</v>
      </c>
      <c r="H12" s="151">
        <v>-27.502000000213915</v>
      </c>
      <c r="I12" s="141">
        <v>-6.945423046574553</v>
      </c>
      <c r="K12" s="151">
        <v>29.045934001377578</v>
      </c>
      <c r="L12" s="141">
        <v>7.3353319547990017</v>
      </c>
      <c r="N12" s="151">
        <v>-3.864504443275159</v>
      </c>
      <c r="O12" s="141">
        <v>-0.97595150257087782</v>
      </c>
      <c r="Q12" s="151">
        <v>-52.683429558316334</v>
      </c>
      <c r="R12" s="141">
        <v>-13.304803498802679</v>
      </c>
      <c r="S12" s="141"/>
      <c r="T12" s="162">
        <v>395.97300000001809</v>
      </c>
      <c r="U12" s="163">
        <v>368.47099999980418</v>
      </c>
      <c r="V12" s="169"/>
      <c r="Y12" s="135"/>
      <c r="Z12" s="151"/>
      <c r="AA12" s="151"/>
      <c r="AB12" s="135"/>
      <c r="AC12" s="151"/>
      <c r="AE12" s="135"/>
      <c r="AF12" s="151"/>
    </row>
    <row r="13" spans="1:32" x14ac:dyDescent="0.2">
      <c r="A13" t="str">
        <f>name!A11</f>
        <v>Paper, etc</v>
      </c>
      <c r="B13" s="151">
        <v>75.845999999976854</v>
      </c>
      <c r="C13" s="141">
        <v>0.24520776998839583</v>
      </c>
      <c r="D13" s="165">
        <v>100</v>
      </c>
      <c r="E13" s="151">
        <v>49.305999999976621</v>
      </c>
      <c r="F13" s="141">
        <v>0.14851099698533315</v>
      </c>
      <c r="H13" s="151">
        <v>-26.540000000000227</v>
      </c>
      <c r="I13" s="141">
        <v>-34.991957387348478</v>
      </c>
      <c r="K13" s="151">
        <v>5.5635558744351528</v>
      </c>
      <c r="L13" s="141">
        <v>7.3353319547990017</v>
      </c>
      <c r="N13" s="151">
        <v>-2.1939675871835931</v>
      </c>
      <c r="O13" s="141">
        <v>-2.8926609012792532</v>
      </c>
      <c r="Q13" s="151">
        <v>-29.909588287251786</v>
      </c>
      <c r="R13" s="141">
        <v>-39.434628440868224</v>
      </c>
      <c r="S13" s="141"/>
      <c r="T13" s="162">
        <v>75.845999999976854</v>
      </c>
      <c r="U13" s="163">
        <v>49.305999999976621</v>
      </c>
      <c r="V13" s="169"/>
      <c r="Y13" s="135"/>
      <c r="Z13" s="151"/>
      <c r="AA13" s="151"/>
      <c r="AB13" s="135"/>
      <c r="AC13" s="151"/>
      <c r="AE13" s="135"/>
      <c r="AF13" s="151"/>
    </row>
    <row r="14" spans="1:32" x14ac:dyDescent="0.2">
      <c r="A14" t="str">
        <f>name!A12</f>
        <v>Printing and recording</v>
      </c>
      <c r="B14" s="151">
        <v>73.1450000000373</v>
      </c>
      <c r="C14" s="141">
        <v>0.2364755206051187</v>
      </c>
      <c r="D14" s="165">
        <v>100</v>
      </c>
      <c r="E14" s="151">
        <v>122.94699999997626</v>
      </c>
      <c r="F14" s="141">
        <v>0.37031966791791843</v>
      </c>
      <c r="H14" s="151">
        <v>49.801999999938957</v>
      </c>
      <c r="I14" s="141">
        <v>68.086677148012257</v>
      </c>
      <c r="K14" s="151">
        <v>5.3654285583404651</v>
      </c>
      <c r="L14" s="141">
        <v>7.3353319547989999</v>
      </c>
      <c r="N14" s="151">
        <v>3.0368099350038165</v>
      </c>
      <c r="O14" s="141">
        <v>4.1517669492135729</v>
      </c>
      <c r="Q14" s="151">
        <v>41.399761506594672</v>
      </c>
      <c r="R14" s="141">
        <v>56.599578243999673</v>
      </c>
      <c r="S14" s="141"/>
      <c r="T14" s="162">
        <v>73.1450000000373</v>
      </c>
      <c r="U14" s="163">
        <v>122.94699999997626</v>
      </c>
      <c r="V14" s="169"/>
      <c r="Y14" s="135"/>
      <c r="Z14" s="151"/>
      <c r="AA14" s="151"/>
      <c r="AB14" s="135"/>
      <c r="AC14" s="151"/>
      <c r="AE14" s="135"/>
      <c r="AF14" s="151"/>
    </row>
    <row r="15" spans="1:32" x14ac:dyDescent="0.2">
      <c r="A15" t="str">
        <f>name!A13</f>
        <v>Coke and petroleum; Chemicals, etc</v>
      </c>
      <c r="B15" s="151">
        <v>80.073000000040807</v>
      </c>
      <c r="C15" s="141">
        <v>0.25887353013074937</v>
      </c>
      <c r="D15" s="165">
        <v>100</v>
      </c>
      <c r="E15" s="151">
        <v>72.98899999998595</v>
      </c>
      <c r="F15" s="141">
        <v>0.2198448294115429</v>
      </c>
      <c r="H15" s="151">
        <v>-7.0840000000548606</v>
      </c>
      <c r="I15" s="141">
        <v>-8.846927179013214</v>
      </c>
      <c r="K15" s="151">
        <v>5.873620356169198</v>
      </c>
      <c r="L15" s="141">
        <v>7.3353319547990017</v>
      </c>
      <c r="N15" s="151">
        <v>-0.88552804492364956</v>
      </c>
      <c r="O15" s="141">
        <v>-1.1059009215630717</v>
      </c>
      <c r="Q15" s="151">
        <v>-12.072092311300409</v>
      </c>
      <c r="R15" s="141">
        <v>-15.076358212249144</v>
      </c>
      <c r="S15" s="141"/>
      <c r="T15" s="162">
        <v>80.073000000040807</v>
      </c>
      <c r="U15" s="163">
        <v>72.98899999998595</v>
      </c>
      <c r="V15" s="169"/>
      <c r="Y15" s="135"/>
      <c r="Z15" s="151"/>
      <c r="AA15" s="151"/>
      <c r="AB15" s="135"/>
      <c r="AC15" s="151"/>
      <c r="AE15" s="135"/>
      <c r="AF15" s="151"/>
    </row>
    <row r="16" spans="1:32" x14ac:dyDescent="0.2">
      <c r="A16" t="str">
        <f>name!A14</f>
        <v>Pharmaceuticals</v>
      </c>
      <c r="B16" s="151">
        <v>104.71500000005337</v>
      </c>
      <c r="C16" s="141">
        <v>0.33854035327315601</v>
      </c>
      <c r="D16" s="165">
        <v>100</v>
      </c>
      <c r="E16" s="151">
        <v>86.702999999983263</v>
      </c>
      <c r="F16" s="141">
        <v>0.26115176594375861</v>
      </c>
      <c r="H16" s="151">
        <v>-18.012000000070095</v>
      </c>
      <c r="I16" s="141">
        <v>-17.200974072540628</v>
      </c>
      <c r="K16" s="151">
        <v>7.6811928564716885</v>
      </c>
      <c r="L16" s="141">
        <v>7.3353319547990017</v>
      </c>
      <c r="N16" s="151">
        <v>-1.7558812662057193</v>
      </c>
      <c r="O16" s="141">
        <v>-1.6768192390821033</v>
      </c>
      <c r="Q16" s="151">
        <v>-23.937311590336066</v>
      </c>
      <c r="R16" s="141">
        <v>-22.859486788257524</v>
      </c>
      <c r="S16" s="141"/>
      <c r="T16" s="162">
        <v>104.71500000005337</v>
      </c>
      <c r="U16" s="163">
        <v>86.702999999983263</v>
      </c>
      <c r="V16" s="169"/>
      <c r="Y16" s="135"/>
      <c r="Z16" s="151"/>
      <c r="AA16" s="151"/>
      <c r="AB16" s="135"/>
      <c r="AC16" s="151"/>
      <c r="AE16" s="135"/>
      <c r="AF16" s="151"/>
    </row>
    <row r="17" spans="1:32" x14ac:dyDescent="0.2">
      <c r="A17" t="str">
        <f>name!A15</f>
        <v>Rubber and plastic</v>
      </c>
      <c r="B17" s="151">
        <v>11.055999999985691</v>
      </c>
      <c r="C17" s="141">
        <v>3.5743705732524098E-2</v>
      </c>
      <c r="D17" s="165">
        <v>100</v>
      </c>
      <c r="E17" s="151">
        <v>18.25699999999954</v>
      </c>
      <c r="F17" s="141">
        <v>5.4990574614903753E-2</v>
      </c>
      <c r="H17" s="151">
        <v>7.2010000000138481</v>
      </c>
      <c r="I17" s="141">
        <v>65.132054992973664</v>
      </c>
      <c r="K17" s="151">
        <v>0.81099430092152791</v>
      </c>
      <c r="L17" s="141">
        <v>7.3353319547990017</v>
      </c>
      <c r="N17" s="151">
        <v>0.43669509510288052</v>
      </c>
      <c r="O17" s="141">
        <v>3.9498470975347839</v>
      </c>
      <c r="Q17" s="151">
        <v>5.9533106039894399</v>
      </c>
      <c r="R17" s="141">
        <v>53.846875940639883</v>
      </c>
      <c r="S17" s="141"/>
      <c r="T17" s="162">
        <v>11.055999999985691</v>
      </c>
      <c r="U17" s="163">
        <v>18.25699999999954</v>
      </c>
      <c r="V17" s="169"/>
      <c r="Y17" s="135"/>
      <c r="Z17" s="151"/>
      <c r="AA17" s="151"/>
      <c r="AB17" s="135"/>
      <c r="AC17" s="151"/>
      <c r="AE17" s="135"/>
      <c r="AF17" s="151"/>
    </row>
    <row r="18" spans="1:32" x14ac:dyDescent="0.2">
      <c r="A18" t="str">
        <f>name!A16</f>
        <v>Other non-metallic</v>
      </c>
      <c r="B18" s="151">
        <v>93.389000000008025</v>
      </c>
      <c r="C18" s="141">
        <v>0.30192374589899607</v>
      </c>
      <c r="D18" s="165">
        <v>100</v>
      </c>
      <c r="E18" s="151">
        <v>88.958999999932729</v>
      </c>
      <c r="F18" s="141">
        <v>0.26794689856842019</v>
      </c>
      <c r="H18" s="151">
        <v>-4.4300000000752915</v>
      </c>
      <c r="I18" s="141">
        <v>-4.7435993533231011</v>
      </c>
      <c r="K18" s="151">
        <v>6.8503931592678278</v>
      </c>
      <c r="L18" s="141">
        <v>7.3353319547990017</v>
      </c>
      <c r="N18" s="151">
        <v>-0.77090578561093448</v>
      </c>
      <c r="O18" s="141">
        <v>-0.82547814583180912</v>
      </c>
      <c r="Q18" s="151">
        <v>-10.509487373732185</v>
      </c>
      <c r="R18" s="141">
        <v>-11.253453162290294</v>
      </c>
      <c r="S18" s="141"/>
      <c r="T18" s="162">
        <v>93.389000000008025</v>
      </c>
      <c r="U18" s="163">
        <v>88.958999999932729</v>
      </c>
      <c r="V18" s="169"/>
      <c r="Y18" s="135"/>
      <c r="Z18" s="151"/>
      <c r="AA18" s="151"/>
      <c r="AB18" s="135"/>
      <c r="AC18" s="151"/>
      <c r="AE18" s="135"/>
      <c r="AF18" s="151"/>
    </row>
    <row r="19" spans="1:32" x14ac:dyDescent="0.2">
      <c r="A19" t="str">
        <f>name!A17</f>
        <v>Basic metals</v>
      </c>
      <c r="B19" s="151">
        <v>27.854999999989587</v>
      </c>
      <c r="C19" s="141">
        <v>9.0054352675504282E-2</v>
      </c>
      <c r="D19" s="165">
        <v>100</v>
      </c>
      <c r="E19" s="151">
        <v>33.922000000006818</v>
      </c>
      <c r="F19" s="141">
        <v>0.1021739755757894</v>
      </c>
      <c r="H19" s="151">
        <v>6.0670000000172291</v>
      </c>
      <c r="I19" s="141">
        <v>21.78064979364386</v>
      </c>
      <c r="K19" s="151">
        <v>2.0432567160084982</v>
      </c>
      <c r="L19" s="141">
        <v>7.3353319547990017</v>
      </c>
      <c r="N19" s="151">
        <v>0.27498394192814857</v>
      </c>
      <c r="O19" s="141">
        <v>0.98719778111021839</v>
      </c>
      <c r="Q19" s="151">
        <v>3.7487593420805823</v>
      </c>
      <c r="R19" s="141">
        <v>13.458120057734638</v>
      </c>
      <c r="S19" s="141"/>
      <c r="T19" s="162">
        <v>27.854999999989587</v>
      </c>
      <c r="U19" s="163">
        <v>33.922000000006818</v>
      </c>
      <c r="V19" s="169"/>
      <c r="Y19" s="135"/>
      <c r="Z19" s="151"/>
      <c r="AA19" s="151"/>
      <c r="AB19" s="135"/>
      <c r="AC19" s="151"/>
      <c r="AE19" s="135"/>
      <c r="AF19" s="151"/>
    </row>
    <row r="20" spans="1:32" x14ac:dyDescent="0.2">
      <c r="A20" t="str">
        <f>name!A18</f>
        <v>Metal products</v>
      </c>
      <c r="B20" s="151">
        <v>171.25499999999897</v>
      </c>
      <c r="C20" s="141">
        <v>0.55366211335304816</v>
      </c>
      <c r="D20" s="165">
        <v>100</v>
      </c>
      <c r="E20" s="151">
        <v>174.72100000005108</v>
      </c>
      <c r="F20" s="141">
        <v>0.52626434722537385</v>
      </c>
      <c r="H20" s="151">
        <v>3.4660000000520959</v>
      </c>
      <c r="I20" s="141">
        <v>2.0238825144095745</v>
      </c>
      <c r="K20" s="151">
        <v>12.562122739190956</v>
      </c>
      <c r="L20" s="141">
        <v>7.3353319547990026</v>
      </c>
      <c r="N20" s="151">
        <v>-0.62163202533603767</v>
      </c>
      <c r="O20" s="141">
        <v>-0.36298620497856493</v>
      </c>
      <c r="Q20" s="151">
        <v>-8.4744907138028225</v>
      </c>
      <c r="R20" s="141">
        <v>-4.9484632354108635</v>
      </c>
      <c r="S20" s="141"/>
      <c r="T20" s="162">
        <v>171.25499999999897</v>
      </c>
      <c r="U20" s="163">
        <v>174.72100000005108</v>
      </c>
      <c r="V20" s="169"/>
      <c r="Y20" s="135"/>
      <c r="Z20" s="151"/>
      <c r="AA20" s="151"/>
      <c r="AB20" s="135"/>
      <c r="AC20" s="151"/>
      <c r="AE20" s="135"/>
      <c r="AF20" s="151"/>
    </row>
    <row r="21" spans="1:32" x14ac:dyDescent="0.2">
      <c r="A21" t="str">
        <f>name!A19</f>
        <v>Computer, etc</v>
      </c>
      <c r="B21" s="151">
        <v>80.063999999999524</v>
      </c>
      <c r="C21" s="141">
        <v>0.25884443340923446</v>
      </c>
      <c r="D21" s="165">
        <v>100</v>
      </c>
      <c r="E21" s="151">
        <v>93.491000000027313</v>
      </c>
      <c r="F21" s="141">
        <v>0.28159740435578678</v>
      </c>
      <c r="H21" s="151">
        <v>13.427000000027794</v>
      </c>
      <c r="I21" s="141">
        <v>16.770333733048403</v>
      </c>
      <c r="K21" s="151">
        <v>5.8729601762902375</v>
      </c>
      <c r="L21" s="141">
        <v>7.3353319547990017</v>
      </c>
      <c r="N21" s="151">
        <v>0.51624557075223443</v>
      </c>
      <c r="O21" s="141">
        <v>0.64479113053586812</v>
      </c>
      <c r="Q21" s="151">
        <v>7.0377942529853215</v>
      </c>
      <c r="R21" s="141">
        <v>8.7902106477135344</v>
      </c>
      <c r="S21" s="141"/>
      <c r="T21" s="162">
        <v>80.063999999999524</v>
      </c>
      <c r="U21" s="163">
        <v>93.491000000027313</v>
      </c>
      <c r="V21" s="169"/>
      <c r="Y21" s="135"/>
      <c r="Z21" s="151"/>
      <c r="AA21" s="151"/>
      <c r="AB21" s="135"/>
      <c r="AC21" s="151"/>
      <c r="AE21" s="135"/>
      <c r="AF21" s="151"/>
    </row>
    <row r="22" spans="1:32" x14ac:dyDescent="0.2">
      <c r="A22" t="str">
        <f>name!A20</f>
        <v>Electrical equipment</v>
      </c>
      <c r="B22" s="151">
        <v>66.058000000045865</v>
      </c>
      <c r="C22" s="141">
        <v>0.21356346900178841</v>
      </c>
      <c r="D22" s="165">
        <v>100</v>
      </c>
      <c r="E22" s="151">
        <v>69.29699999994429</v>
      </c>
      <c r="F22" s="141">
        <v>0.20872442619740475</v>
      </c>
      <c r="H22" s="151">
        <v>3.2389999998984278</v>
      </c>
      <c r="I22" s="141">
        <v>4.9032668259653311</v>
      </c>
      <c r="K22" s="151">
        <v>4.845573582704489</v>
      </c>
      <c r="L22" s="141">
        <v>7.3353319547990017</v>
      </c>
      <c r="N22" s="151">
        <v>-0.10979376804513397</v>
      </c>
      <c r="O22" s="141">
        <v>-0.16620813231562828</v>
      </c>
      <c r="Q22" s="151">
        <v>-1.4967798147609273</v>
      </c>
      <c r="R22" s="141">
        <v>-2.2658569965180417</v>
      </c>
      <c r="S22" s="141"/>
      <c r="T22" s="162">
        <v>66.058000000045865</v>
      </c>
      <c r="U22" s="163">
        <v>69.29699999994429</v>
      </c>
      <c r="V22" s="169"/>
      <c r="Y22" s="135"/>
      <c r="Z22" s="151"/>
      <c r="AA22" s="151"/>
      <c r="AB22" s="135"/>
      <c r="AC22" s="151"/>
      <c r="AE22" s="135"/>
      <c r="AF22" s="151"/>
    </row>
    <row r="23" spans="1:32" x14ac:dyDescent="0.2">
      <c r="A23" t="str">
        <f>name!A21</f>
        <v>Machinery n.e.c.</v>
      </c>
      <c r="B23" s="151">
        <v>320.67900000022286</v>
      </c>
      <c r="C23" s="141">
        <v>1.036745279542592</v>
      </c>
      <c r="D23" s="165">
        <v>100</v>
      </c>
      <c r="E23" s="151">
        <v>294.9469999997628</v>
      </c>
      <c r="F23" s="141">
        <v>0.88838829002187569</v>
      </c>
      <c r="H23" s="151">
        <v>-25.732000000460072</v>
      </c>
      <c r="I23" s="141">
        <v>-8.0242236006854792</v>
      </c>
      <c r="K23" s="151">
        <v>23.522869159346239</v>
      </c>
      <c r="L23" s="141">
        <v>7.3353319547990017</v>
      </c>
      <c r="N23" s="151">
        <v>-3.366093988785714</v>
      </c>
      <c r="O23" s="141">
        <v>-1.0496770879238662</v>
      </c>
      <c r="Q23" s="151">
        <v>-45.888775171020598</v>
      </c>
      <c r="R23" s="141">
        <v>-14.309878467560615</v>
      </c>
      <c r="S23" s="141"/>
      <c r="T23" s="162">
        <v>320.67900000022286</v>
      </c>
      <c r="U23" s="163">
        <v>294.9469999997628</v>
      </c>
      <c r="V23" s="169"/>
      <c r="Y23" s="135"/>
      <c r="Z23" s="151"/>
      <c r="AA23" s="151"/>
      <c r="AB23" s="135"/>
      <c r="AC23" s="151"/>
      <c r="AE23" s="135"/>
      <c r="AF23" s="151"/>
    </row>
    <row r="24" spans="1:32" x14ac:dyDescent="0.2">
      <c r="A24" t="str">
        <f>name!A22</f>
        <v>Motor vehicles, etc</v>
      </c>
      <c r="B24" s="151">
        <v>140.47299999999331</v>
      </c>
      <c r="C24" s="141">
        <v>0.45414486029044115</v>
      </c>
      <c r="D24" s="165">
        <v>100</v>
      </c>
      <c r="E24" s="151">
        <v>162.91900000005276</v>
      </c>
      <c r="F24" s="141">
        <v>0.49071640607375983</v>
      </c>
      <c r="H24" s="151">
        <v>22.44600000005946</v>
      </c>
      <c r="I24" s="141">
        <v>15.97887138457962</v>
      </c>
      <c r="K24" s="151">
        <v>10.304160856864311</v>
      </c>
      <c r="L24" s="141">
        <v>7.3353319547990017</v>
      </c>
      <c r="N24" s="151">
        <v>0.82977728801001405</v>
      </c>
      <c r="O24" s="141">
        <v>0.59070233283980089</v>
      </c>
      <c r="Q24" s="151">
        <v>11.312061855185135</v>
      </c>
      <c r="R24" s="141">
        <v>8.0528370969408165</v>
      </c>
      <c r="S24" s="141"/>
      <c r="T24" s="162">
        <v>140.47299999999331</v>
      </c>
      <c r="U24" s="163">
        <v>162.91900000005276</v>
      </c>
      <c r="V24" s="169"/>
      <c r="Y24" s="135"/>
      <c r="Z24" s="151"/>
      <c r="AA24" s="151"/>
      <c r="AB24" s="135"/>
      <c r="AC24" s="151"/>
      <c r="AE24" s="135"/>
      <c r="AF24" s="151"/>
    </row>
    <row r="25" spans="1:32" x14ac:dyDescent="0.2">
      <c r="A25" t="str">
        <f>name!A23</f>
        <v>Other transport equipment</v>
      </c>
      <c r="B25" s="151">
        <v>67.744000000034035</v>
      </c>
      <c r="C25" s="141">
        <v>0.21901425480720543</v>
      </c>
      <c r="D25" s="165">
        <v>100</v>
      </c>
      <c r="E25" s="151">
        <v>77.434000000005142</v>
      </c>
      <c r="F25" s="141">
        <v>0.23323328886075737</v>
      </c>
      <c r="H25" s="151">
        <v>9.6899999999711</v>
      </c>
      <c r="I25" s="141">
        <v>14.303849787385202</v>
      </c>
      <c r="K25" s="151">
        <v>4.9692472794615323</v>
      </c>
      <c r="L25" s="141">
        <v>7.3353319547990017</v>
      </c>
      <c r="N25" s="151">
        <v>0.32261779649633304</v>
      </c>
      <c r="O25" s="141">
        <v>0.4762308049364829</v>
      </c>
      <c r="Q25" s="151">
        <v>4.3981349240132346</v>
      </c>
      <c r="R25" s="141">
        <v>6.4922870276497182</v>
      </c>
      <c r="S25" s="141"/>
      <c r="T25" s="162">
        <v>67.744000000034035</v>
      </c>
      <c r="U25" s="163">
        <v>77.434000000005142</v>
      </c>
      <c r="V25" s="169"/>
      <c r="Y25" s="135"/>
      <c r="Z25" s="151"/>
      <c r="AA25" s="151"/>
      <c r="AB25" s="135"/>
      <c r="AC25" s="151"/>
      <c r="AE25" s="135"/>
      <c r="AF25" s="151"/>
    </row>
    <row r="26" spans="1:32" x14ac:dyDescent="0.2">
      <c r="A26" t="str">
        <f>name!A24</f>
        <v>Furniture</v>
      </c>
      <c r="B26" s="151">
        <v>182.40299999999939</v>
      </c>
      <c r="C26" s="141">
        <v>0.58970325223751896</v>
      </c>
      <c r="D26" s="165">
        <v>100</v>
      </c>
      <c r="E26" s="151">
        <v>185.13999999993501</v>
      </c>
      <c r="F26" s="141">
        <v>0.55764665521169765</v>
      </c>
      <c r="H26" s="151">
        <v>2.7369999999356223</v>
      </c>
      <c r="I26" s="141">
        <v>1.5005235659148322</v>
      </c>
      <c r="K26" s="151">
        <v>13.379865545511977</v>
      </c>
      <c r="L26" s="141">
        <v>7.3353319547990017</v>
      </c>
      <c r="N26" s="151">
        <v>-0.727336938408782</v>
      </c>
      <c r="O26" s="141">
        <v>-0.39875272797529882</v>
      </c>
      <c r="Q26" s="151">
        <v>-9.9155286071675732</v>
      </c>
      <c r="R26" s="141">
        <v>-5.4360556609088704</v>
      </c>
      <c r="S26" s="141"/>
      <c r="T26" s="162">
        <v>182.40299999999939</v>
      </c>
      <c r="U26" s="163">
        <v>185.13999999993501</v>
      </c>
      <c r="V26" s="169"/>
      <c r="Y26" s="135"/>
      <c r="Z26" s="151"/>
      <c r="AA26" s="151"/>
      <c r="AB26" s="135"/>
      <c r="AC26" s="151"/>
      <c r="AE26" s="135"/>
      <c r="AF26" s="151"/>
    </row>
    <row r="27" spans="1:32" x14ac:dyDescent="0.2">
      <c r="A27" t="str">
        <f>name!A25</f>
        <v>Other manufacturing</v>
      </c>
      <c r="B27" s="151">
        <v>90.135000000064551</v>
      </c>
      <c r="C27" s="141">
        <v>0.29140366463526929</v>
      </c>
      <c r="D27" s="165">
        <v>100</v>
      </c>
      <c r="E27" s="151">
        <v>65.68600000003066</v>
      </c>
      <c r="F27" s="141">
        <v>0.19784799716034099</v>
      </c>
      <c r="H27" s="151">
        <v>-24.449000000033891</v>
      </c>
      <c r="I27" s="141">
        <v>-27.124868253193966</v>
      </c>
      <c r="K27" s="151">
        <v>6.6117014574628152</v>
      </c>
      <c r="L27" s="141">
        <v>7.3353319547990017</v>
      </c>
      <c r="N27" s="151">
        <v>-2.1226985726898846</v>
      </c>
      <c r="O27" s="141">
        <v>-2.3550214374974918</v>
      </c>
      <c r="Q27" s="151">
        <v>-28.938002884806821</v>
      </c>
      <c r="R27" s="141">
        <v>-32.105178770495471</v>
      </c>
      <c r="S27" s="141"/>
      <c r="T27" s="162">
        <v>90.135000000064551</v>
      </c>
      <c r="U27" s="163">
        <v>65.68600000003066</v>
      </c>
      <c r="V27" s="169"/>
      <c r="Y27" s="135"/>
      <c r="Z27" s="151"/>
      <c r="AA27" s="151"/>
      <c r="AB27" s="135"/>
      <c r="AC27" s="151"/>
      <c r="AE27" s="135"/>
      <c r="AF27" s="151"/>
    </row>
    <row r="28" spans="1:32" x14ac:dyDescent="0.2">
      <c r="A28" t="str">
        <f>name!A26</f>
        <v>Repair and installation</v>
      </c>
      <c r="B28" s="151">
        <v>65.316000000028879</v>
      </c>
      <c r="C28" s="141">
        <v>0.2111646059722864</v>
      </c>
      <c r="D28" s="165">
        <v>100</v>
      </c>
      <c r="E28" s="151">
        <v>58.65599999997378</v>
      </c>
      <c r="F28" s="141">
        <v>0.17667344824508047</v>
      </c>
      <c r="H28" s="151">
        <v>-6.6600000000551081</v>
      </c>
      <c r="I28" s="141">
        <v>-10.196582766936375</v>
      </c>
      <c r="K28" s="151">
        <v>4.7911454195986343</v>
      </c>
      <c r="L28" s="141">
        <v>7.3353319547990017</v>
      </c>
      <c r="N28" s="151">
        <v>-0.78257505134664118</v>
      </c>
      <c r="O28" s="141">
        <v>-1.1981368291786012</v>
      </c>
      <c r="Q28" s="151">
        <v>-10.668570368307101</v>
      </c>
      <c r="R28" s="141">
        <v>-16.333777892556778</v>
      </c>
      <c r="S28" s="141"/>
      <c r="T28" s="162">
        <v>65.316000000028879</v>
      </c>
      <c r="U28" s="163">
        <v>58.65599999997378</v>
      </c>
      <c r="V28" s="169"/>
      <c r="Y28" s="135"/>
      <c r="Z28" s="151"/>
      <c r="AA28" s="151"/>
      <c r="AB28" s="135"/>
      <c r="AC28" s="151"/>
      <c r="AE28" s="135"/>
      <c r="AF28" s="151"/>
    </row>
    <row r="29" spans="1:32" x14ac:dyDescent="0.2">
      <c r="A29" t="str">
        <f>name!A27</f>
        <v>Electricity, gas, etc</v>
      </c>
      <c r="B29" s="151">
        <v>217.60999999992853</v>
      </c>
      <c r="C29" s="141">
        <v>0.70352639331241695</v>
      </c>
      <c r="D29" s="165">
        <v>100</v>
      </c>
      <c r="E29" s="151">
        <v>203.759000000095</v>
      </c>
      <c r="F29" s="141">
        <v>0.61372758355500256</v>
      </c>
      <c r="H29" s="151">
        <v>-13.850999999833526</v>
      </c>
      <c r="I29" s="141">
        <v>-6.3650567528321655</v>
      </c>
      <c r="K29" s="151">
        <v>15.962415866832863</v>
      </c>
      <c r="L29" s="141">
        <v>7.3353319547990017</v>
      </c>
      <c r="N29" s="151">
        <v>-2.03745866440849</v>
      </c>
      <c r="O29" s="141">
        <v>-0.93628907881492551</v>
      </c>
      <c r="Q29" s="151">
        <v>-27.775957202257899</v>
      </c>
      <c r="R29" s="141">
        <v>-12.764099628816242</v>
      </c>
      <c r="S29" s="141"/>
      <c r="T29" s="162">
        <v>217.60999999992853</v>
      </c>
      <c r="U29" s="163">
        <v>203.759000000095</v>
      </c>
      <c r="V29" s="169"/>
      <c r="W29" s="140"/>
      <c r="Y29" s="135"/>
      <c r="Z29" s="151"/>
      <c r="AA29" s="151"/>
      <c r="AB29" s="135"/>
      <c r="AC29" s="151"/>
      <c r="AE29" s="135"/>
      <c r="AF29" s="151"/>
    </row>
    <row r="30" spans="1:32" x14ac:dyDescent="0.2">
      <c r="A30" t="str">
        <f>name!A28</f>
        <v>Water</v>
      </c>
      <c r="B30" s="151">
        <v>76.56499999997483</v>
      </c>
      <c r="C30" s="141">
        <v>0.24753227472986161</v>
      </c>
      <c r="D30" s="165">
        <v>100</v>
      </c>
      <c r="E30" s="151">
        <v>91.782000000042814</v>
      </c>
      <c r="F30" s="141">
        <v>0.27644985043038717</v>
      </c>
      <c r="H30" s="151">
        <v>15.217000000067987</v>
      </c>
      <c r="I30" s="141">
        <v>19.874616339153647</v>
      </c>
      <c r="K30" s="151">
        <v>5.616296911190009</v>
      </c>
      <c r="L30" s="141">
        <v>7.3353319547990017</v>
      </c>
      <c r="N30" s="151">
        <v>0.65611521270592732</v>
      </c>
      <c r="O30" s="141">
        <v>0.85693882675653765</v>
      </c>
      <c r="Q30" s="151">
        <v>8.9445878761720508</v>
      </c>
      <c r="R30" s="141">
        <v>11.682345557598108</v>
      </c>
      <c r="S30" s="141"/>
      <c r="T30" s="162">
        <v>76.56499999997483</v>
      </c>
      <c r="U30" s="163">
        <v>91.782000000042814</v>
      </c>
      <c r="V30" s="169"/>
      <c r="Y30" s="135"/>
      <c r="Z30" s="151"/>
      <c r="AA30" s="151"/>
      <c r="AB30" s="135"/>
      <c r="AC30" s="151"/>
      <c r="AE30" s="135"/>
      <c r="AF30" s="151"/>
    </row>
    <row r="31" spans="1:32" x14ac:dyDescent="0.2">
      <c r="A31" t="str">
        <f>name!A29</f>
        <v>Sewerage</v>
      </c>
      <c r="B31" s="151">
        <v>82.465999999925302</v>
      </c>
      <c r="C31" s="141">
        <v>0.266610025048795</v>
      </c>
      <c r="D31" s="165">
        <v>100</v>
      </c>
      <c r="E31" s="151">
        <v>87.377999999966974</v>
      </c>
      <c r="F31" s="141">
        <v>0.26318488408278279</v>
      </c>
      <c r="H31" s="151">
        <v>4.9120000000416617</v>
      </c>
      <c r="I31" s="141">
        <v>5.9563941503724092</v>
      </c>
      <c r="K31" s="151">
        <v>6.0491548498390655</v>
      </c>
      <c r="L31" s="141">
        <v>7.3353319547990017</v>
      </c>
      <c r="N31" s="151">
        <v>-7.7713537149029399E-2</v>
      </c>
      <c r="O31" s="141">
        <v>-9.4237063940411564E-2</v>
      </c>
      <c r="Q31" s="151">
        <v>-1.0594413126483744</v>
      </c>
      <c r="R31" s="141">
        <v>-1.284700740486181</v>
      </c>
      <c r="S31" s="141"/>
      <c r="T31" s="162">
        <v>82.465999999925302</v>
      </c>
      <c r="U31" s="163">
        <v>87.377999999966974</v>
      </c>
      <c r="V31" s="169"/>
      <c r="Y31" s="135"/>
      <c r="Z31" s="151"/>
      <c r="AA31" s="151"/>
      <c r="AB31" s="135"/>
      <c r="AC31" s="151"/>
      <c r="AE31" s="135"/>
      <c r="AF31" s="151"/>
    </row>
    <row r="32" spans="1:32" x14ac:dyDescent="0.2">
      <c r="A32" t="str">
        <f>name!A30</f>
        <v>Waste management</v>
      </c>
      <c r="B32" s="151">
        <v>32.932999999964288</v>
      </c>
      <c r="C32" s="141">
        <v>0.10647136947263597</v>
      </c>
      <c r="D32" s="165">
        <v>100</v>
      </c>
      <c r="E32" s="151">
        <v>34.895000000015962</v>
      </c>
      <c r="F32" s="141">
        <v>0.10510467772295519</v>
      </c>
      <c r="H32" s="151">
        <v>1.9620000000516737</v>
      </c>
      <c r="I32" s="141">
        <v>5.957550177796743</v>
      </c>
      <c r="K32" s="151">
        <v>2.4157448726713358</v>
      </c>
      <c r="L32" s="141">
        <v>7.3353319547990017</v>
      </c>
      <c r="N32" s="151">
        <v>-3.1009074112286816E-2</v>
      </c>
      <c r="O32" s="141">
        <v>-9.4158060645311514E-2</v>
      </c>
      <c r="Q32" s="151">
        <v>-0.42273579850737519</v>
      </c>
      <c r="R32" s="141">
        <v>-1.2836237163569477</v>
      </c>
      <c r="S32" s="141"/>
      <c r="T32" s="162">
        <v>32.932999999964288</v>
      </c>
      <c r="U32" s="163">
        <v>34.895000000015962</v>
      </c>
      <c r="V32" s="169"/>
      <c r="Y32" s="135"/>
      <c r="Z32" s="151"/>
      <c r="AA32" s="151"/>
      <c r="AB32" s="135"/>
      <c r="AC32" s="151"/>
      <c r="AE32" s="135"/>
      <c r="AF32" s="151"/>
    </row>
    <row r="33" spans="1:32" x14ac:dyDescent="0.2">
      <c r="A33" t="str">
        <f>name!A31</f>
        <v>Construction</v>
      </c>
      <c r="B33" s="151">
        <v>35.430000000000284</v>
      </c>
      <c r="C33" s="141">
        <v>0.11454409317157906</v>
      </c>
      <c r="D33" s="165">
        <v>100</v>
      </c>
      <c r="E33" s="151">
        <v>35.217999999995349</v>
      </c>
      <c r="F33" s="141">
        <v>0.10607756240277558</v>
      </c>
      <c r="H33" s="151">
        <v>-0.2120000000049331</v>
      </c>
      <c r="I33" s="141">
        <v>-0.59836296924903021</v>
      </c>
      <c r="K33" s="151">
        <v>2.598908111585307</v>
      </c>
      <c r="L33" s="141">
        <v>7.3353319547990017</v>
      </c>
      <c r="N33" s="151">
        <v>-0.19209838659309805</v>
      </c>
      <c r="O33" s="141">
        <v>-0.54219132541094139</v>
      </c>
      <c r="Q33" s="151">
        <v>-2.618809724997142</v>
      </c>
      <c r="R33" s="141">
        <v>-7.3915035986370903</v>
      </c>
      <c r="S33" s="141"/>
      <c r="T33" s="162">
        <v>35.430000000000284</v>
      </c>
      <c r="U33" s="163">
        <v>35.217999999995349</v>
      </c>
      <c r="V33" s="169"/>
      <c r="Y33" s="135"/>
      <c r="Z33" s="151"/>
      <c r="AA33" s="151"/>
      <c r="AB33" s="135"/>
      <c r="AC33" s="151"/>
      <c r="AE33" s="135"/>
      <c r="AF33" s="151"/>
    </row>
    <row r="34" spans="1:32" x14ac:dyDescent="0.2">
      <c r="A34" t="str">
        <f>name!A32</f>
        <v>Civil engineering</v>
      </c>
      <c r="B34" s="151">
        <v>145.50300000000124</v>
      </c>
      <c r="C34" s="141">
        <v>0.47040669457364592</v>
      </c>
      <c r="D34" s="165">
        <v>100</v>
      </c>
      <c r="E34" s="151">
        <v>144.62799999998086</v>
      </c>
      <c r="F34" s="141">
        <v>0.43562342254496622</v>
      </c>
      <c r="H34" s="151">
        <v>-0.8750000000203727</v>
      </c>
      <c r="I34" s="141">
        <v>-0.60136217124070657</v>
      </c>
      <c r="K34" s="151">
        <v>10.673128054191281</v>
      </c>
      <c r="L34" s="141">
        <v>7.3353319547990017</v>
      </c>
      <c r="N34" s="151">
        <v>-0.78920287654993049</v>
      </c>
      <c r="O34" s="141">
        <v>-0.54239629186334559</v>
      </c>
      <c r="Q34" s="151">
        <v>-10.758925177661723</v>
      </c>
      <c r="R34" s="141">
        <v>-7.3942978341763625</v>
      </c>
      <c r="S34" s="141"/>
      <c r="T34" s="162">
        <v>145.50300000000124</v>
      </c>
      <c r="U34" s="163">
        <v>144.62799999998086</v>
      </c>
      <c r="V34" s="169"/>
      <c r="Y34" s="135"/>
      <c r="Z34" s="151"/>
      <c r="AA34" s="151"/>
      <c r="AB34" s="135"/>
      <c r="AC34" s="151"/>
      <c r="AE34" s="135"/>
      <c r="AF34" s="151"/>
    </row>
    <row r="35" spans="1:32" x14ac:dyDescent="0.2">
      <c r="A35" t="str">
        <f>name!A33</f>
        <v>Specialised construction</v>
      </c>
      <c r="B35" s="151">
        <v>1697.6410000011963</v>
      </c>
      <c r="C35" s="141">
        <v>5.4884207980815161</v>
      </c>
      <c r="D35" s="165">
        <v>100</v>
      </c>
      <c r="E35" s="151">
        <v>1865.8430000002486</v>
      </c>
      <c r="F35" s="141">
        <v>5.619969256242106</v>
      </c>
      <c r="H35" s="151">
        <v>168.20199999905239</v>
      </c>
      <c r="I35" s="141">
        <v>9.9079840790210572</v>
      </c>
      <c r="K35" s="151">
        <v>124.52760275085707</v>
      </c>
      <c r="L35" s="141">
        <v>7.3353319547990017</v>
      </c>
      <c r="N35" s="151">
        <v>2.9847226994760661</v>
      </c>
      <c r="O35" s="141">
        <v>0.17581589390654223</v>
      </c>
      <c r="Q35" s="151">
        <v>40.689674548719267</v>
      </c>
      <c r="R35" s="141">
        <v>2.3968362303155142</v>
      </c>
      <c r="S35" s="141"/>
      <c r="T35" s="162">
        <v>1697.6410000011963</v>
      </c>
      <c r="U35" s="163">
        <v>1865.8430000002486</v>
      </c>
      <c r="V35" s="169"/>
      <c r="Y35" s="135"/>
      <c r="Z35" s="151"/>
      <c r="AA35" s="151"/>
      <c r="AB35" s="135"/>
      <c r="AC35" s="151"/>
      <c r="AE35" s="135"/>
      <c r="AF35" s="151"/>
    </row>
    <row r="36" spans="1:32" x14ac:dyDescent="0.2">
      <c r="A36" t="str">
        <f>name!A34</f>
        <v>Motor vehicle trade</v>
      </c>
      <c r="B36" s="151">
        <v>569.9599999994731</v>
      </c>
      <c r="C36" s="141">
        <v>1.842663035394082</v>
      </c>
      <c r="D36" s="165">
        <v>100</v>
      </c>
      <c r="E36" s="151">
        <v>641.79699999991612</v>
      </c>
      <c r="F36" s="141">
        <v>1.9331098108187363</v>
      </c>
      <c r="H36" s="151">
        <v>71.837000000443084</v>
      </c>
      <c r="I36" s="141">
        <v>12.603866938120129</v>
      </c>
      <c r="K36" s="151">
        <v>41.808458009533737</v>
      </c>
      <c r="L36" s="141">
        <v>7.3353319547990017</v>
      </c>
      <c r="N36" s="151">
        <v>2.0521604546274403</v>
      </c>
      <c r="O36" s="141">
        <v>0.36005341684141651</v>
      </c>
      <c r="Q36" s="151">
        <v>27.976381536281906</v>
      </c>
      <c r="R36" s="141">
        <v>4.9084815664797121</v>
      </c>
      <c r="S36" s="141"/>
      <c r="T36" s="162">
        <v>569.9599999994731</v>
      </c>
      <c r="U36" s="163">
        <v>641.79699999991612</v>
      </c>
      <c r="V36" s="169"/>
      <c r="Y36" s="135"/>
      <c r="Z36" s="151"/>
      <c r="AA36" s="151"/>
      <c r="AB36" s="135"/>
      <c r="AC36" s="151"/>
      <c r="AE36" s="135"/>
      <c r="AF36" s="151"/>
    </row>
    <row r="37" spans="1:32" x14ac:dyDescent="0.2">
      <c r="A37" t="str">
        <f>name!A35</f>
        <v>Wholesale trade</v>
      </c>
      <c r="B37" s="151">
        <v>1164.0059999989242</v>
      </c>
      <c r="C37" s="141">
        <v>3.7631953631428945</v>
      </c>
      <c r="D37" s="165">
        <v>100</v>
      </c>
      <c r="E37" s="151">
        <v>1232.8599999998389</v>
      </c>
      <c r="F37" s="141">
        <v>3.7134074502778711</v>
      </c>
      <c r="H37" s="151">
        <v>68.854000000914795</v>
      </c>
      <c r="I37" s="141">
        <v>5.9152616052647868</v>
      </c>
      <c r="K37" s="151">
        <v>85.383704073698738</v>
      </c>
      <c r="L37" s="141">
        <v>7.3353319547989999</v>
      </c>
      <c r="N37" s="151">
        <v>-1.1296454231819553</v>
      </c>
      <c r="O37" s="141">
        <v>-9.7048075627015618E-2</v>
      </c>
      <c r="Q37" s="151">
        <v>-15.400058649601988</v>
      </c>
      <c r="R37" s="141">
        <v>-1.3230222739071982</v>
      </c>
      <c r="S37" s="141"/>
      <c r="T37" s="162">
        <v>1164.0059999989242</v>
      </c>
      <c r="U37" s="163">
        <v>1232.8599999998389</v>
      </c>
      <c r="V37" s="169"/>
      <c r="Y37" s="135"/>
      <c r="Z37" s="151"/>
      <c r="AA37" s="151"/>
      <c r="AB37" s="135"/>
      <c r="AC37" s="151"/>
      <c r="AE37" s="135"/>
      <c r="AF37" s="151"/>
    </row>
    <row r="38" spans="1:32" x14ac:dyDescent="0.2">
      <c r="A38" t="str">
        <f>name!A36</f>
        <v>Retail trade</v>
      </c>
      <c r="B38" s="151">
        <v>3028.8189999972019</v>
      </c>
      <c r="C38" s="141">
        <v>9.7920780619679828</v>
      </c>
      <c r="D38" s="165">
        <v>100</v>
      </c>
      <c r="E38" s="151">
        <v>3261.3079999995739</v>
      </c>
      <c r="F38" s="141">
        <v>9.8231473361540029</v>
      </c>
      <c r="H38" s="151">
        <v>232.48900000237208</v>
      </c>
      <c r="I38" s="141">
        <v>7.675896116690593</v>
      </c>
      <c r="K38" s="151">
        <v>222.17392795981831</v>
      </c>
      <c r="L38" s="141">
        <v>7.3353319547990017</v>
      </c>
      <c r="N38" s="151">
        <v>0.70493542239819362</v>
      </c>
      <c r="O38" s="141">
        <v>2.3274267045962298E-2</v>
      </c>
      <c r="Q38" s="151">
        <v>9.610136620155572</v>
      </c>
      <c r="R38" s="141">
        <v>0.31728989484562958</v>
      </c>
      <c r="S38" s="141"/>
      <c r="T38" s="162">
        <v>3028.8189999972019</v>
      </c>
      <c r="U38" s="163">
        <v>3261.3079999995739</v>
      </c>
      <c r="V38" s="169"/>
      <c r="Y38" s="135"/>
      <c r="Z38" s="151"/>
      <c r="AA38" s="151"/>
      <c r="AB38" s="135"/>
      <c r="AC38" s="151"/>
      <c r="AE38" s="135"/>
      <c r="AF38" s="151"/>
    </row>
    <row r="39" spans="1:32" x14ac:dyDescent="0.2">
      <c r="A39" t="str">
        <f>name!A37</f>
        <v>Land transport, etc</v>
      </c>
      <c r="B39" s="151">
        <v>716.96500000073365</v>
      </c>
      <c r="C39" s="141">
        <v>2.3179256494734561</v>
      </c>
      <c r="D39" s="165">
        <v>100</v>
      </c>
      <c r="E39" s="151">
        <v>704.04699999997217</v>
      </c>
      <c r="F39" s="141">
        <v>2.1206084836445522</v>
      </c>
      <c r="H39" s="151">
        <v>-12.918000000761472</v>
      </c>
      <c r="I39" s="141">
        <v>-1.8017615923717691</v>
      </c>
      <c r="K39" s="151">
        <v>52.591762749778475</v>
      </c>
      <c r="L39" s="141">
        <v>7.3353319547990017</v>
      </c>
      <c r="N39" s="151">
        <v>-4.476958773069212</v>
      </c>
      <c r="O39" s="141">
        <v>-0.62443198385759846</v>
      </c>
      <c r="Q39" s="151">
        <v>-61.032803977470735</v>
      </c>
      <c r="R39" s="141">
        <v>-8.5126615633131717</v>
      </c>
      <c r="S39" s="141"/>
      <c r="T39" s="162">
        <v>716.96500000073365</v>
      </c>
      <c r="U39" s="163">
        <v>704.04699999997217</v>
      </c>
      <c r="V39" s="169"/>
      <c r="Y39" s="135"/>
      <c r="Z39" s="151"/>
      <c r="AA39" s="151"/>
      <c r="AB39" s="135"/>
      <c r="AC39" s="151"/>
      <c r="AE39" s="135"/>
      <c r="AF39" s="151"/>
    </row>
    <row r="40" spans="1:32" x14ac:dyDescent="0.2">
      <c r="A40" t="str">
        <f>name!A38</f>
        <v>Water transport</v>
      </c>
      <c r="B40" s="151">
        <v>18.247000000011084</v>
      </c>
      <c r="C40" s="141">
        <v>5.8991986116371888E-2</v>
      </c>
      <c r="D40" s="165">
        <v>100</v>
      </c>
      <c r="E40" s="151">
        <v>17.84799999999214</v>
      </c>
      <c r="F40" s="141">
        <v>5.3758655623946702E-2</v>
      </c>
      <c r="H40" s="151">
        <v>-0.39900000001894298</v>
      </c>
      <c r="I40" s="141">
        <v>-2.1866608210593554</v>
      </c>
      <c r="K40" s="151">
        <v>1.338478021792987</v>
      </c>
      <c r="L40" s="141">
        <v>7.3353319547990026</v>
      </c>
      <c r="N40" s="151">
        <v>-0.11873982054226906</v>
      </c>
      <c r="O40" s="141">
        <v>-0.65073612397762337</v>
      </c>
      <c r="Q40" s="151">
        <v>-1.6187382012696609</v>
      </c>
      <c r="R40" s="141">
        <v>-8.871256651880735</v>
      </c>
      <c r="S40" s="141"/>
      <c r="T40" s="162">
        <v>18.247000000011084</v>
      </c>
      <c r="U40" s="163">
        <v>17.84799999999214</v>
      </c>
      <c r="V40" s="169"/>
      <c r="Y40" s="135"/>
      <c r="Z40" s="151"/>
      <c r="AA40" s="151"/>
      <c r="AB40" s="135"/>
      <c r="AC40" s="151"/>
      <c r="AE40" s="135"/>
      <c r="AF40" s="151"/>
    </row>
    <row r="41" spans="1:32" x14ac:dyDescent="0.2">
      <c r="A41" t="str">
        <f>name!A39</f>
        <v>Air transport</v>
      </c>
      <c r="B41" s="151">
        <v>83.957000000060233</v>
      </c>
      <c r="C41" s="141">
        <v>0.2714303818914221</v>
      </c>
      <c r="D41" s="165">
        <v>100</v>
      </c>
      <c r="E41" s="151">
        <v>115.2650000001187</v>
      </c>
      <c r="F41" s="141">
        <v>0.34718127748225713</v>
      </c>
      <c r="H41" s="151">
        <v>31.30800000005847</v>
      </c>
      <c r="I41" s="141">
        <v>37.290517765089284</v>
      </c>
      <c r="K41" s="151">
        <v>6.1585246492950159</v>
      </c>
      <c r="L41" s="141">
        <v>7.3353319547990017</v>
      </c>
      <c r="N41" s="151">
        <v>1.7187234326956968</v>
      </c>
      <c r="O41" s="141">
        <v>2.0471472690716244</v>
      </c>
      <c r="Q41" s="151">
        <v>23.430751918067756</v>
      </c>
      <c r="R41" s="141">
        <v>27.908038541218655</v>
      </c>
      <c r="S41" s="141"/>
      <c r="T41" s="162">
        <v>83.957000000060233</v>
      </c>
      <c r="U41" s="163">
        <v>115.2650000001187</v>
      </c>
      <c r="V41" s="169"/>
      <c r="Y41" s="135"/>
      <c r="Z41" s="151"/>
      <c r="AA41" s="151"/>
      <c r="AB41" s="135"/>
      <c r="AC41" s="151"/>
      <c r="AE41" s="135"/>
      <c r="AF41" s="151"/>
    </row>
    <row r="42" spans="1:32" x14ac:dyDescent="0.2">
      <c r="A42" t="str">
        <f>name!A40</f>
        <v>Warehousing, etc</v>
      </c>
      <c r="B42" s="151">
        <v>340.75900000006266</v>
      </c>
      <c r="C42" s="141">
        <v>1.1016632979130954</v>
      </c>
      <c r="D42" s="165">
        <v>100</v>
      </c>
      <c r="E42" s="151">
        <v>336.28300000019055</v>
      </c>
      <c r="F42" s="141">
        <v>1.0128934328331394</v>
      </c>
      <c r="H42" s="151">
        <v>-4.4759999998720597</v>
      </c>
      <c r="I42" s="141">
        <v>-1.3135383070942328</v>
      </c>
      <c r="K42" s="151">
        <v>24.995803815858125</v>
      </c>
      <c r="L42" s="141">
        <v>7.3353319547990017</v>
      </c>
      <c r="N42" s="151">
        <v>-2.01411278427996</v>
      </c>
      <c r="O42" s="141">
        <v>-0.59106664366299633</v>
      </c>
      <c r="Q42" s="151">
        <v>-27.457691031450224</v>
      </c>
      <c r="R42" s="141">
        <v>-8.0578036182302366</v>
      </c>
      <c r="S42" s="141"/>
      <c r="T42" s="162">
        <v>340.75900000006266</v>
      </c>
      <c r="U42" s="163">
        <v>336.28300000019055</v>
      </c>
      <c r="V42" s="169"/>
      <c r="Y42" s="135"/>
      <c r="Z42" s="151"/>
      <c r="AA42" s="151"/>
      <c r="AB42" s="135"/>
      <c r="AC42" s="151"/>
      <c r="AE42" s="135"/>
      <c r="AF42" s="151"/>
    </row>
    <row r="43" spans="1:32" x14ac:dyDescent="0.2">
      <c r="A43" t="str">
        <f>name!A41</f>
        <v>Postal and courier</v>
      </c>
      <c r="B43" s="151">
        <v>325.27900000005985</v>
      </c>
      <c r="C43" s="141">
        <v>1.0516169371370201</v>
      </c>
      <c r="D43" s="165">
        <v>100</v>
      </c>
      <c r="E43" s="151">
        <v>535.52800000030322</v>
      </c>
      <c r="F43" s="141">
        <v>1.6130247270848221</v>
      </c>
      <c r="H43" s="151">
        <v>210.24900000024343</v>
      </c>
      <c r="I43" s="141">
        <v>64.63651204049593</v>
      </c>
      <c r="K43" s="151">
        <v>23.860294429255035</v>
      </c>
      <c r="L43" s="141">
        <v>7.3353319547990017</v>
      </c>
      <c r="N43" s="151">
        <v>12.737865557301006</v>
      </c>
      <c r="O43" s="141">
        <v>3.9159815288717268</v>
      </c>
      <c r="Q43" s="151">
        <v>173.6508400136874</v>
      </c>
      <c r="R43" s="141">
        <v>53.385198556825195</v>
      </c>
      <c r="S43" s="141"/>
      <c r="T43" s="162">
        <v>325.27900000005985</v>
      </c>
      <c r="U43" s="163">
        <v>535.52800000030322</v>
      </c>
      <c r="V43" s="169"/>
      <c r="Y43" s="135"/>
      <c r="Z43" s="151"/>
      <c r="AA43" s="151"/>
      <c r="AB43" s="135"/>
      <c r="AC43" s="151"/>
      <c r="AE43" s="135"/>
      <c r="AF43" s="151"/>
    </row>
    <row r="44" spans="1:32" x14ac:dyDescent="0.2">
      <c r="A44" t="str">
        <f>name!A42</f>
        <v>Accommodation</v>
      </c>
      <c r="B44" s="151">
        <v>2144.1589999988464</v>
      </c>
      <c r="C44" s="141">
        <v>6.9319996689400423</v>
      </c>
      <c r="D44" s="165">
        <v>100</v>
      </c>
      <c r="E44" s="151">
        <v>2258.3650000006869</v>
      </c>
      <c r="F44" s="141">
        <v>6.8022560683698323</v>
      </c>
      <c r="H44" s="151">
        <v>114.20600000184029</v>
      </c>
      <c r="I44" s="141">
        <v>5.3263773816168358</v>
      </c>
      <c r="K44" s="151">
        <v>157.28118028861411</v>
      </c>
      <c r="L44" s="141">
        <v>7.3353319547990017</v>
      </c>
      <c r="N44" s="151">
        <v>-2.9437720148788173</v>
      </c>
      <c r="O44" s="141">
        <v>-0.13729261751952168</v>
      </c>
      <c r="Q44" s="151">
        <v>-40.131408271894998</v>
      </c>
      <c r="R44" s="141">
        <v>-1.8716619556626439</v>
      </c>
      <c r="S44" s="141"/>
      <c r="T44" s="162">
        <v>2144.1589999988464</v>
      </c>
      <c r="U44" s="163">
        <v>2258.3650000006869</v>
      </c>
      <c r="V44" s="169"/>
      <c r="Y44" s="135"/>
      <c r="Z44" s="151"/>
      <c r="AA44" s="151"/>
      <c r="AB44" s="135"/>
      <c r="AC44" s="151"/>
      <c r="AE44" s="135"/>
      <c r="AF44" s="151"/>
    </row>
    <row r="45" spans="1:32" x14ac:dyDescent="0.2">
      <c r="A45" t="str">
        <f>name!A43</f>
        <v>Food and beverage services</v>
      </c>
      <c r="B45" s="151">
        <v>197.47100000001379</v>
      </c>
      <c r="C45" s="141">
        <v>0.63841762976817074</v>
      </c>
      <c r="D45" s="165">
        <v>100</v>
      </c>
      <c r="E45" s="151">
        <v>286.78200000015835</v>
      </c>
      <c r="F45" s="141">
        <v>0.86379509060746196</v>
      </c>
      <c r="H45" s="151">
        <v>89.311000000144531</v>
      </c>
      <c r="I45" s="141">
        <v>45.227400479127716</v>
      </c>
      <c r="K45" s="151">
        <v>14.485153364462148</v>
      </c>
      <c r="L45" s="141">
        <v>7.3353319547990017</v>
      </c>
      <c r="N45" s="151">
        <v>5.1136230156045031</v>
      </c>
      <c r="O45" s="141">
        <v>2.5895564491009546</v>
      </c>
      <c r="Q45" s="151">
        <v>69.712223620077879</v>
      </c>
      <c r="R45" s="141">
        <v>35.30251207522776</v>
      </c>
      <c r="S45" s="141"/>
      <c r="T45" s="162">
        <v>197.47100000001379</v>
      </c>
      <c r="U45" s="163">
        <v>286.78200000015835</v>
      </c>
      <c r="V45" s="169"/>
      <c r="Y45" s="135"/>
      <c r="Z45" s="151"/>
      <c r="AA45" s="151"/>
      <c r="AB45" s="135"/>
      <c r="AC45" s="151"/>
      <c r="AE45" s="135"/>
      <c r="AF45" s="151"/>
    </row>
    <row r="46" spans="1:32" x14ac:dyDescent="0.2">
      <c r="A46" t="str">
        <f>name!A44</f>
        <v>Publishing activities</v>
      </c>
      <c r="B46" s="151">
        <v>187.13600000001301</v>
      </c>
      <c r="C46" s="141">
        <v>0.60500489471515484</v>
      </c>
      <c r="D46" s="165">
        <v>100</v>
      </c>
      <c r="E46" s="151">
        <v>179.50800000009909</v>
      </c>
      <c r="F46" s="141">
        <v>0.54068291986513894</v>
      </c>
      <c r="H46" s="151">
        <v>-7.6279999999139108</v>
      </c>
      <c r="I46" s="141">
        <v>-4.076179890514589</v>
      </c>
      <c r="K46" s="151">
        <v>13.727046806933613</v>
      </c>
      <c r="L46" s="141">
        <v>7.3353319547990017</v>
      </c>
      <c r="N46" s="151">
        <v>-1.4594109356690108</v>
      </c>
      <c r="O46" s="141">
        <v>-0.77986647981623491</v>
      </c>
      <c r="Q46" s="151">
        <v>-19.895635871178513</v>
      </c>
      <c r="R46" s="141">
        <v>-10.631645365497354</v>
      </c>
      <c r="S46" s="141"/>
      <c r="T46" s="162">
        <v>187.13600000001301</v>
      </c>
      <c r="U46" s="162">
        <v>179.50800000009909</v>
      </c>
      <c r="V46" s="169"/>
      <c r="Y46" s="135"/>
      <c r="Z46" s="151"/>
      <c r="AA46" s="151"/>
      <c r="AB46" s="135"/>
      <c r="AC46" s="151"/>
      <c r="AE46" s="135"/>
      <c r="AF46" s="151"/>
    </row>
    <row r="47" spans="1:32" x14ac:dyDescent="0.2">
      <c r="A47" t="str">
        <f>name!A45</f>
        <v>Film and music</v>
      </c>
      <c r="B47" s="151">
        <v>199.87700000026544</v>
      </c>
      <c r="C47" s="141">
        <v>0.64619615328495417</v>
      </c>
      <c r="D47" s="165">
        <v>100</v>
      </c>
      <c r="E47" s="151">
        <v>198.79299999997147</v>
      </c>
      <c r="F47" s="141">
        <v>0.59876985810479655</v>
      </c>
      <c r="H47" s="151">
        <v>-1.0840000002939487</v>
      </c>
      <c r="I47" s="141">
        <v>-0.54233353527044592</v>
      </c>
      <c r="K47" s="151">
        <v>14.66164145131307</v>
      </c>
      <c r="L47" s="141">
        <v>7.3353319547990017</v>
      </c>
      <c r="N47" s="151">
        <v>-1.0760623252874428</v>
      </c>
      <c r="O47" s="141">
        <v>-0.53836225543009641</v>
      </c>
      <c r="Q47" s="151">
        <v>-14.669579126319576</v>
      </c>
      <c r="R47" s="141">
        <v>-7.3393032346393507</v>
      </c>
      <c r="S47" s="141"/>
      <c r="T47" s="162">
        <v>199.87700000026544</v>
      </c>
      <c r="U47" s="162">
        <v>198.79299999997147</v>
      </c>
      <c r="V47" s="169"/>
      <c r="Y47" s="135"/>
      <c r="Z47" s="135"/>
      <c r="AA47" s="135"/>
      <c r="AB47" s="135"/>
      <c r="AC47" s="135"/>
      <c r="AE47" s="135"/>
      <c r="AF47" s="151"/>
    </row>
    <row r="48" spans="1:32" x14ac:dyDescent="0.2">
      <c r="A48" t="str">
        <f>name!A46</f>
        <v>Broadcasting</v>
      </c>
      <c r="B48" s="151">
        <v>438.62000000015314</v>
      </c>
      <c r="C48" s="141">
        <v>1.4180448813698885</v>
      </c>
      <c r="D48" s="165">
        <v>100</v>
      </c>
      <c r="E48" s="151">
        <v>414.383999999926</v>
      </c>
      <c r="F48" s="141">
        <v>1.2481357436171761</v>
      </c>
      <c r="H48" s="151">
        <v>-24.236000000227126</v>
      </c>
      <c r="I48" s="141">
        <v>-5.525511832615627</v>
      </c>
      <c r="K48" s="151">
        <v>32.174233020150616</v>
      </c>
      <c r="L48" s="141">
        <v>7.3353319547990017</v>
      </c>
      <c r="N48" s="151">
        <v>-3.8550939128439801</v>
      </c>
      <c r="O48" s="141">
        <v>-0.87891430232151613</v>
      </c>
      <c r="Q48" s="151">
        <v>-52.555139107533762</v>
      </c>
      <c r="R48" s="141">
        <v>-11.981929485093113</v>
      </c>
      <c r="S48" s="141"/>
      <c r="T48" s="162">
        <v>438.62000000015314</v>
      </c>
      <c r="U48" s="162">
        <v>414.383999999926</v>
      </c>
      <c r="Y48" s="135"/>
      <c r="Z48" s="135"/>
      <c r="AA48" s="135"/>
      <c r="AB48" s="135"/>
      <c r="AC48" s="135"/>
      <c r="AE48" s="135"/>
    </row>
    <row r="49" spans="1:21" x14ac:dyDescent="0.2">
      <c r="A49" t="str">
        <f>name!A47</f>
        <v>Telecommunications</v>
      </c>
      <c r="B49" s="151">
        <v>613.98799999968332</v>
      </c>
      <c r="C49" s="141">
        <v>1.9850041963927363</v>
      </c>
      <c r="D49" s="165">
        <v>100</v>
      </c>
      <c r="E49" s="151">
        <v>538.85800000020777</v>
      </c>
      <c r="F49" s="141">
        <v>1.6230547765706296</v>
      </c>
      <c r="H49" s="151">
        <v>-75.129999999475544</v>
      </c>
      <c r="I49" s="141">
        <v>-12.236395499507205</v>
      </c>
      <c r="K49" s="151">
        <v>45.038057962608065</v>
      </c>
      <c r="L49" s="141">
        <v>7.3353319547990017</v>
      </c>
      <c r="N49" s="151">
        <v>-8.2123246787610498</v>
      </c>
      <c r="O49" s="141">
        <v>-1.3375383034791049</v>
      </c>
      <c r="Q49" s="151">
        <v>-111.95573328332256</v>
      </c>
      <c r="R49" s="141">
        <v>-18.234189150827103</v>
      </c>
      <c r="S49" s="141"/>
      <c r="T49" s="162">
        <v>613.98799999968332</v>
      </c>
      <c r="U49" s="162">
        <v>538.85800000020777</v>
      </c>
    </row>
    <row r="50" spans="1:21" x14ac:dyDescent="0.2">
      <c r="A50" t="str">
        <f>name!A48</f>
        <v>Computing services</v>
      </c>
      <c r="B50" s="151">
        <v>132.72299999993143</v>
      </c>
      <c r="C50" s="141">
        <v>0.42908935021178413</v>
      </c>
      <c r="D50" s="165">
        <v>100</v>
      </c>
      <c r="E50" s="151">
        <v>135.03200000005205</v>
      </c>
      <c r="F50" s="141">
        <v>0.40672001267474028</v>
      </c>
      <c r="H50" s="151">
        <v>2.3090000001206064</v>
      </c>
      <c r="I50" s="141">
        <v>1.7397135388152762</v>
      </c>
      <c r="K50" s="151">
        <v>9.7356726303628491</v>
      </c>
      <c r="L50" s="141">
        <v>7.3353319547990017</v>
      </c>
      <c r="N50" s="151">
        <v>-0.50754125477889156</v>
      </c>
      <c r="O50" s="141">
        <v>-0.38240640640970575</v>
      </c>
      <c r="Q50" s="151">
        <v>-6.9191313754633512</v>
      </c>
      <c r="R50" s="141">
        <v>-5.2132120095740202</v>
      </c>
      <c r="S50" s="141"/>
      <c r="T50" s="162">
        <v>132.72299999993143</v>
      </c>
      <c r="U50" s="162">
        <v>135.03200000005205</v>
      </c>
    </row>
    <row r="51" spans="1:21" x14ac:dyDescent="0.2">
      <c r="A51" t="str">
        <f>name!A49</f>
        <v>Information services</v>
      </c>
      <c r="B51" s="151">
        <v>312.76299999983866</v>
      </c>
      <c r="C51" s="141">
        <v>1.0111530966018576</v>
      </c>
      <c r="D51" s="165">
        <v>100</v>
      </c>
      <c r="E51" s="151">
        <v>502.44200000019339</v>
      </c>
      <c r="F51" s="141">
        <v>1.5133688059743005</v>
      </c>
      <c r="H51" s="151">
        <v>189.6790000003547</v>
      </c>
      <c r="I51" s="141">
        <v>60.646240124456078</v>
      </c>
      <c r="K51" s="151">
        <v>22.942204281776167</v>
      </c>
      <c r="L51" s="141">
        <v>7.3353319547990017</v>
      </c>
      <c r="N51" s="151">
        <v>11.394847562313828</v>
      </c>
      <c r="O51" s="141">
        <v>3.6432850312599978</v>
      </c>
      <c r="Q51" s="151">
        <v>155.34194815626472</v>
      </c>
      <c r="R51" s="141">
        <v>49.667623138397076</v>
      </c>
      <c r="S51" s="141"/>
      <c r="T51" s="162">
        <v>312.76299999983866</v>
      </c>
      <c r="U51" s="162">
        <v>502.44200000019339</v>
      </c>
    </row>
    <row r="52" spans="1:21" x14ac:dyDescent="0.2">
      <c r="A52" t="str">
        <f>name!A50</f>
        <v>Financial services</v>
      </c>
      <c r="B52" s="151">
        <v>548.61799999979723</v>
      </c>
      <c r="C52" s="141">
        <v>1.7736650100926228</v>
      </c>
      <c r="D52" s="165">
        <v>100</v>
      </c>
      <c r="E52" s="151">
        <v>580.38300000007268</v>
      </c>
      <c r="F52" s="141">
        <v>1.7481291924591382</v>
      </c>
      <c r="H52" s="151">
        <v>31.765000000275439</v>
      </c>
      <c r="I52" s="141">
        <v>5.7900032445685667</v>
      </c>
      <c r="K52" s="151">
        <v>40.242951463764314</v>
      </c>
      <c r="L52" s="141">
        <v>7.3353319547990017</v>
      </c>
      <c r="N52" s="151">
        <v>-0.57938599665903823</v>
      </c>
      <c r="O52" s="141">
        <v>-0.10560827327197655</v>
      </c>
      <c r="Q52" s="151">
        <v>-7.8985654668298366</v>
      </c>
      <c r="R52" s="141">
        <v>-1.4397204369584586</v>
      </c>
      <c r="S52" s="141"/>
      <c r="T52" s="162">
        <v>548.61799999979723</v>
      </c>
      <c r="U52" s="162">
        <v>580.38300000007268</v>
      </c>
    </row>
    <row r="53" spans="1:21" x14ac:dyDescent="0.2">
      <c r="A53" t="str">
        <f>name!A51</f>
        <v>Insurance and pensions</v>
      </c>
      <c r="B53" s="151">
        <v>1501.1650000006377</v>
      </c>
      <c r="C53" s="141">
        <v>4.8532199725087537</v>
      </c>
      <c r="D53" s="165">
        <v>100</v>
      </c>
      <c r="E53" s="151">
        <v>1898.5639999980804</v>
      </c>
      <c r="F53" s="141">
        <v>5.7185257875372297</v>
      </c>
      <c r="H53" s="151">
        <v>397.39899999744262</v>
      </c>
      <c r="I53" s="141">
        <v>26.472706198004467</v>
      </c>
      <c r="K53" s="151">
        <v>110.11543593930521</v>
      </c>
      <c r="L53" s="141">
        <v>7.3353319547990017</v>
      </c>
      <c r="N53" s="151">
        <v>19.633053433064049</v>
      </c>
      <c r="O53" s="141">
        <v>1.3078544619049677</v>
      </c>
      <c r="Q53" s="151">
        <v>267.65051062507337</v>
      </c>
      <c r="R53" s="141">
        <v>17.829519781300501</v>
      </c>
      <c r="S53" s="141"/>
      <c r="T53" s="162">
        <v>1501.1650000006377</v>
      </c>
      <c r="U53" s="162">
        <v>1898.5639999980804</v>
      </c>
    </row>
    <row r="54" spans="1:21" x14ac:dyDescent="0.2">
      <c r="A54" t="str">
        <f>name!A52</f>
        <v>Auxiliary financial services</v>
      </c>
      <c r="B54" s="151">
        <v>471.13500000027409</v>
      </c>
      <c r="C54" s="141">
        <v>1.5231648697833153</v>
      </c>
      <c r="D54" s="165">
        <v>100</v>
      </c>
      <c r="E54" s="151">
        <v>502.06400000003481</v>
      </c>
      <c r="F54" s="141">
        <v>1.5122302598159418</v>
      </c>
      <c r="H54" s="151">
        <v>30.928999999760709</v>
      </c>
      <c r="I54" s="141">
        <v>6.5647850403265977</v>
      </c>
      <c r="K54" s="151">
        <v>34.559316205262384</v>
      </c>
      <c r="L54" s="141">
        <v>7.3353319547990017</v>
      </c>
      <c r="N54" s="151">
        <v>-0.24809700574137494</v>
      </c>
      <c r="O54" s="141">
        <v>-5.2659430044728284E-2</v>
      </c>
      <c r="Q54" s="151">
        <v>-3.3822191997602999</v>
      </c>
      <c r="R54" s="141">
        <v>-0.71788748442767625</v>
      </c>
      <c r="S54" s="141"/>
      <c r="T54" s="162">
        <v>471.13500000027409</v>
      </c>
      <c r="U54" s="162">
        <v>502.06400000003481</v>
      </c>
    </row>
    <row r="55" spans="1:21" x14ac:dyDescent="0.2">
      <c r="A55" t="str">
        <f>name!A53</f>
        <v>Real estate</v>
      </c>
      <c r="B55" s="151">
        <v>106.49900000005229</v>
      </c>
      <c r="C55" s="141">
        <v>0.34430797004476121</v>
      </c>
      <c r="D55" s="165">
        <v>100</v>
      </c>
      <c r="E55" s="151">
        <v>125.1209999999075</v>
      </c>
      <c r="F55" s="141">
        <v>0.37686781433896366</v>
      </c>
      <c r="H55" s="151">
        <v>18.621999999855209</v>
      </c>
      <c r="I55" s="141">
        <v>17.485610193378402</v>
      </c>
      <c r="K55" s="151">
        <v>7.8120551785452239</v>
      </c>
      <c r="L55" s="141">
        <v>7.3353319547990017</v>
      </c>
      <c r="N55" s="151">
        <v>0.73875519116819888</v>
      </c>
      <c r="O55" s="141">
        <v>0.6936733595318606</v>
      </c>
      <c r="Q55" s="151">
        <v>10.071189630141788</v>
      </c>
      <c r="R55" s="141">
        <v>9.4566048790475428</v>
      </c>
      <c r="S55" s="141"/>
      <c r="T55" s="162">
        <v>106.49900000005229</v>
      </c>
      <c r="U55" s="162">
        <v>125.1209999999075</v>
      </c>
    </row>
    <row r="56" spans="1:21" x14ac:dyDescent="0.2">
      <c r="A56" t="str">
        <f>name!A54</f>
        <v>Legal and accounting</v>
      </c>
      <c r="B56" s="151">
        <v>216.71200000001988</v>
      </c>
      <c r="C56" s="141">
        <v>0.7006231871126537</v>
      </c>
      <c r="D56" s="165">
        <v>100</v>
      </c>
      <c r="E56" s="151">
        <v>307.62700000008448</v>
      </c>
      <c r="F56" s="141">
        <v>0.92658079076869526</v>
      </c>
      <c r="H56" s="151">
        <v>90.91500000006458</v>
      </c>
      <c r="I56" s="141">
        <v>41.951991583325444</v>
      </c>
      <c r="K56" s="151">
        <v>15.89654458588547</v>
      </c>
      <c r="L56" s="141">
        <v>7.3353319547990017</v>
      </c>
      <c r="N56" s="151">
        <v>5.1267859629951857</v>
      </c>
      <c r="O56" s="141">
        <v>2.3657139258530746</v>
      </c>
      <c r="Q56" s="151">
        <v>69.89166945118393</v>
      </c>
      <c r="R56" s="141">
        <v>32.25094570267337</v>
      </c>
      <c r="S56" s="141"/>
      <c r="T56" s="162">
        <v>216.71200000001988</v>
      </c>
      <c r="U56" s="162">
        <v>307.62700000008448</v>
      </c>
    </row>
    <row r="57" spans="1:21" ht="12.75" customHeight="1" x14ac:dyDescent="0.2">
      <c r="A57" t="str">
        <f>name!A55</f>
        <v>Head offices, etc</v>
      </c>
      <c r="B57" s="151">
        <v>488.51200000004457</v>
      </c>
      <c r="C57" s="141">
        <v>1.5793441728320374</v>
      </c>
      <c r="D57" s="165">
        <v>100</v>
      </c>
      <c r="E57" s="151">
        <v>554.93600000015249</v>
      </c>
      <c r="F57" s="141">
        <v>1.6714821446297523</v>
      </c>
      <c r="H57" s="151">
        <v>66.424000000107924</v>
      </c>
      <c r="I57" s="141">
        <v>13.597209485151206</v>
      </c>
      <c r="K57" s="151">
        <v>35.833976839030967</v>
      </c>
      <c r="L57" s="141">
        <v>7.3353319547990017</v>
      </c>
      <c r="N57" s="151">
        <v>2.0905322628152163</v>
      </c>
      <c r="O57" s="141">
        <v>0.42793877383053552</v>
      </c>
      <c r="Q57" s="151">
        <v>28.49949089826174</v>
      </c>
      <c r="R57" s="141">
        <v>5.83393875652167</v>
      </c>
      <c r="S57" s="141"/>
      <c r="T57" s="162">
        <v>488.51200000004457</v>
      </c>
      <c r="U57" s="162">
        <v>554.93600000015249</v>
      </c>
    </row>
    <row r="58" spans="1:21" x14ac:dyDescent="0.2">
      <c r="A58" t="str">
        <f>name!A56</f>
        <v>Architectural and related</v>
      </c>
      <c r="B58" s="151">
        <v>154.33900000012474</v>
      </c>
      <c r="C58" s="141">
        <v>0.49897320903252856</v>
      </c>
      <c r="D58" s="165">
        <v>100</v>
      </c>
      <c r="E58" s="151">
        <v>141.48199999997618</v>
      </c>
      <c r="F58" s="141">
        <v>0.42614758600343433</v>
      </c>
      <c r="H58" s="151">
        <v>-12.857000000148545</v>
      </c>
      <c r="I58" s="141">
        <v>-8.3303636800407901</v>
      </c>
      <c r="K58" s="151">
        <v>11.321277985726381</v>
      </c>
      <c r="L58" s="141">
        <v>7.3353319547990017</v>
      </c>
      <c r="N58" s="151">
        <v>-1.6523514847514473</v>
      </c>
      <c r="O58" s="141">
        <v>-1.0705988018259234</v>
      </c>
      <c r="Q58" s="151">
        <v>-22.525926501123479</v>
      </c>
      <c r="R58" s="141">
        <v>-14.595096833013868</v>
      </c>
      <c r="S58" s="141"/>
      <c r="T58" s="162">
        <v>154.33900000012474</v>
      </c>
      <c r="U58" s="162">
        <v>141.48199999997618</v>
      </c>
    </row>
    <row r="59" spans="1:21" x14ac:dyDescent="0.2">
      <c r="A59" t="str">
        <f>name!A57</f>
        <v>Scientific research and development</v>
      </c>
      <c r="B59" s="151">
        <v>945.30400000076372</v>
      </c>
      <c r="C59" s="141">
        <v>3.0561385676419133</v>
      </c>
      <c r="D59" s="165">
        <v>100</v>
      </c>
      <c r="E59" s="151">
        <v>1147.9249999998067</v>
      </c>
      <c r="F59" s="141">
        <v>3.4575809478449013</v>
      </c>
      <c r="H59" s="151">
        <v>202.62099999904308</v>
      </c>
      <c r="I59" s="141">
        <v>21.434480336365802</v>
      </c>
      <c r="K59" s="151">
        <v>69.341186382049173</v>
      </c>
      <c r="L59" s="141">
        <v>7.3353319547990017</v>
      </c>
      <c r="N59" s="151">
        <v>9.1083863807875787</v>
      </c>
      <c r="O59" s="141">
        <v>0.96354044633051583</v>
      </c>
      <c r="Q59" s="151">
        <v>124.17142723620634</v>
      </c>
      <c r="R59" s="141">
        <v>13.135607935236285</v>
      </c>
      <c r="S59" s="141"/>
      <c r="T59" s="162">
        <v>945.30400000076372</v>
      </c>
      <c r="U59" s="162">
        <v>1147.9249999998067</v>
      </c>
    </row>
    <row r="60" spans="1:21" x14ac:dyDescent="0.2">
      <c r="A60" t="str">
        <f>name!A58</f>
        <v>Advertising, etc</v>
      </c>
      <c r="B60" s="151">
        <v>116.95000000009452</v>
      </c>
      <c r="C60" s="141">
        <v>0.37809572950682724</v>
      </c>
      <c r="D60" s="165">
        <v>100</v>
      </c>
      <c r="E60" s="151">
        <v>118.9089999999799</v>
      </c>
      <c r="F60" s="141">
        <v>0.35815710340596213</v>
      </c>
      <c r="H60" s="151">
        <v>1.9589999998853891</v>
      </c>
      <c r="I60" s="141">
        <v>1.6750748181990645</v>
      </c>
      <c r="K60" s="151">
        <v>8.5786707211443645</v>
      </c>
      <c r="L60" s="141">
        <v>7.3353319547989999</v>
      </c>
      <c r="N60" s="151">
        <v>-0.45239047839668522</v>
      </c>
      <c r="O60" s="141">
        <v>-0.38682383787628871</v>
      </c>
      <c r="Q60" s="151">
        <v>-6.1672802428622902</v>
      </c>
      <c r="R60" s="141">
        <v>-5.2734332987236474</v>
      </c>
      <c r="S60" s="141"/>
      <c r="T60" s="162">
        <v>116.95000000009452</v>
      </c>
      <c r="U60" s="162">
        <v>118.9089999999799</v>
      </c>
    </row>
    <row r="61" spans="1:21" ht="12.75" customHeight="1" x14ac:dyDescent="0.2">
      <c r="A61" t="str">
        <f>name!A59</f>
        <v>Other professional</v>
      </c>
      <c r="B61" s="151">
        <v>1329.574000001074</v>
      </c>
      <c r="C61" s="141">
        <v>4.2984715815588732</v>
      </c>
      <c r="D61" s="165">
        <v>100</v>
      </c>
      <c r="E61" s="151">
        <v>1355.4139999997719</v>
      </c>
      <c r="F61" s="141">
        <v>4.0825433916346876</v>
      </c>
      <c r="H61" s="151">
        <v>25.839999998697778</v>
      </c>
      <c r="I61" s="141">
        <v>1.9434796407478565</v>
      </c>
      <c r="K61" s="151">
        <v>97.528666484778057</v>
      </c>
      <c r="L61" s="141">
        <v>7.3353319547990017</v>
      </c>
      <c r="N61" s="151">
        <v>-4.899227090420851</v>
      </c>
      <c r="O61" s="141">
        <v>-0.36848096385886708</v>
      </c>
      <c r="Q61" s="151">
        <v>-66.789439395659429</v>
      </c>
      <c r="R61" s="141">
        <v>-5.0233713501922779</v>
      </c>
      <c r="S61" s="141"/>
      <c r="T61" s="162">
        <v>1329.574000001074</v>
      </c>
      <c r="U61" s="162">
        <v>1355.4139999997719</v>
      </c>
    </row>
    <row r="62" spans="1:21" ht="12.75" customHeight="1" x14ac:dyDescent="0.2">
      <c r="A62" t="str">
        <f>name!A60</f>
        <v>Veterinary</v>
      </c>
      <c r="B62" s="151">
        <v>1373.6089999998901</v>
      </c>
      <c r="C62" s="141">
        <v>4.4408353733363164</v>
      </c>
      <c r="D62" s="165">
        <v>100</v>
      </c>
      <c r="E62" s="151">
        <v>1410.480000000412</v>
      </c>
      <c r="F62" s="141">
        <v>4.2484036634087783</v>
      </c>
      <c r="H62" s="151">
        <v>36.87100000052201</v>
      </c>
      <c r="I62" s="141">
        <v>2.6842427503405233</v>
      </c>
      <c r="K62" s="151">
        <v>100.75877991098696</v>
      </c>
      <c r="L62" s="141">
        <v>7.3353319547990017</v>
      </c>
      <c r="N62" s="151">
        <v>-4.366111931304566</v>
      </c>
      <c r="O62" s="141">
        <v>-0.31785696885393994</v>
      </c>
      <c r="Q62" s="151">
        <v>-59.521667979160384</v>
      </c>
      <c r="R62" s="141">
        <v>-4.3332322356045383</v>
      </c>
      <c r="S62" s="141"/>
      <c r="T62" s="162">
        <v>1373.6089999998901</v>
      </c>
      <c r="U62" s="162">
        <v>1410.480000000412</v>
      </c>
    </row>
    <row r="63" spans="1:21" x14ac:dyDescent="0.2">
      <c r="A63" t="str">
        <f>name!A61</f>
        <v>Rental and leasing</v>
      </c>
      <c r="B63" s="151">
        <v>2644.983000000736</v>
      </c>
      <c r="C63" s="141">
        <v>8.5511481566278444</v>
      </c>
      <c r="D63" s="165">
        <v>100</v>
      </c>
      <c r="E63" s="151">
        <v>2641.450000001309</v>
      </c>
      <c r="F63" s="141">
        <v>7.9561183829004314</v>
      </c>
      <c r="H63" s="151">
        <v>-3.5329999994267709</v>
      </c>
      <c r="I63" s="141">
        <v>-0.13357363731357774</v>
      </c>
      <c r="K63" s="151">
        <v>194.01828319805523</v>
      </c>
      <c r="L63" s="141">
        <v>7.3353319547989999</v>
      </c>
      <c r="N63" s="151">
        <v>-13.500719790574287</v>
      </c>
      <c r="O63" s="141">
        <v>-0.51042746930965266</v>
      </c>
      <c r="Q63" s="151">
        <v>-184.05056340690771</v>
      </c>
      <c r="R63" s="141">
        <v>-6.9584781228029264</v>
      </c>
      <c r="S63" s="141"/>
      <c r="T63" s="162">
        <v>2644.983000000736</v>
      </c>
      <c r="U63" s="162">
        <v>2641.450000001309</v>
      </c>
    </row>
    <row r="64" spans="1:21" x14ac:dyDescent="0.2">
      <c r="A64" t="str">
        <f>name!A62</f>
        <v>Employment activities</v>
      </c>
      <c r="B64" s="151">
        <v>2374.4340000002467</v>
      </c>
      <c r="C64" s="141">
        <v>7.6764716151789791</v>
      </c>
      <c r="D64" s="165">
        <v>100</v>
      </c>
      <c r="E64" s="151">
        <v>2612.1830000006412</v>
      </c>
      <c r="F64" s="141">
        <v>7.8679653924150754</v>
      </c>
      <c r="H64" s="151">
        <v>237.7490000003944</v>
      </c>
      <c r="I64" s="141">
        <v>10.012870435664656</v>
      </c>
      <c r="K64" s="151">
        <v>174.17261594763022</v>
      </c>
      <c r="L64" s="141">
        <v>7.3353319547990017</v>
      </c>
      <c r="N64" s="151">
        <v>4.3448310357788387</v>
      </c>
      <c r="O64" s="141">
        <v>0.18298386208159026</v>
      </c>
      <c r="Q64" s="151">
        <v>59.231553016985345</v>
      </c>
      <c r="R64" s="141">
        <v>2.4945546187840635</v>
      </c>
      <c r="S64" s="141"/>
      <c r="T64" s="162">
        <v>2374.4340000002467</v>
      </c>
      <c r="U64" s="162">
        <v>2612.1830000006412</v>
      </c>
    </row>
    <row r="65" spans="1:21" x14ac:dyDescent="0.2">
      <c r="A65" t="str">
        <f>name!A63</f>
        <v>Travel, etc</v>
      </c>
      <c r="B65" s="151">
        <v>1674.2150000001743</v>
      </c>
      <c r="C65" s="141">
        <v>5.4126852652913824</v>
      </c>
      <c r="D65" s="165">
        <v>100</v>
      </c>
      <c r="E65" s="151">
        <v>1674.3130000004107</v>
      </c>
      <c r="F65" s="141">
        <v>5.0430757493141405</v>
      </c>
      <c r="H65" s="151">
        <v>9.8000000236323159E-2</v>
      </c>
      <c r="I65" s="141">
        <v>5.8534895599617097E-3</v>
      </c>
      <c r="K65" s="151">
        <v>122.80922788705089</v>
      </c>
      <c r="L65" s="141">
        <v>7.3353319547990017</v>
      </c>
      <c r="N65" s="151">
        <v>-8.3861257494394739</v>
      </c>
      <c r="O65" s="141">
        <v>-0.50089897351526547</v>
      </c>
      <c r="Q65" s="151">
        <v>-114.3251021373751</v>
      </c>
      <c r="R65" s="141">
        <v>-6.8285794917237741</v>
      </c>
      <c r="S65" s="141"/>
      <c r="T65" s="162">
        <v>1674.2150000001743</v>
      </c>
      <c r="U65" s="162">
        <v>1674.3130000004107</v>
      </c>
    </row>
    <row r="66" spans="1:21" x14ac:dyDescent="0.2">
      <c r="A66" t="str">
        <f>name!A64</f>
        <v>Security, etc</v>
      </c>
      <c r="B66" s="151">
        <v>413.60599999980559</v>
      </c>
      <c r="C66" s="141">
        <v>1.3371753937426327</v>
      </c>
      <c r="D66" s="165">
        <v>100</v>
      </c>
      <c r="E66" s="151">
        <v>428.36800000013642</v>
      </c>
      <c r="F66" s="141">
        <v>1.2902559274056631</v>
      </c>
      <c r="H66" s="151">
        <v>14.762000000330852</v>
      </c>
      <c r="I66" s="141">
        <v>3.5690971601808945</v>
      </c>
      <c r="K66" s="151">
        <v>30.339373084951696</v>
      </c>
      <c r="L66" s="141">
        <v>7.3353319547990017</v>
      </c>
      <c r="N66" s="151">
        <v>-1.064562809640007</v>
      </c>
      <c r="O66" s="141">
        <v>-0.25738572690930678</v>
      </c>
      <c r="Q66" s="151">
        <v>-14.512810274980836</v>
      </c>
      <c r="R66" s="141">
        <v>-3.5088490677087996</v>
      </c>
      <c r="S66" s="141"/>
      <c r="T66" s="162">
        <v>413.60599999980559</v>
      </c>
      <c r="U66" s="162">
        <v>428.36800000013642</v>
      </c>
    </row>
    <row r="67" spans="1:21" x14ac:dyDescent="0.2">
      <c r="A67" t="str">
        <f>name!A65</f>
        <v>Services to buildings</v>
      </c>
      <c r="B67" s="151">
        <v>435.47399999979547</v>
      </c>
      <c r="C67" s="141">
        <v>1.4078739607613997</v>
      </c>
      <c r="D67" s="165">
        <v>100</v>
      </c>
      <c r="E67" s="151">
        <v>454.83400000014473</v>
      </c>
      <c r="F67" s="141">
        <v>1.3699722306185969</v>
      </c>
      <c r="H67" s="151">
        <v>19.360000000349245</v>
      </c>
      <c r="I67" s="141">
        <v>4.4457303996009729</v>
      </c>
      <c r="K67" s="151">
        <v>31.943463476826398</v>
      </c>
      <c r="L67" s="141">
        <v>7.3353319547990017</v>
      </c>
      <c r="N67" s="151">
        <v>-0.85995804046995161</v>
      </c>
      <c r="O67" s="141">
        <v>-0.19747632246020552</v>
      </c>
      <c r="Q67" s="151">
        <v>-11.723505436007201</v>
      </c>
      <c r="R67" s="141">
        <v>-2.6921252327378231</v>
      </c>
      <c r="S67" s="141"/>
      <c r="T67" s="162">
        <v>435.47399999979547</v>
      </c>
      <c r="U67" s="162">
        <v>454.83400000014473</v>
      </c>
    </row>
    <row r="68" spans="1:21" x14ac:dyDescent="0.2">
      <c r="A68" t="str">
        <f>name!A66</f>
        <v>Office administrative</v>
      </c>
      <c r="B68" s="151">
        <v>242.30100000016066</v>
      </c>
      <c r="C68" s="141">
        <v>0.78335163193861013</v>
      </c>
      <c r="D68" s="165">
        <v>100</v>
      </c>
      <c r="E68" s="151">
        <v>263.26700000002035</v>
      </c>
      <c r="F68" s="141">
        <v>0.79296727869547856</v>
      </c>
      <c r="H68" s="151">
        <v>20.965999999859719</v>
      </c>
      <c r="I68" s="141">
        <v>8.6528739047077057</v>
      </c>
      <c r="K68" s="151">
        <v>17.773582679809312</v>
      </c>
      <c r="L68" s="141">
        <v>7.3353319547990017</v>
      </c>
      <c r="N68" s="151">
        <v>0.2181708516137455</v>
      </c>
      <c r="O68" s="141">
        <v>9.0041251011593354E-2</v>
      </c>
      <c r="Q68" s="151">
        <v>2.974246468436661</v>
      </c>
      <c r="R68" s="141">
        <v>1.2275006988971109</v>
      </c>
      <c r="S68" s="141"/>
      <c r="T68" s="162">
        <v>242.30100000016066</v>
      </c>
      <c r="U68" s="162">
        <v>263.26700000002035</v>
      </c>
    </row>
    <row r="69" spans="1:21" x14ac:dyDescent="0.2">
      <c r="A69" t="str">
        <f>name!A67</f>
        <v>Public administration and defence</v>
      </c>
      <c r="B69" s="151">
        <v>90.647000000060117</v>
      </c>
      <c r="C69" s="141">
        <v>0.29305894478495426</v>
      </c>
      <c r="D69" s="165">
        <v>100</v>
      </c>
      <c r="E69" s="151">
        <v>97.768000000007532</v>
      </c>
      <c r="F69" s="141">
        <v>0.29447984329027005</v>
      </c>
      <c r="H69" s="151">
        <v>7.1209999999474238</v>
      </c>
      <c r="I69" s="141">
        <v>7.8557481217720406</v>
      </c>
      <c r="K69" s="151">
        <v>6.6492583570710604</v>
      </c>
      <c r="L69" s="141">
        <v>7.3353319547990017</v>
      </c>
      <c r="N69" s="151">
        <v>3.2238979321913774E-2</v>
      </c>
      <c r="O69" s="141">
        <v>3.5565412337851661E-2</v>
      </c>
      <c r="Q69" s="151">
        <v>0.43950266355444967</v>
      </c>
      <c r="R69" s="141">
        <v>0.48485075463518729</v>
      </c>
      <c r="S69" s="141"/>
      <c r="T69" s="162">
        <v>90.647000000060117</v>
      </c>
      <c r="U69" s="162">
        <v>97.768000000007532</v>
      </c>
    </row>
    <row r="70" spans="1:21" x14ac:dyDescent="0.2">
      <c r="A70" t="str">
        <f>name!A68</f>
        <v xml:space="preserve">Education </v>
      </c>
      <c r="B70" s="151">
        <v>541.20600000035859</v>
      </c>
      <c r="C70" s="141">
        <v>1.7497022435523057</v>
      </c>
      <c r="D70" s="165">
        <v>100</v>
      </c>
      <c r="E70" s="151">
        <v>583.72000000004539</v>
      </c>
      <c r="F70" s="141">
        <v>1.75818032613326</v>
      </c>
      <c r="H70" s="151">
        <v>42.513999999686845</v>
      </c>
      <c r="I70" s="141">
        <v>7.8554191933678998</v>
      </c>
      <c r="K70" s="151">
        <v>39.699256659315786</v>
      </c>
      <c r="L70" s="141">
        <v>7.3353319547990017</v>
      </c>
      <c r="N70" s="151">
        <v>0.19236048739177392</v>
      </c>
      <c r="O70" s="141">
        <v>3.5542933262315363E-2</v>
      </c>
      <c r="Q70" s="151">
        <v>2.6223828529792854</v>
      </c>
      <c r="R70" s="141">
        <v>0.48454430530658343</v>
      </c>
      <c r="S70" s="141"/>
      <c r="T70" s="162">
        <v>541.20600000035859</v>
      </c>
      <c r="U70" s="162">
        <v>583.72000000004539</v>
      </c>
    </row>
    <row r="71" spans="1:21" x14ac:dyDescent="0.2">
      <c r="A71" t="str">
        <f>name!A69</f>
        <v>Health</v>
      </c>
      <c r="B71" s="151">
        <v>89.69100000005939</v>
      </c>
      <c r="C71" s="141">
        <v>0.28996822638043518</v>
      </c>
      <c r="D71" s="165">
        <v>100</v>
      </c>
      <c r="E71" s="151">
        <v>93.170000000007207</v>
      </c>
      <c r="F71" s="141">
        <v>0.28063054372958912</v>
      </c>
      <c r="H71" s="151">
        <v>3.4789999999478169</v>
      </c>
      <c r="I71" s="141">
        <v>3.8788730195287302</v>
      </c>
      <c r="K71" s="151">
        <v>6.5791325835831289</v>
      </c>
      <c r="L71" s="141">
        <v>7.3353319547990017</v>
      </c>
      <c r="N71" s="151">
        <v>-0.21186408231755838</v>
      </c>
      <c r="O71" s="141">
        <v>-0.23621554260451783</v>
      </c>
      <c r="Q71" s="151">
        <v>-2.8882685013177536</v>
      </c>
      <c r="R71" s="141">
        <v>-3.2202433926657537</v>
      </c>
      <c r="S71" s="141"/>
      <c r="T71" s="162">
        <v>89.69100000005939</v>
      </c>
      <c r="U71" s="162">
        <v>93.170000000007207</v>
      </c>
    </row>
    <row r="72" spans="1:21" x14ac:dyDescent="0.2">
      <c r="A72" s="24" t="str">
        <f>name!A3</f>
        <v>All industries</v>
      </c>
      <c r="B72" s="152">
        <v>30931.320000000887</v>
      </c>
      <c r="C72" s="147">
        <v>100</v>
      </c>
      <c r="D72" s="197">
        <v>100</v>
      </c>
      <c r="E72" s="152">
        <v>33200.235000002089</v>
      </c>
      <c r="F72" s="147">
        <v>100</v>
      </c>
      <c r="G72" s="145"/>
      <c r="H72" s="152">
        <v>2268.9150000011996</v>
      </c>
      <c r="I72" s="147">
        <v>7.3353319547990017</v>
      </c>
      <c r="J72" s="145"/>
      <c r="K72" s="152">
        <v>2268.9150000011996</v>
      </c>
      <c r="L72" s="147">
        <v>7.3353319547990017</v>
      </c>
      <c r="M72" s="145"/>
      <c r="N72" s="152">
        <v>-2.5920599000528455E-11</v>
      </c>
      <c r="O72" s="147">
        <v>-8.3800494128694509E-14</v>
      </c>
      <c r="P72" s="145"/>
      <c r="Q72" s="152">
        <v>2.5963231564674061E-11</v>
      </c>
      <c r="R72" s="147">
        <v>2.7161651386449669E-13</v>
      </c>
      <c r="S72" s="147"/>
      <c r="T72" s="167">
        <v>30931.320000000887</v>
      </c>
      <c r="U72" s="167">
        <v>33200.235000002089</v>
      </c>
    </row>
    <row r="75" spans="1:21" x14ac:dyDescent="0.2">
      <c r="A75" s="170" t="s">
        <v>79</v>
      </c>
      <c r="B75" s="171"/>
      <c r="C75" s="171"/>
      <c r="D75" s="171"/>
      <c r="E75" s="171"/>
    </row>
    <row r="76" spans="1:21" x14ac:dyDescent="0.2">
      <c r="A76" s="389" t="s">
        <v>80</v>
      </c>
      <c r="B76" s="389"/>
      <c r="C76" s="389"/>
      <c r="D76" s="389"/>
      <c r="E76" s="389"/>
      <c r="F76" s="389"/>
      <c r="G76" s="389"/>
      <c r="H76" s="389"/>
      <c r="I76" s="389"/>
      <c r="J76" s="389"/>
      <c r="K76" s="389"/>
      <c r="L76" s="389"/>
      <c r="M76" s="389"/>
      <c r="N76" s="389"/>
      <c r="O76" s="389"/>
      <c r="P76" s="389"/>
      <c r="Q76" s="389"/>
      <c r="R76" s="389"/>
    </row>
    <row r="77" spans="1:21" x14ac:dyDescent="0.2">
      <c r="A77" s="389" t="s">
        <v>81</v>
      </c>
      <c r="B77" s="389"/>
      <c r="C77" s="389"/>
      <c r="D77" s="389"/>
      <c r="E77" s="389"/>
      <c r="F77" s="389"/>
      <c r="G77" s="389"/>
      <c r="H77" s="389"/>
      <c r="I77" s="389"/>
      <c r="J77" s="389"/>
      <c r="K77" s="389"/>
      <c r="L77" s="389"/>
      <c r="M77" s="389"/>
      <c r="N77" s="389"/>
      <c r="O77" s="389"/>
      <c r="P77" s="389"/>
      <c r="Q77" s="389"/>
      <c r="R77" s="389"/>
    </row>
    <row r="78" spans="1:21" x14ac:dyDescent="0.2">
      <c r="A78" s="389" t="s">
        <v>82</v>
      </c>
      <c r="B78" s="389"/>
      <c r="C78" s="389"/>
      <c r="D78" s="389"/>
      <c r="E78" s="389"/>
      <c r="F78" s="389"/>
      <c r="G78" s="389"/>
      <c r="H78" s="389"/>
      <c r="I78" s="389"/>
      <c r="J78" s="389"/>
      <c r="K78" s="389"/>
      <c r="L78" s="389"/>
      <c r="M78" s="389"/>
      <c r="N78" s="389"/>
      <c r="O78" s="389"/>
      <c r="P78" s="389"/>
      <c r="Q78" s="389"/>
      <c r="R78" s="389"/>
    </row>
    <row r="79" spans="1:21" x14ac:dyDescent="0.2">
      <c r="A79" s="389" t="s">
        <v>83</v>
      </c>
      <c r="B79" s="389"/>
      <c r="C79" s="389"/>
      <c r="D79" s="389"/>
      <c r="E79" s="389"/>
      <c r="F79" s="389"/>
      <c r="G79" s="389"/>
      <c r="H79" s="389"/>
      <c r="I79" s="389"/>
      <c r="J79" s="389"/>
      <c r="K79" s="389"/>
      <c r="L79" s="389"/>
      <c r="M79" s="389"/>
      <c r="N79" s="389"/>
      <c r="O79" s="389"/>
      <c r="P79" s="389"/>
      <c r="Q79" s="389"/>
      <c r="R79" s="389"/>
    </row>
    <row r="80" spans="1:21" x14ac:dyDescent="0.2">
      <c r="A80" s="389" t="s">
        <v>84</v>
      </c>
      <c r="B80" s="389"/>
      <c r="C80" s="389"/>
      <c r="D80" s="389"/>
      <c r="E80" s="389"/>
      <c r="F80" s="389"/>
      <c r="G80" s="389"/>
      <c r="H80" s="389"/>
      <c r="I80" s="389"/>
      <c r="J80" s="389"/>
      <c r="K80" s="389"/>
      <c r="L80" s="389"/>
      <c r="M80" s="389"/>
      <c r="N80" s="389"/>
      <c r="O80" s="389"/>
      <c r="P80" s="389"/>
      <c r="Q80" s="389"/>
      <c r="R80" s="389"/>
    </row>
    <row r="81" spans="1:18" x14ac:dyDescent="0.2">
      <c r="A81" s="389" t="s">
        <v>85</v>
      </c>
      <c r="B81" s="389"/>
      <c r="C81" s="389"/>
      <c r="D81" s="389"/>
      <c r="E81" s="389"/>
      <c r="F81" s="389"/>
      <c r="G81" s="389"/>
      <c r="H81" s="389"/>
      <c r="I81" s="389"/>
      <c r="J81" s="389"/>
      <c r="K81" s="389"/>
      <c r="L81" s="389"/>
      <c r="M81" s="389"/>
      <c r="N81" s="389"/>
      <c r="O81" s="389"/>
      <c r="P81" s="389"/>
      <c r="Q81" s="389"/>
      <c r="R81" s="389"/>
    </row>
  </sheetData>
  <mergeCells count="10">
    <mergeCell ref="A77:R77"/>
    <mergeCell ref="A78:R78"/>
    <mergeCell ref="A79:R79"/>
    <mergeCell ref="A80:R80"/>
    <mergeCell ref="A81:R81"/>
    <mergeCell ref="K2:R2"/>
    <mergeCell ref="K3:L3"/>
    <mergeCell ref="N3:O3"/>
    <mergeCell ref="Q3:R3"/>
    <mergeCell ref="A76:R76"/>
  </mergeCells>
  <pageMargins left="0.39370078740157483" right="0.39370078740157483" top="0.74803149606299213" bottom="0.74803149606299213" header="0.31496062992125984" footer="0.31496062992125984"/>
  <pageSetup paperSize="9" scale="61" orientation="landscape" r:id="rId1"/>
  <rowBreaks count="1" manualBreakCount="1">
    <brk id="34" max="16383" man="1"/>
  </rowBreaks>
  <colBreaks count="1" manualBreakCount="1">
    <brk id="24" max="1048575" man="1"/>
  </colBreaks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300-000000000000}">
  <sheetPr codeName="Sheet53"/>
  <dimension ref="A1:BH97"/>
  <sheetViews>
    <sheetView zoomScale="85" zoomScaleNormal="85" workbookViewId="0">
      <selection activeCell="A9" sqref="A9"/>
    </sheetView>
  </sheetViews>
  <sheetFormatPr defaultColWidth="9.140625" defaultRowHeight="12.75" x14ac:dyDescent="0.2"/>
  <cols>
    <col min="1" max="1" width="18.140625" style="91" customWidth="1"/>
    <col min="2" max="6" width="7.7109375" style="91" customWidth="1"/>
    <col min="7" max="7" width="3.5703125" style="91" customWidth="1"/>
    <col min="8" max="12" width="7.7109375" style="91" customWidth="1"/>
    <col min="13" max="13" width="3.5703125" style="91" customWidth="1"/>
    <col min="14" max="18" width="7.7109375" style="91" customWidth="1"/>
    <col min="19" max="19" width="3.5703125" style="91" customWidth="1"/>
    <col min="20" max="24" width="7.7109375" style="91" customWidth="1"/>
    <col min="25" max="16384" width="9.140625" style="91"/>
  </cols>
  <sheetData>
    <row r="1" spans="1:60" ht="15.75" x14ac:dyDescent="0.25">
      <c r="A1" s="19" t="str">
        <f>CONCATENATE("Basic Table 2a  Population by Gender, Age Group and ISCED Qualification, ",Info!B8,", ",$B$5,"-",$F$5)</f>
        <v>Basic Table 2a  Population by Gender, Age Group and ISCED Qualification, , 2008-2025</v>
      </c>
      <c r="P1" s="181" t="s">
        <v>111</v>
      </c>
      <c r="Y1" s="19" t="str">
        <f>CONCATENATE("Basic Table 2a  Population by Gender, Age Group and ISCED Qualification, ",Info!B8,", ",$B$5,"-",$F$5," (continued)")</f>
        <v>Basic Table 2a  Population by Gender, Age Group and ISCED Qualification, , 2008-2025 (continued)</v>
      </c>
      <c r="AQ1" s="19" t="str">
        <f>CONCATENATE("Basic Table 2a  Population by Gender, Age Group and ISCED Qualification, ",Info!B8,", ",$B$5,"-",$F$5, " (continued)")</f>
        <v>Basic Table 2a  Population by Gender, Age Group and ISCED Qualification, , 2008-2025 (continued)</v>
      </c>
    </row>
    <row r="2" spans="1:60" ht="12.75" customHeight="1" x14ac:dyDescent="0.2">
      <c r="W2" s="385" t="s">
        <v>13</v>
      </c>
      <c r="X2" s="385"/>
      <c r="AP2" s="121" t="s">
        <v>13</v>
      </c>
      <c r="BH2" s="121" t="s">
        <v>13</v>
      </c>
    </row>
    <row r="3" spans="1:60" x14ac:dyDescent="0.2">
      <c r="A3" s="118" t="s">
        <v>107</v>
      </c>
      <c r="B3" s="184" t="s">
        <v>124</v>
      </c>
      <c r="C3" s="184"/>
      <c r="D3" s="185"/>
      <c r="E3" s="184"/>
      <c r="F3" s="184"/>
      <c r="G3" s="118"/>
      <c r="H3" s="184" t="s">
        <v>52</v>
      </c>
      <c r="I3" s="184"/>
      <c r="J3" s="184"/>
      <c r="K3" s="184"/>
      <c r="L3" s="184"/>
      <c r="M3" s="118"/>
      <c r="N3" s="184" t="s">
        <v>53</v>
      </c>
      <c r="O3" s="184"/>
      <c r="P3" s="184"/>
      <c r="Q3" s="184"/>
      <c r="R3" s="184"/>
      <c r="S3" s="118"/>
      <c r="T3" s="390" t="s">
        <v>54</v>
      </c>
      <c r="U3" s="390"/>
      <c r="V3" s="390"/>
      <c r="W3" s="390"/>
      <c r="X3" s="390"/>
      <c r="Y3" s="118" t="s">
        <v>107</v>
      </c>
      <c r="Z3" s="390" t="s">
        <v>125</v>
      </c>
      <c r="AA3" s="390"/>
      <c r="AB3" s="390"/>
      <c r="AC3" s="390"/>
      <c r="AD3" s="390"/>
      <c r="AE3" s="118"/>
      <c r="AF3" s="184" t="s">
        <v>55</v>
      </c>
      <c r="AG3" s="184"/>
      <c r="AH3" s="184"/>
      <c r="AI3" s="184"/>
      <c r="AJ3" s="184"/>
      <c r="AK3" s="118"/>
      <c r="AL3" s="390" t="s">
        <v>56</v>
      </c>
      <c r="AM3" s="390"/>
      <c r="AN3" s="390"/>
      <c r="AO3" s="390"/>
      <c r="AP3" s="390"/>
      <c r="AQ3" s="118" t="s">
        <v>107</v>
      </c>
      <c r="AR3" s="390" t="s">
        <v>126</v>
      </c>
      <c r="AS3" s="390"/>
      <c r="AT3" s="390"/>
      <c r="AU3" s="390"/>
      <c r="AV3" s="390"/>
      <c r="AW3" s="118"/>
      <c r="AX3" s="184" t="s">
        <v>57</v>
      </c>
      <c r="AY3" s="184"/>
      <c r="AZ3" s="184"/>
      <c r="BA3" s="184"/>
      <c r="BB3" s="184"/>
      <c r="BC3" s="118"/>
      <c r="BD3" s="390" t="s">
        <v>58</v>
      </c>
      <c r="BE3" s="390"/>
      <c r="BF3" s="390"/>
      <c r="BG3" s="390"/>
      <c r="BH3" s="390"/>
    </row>
    <row r="4" spans="1:60" x14ac:dyDescent="0.2">
      <c r="A4" s="180" t="s">
        <v>110</v>
      </c>
      <c r="B4" s="186"/>
      <c r="C4" s="186"/>
      <c r="D4" s="186"/>
      <c r="E4" s="186"/>
      <c r="F4" s="186"/>
      <c r="G4" s="92"/>
      <c r="H4" s="186"/>
      <c r="I4" s="186"/>
      <c r="J4" s="186"/>
      <c r="K4" s="186"/>
      <c r="L4" s="186"/>
      <c r="M4" s="92"/>
      <c r="N4" s="186"/>
      <c r="O4" s="186"/>
      <c r="P4" s="186"/>
      <c r="Q4" s="186"/>
      <c r="R4" s="186"/>
      <c r="S4" s="92"/>
      <c r="T4" s="186"/>
      <c r="U4" s="186"/>
      <c r="V4" s="186"/>
      <c r="W4" s="186"/>
      <c r="X4" s="186"/>
      <c r="Y4" s="180" t="s">
        <v>110</v>
      </c>
      <c r="Z4" s="186"/>
      <c r="AA4" s="186"/>
      <c r="AB4" s="186"/>
      <c r="AC4" s="186"/>
      <c r="AD4" s="186"/>
      <c r="AE4" s="92"/>
      <c r="AF4" s="186"/>
      <c r="AG4" s="186"/>
      <c r="AH4" s="186"/>
      <c r="AI4" s="186"/>
      <c r="AJ4" s="186"/>
      <c r="AK4" s="92"/>
      <c r="AL4" s="186"/>
      <c r="AM4" s="186"/>
      <c r="AN4" s="186"/>
      <c r="AO4" s="186"/>
      <c r="AP4" s="186"/>
      <c r="AQ4" s="180" t="s">
        <v>110</v>
      </c>
      <c r="AR4" s="186"/>
      <c r="AS4" s="186"/>
      <c r="AT4" s="186"/>
      <c r="AU4" s="186"/>
      <c r="AV4" s="186"/>
      <c r="AW4" s="92"/>
      <c r="AX4" s="186"/>
      <c r="AY4" s="186"/>
      <c r="AZ4" s="186"/>
      <c r="BA4" s="186"/>
      <c r="BB4" s="186"/>
      <c r="BC4" s="92"/>
      <c r="BD4" s="186"/>
      <c r="BE4" s="186"/>
      <c r="BF4" s="186"/>
      <c r="BG4" s="186"/>
      <c r="BH4" s="186"/>
    </row>
    <row r="5" spans="1:60" x14ac:dyDescent="0.2">
      <c r="A5" s="179"/>
      <c r="B5" s="187">
        <v>2008</v>
      </c>
      <c r="C5" s="187">
        <v>2010</v>
      </c>
      <c r="D5" s="187">
        <v>2015</v>
      </c>
      <c r="E5" s="187">
        <v>2020</v>
      </c>
      <c r="F5" s="120">
        <v>2025</v>
      </c>
      <c r="G5" s="120"/>
      <c r="H5" s="120">
        <f>B5</f>
        <v>2008</v>
      </c>
      <c r="I5" s="120">
        <f>C5</f>
        <v>2010</v>
      </c>
      <c r="J5" s="120">
        <f>D5</f>
        <v>2015</v>
      </c>
      <c r="K5" s="120">
        <f>E5</f>
        <v>2020</v>
      </c>
      <c r="L5" s="120">
        <f>F5</f>
        <v>2025</v>
      </c>
      <c r="M5" s="120"/>
      <c r="N5" s="120">
        <f>B5</f>
        <v>2008</v>
      </c>
      <c r="O5" s="120">
        <f>C5</f>
        <v>2010</v>
      </c>
      <c r="P5" s="120">
        <f>D5</f>
        <v>2015</v>
      </c>
      <c r="Q5" s="120">
        <f>E5</f>
        <v>2020</v>
      </c>
      <c r="R5" s="120">
        <f>F5</f>
        <v>2025</v>
      </c>
      <c r="S5" s="120"/>
      <c r="T5" s="120">
        <f>B5</f>
        <v>2008</v>
      </c>
      <c r="U5" s="120">
        <f>C5</f>
        <v>2010</v>
      </c>
      <c r="V5" s="120">
        <f>D5</f>
        <v>2015</v>
      </c>
      <c r="W5" s="120">
        <f>E5</f>
        <v>2020</v>
      </c>
      <c r="X5" s="120">
        <f>F5</f>
        <v>2025</v>
      </c>
      <c r="Y5" s="179"/>
      <c r="Z5" s="187">
        <v>2008</v>
      </c>
      <c r="AA5" s="187">
        <v>2010</v>
      </c>
      <c r="AB5" s="187">
        <v>2012</v>
      </c>
      <c r="AC5" s="187">
        <v>2015</v>
      </c>
      <c r="AD5" s="180">
        <v>2020</v>
      </c>
      <c r="AE5" s="120"/>
      <c r="AF5" s="120">
        <f>Z5</f>
        <v>2008</v>
      </c>
      <c r="AG5" s="120">
        <f>AA5</f>
        <v>2010</v>
      </c>
      <c r="AH5" s="120">
        <f>AB5</f>
        <v>2012</v>
      </c>
      <c r="AI5" s="120">
        <f>AC5</f>
        <v>2015</v>
      </c>
      <c r="AJ5" s="120">
        <f>AD5</f>
        <v>2020</v>
      </c>
      <c r="AK5" s="120"/>
      <c r="AL5" s="120">
        <f>Z5</f>
        <v>2008</v>
      </c>
      <c r="AM5" s="120">
        <f>AA5</f>
        <v>2010</v>
      </c>
      <c r="AN5" s="120">
        <f>AB5</f>
        <v>2012</v>
      </c>
      <c r="AO5" s="120">
        <f>AC5</f>
        <v>2015</v>
      </c>
      <c r="AP5" s="120">
        <f>AD5</f>
        <v>2020</v>
      </c>
      <c r="AQ5" s="179"/>
      <c r="AR5" s="187">
        <v>2008</v>
      </c>
      <c r="AS5" s="187">
        <v>2010</v>
      </c>
      <c r="AT5" s="187">
        <v>2012</v>
      </c>
      <c r="AU5" s="187">
        <v>2015</v>
      </c>
      <c r="AV5" s="180">
        <v>2020</v>
      </c>
      <c r="AW5" s="120"/>
      <c r="AX5" s="120">
        <f>AR5</f>
        <v>2008</v>
      </c>
      <c r="AY5" s="120">
        <f>AS5</f>
        <v>2010</v>
      </c>
      <c r="AZ5" s="120">
        <f>AT5</f>
        <v>2012</v>
      </c>
      <c r="BA5" s="120">
        <f>AU5</f>
        <v>2015</v>
      </c>
      <c r="BB5" s="120">
        <f>AV5</f>
        <v>2020</v>
      </c>
      <c r="BC5" s="120"/>
      <c r="BD5" s="120">
        <f>AR5</f>
        <v>2008</v>
      </c>
      <c r="BE5" s="120">
        <f>AS5</f>
        <v>2010</v>
      </c>
      <c r="BF5" s="120">
        <f>AT5</f>
        <v>2012</v>
      </c>
      <c r="BG5" s="120">
        <f>AU5</f>
        <v>2015</v>
      </c>
      <c r="BH5" s="120">
        <f>AV5</f>
        <v>2020</v>
      </c>
    </row>
    <row r="6" spans="1:60" x14ac:dyDescent="0.2">
      <c r="A6" s="114" t="s">
        <v>106</v>
      </c>
      <c r="F6" s="188"/>
      <c r="G6" s="188"/>
      <c r="H6" s="188"/>
      <c r="I6" s="188"/>
      <c r="J6" s="188"/>
      <c r="K6" s="188"/>
      <c r="L6" s="188"/>
      <c r="M6" s="188"/>
      <c r="N6" s="188"/>
      <c r="O6" s="188"/>
      <c r="P6" s="188"/>
      <c r="Q6" s="188"/>
      <c r="R6" s="188"/>
      <c r="S6" s="188"/>
      <c r="Y6" s="114" t="str">
        <f>A6</f>
        <v>Males and females</v>
      </c>
      <c r="AD6" s="188"/>
      <c r="AE6" s="188"/>
      <c r="AF6" s="188"/>
      <c r="AG6" s="188"/>
      <c r="AH6" s="188"/>
      <c r="AI6" s="188"/>
      <c r="AJ6" s="188"/>
      <c r="AK6" s="188"/>
      <c r="AL6" s="188"/>
      <c r="AM6" s="188"/>
      <c r="AN6" s="188"/>
      <c r="AO6" s="188"/>
      <c r="AP6" s="188"/>
      <c r="AQ6" s="114" t="str">
        <f>A6</f>
        <v>Males and females</v>
      </c>
      <c r="AV6" s="188"/>
      <c r="AW6" s="188"/>
      <c r="AX6" s="188"/>
      <c r="AY6" s="188"/>
      <c r="AZ6" s="188"/>
      <c r="BA6" s="188"/>
      <c r="BB6" s="188"/>
      <c r="BC6" s="188"/>
      <c r="BD6" s="188"/>
      <c r="BE6" s="188"/>
      <c r="BF6" s="188"/>
      <c r="BG6" s="188"/>
      <c r="BH6" s="188"/>
    </row>
    <row r="7" spans="1:60" x14ac:dyDescent="0.2">
      <c r="A7" s="91" t="s">
        <v>123</v>
      </c>
      <c r="B7" s="189">
        <f>SUM(B21,B35)</f>
        <v>3459.4640427147242</v>
      </c>
      <c r="C7" s="189">
        <f t="shared" ref="C7:F7" si="0">SUM(C21,C35)</f>
        <v>3400.2899538632541</v>
      </c>
      <c r="D7" s="189">
        <f t="shared" si="0"/>
        <v>3045.4402650537522</v>
      </c>
      <c r="E7" s="189">
        <f t="shared" si="0"/>
        <v>2678.9714989136332</v>
      </c>
      <c r="F7" s="189">
        <f t="shared" si="0"/>
        <v>2317.0105072138758</v>
      </c>
      <c r="G7" s="188"/>
      <c r="H7" s="189">
        <f>SUM(H21,H35)</f>
        <v>1679.4259754428681</v>
      </c>
      <c r="I7" s="189">
        <f t="shared" ref="I7:L7" si="1">SUM(I21,I35)</f>
        <v>1648.317888485841</v>
      </c>
      <c r="J7" s="189">
        <f t="shared" si="1"/>
        <v>1477.7490935463652</v>
      </c>
      <c r="K7" s="189">
        <f t="shared" si="1"/>
        <v>1288.2296891194944</v>
      </c>
      <c r="L7" s="189">
        <f t="shared" si="1"/>
        <v>1088.2685344941576</v>
      </c>
      <c r="M7" s="188"/>
      <c r="N7" s="189">
        <f>SUM(N21,N35)</f>
        <v>1780.0380672718561</v>
      </c>
      <c r="O7" s="189">
        <f t="shared" ref="O7:R7" si="2">SUM(O21,O35)</f>
        <v>1751.9720653774136</v>
      </c>
      <c r="P7" s="189">
        <f t="shared" si="2"/>
        <v>1567.6911715073866</v>
      </c>
      <c r="Q7" s="189">
        <f t="shared" si="2"/>
        <v>1390.7418097941386</v>
      </c>
      <c r="R7" s="189">
        <f t="shared" si="2"/>
        <v>1228.7419727197182</v>
      </c>
      <c r="S7" s="188"/>
      <c r="T7" s="189">
        <f>SUM(T21,T35)</f>
        <v>0</v>
      </c>
      <c r="U7" s="189">
        <f t="shared" ref="U7:X7" si="3">SUM(U21,U35)</f>
        <v>0</v>
      </c>
      <c r="V7" s="189">
        <f t="shared" si="3"/>
        <v>0</v>
      </c>
      <c r="W7" s="189">
        <f t="shared" si="3"/>
        <v>0</v>
      </c>
      <c r="X7" s="189">
        <f t="shared" si="3"/>
        <v>0</v>
      </c>
      <c r="Y7" s="91" t="str">
        <f>A7</f>
        <v>15+</v>
      </c>
      <c r="Z7" s="189">
        <f>SUM(Z21,Z35)</f>
        <v>3091.791884793171</v>
      </c>
      <c r="AA7" s="189">
        <f t="shared" ref="AA7:AD7" si="4">SUM(AA21,AA35)</f>
        <v>3065.8806069644388</v>
      </c>
      <c r="AB7" s="189">
        <f t="shared" si="4"/>
        <v>3409.3013579609269</v>
      </c>
      <c r="AC7" s="189">
        <f t="shared" si="4"/>
        <v>3706.9349474249966</v>
      </c>
      <c r="AD7" s="189">
        <f t="shared" si="4"/>
        <v>4020.4986268054308</v>
      </c>
      <c r="AE7" s="188"/>
      <c r="AF7" s="189">
        <f>SUM(AF21,AF35)</f>
        <v>2927.4264642789112</v>
      </c>
      <c r="AG7" s="189">
        <f t="shared" ref="AG7:AJ7" si="5">SUM(AG21,AG35)</f>
        <v>2904.0501410418874</v>
      </c>
      <c r="AH7" s="189">
        <f t="shared" si="5"/>
        <v>3230.1495942820802</v>
      </c>
      <c r="AI7" s="189">
        <f t="shared" si="5"/>
        <v>3512.6427518955061</v>
      </c>
      <c r="AJ7" s="189">
        <f t="shared" si="5"/>
        <v>3811.1764268486331</v>
      </c>
      <c r="AK7" s="188"/>
      <c r="AL7" s="189">
        <f>SUM(AL21,AL35)</f>
        <v>164.36542051425988</v>
      </c>
      <c r="AM7" s="189">
        <f t="shared" ref="AM7:AP7" si="6">SUM(AM21,AM35)</f>
        <v>161.83046592255167</v>
      </c>
      <c r="AN7" s="189">
        <f t="shared" si="6"/>
        <v>179.15176367884681</v>
      </c>
      <c r="AO7" s="189">
        <f t="shared" si="6"/>
        <v>194.29219552948987</v>
      </c>
      <c r="AP7" s="189">
        <f t="shared" si="6"/>
        <v>209.3221999567977</v>
      </c>
      <c r="AQ7" s="91" t="str">
        <f>A7</f>
        <v>15+</v>
      </c>
      <c r="AR7" s="189">
        <f>SUM(AR21,AR35)</f>
        <v>2315.1550724921058</v>
      </c>
      <c r="AS7" s="189">
        <f t="shared" ref="AS7:AV7" si="7">SUM(AS21,AS35)</f>
        <v>2541.5004391723069</v>
      </c>
      <c r="AT7" s="189">
        <f t="shared" si="7"/>
        <v>2941.8093769853213</v>
      </c>
      <c r="AU7" s="189">
        <f t="shared" si="7"/>
        <v>3371.4645536613707</v>
      </c>
      <c r="AV7" s="189">
        <f t="shared" si="7"/>
        <v>3852.3018659806939</v>
      </c>
      <c r="AW7" s="188"/>
      <c r="AX7" s="189">
        <f>SUM(AX21,AX35)</f>
        <v>2273.2830854649774</v>
      </c>
      <c r="AY7" s="189">
        <f t="shared" ref="AY7:BB7" si="8">SUM(AY21,AY35)</f>
        <v>2495.5789443393905</v>
      </c>
      <c r="AZ7" s="189">
        <f t="shared" si="8"/>
        <v>2888.5095204216923</v>
      </c>
      <c r="BA7" s="189">
        <f t="shared" si="8"/>
        <v>3309.625834412429</v>
      </c>
      <c r="BB7" s="189">
        <f t="shared" si="8"/>
        <v>3780.5650780045271</v>
      </c>
      <c r="BC7" s="188"/>
      <c r="BD7" s="189">
        <f>SUM(BD21,BD35)</f>
        <v>41.87198702712827</v>
      </c>
      <c r="BE7" s="189">
        <f t="shared" ref="BE7:BH7" si="9">SUM(BE21,BE35)</f>
        <v>45.921494832916046</v>
      </c>
      <c r="BF7" s="189">
        <f t="shared" si="9"/>
        <v>53.299856563628751</v>
      </c>
      <c r="BG7" s="189">
        <f t="shared" si="9"/>
        <v>61.838719248942184</v>
      </c>
      <c r="BH7" s="189">
        <f t="shared" si="9"/>
        <v>71.736787976166625</v>
      </c>
    </row>
    <row r="8" spans="1:60" x14ac:dyDescent="0.2">
      <c r="A8" s="91" t="s">
        <v>113</v>
      </c>
      <c r="B8" s="189">
        <f t="shared" ref="B8:F18" si="10">SUM(B22,B36)</f>
        <v>501.63108046561928</v>
      </c>
      <c r="C8" s="189">
        <f t="shared" si="10"/>
        <v>493.36896304450306</v>
      </c>
      <c r="D8" s="189">
        <f t="shared" si="10"/>
        <v>467.66784217805935</v>
      </c>
      <c r="E8" s="189">
        <f t="shared" si="10"/>
        <v>467.57168305686275</v>
      </c>
      <c r="F8" s="189">
        <f t="shared" si="10"/>
        <v>503.21354379106839</v>
      </c>
      <c r="G8" s="188"/>
      <c r="H8" s="189">
        <f t="shared" ref="H8:L18" si="11">SUM(H22,H36)</f>
        <v>114.48583632559203</v>
      </c>
      <c r="I8" s="189">
        <f t="shared" si="11"/>
        <v>112.4668251880446</v>
      </c>
      <c r="J8" s="189">
        <f t="shared" si="11"/>
        <v>106.55167737427834</v>
      </c>
      <c r="K8" s="189">
        <f t="shared" si="11"/>
        <v>106.48887604298042</v>
      </c>
      <c r="L8" s="189">
        <f t="shared" si="11"/>
        <v>114.56799971676224</v>
      </c>
      <c r="M8" s="188"/>
      <c r="N8" s="189">
        <f t="shared" ref="N8:R18" si="12">SUM(N22,N36)</f>
        <v>387.14524414002727</v>
      </c>
      <c r="O8" s="189">
        <f t="shared" si="12"/>
        <v>380.90213785645847</v>
      </c>
      <c r="P8" s="189">
        <f t="shared" si="12"/>
        <v>361.11616480378109</v>
      </c>
      <c r="Q8" s="189">
        <f t="shared" si="12"/>
        <v>361.08280701388242</v>
      </c>
      <c r="R8" s="189">
        <f t="shared" si="12"/>
        <v>388.64554407430614</v>
      </c>
      <c r="S8" s="188"/>
      <c r="T8" s="189">
        <f t="shared" ref="T8:X18" si="13">SUM(T22,T36)</f>
        <v>0</v>
      </c>
      <c r="U8" s="189">
        <f t="shared" si="13"/>
        <v>0</v>
      </c>
      <c r="V8" s="189">
        <f t="shared" si="13"/>
        <v>0</v>
      </c>
      <c r="W8" s="189">
        <f t="shared" si="13"/>
        <v>0</v>
      </c>
      <c r="X8" s="189">
        <f t="shared" si="13"/>
        <v>0</v>
      </c>
      <c r="Y8" s="91" t="str">
        <f t="shared" ref="Y8:Y20" si="14">A8</f>
        <v>15-19</v>
      </c>
      <c r="Z8" s="189">
        <f t="shared" ref="Z8:AD18" si="15">SUM(Z22,Z36)</f>
        <v>150.08101199827104</v>
      </c>
      <c r="AA8" s="189">
        <f t="shared" si="15"/>
        <v>155.93795619324226</v>
      </c>
      <c r="AB8" s="189">
        <f t="shared" si="15"/>
        <v>164.99720704459003</v>
      </c>
      <c r="AC8" s="189">
        <f t="shared" si="15"/>
        <v>178.36278144057661</v>
      </c>
      <c r="AD8" s="189">
        <f t="shared" si="15"/>
        <v>207.50995998860915</v>
      </c>
      <c r="AE8" s="188"/>
      <c r="AF8" s="189">
        <f t="shared" ref="AF8:AJ18" si="16">SUM(AF22,AF36)</f>
        <v>147.86996763731275</v>
      </c>
      <c r="AG8" s="189">
        <f t="shared" si="16"/>
        <v>153.62639813852158</v>
      </c>
      <c r="AH8" s="189">
        <f t="shared" si="16"/>
        <v>162.54197557268748</v>
      </c>
      <c r="AI8" s="189">
        <f t="shared" si="16"/>
        <v>175.70743183187028</v>
      </c>
      <c r="AJ8" s="189">
        <f t="shared" si="16"/>
        <v>204.41892397369543</v>
      </c>
      <c r="AK8" s="188"/>
      <c r="AL8" s="189">
        <f t="shared" ref="AL8:AP18" si="17">SUM(AL22,AL36)</f>
        <v>2.2110443609582711</v>
      </c>
      <c r="AM8" s="189">
        <f t="shared" si="17"/>
        <v>2.3115580547206553</v>
      </c>
      <c r="AN8" s="189">
        <f t="shared" si="17"/>
        <v>2.4552314719025436</v>
      </c>
      <c r="AO8" s="189">
        <f t="shared" si="17"/>
        <v>2.6553496087063317</v>
      </c>
      <c r="AP8" s="189">
        <f t="shared" si="17"/>
        <v>3.0910360149137395</v>
      </c>
      <c r="AQ8" s="91" t="str">
        <f t="shared" ref="AQ8:AQ18" si="18">A8</f>
        <v>15-19</v>
      </c>
      <c r="AR8" s="189">
        <f t="shared" ref="AR8:AV18" si="19">SUM(AR22,AR36)</f>
        <v>0.60290753610971359</v>
      </c>
      <c r="AS8" s="189">
        <f t="shared" si="19"/>
        <v>1.3250807622546965</v>
      </c>
      <c r="AT8" s="189">
        <f t="shared" si="19"/>
        <v>1.9219507773505975</v>
      </c>
      <c r="AU8" s="189">
        <f t="shared" si="19"/>
        <v>1.9655355025605465</v>
      </c>
      <c r="AV8" s="189">
        <f t="shared" si="19"/>
        <v>2.1654962203224546</v>
      </c>
      <c r="AW8" s="188"/>
      <c r="AX8" s="189">
        <f t="shared" ref="AX8:BB18" si="20">SUM(AX22,AX36)</f>
        <v>0.54737466781637356</v>
      </c>
      <c r="AY8" s="189">
        <f t="shared" si="20"/>
        <v>1.2407671949430608</v>
      </c>
      <c r="AZ8" s="189">
        <f t="shared" si="20"/>
        <v>1.8657913659809988</v>
      </c>
      <c r="BA8" s="189">
        <f t="shared" si="20"/>
        <v>1.9082644770900146</v>
      </c>
      <c r="BB8" s="189">
        <f t="shared" si="20"/>
        <v>2.1026008851094398</v>
      </c>
      <c r="BC8" s="188"/>
      <c r="BD8" s="189">
        <f t="shared" ref="BD8:BH18" si="21">SUM(BD22,BD36)</f>
        <v>5.5532868293339949E-2</v>
      </c>
      <c r="BE8" s="189">
        <f t="shared" si="21"/>
        <v>8.4313567311635793E-2</v>
      </c>
      <c r="BF8" s="189">
        <f t="shared" si="21"/>
        <v>5.6159411369598657E-2</v>
      </c>
      <c r="BG8" s="189">
        <f t="shared" si="21"/>
        <v>5.7271025470531763E-2</v>
      </c>
      <c r="BH8" s="189">
        <f t="shared" si="21"/>
        <v>6.2895335213014894E-2</v>
      </c>
    </row>
    <row r="9" spans="1:60" x14ac:dyDescent="0.2">
      <c r="A9" s="91" t="s">
        <v>114</v>
      </c>
      <c r="B9" s="189">
        <f t="shared" si="10"/>
        <v>113.85056817629103</v>
      </c>
      <c r="C9" s="189">
        <f t="shared" si="10"/>
        <v>115.65112792404403</v>
      </c>
      <c r="D9" s="189">
        <f t="shared" si="10"/>
        <v>108.64656736044506</v>
      </c>
      <c r="E9" s="189">
        <f t="shared" si="10"/>
        <v>95.846387380896019</v>
      </c>
      <c r="F9" s="189">
        <f t="shared" si="10"/>
        <v>87.521667739268693</v>
      </c>
      <c r="G9" s="188"/>
      <c r="H9" s="189">
        <f t="shared" si="11"/>
        <v>36.71242366227203</v>
      </c>
      <c r="I9" s="189">
        <f t="shared" si="11"/>
        <v>37.140869961294854</v>
      </c>
      <c r="J9" s="189">
        <f t="shared" si="11"/>
        <v>34.405280511674597</v>
      </c>
      <c r="K9" s="189">
        <f t="shared" si="11"/>
        <v>30.323294922669287</v>
      </c>
      <c r="L9" s="189">
        <f t="shared" si="11"/>
        <v>27.681805786841899</v>
      </c>
      <c r="M9" s="188"/>
      <c r="N9" s="189">
        <f t="shared" si="12"/>
        <v>77.13814451401899</v>
      </c>
      <c r="O9" s="189">
        <f t="shared" si="12"/>
        <v>78.510257962749179</v>
      </c>
      <c r="P9" s="189">
        <f t="shared" si="12"/>
        <v>74.241286848770471</v>
      </c>
      <c r="Q9" s="189">
        <f t="shared" si="12"/>
        <v>65.523092458226728</v>
      </c>
      <c r="R9" s="189">
        <f t="shared" si="12"/>
        <v>59.839861952426787</v>
      </c>
      <c r="S9" s="188"/>
      <c r="T9" s="189">
        <f t="shared" si="13"/>
        <v>0</v>
      </c>
      <c r="U9" s="189">
        <f t="shared" si="13"/>
        <v>0</v>
      </c>
      <c r="V9" s="189">
        <f t="shared" si="13"/>
        <v>0</v>
      </c>
      <c r="W9" s="189">
        <f t="shared" si="13"/>
        <v>0</v>
      </c>
      <c r="X9" s="189">
        <f t="shared" si="13"/>
        <v>0</v>
      </c>
      <c r="Y9" s="91" t="str">
        <f t="shared" si="14"/>
        <v>20-24</v>
      </c>
      <c r="Z9" s="189">
        <f t="shared" si="15"/>
        <v>382.98069564153434</v>
      </c>
      <c r="AA9" s="189">
        <f t="shared" si="15"/>
        <v>394.35590193118628</v>
      </c>
      <c r="AB9" s="189">
        <f t="shared" si="15"/>
        <v>412.87076891444883</v>
      </c>
      <c r="AC9" s="189">
        <f t="shared" si="15"/>
        <v>399.37934349064994</v>
      </c>
      <c r="AD9" s="189">
        <f t="shared" si="15"/>
        <v>400.88677473503026</v>
      </c>
      <c r="AE9" s="188"/>
      <c r="AF9" s="189">
        <f t="shared" si="16"/>
        <v>363.98477719851724</v>
      </c>
      <c r="AG9" s="189">
        <f t="shared" si="16"/>
        <v>374.77312480698299</v>
      </c>
      <c r="AH9" s="189">
        <f t="shared" si="16"/>
        <v>392.37404871527087</v>
      </c>
      <c r="AI9" s="189">
        <f t="shared" si="16"/>
        <v>379.57670333802525</v>
      </c>
      <c r="AJ9" s="189">
        <f t="shared" si="16"/>
        <v>381.02605803364366</v>
      </c>
      <c r="AK9" s="188"/>
      <c r="AL9" s="189">
        <f t="shared" si="17"/>
        <v>18.995918443017182</v>
      </c>
      <c r="AM9" s="189">
        <f t="shared" si="17"/>
        <v>19.582777124203318</v>
      </c>
      <c r="AN9" s="189">
        <f t="shared" si="17"/>
        <v>20.49672019917795</v>
      </c>
      <c r="AO9" s="189">
        <f t="shared" si="17"/>
        <v>19.802640152624711</v>
      </c>
      <c r="AP9" s="189">
        <f t="shared" si="17"/>
        <v>19.860716701386607</v>
      </c>
      <c r="AQ9" s="91" t="str">
        <f t="shared" si="18"/>
        <v>20-24</v>
      </c>
      <c r="AR9" s="189">
        <f t="shared" si="19"/>
        <v>143.68473618217462</v>
      </c>
      <c r="AS9" s="189">
        <f t="shared" si="19"/>
        <v>150.71097014476959</v>
      </c>
      <c r="AT9" s="189">
        <f t="shared" si="19"/>
        <v>186.98366372510611</v>
      </c>
      <c r="AU9" s="189">
        <f t="shared" si="19"/>
        <v>201.56226912845403</v>
      </c>
      <c r="AV9" s="189">
        <f t="shared" si="19"/>
        <v>224.84155752570109</v>
      </c>
      <c r="AW9" s="188"/>
      <c r="AX9" s="189">
        <f t="shared" si="20"/>
        <v>143.33653114819879</v>
      </c>
      <c r="AY9" s="189">
        <f t="shared" si="20"/>
        <v>150.34362309651959</v>
      </c>
      <c r="AZ9" s="189">
        <f t="shared" si="20"/>
        <v>186.52415613000247</v>
      </c>
      <c r="BA9" s="189">
        <f t="shared" si="20"/>
        <v>201.06633972833936</v>
      </c>
      <c r="BB9" s="189">
        <f t="shared" si="20"/>
        <v>224.28837377749321</v>
      </c>
      <c r="BC9" s="188"/>
      <c r="BD9" s="189">
        <f t="shared" si="21"/>
        <v>0.34820503397584823</v>
      </c>
      <c r="BE9" s="189">
        <f t="shared" si="21"/>
        <v>0.36734704825001729</v>
      </c>
      <c r="BF9" s="189">
        <f t="shared" si="21"/>
        <v>0.4595075951036377</v>
      </c>
      <c r="BG9" s="189">
        <f t="shared" si="21"/>
        <v>0.49592940011468256</v>
      </c>
      <c r="BH9" s="189">
        <f t="shared" si="21"/>
        <v>0.55318374820788452</v>
      </c>
    </row>
    <row r="10" spans="1:60" x14ac:dyDescent="0.2">
      <c r="A10" s="91" t="s">
        <v>115</v>
      </c>
      <c r="B10" s="189">
        <f t="shared" si="10"/>
        <v>115.37907358541085</v>
      </c>
      <c r="C10" s="189">
        <f t="shared" si="10"/>
        <v>127.07460532220105</v>
      </c>
      <c r="D10" s="189">
        <f t="shared" si="10"/>
        <v>118.40314244947737</v>
      </c>
      <c r="E10" s="189">
        <f t="shared" si="10"/>
        <v>117.74066640587412</v>
      </c>
      <c r="F10" s="189">
        <f t="shared" si="10"/>
        <v>104.64926095222505</v>
      </c>
      <c r="G10" s="188"/>
      <c r="H10" s="189">
        <f t="shared" si="11"/>
        <v>40.798223765839786</v>
      </c>
      <c r="I10" s="189">
        <f t="shared" si="11"/>
        <v>45.065990030629422</v>
      </c>
      <c r="J10" s="189">
        <f t="shared" si="11"/>
        <v>41.916443930124132</v>
      </c>
      <c r="K10" s="189">
        <f t="shared" si="11"/>
        <v>41.603247748686108</v>
      </c>
      <c r="L10" s="189">
        <f t="shared" si="11"/>
        <v>36.975172705743539</v>
      </c>
      <c r="M10" s="188"/>
      <c r="N10" s="189">
        <f t="shared" si="12"/>
        <v>74.580849819571057</v>
      </c>
      <c r="O10" s="189">
        <f t="shared" si="12"/>
        <v>82.008615291571644</v>
      </c>
      <c r="P10" s="189">
        <f t="shared" si="12"/>
        <v>76.48669851935324</v>
      </c>
      <c r="Q10" s="189">
        <f t="shared" si="12"/>
        <v>76.137418657188022</v>
      </c>
      <c r="R10" s="189">
        <f t="shared" si="12"/>
        <v>67.674088246481503</v>
      </c>
      <c r="S10" s="188"/>
      <c r="T10" s="189">
        <f t="shared" si="13"/>
        <v>0</v>
      </c>
      <c r="U10" s="189">
        <f t="shared" si="13"/>
        <v>0</v>
      </c>
      <c r="V10" s="189">
        <f t="shared" si="13"/>
        <v>0</v>
      </c>
      <c r="W10" s="189">
        <f t="shared" si="13"/>
        <v>0</v>
      </c>
      <c r="X10" s="189">
        <f t="shared" si="13"/>
        <v>0</v>
      </c>
      <c r="Y10" s="91" t="str">
        <f t="shared" si="14"/>
        <v>25-29</v>
      </c>
      <c r="Z10" s="189">
        <f t="shared" si="15"/>
        <v>285.32401508902581</v>
      </c>
      <c r="AA10" s="189">
        <f t="shared" si="15"/>
        <v>266.19879984541552</v>
      </c>
      <c r="AB10" s="189">
        <f t="shared" si="15"/>
        <v>280.11568976670378</v>
      </c>
      <c r="AC10" s="189">
        <f t="shared" si="15"/>
        <v>295.3482302777582</v>
      </c>
      <c r="AD10" s="189">
        <f t="shared" si="15"/>
        <v>289.74487116781143</v>
      </c>
      <c r="AE10" s="188"/>
      <c r="AF10" s="189">
        <f t="shared" si="16"/>
        <v>264.71283723333693</v>
      </c>
      <c r="AG10" s="189">
        <f t="shared" si="16"/>
        <v>246.96600220301298</v>
      </c>
      <c r="AH10" s="189">
        <f t="shared" si="16"/>
        <v>260.0379790136522</v>
      </c>
      <c r="AI10" s="189">
        <f t="shared" si="16"/>
        <v>274.30243506375962</v>
      </c>
      <c r="AJ10" s="189">
        <f t="shared" si="16"/>
        <v>269.19630907068336</v>
      </c>
      <c r="AK10" s="188"/>
      <c r="AL10" s="189">
        <f t="shared" si="17"/>
        <v>20.611177855688922</v>
      </c>
      <c r="AM10" s="189">
        <f t="shared" si="17"/>
        <v>19.232797642402538</v>
      </c>
      <c r="AN10" s="189">
        <f t="shared" si="17"/>
        <v>20.077710753051615</v>
      </c>
      <c r="AO10" s="189">
        <f t="shared" si="17"/>
        <v>21.04579521399852</v>
      </c>
      <c r="AP10" s="189">
        <f t="shared" si="17"/>
        <v>20.548562097128041</v>
      </c>
      <c r="AQ10" s="91" t="str">
        <f t="shared" si="18"/>
        <v>25-29</v>
      </c>
      <c r="AR10" s="189">
        <f t="shared" si="19"/>
        <v>285.48891132556332</v>
      </c>
      <c r="AS10" s="189">
        <f t="shared" si="19"/>
        <v>298.43559483238334</v>
      </c>
      <c r="AT10" s="189">
        <f t="shared" si="19"/>
        <v>329.80716778381884</v>
      </c>
      <c r="AU10" s="189">
        <f t="shared" si="19"/>
        <v>365.58310331636773</v>
      </c>
      <c r="AV10" s="189">
        <f t="shared" si="19"/>
        <v>376.96286787996354</v>
      </c>
      <c r="AW10" s="188"/>
      <c r="AX10" s="189">
        <f t="shared" si="20"/>
        <v>282.70510559860855</v>
      </c>
      <c r="AY10" s="189">
        <f t="shared" si="20"/>
        <v>295.51880182634955</v>
      </c>
      <c r="AZ10" s="189">
        <f t="shared" si="20"/>
        <v>326.59395287550331</v>
      </c>
      <c r="BA10" s="189">
        <f t="shared" si="20"/>
        <v>362.02223728946319</v>
      </c>
      <c r="BB10" s="189">
        <f t="shared" si="20"/>
        <v>373.29368404794025</v>
      </c>
      <c r="BC10" s="188"/>
      <c r="BD10" s="189">
        <f t="shared" si="21"/>
        <v>2.7838057269548049</v>
      </c>
      <c r="BE10" s="189">
        <f t="shared" si="21"/>
        <v>2.916793006033831</v>
      </c>
      <c r="BF10" s="189">
        <f t="shared" si="21"/>
        <v>3.2132149083155843</v>
      </c>
      <c r="BG10" s="189">
        <f t="shared" si="21"/>
        <v>3.5608660269045256</v>
      </c>
      <c r="BH10" s="189">
        <f t="shared" si="21"/>
        <v>3.669183832023271</v>
      </c>
    </row>
    <row r="11" spans="1:60" x14ac:dyDescent="0.2">
      <c r="A11" s="91" t="s">
        <v>116</v>
      </c>
      <c r="B11" s="189">
        <f t="shared" si="10"/>
        <v>116.6348130799831</v>
      </c>
      <c r="C11" s="189">
        <f t="shared" si="10"/>
        <v>121.76030756867036</v>
      </c>
      <c r="D11" s="189">
        <f t="shared" si="10"/>
        <v>118.18823108583572</v>
      </c>
      <c r="E11" s="189">
        <f t="shared" si="10"/>
        <v>109.913241263863</v>
      </c>
      <c r="F11" s="189">
        <f t="shared" si="10"/>
        <v>93.676057480419587</v>
      </c>
      <c r="G11" s="188"/>
      <c r="H11" s="189">
        <f t="shared" si="11"/>
        <v>44.791528463722429</v>
      </c>
      <c r="I11" s="189">
        <f t="shared" si="11"/>
        <v>47.017124581566897</v>
      </c>
      <c r="J11" s="189">
        <f t="shared" si="11"/>
        <v>45.575297988406476</v>
      </c>
      <c r="K11" s="189">
        <f t="shared" si="11"/>
        <v>42.364426936905772</v>
      </c>
      <c r="L11" s="189">
        <f t="shared" si="11"/>
        <v>36.057194740501721</v>
      </c>
      <c r="M11" s="188"/>
      <c r="N11" s="189">
        <f t="shared" si="12"/>
        <v>71.843284616260675</v>
      </c>
      <c r="O11" s="189">
        <f t="shared" si="12"/>
        <v>74.743182987103467</v>
      </c>
      <c r="P11" s="189">
        <f t="shared" si="12"/>
        <v>72.612933097429249</v>
      </c>
      <c r="Q11" s="189">
        <f t="shared" si="12"/>
        <v>67.548814326957228</v>
      </c>
      <c r="R11" s="189">
        <f t="shared" si="12"/>
        <v>57.618862739917844</v>
      </c>
      <c r="S11" s="188"/>
      <c r="T11" s="189">
        <f t="shared" si="13"/>
        <v>0</v>
      </c>
      <c r="U11" s="189">
        <f t="shared" si="13"/>
        <v>0</v>
      </c>
      <c r="V11" s="189">
        <f t="shared" si="13"/>
        <v>0</v>
      </c>
      <c r="W11" s="189">
        <f t="shared" si="13"/>
        <v>0</v>
      </c>
      <c r="X11" s="189">
        <f t="shared" si="13"/>
        <v>0</v>
      </c>
      <c r="Y11" s="91" t="str">
        <f t="shared" si="14"/>
        <v>30-34</v>
      </c>
      <c r="Z11" s="189">
        <f t="shared" si="15"/>
        <v>275.1983307590632</v>
      </c>
      <c r="AA11" s="189">
        <f t="shared" si="15"/>
        <v>266.0829768237935</v>
      </c>
      <c r="AB11" s="189">
        <f t="shared" si="15"/>
        <v>285.51361958464611</v>
      </c>
      <c r="AC11" s="189">
        <f t="shared" si="15"/>
        <v>296.32015564557162</v>
      </c>
      <c r="AD11" s="189">
        <f t="shared" si="15"/>
        <v>317.88848271212305</v>
      </c>
      <c r="AE11" s="188"/>
      <c r="AF11" s="189">
        <f t="shared" si="16"/>
        <v>255.48717394280527</v>
      </c>
      <c r="AG11" s="189">
        <f t="shared" si="16"/>
        <v>247.06950912979124</v>
      </c>
      <c r="AH11" s="189">
        <f t="shared" si="16"/>
        <v>265.15360262399543</v>
      </c>
      <c r="AI11" s="189">
        <f t="shared" si="16"/>
        <v>275.24980054915358</v>
      </c>
      <c r="AJ11" s="189">
        <f t="shared" si="16"/>
        <v>295.36996417982152</v>
      </c>
      <c r="AK11" s="188"/>
      <c r="AL11" s="189">
        <f t="shared" si="17"/>
        <v>19.711156816257962</v>
      </c>
      <c r="AM11" s="189">
        <f t="shared" si="17"/>
        <v>19.01346769400228</v>
      </c>
      <c r="AN11" s="189">
        <f t="shared" si="17"/>
        <v>20.360016960650725</v>
      </c>
      <c r="AO11" s="189">
        <f t="shared" si="17"/>
        <v>21.070355096418023</v>
      </c>
      <c r="AP11" s="189">
        <f t="shared" si="17"/>
        <v>22.518518532301513</v>
      </c>
      <c r="AQ11" s="91" t="str">
        <f t="shared" si="18"/>
        <v>30-34</v>
      </c>
      <c r="AR11" s="189">
        <f t="shared" si="19"/>
        <v>294.76785616095367</v>
      </c>
      <c r="AS11" s="189">
        <f t="shared" si="19"/>
        <v>310.21271560753621</v>
      </c>
      <c r="AT11" s="189">
        <f t="shared" si="19"/>
        <v>340.70814932951816</v>
      </c>
      <c r="AU11" s="189">
        <f t="shared" si="19"/>
        <v>369.83560309056543</v>
      </c>
      <c r="AV11" s="189">
        <f t="shared" si="19"/>
        <v>418.22345980745735</v>
      </c>
      <c r="AW11" s="188"/>
      <c r="AX11" s="189">
        <f t="shared" si="20"/>
        <v>289.63080788660079</v>
      </c>
      <c r="AY11" s="189">
        <f t="shared" si="20"/>
        <v>304.79570037586518</v>
      </c>
      <c r="AZ11" s="189">
        <f t="shared" si="20"/>
        <v>334.81192752241731</v>
      </c>
      <c r="BA11" s="189">
        <f t="shared" si="20"/>
        <v>363.47263912244296</v>
      </c>
      <c r="BB11" s="189">
        <f t="shared" si="20"/>
        <v>411.01000020534735</v>
      </c>
      <c r="BC11" s="188"/>
      <c r="BD11" s="189">
        <f t="shared" si="21"/>
        <v>5.1370482743529013</v>
      </c>
      <c r="BE11" s="189">
        <f t="shared" si="21"/>
        <v>5.4170152316709643</v>
      </c>
      <c r="BF11" s="189">
        <f t="shared" si="21"/>
        <v>5.8962218071008108</v>
      </c>
      <c r="BG11" s="189">
        <f t="shared" si="21"/>
        <v>6.3629639681224219</v>
      </c>
      <c r="BH11" s="189">
        <f t="shared" si="21"/>
        <v>7.213459602110035</v>
      </c>
    </row>
    <row r="12" spans="1:60" x14ac:dyDescent="0.2">
      <c r="A12" s="91" t="s">
        <v>117</v>
      </c>
      <c r="B12" s="189">
        <f t="shared" si="10"/>
        <v>154.11214519557188</v>
      </c>
      <c r="C12" s="189">
        <f t="shared" si="10"/>
        <v>148.15717385227549</v>
      </c>
      <c r="D12" s="189">
        <f t="shared" si="10"/>
        <v>124.1637405731941</v>
      </c>
      <c r="E12" s="189">
        <f t="shared" si="10"/>
        <v>103.00106387667563</v>
      </c>
      <c r="F12" s="189">
        <f t="shared" si="10"/>
        <v>79.667767346824377</v>
      </c>
      <c r="G12" s="188"/>
      <c r="H12" s="189">
        <f t="shared" si="11"/>
        <v>56.003261702459064</v>
      </c>
      <c r="I12" s="189">
        <f t="shared" si="11"/>
        <v>53.61808406304786</v>
      </c>
      <c r="J12" s="189">
        <f t="shared" si="11"/>
        <v>44.946036484441635</v>
      </c>
      <c r="K12" s="189">
        <f t="shared" si="11"/>
        <v>37.289691972205802</v>
      </c>
      <c r="L12" s="189">
        <f t="shared" si="11"/>
        <v>28.798762169451095</v>
      </c>
      <c r="M12" s="188"/>
      <c r="N12" s="189">
        <f t="shared" si="12"/>
        <v>98.108883493112813</v>
      </c>
      <c r="O12" s="189">
        <f t="shared" si="12"/>
        <v>94.539089789227646</v>
      </c>
      <c r="P12" s="189">
        <f t="shared" si="12"/>
        <v>79.21770408875247</v>
      </c>
      <c r="Q12" s="189">
        <f t="shared" si="12"/>
        <v>65.711371904469829</v>
      </c>
      <c r="R12" s="189">
        <f t="shared" si="12"/>
        <v>50.869005177373282</v>
      </c>
      <c r="S12" s="188"/>
      <c r="T12" s="189">
        <f t="shared" si="13"/>
        <v>0</v>
      </c>
      <c r="U12" s="189">
        <f t="shared" si="13"/>
        <v>0</v>
      </c>
      <c r="V12" s="189">
        <f t="shared" si="13"/>
        <v>0</v>
      </c>
      <c r="W12" s="189">
        <f t="shared" si="13"/>
        <v>0</v>
      </c>
      <c r="X12" s="189">
        <f t="shared" si="13"/>
        <v>0</v>
      </c>
      <c r="Y12" s="91" t="str">
        <f t="shared" si="14"/>
        <v>35-39</v>
      </c>
      <c r="Z12" s="189">
        <f t="shared" si="15"/>
        <v>322.88579844316473</v>
      </c>
      <c r="AA12" s="189">
        <f t="shared" si="15"/>
        <v>287.4998240668773</v>
      </c>
      <c r="AB12" s="189">
        <f t="shared" si="15"/>
        <v>280.92839455401918</v>
      </c>
      <c r="AC12" s="189">
        <f t="shared" si="15"/>
        <v>299.54044624192568</v>
      </c>
      <c r="AD12" s="189">
        <f t="shared" si="15"/>
        <v>317.07239175090058</v>
      </c>
      <c r="AE12" s="188"/>
      <c r="AF12" s="189">
        <f t="shared" si="16"/>
        <v>303.37132132153579</v>
      </c>
      <c r="AG12" s="189">
        <f t="shared" si="16"/>
        <v>270.10893635844064</v>
      </c>
      <c r="AH12" s="189">
        <f t="shared" si="16"/>
        <v>263.99085237827694</v>
      </c>
      <c r="AI12" s="189">
        <f t="shared" si="16"/>
        <v>281.50570542953108</v>
      </c>
      <c r="AJ12" s="189">
        <f t="shared" si="16"/>
        <v>298.00980149252553</v>
      </c>
      <c r="AK12" s="188"/>
      <c r="AL12" s="189">
        <f t="shared" si="17"/>
        <v>19.514477121629021</v>
      </c>
      <c r="AM12" s="189">
        <f t="shared" si="17"/>
        <v>17.390887708436701</v>
      </c>
      <c r="AN12" s="189">
        <f t="shared" si="17"/>
        <v>16.937542175742227</v>
      </c>
      <c r="AO12" s="189">
        <f t="shared" si="17"/>
        <v>18.034740812394613</v>
      </c>
      <c r="AP12" s="189">
        <f t="shared" si="17"/>
        <v>19.062590258375032</v>
      </c>
      <c r="AQ12" s="91" t="str">
        <f t="shared" si="18"/>
        <v>35-39</v>
      </c>
      <c r="AR12" s="189">
        <f t="shared" si="19"/>
        <v>284.91205636126335</v>
      </c>
      <c r="AS12" s="189">
        <f t="shared" si="19"/>
        <v>312.0690020808471</v>
      </c>
      <c r="AT12" s="189">
        <f t="shared" si="19"/>
        <v>329.21186487278669</v>
      </c>
      <c r="AU12" s="189">
        <f t="shared" si="19"/>
        <v>370.51748988139866</v>
      </c>
      <c r="AV12" s="189">
        <f t="shared" si="19"/>
        <v>410.36684090227504</v>
      </c>
      <c r="AW12" s="188"/>
      <c r="AX12" s="189">
        <f t="shared" si="20"/>
        <v>279.90489605154085</v>
      </c>
      <c r="AY12" s="189">
        <f t="shared" si="20"/>
        <v>306.58743388534367</v>
      </c>
      <c r="AZ12" s="189">
        <f t="shared" si="20"/>
        <v>323.49821814056338</v>
      </c>
      <c r="BA12" s="189">
        <f t="shared" si="20"/>
        <v>364.11650308755236</v>
      </c>
      <c r="BB12" s="189">
        <f t="shared" si="20"/>
        <v>403.29145582426617</v>
      </c>
      <c r="BC12" s="188"/>
      <c r="BD12" s="189">
        <f t="shared" si="21"/>
        <v>5.0071603097225514</v>
      </c>
      <c r="BE12" s="189">
        <f t="shared" si="21"/>
        <v>5.4815681955034474</v>
      </c>
      <c r="BF12" s="189">
        <f t="shared" si="21"/>
        <v>5.7136467322232507</v>
      </c>
      <c r="BG12" s="189">
        <f t="shared" si="21"/>
        <v>6.4009867938463287</v>
      </c>
      <c r="BH12" s="189">
        <f t="shared" si="21"/>
        <v>7.0753850780088525</v>
      </c>
    </row>
    <row r="13" spans="1:60" x14ac:dyDescent="0.2">
      <c r="A13" s="91" t="s">
        <v>118</v>
      </c>
      <c r="B13" s="189">
        <f t="shared" si="10"/>
        <v>204.95472906429887</v>
      </c>
      <c r="C13" s="189">
        <f t="shared" si="10"/>
        <v>183.2736739920656</v>
      </c>
      <c r="D13" s="189">
        <f t="shared" si="10"/>
        <v>145.6109353666948</v>
      </c>
      <c r="E13" s="189">
        <f t="shared" si="10"/>
        <v>103.89159180775462</v>
      </c>
      <c r="F13" s="189">
        <f t="shared" si="10"/>
        <v>77.263056657170154</v>
      </c>
      <c r="G13" s="188"/>
      <c r="H13" s="189">
        <f t="shared" si="11"/>
        <v>75.043968155480954</v>
      </c>
      <c r="I13" s="189">
        <f t="shared" si="11"/>
        <v>66.962528106248641</v>
      </c>
      <c r="J13" s="189">
        <f t="shared" si="11"/>
        <v>53.205635957380473</v>
      </c>
      <c r="K13" s="189">
        <f t="shared" si="11"/>
        <v>37.898539746132187</v>
      </c>
      <c r="L13" s="189">
        <f t="shared" si="11"/>
        <v>28.104284599359445</v>
      </c>
      <c r="M13" s="188"/>
      <c r="N13" s="189">
        <f t="shared" si="12"/>
        <v>129.91076090881791</v>
      </c>
      <c r="O13" s="189">
        <f t="shared" si="12"/>
        <v>116.31114588581696</v>
      </c>
      <c r="P13" s="189">
        <f t="shared" si="12"/>
        <v>92.405299409314324</v>
      </c>
      <c r="Q13" s="189">
        <f t="shared" si="12"/>
        <v>65.993052061622421</v>
      </c>
      <c r="R13" s="189">
        <f t="shared" si="12"/>
        <v>49.158772057810708</v>
      </c>
      <c r="S13" s="188"/>
      <c r="T13" s="189">
        <f t="shared" si="13"/>
        <v>0</v>
      </c>
      <c r="U13" s="189">
        <f t="shared" si="13"/>
        <v>0</v>
      </c>
      <c r="V13" s="189">
        <f t="shared" si="13"/>
        <v>0</v>
      </c>
      <c r="W13" s="189">
        <f t="shared" si="13"/>
        <v>0</v>
      </c>
      <c r="X13" s="189">
        <f t="shared" si="13"/>
        <v>0</v>
      </c>
      <c r="Y13" s="91" t="str">
        <f t="shared" si="14"/>
        <v>40-44</v>
      </c>
      <c r="Z13" s="189">
        <f t="shared" si="15"/>
        <v>335.88123323100854</v>
      </c>
      <c r="AA13" s="189">
        <f t="shared" si="15"/>
        <v>312.92776503427081</v>
      </c>
      <c r="AB13" s="189">
        <f t="shared" si="15"/>
        <v>302.35363356602068</v>
      </c>
      <c r="AC13" s="189">
        <f t="shared" si="15"/>
        <v>306.64075194256282</v>
      </c>
      <c r="AD13" s="189">
        <f t="shared" si="15"/>
        <v>332.62704072525781</v>
      </c>
      <c r="AE13" s="188"/>
      <c r="AF13" s="189">
        <f t="shared" si="16"/>
        <v>318.57769939988361</v>
      </c>
      <c r="AG13" s="189">
        <f t="shared" si="16"/>
        <v>296.81769048378715</v>
      </c>
      <c r="AH13" s="189">
        <f t="shared" si="16"/>
        <v>286.81359197562756</v>
      </c>
      <c r="AI13" s="189">
        <f t="shared" si="16"/>
        <v>290.88951267461152</v>
      </c>
      <c r="AJ13" s="189">
        <f t="shared" si="16"/>
        <v>315.54744066806541</v>
      </c>
      <c r="AK13" s="188"/>
      <c r="AL13" s="189">
        <f t="shared" si="17"/>
        <v>17.303533831124952</v>
      </c>
      <c r="AM13" s="189">
        <f t="shared" si="17"/>
        <v>16.110074550483667</v>
      </c>
      <c r="AN13" s="189">
        <f t="shared" si="17"/>
        <v>15.540041590393106</v>
      </c>
      <c r="AO13" s="189">
        <f t="shared" si="17"/>
        <v>15.751239267951231</v>
      </c>
      <c r="AP13" s="189">
        <f t="shared" si="17"/>
        <v>17.079600057192419</v>
      </c>
      <c r="AQ13" s="91" t="str">
        <f t="shared" si="18"/>
        <v>40-44</v>
      </c>
      <c r="AR13" s="189">
        <f t="shared" si="19"/>
        <v>270.9300377046925</v>
      </c>
      <c r="AS13" s="189">
        <f t="shared" si="19"/>
        <v>293.55256097366362</v>
      </c>
      <c r="AT13" s="189">
        <f t="shared" si="19"/>
        <v>322.20043106728446</v>
      </c>
      <c r="AU13" s="189">
        <f t="shared" si="19"/>
        <v>339.66265624968264</v>
      </c>
      <c r="AV13" s="189">
        <f t="shared" si="19"/>
        <v>380.66890261757209</v>
      </c>
      <c r="AW13" s="188"/>
      <c r="AX13" s="189">
        <f t="shared" si="20"/>
        <v>266.38705152405146</v>
      </c>
      <c r="AY13" s="189">
        <f t="shared" si="20"/>
        <v>288.66110365884219</v>
      </c>
      <c r="AZ13" s="189">
        <f t="shared" si="20"/>
        <v>316.84860387450232</v>
      </c>
      <c r="BA13" s="189">
        <f t="shared" si="20"/>
        <v>334.03930780465259</v>
      </c>
      <c r="BB13" s="189">
        <f t="shared" si="20"/>
        <v>374.38350092432177</v>
      </c>
      <c r="BC13" s="188"/>
      <c r="BD13" s="189">
        <f t="shared" si="21"/>
        <v>4.5429861806410692</v>
      </c>
      <c r="BE13" s="189">
        <f t="shared" si="21"/>
        <v>4.8914573148213645</v>
      </c>
      <c r="BF13" s="189">
        <f t="shared" si="21"/>
        <v>5.3518271927821548</v>
      </c>
      <c r="BG13" s="189">
        <f t="shared" si="21"/>
        <v>5.6233484450300253</v>
      </c>
      <c r="BH13" s="189">
        <f t="shared" si="21"/>
        <v>6.2854016932503862</v>
      </c>
    </row>
    <row r="14" spans="1:60" x14ac:dyDescent="0.2">
      <c r="A14" s="91" t="s">
        <v>119</v>
      </c>
      <c r="B14" s="189">
        <f t="shared" si="10"/>
        <v>254.65884951398874</v>
      </c>
      <c r="C14" s="189">
        <f t="shared" si="10"/>
        <v>249.88437754828158</v>
      </c>
      <c r="D14" s="189">
        <f t="shared" si="10"/>
        <v>178.47858254526204</v>
      </c>
      <c r="E14" s="189">
        <f t="shared" si="10"/>
        <v>132.26113301280915</v>
      </c>
      <c r="F14" s="189">
        <f t="shared" si="10"/>
        <v>96.751846747388981</v>
      </c>
      <c r="G14" s="188"/>
      <c r="H14" s="189">
        <f t="shared" si="11"/>
        <v>97.081589333520498</v>
      </c>
      <c r="I14" s="189">
        <f t="shared" si="11"/>
        <v>95.255541277602333</v>
      </c>
      <c r="J14" s="189">
        <f t="shared" si="11"/>
        <v>67.471423380418784</v>
      </c>
      <c r="K14" s="189">
        <f t="shared" si="11"/>
        <v>49.673795228067675</v>
      </c>
      <c r="L14" s="189">
        <f t="shared" si="11"/>
        <v>36.08222161527133</v>
      </c>
      <c r="M14" s="188"/>
      <c r="N14" s="189">
        <f t="shared" si="12"/>
        <v>157.57726018046827</v>
      </c>
      <c r="O14" s="189">
        <f t="shared" si="12"/>
        <v>154.62883627067924</v>
      </c>
      <c r="P14" s="189">
        <f t="shared" si="12"/>
        <v>111.00715916484326</v>
      </c>
      <c r="Q14" s="189">
        <f t="shared" si="12"/>
        <v>82.587337784741479</v>
      </c>
      <c r="R14" s="189">
        <f t="shared" si="12"/>
        <v>60.669625132117659</v>
      </c>
      <c r="S14" s="188"/>
      <c r="T14" s="189">
        <f t="shared" si="13"/>
        <v>0</v>
      </c>
      <c r="U14" s="189">
        <f t="shared" si="13"/>
        <v>0</v>
      </c>
      <c r="V14" s="189">
        <f t="shared" si="13"/>
        <v>0</v>
      </c>
      <c r="W14" s="189">
        <f t="shared" si="13"/>
        <v>0</v>
      </c>
      <c r="X14" s="189">
        <f t="shared" si="13"/>
        <v>0</v>
      </c>
      <c r="Y14" s="91" t="str">
        <f t="shared" si="14"/>
        <v>45-49</v>
      </c>
      <c r="Z14" s="189">
        <f t="shared" si="15"/>
        <v>296.89078106183149</v>
      </c>
      <c r="AA14" s="189">
        <f t="shared" si="15"/>
        <v>297.81089783713531</v>
      </c>
      <c r="AB14" s="189">
        <f t="shared" si="15"/>
        <v>323.00238790557432</v>
      </c>
      <c r="AC14" s="189">
        <f t="shared" si="15"/>
        <v>331.21130960813161</v>
      </c>
      <c r="AD14" s="189">
        <f t="shared" si="15"/>
        <v>336.85601788588576</v>
      </c>
      <c r="AE14" s="188"/>
      <c r="AF14" s="189">
        <f t="shared" si="16"/>
        <v>283.27902750867406</v>
      </c>
      <c r="AG14" s="189">
        <f t="shared" si="16"/>
        <v>284.17878044572376</v>
      </c>
      <c r="AH14" s="189">
        <f t="shared" si="16"/>
        <v>308.23712222424672</v>
      </c>
      <c r="AI14" s="189">
        <f t="shared" si="16"/>
        <v>316.06982132262846</v>
      </c>
      <c r="AJ14" s="189">
        <f t="shared" si="16"/>
        <v>321.4595503021684</v>
      </c>
      <c r="AK14" s="188"/>
      <c r="AL14" s="189">
        <f t="shared" si="17"/>
        <v>13.611753553157442</v>
      </c>
      <c r="AM14" s="189">
        <f t="shared" si="17"/>
        <v>13.632117391411541</v>
      </c>
      <c r="AN14" s="189">
        <f t="shared" si="17"/>
        <v>14.765265681327598</v>
      </c>
      <c r="AO14" s="189">
        <f t="shared" si="17"/>
        <v>15.141488285503199</v>
      </c>
      <c r="AP14" s="189">
        <f t="shared" si="17"/>
        <v>15.39646758371746</v>
      </c>
      <c r="AQ14" s="91" t="str">
        <f t="shared" si="18"/>
        <v>45-49</v>
      </c>
      <c r="AR14" s="189">
        <f t="shared" si="19"/>
        <v>250.46536942417981</v>
      </c>
      <c r="AS14" s="189">
        <f t="shared" si="19"/>
        <v>272.37172461458317</v>
      </c>
      <c r="AT14" s="189">
        <f t="shared" si="19"/>
        <v>298.56302954916367</v>
      </c>
      <c r="AU14" s="189">
        <f t="shared" si="19"/>
        <v>312.99255737905924</v>
      </c>
      <c r="AV14" s="189">
        <f t="shared" si="19"/>
        <v>324.57513536672525</v>
      </c>
      <c r="AW14" s="188"/>
      <c r="AX14" s="189">
        <f t="shared" si="20"/>
        <v>245.6503099953992</v>
      </c>
      <c r="AY14" s="189">
        <f t="shared" si="20"/>
        <v>267.15960275583393</v>
      </c>
      <c r="AZ14" s="189">
        <f t="shared" si="20"/>
        <v>292.91536308672585</v>
      </c>
      <c r="BA14" s="189">
        <f t="shared" si="20"/>
        <v>307.10108024986414</v>
      </c>
      <c r="BB14" s="189">
        <f t="shared" si="20"/>
        <v>318.48324328013177</v>
      </c>
      <c r="BC14" s="188"/>
      <c r="BD14" s="189">
        <f t="shared" si="21"/>
        <v>4.815059428780601</v>
      </c>
      <c r="BE14" s="189">
        <f t="shared" si="21"/>
        <v>5.2121218587492244</v>
      </c>
      <c r="BF14" s="189">
        <f t="shared" si="21"/>
        <v>5.6476664624378259</v>
      </c>
      <c r="BG14" s="189">
        <f t="shared" si="21"/>
        <v>5.8914771291951418</v>
      </c>
      <c r="BH14" s="189">
        <f t="shared" si="21"/>
        <v>6.0918920865934654</v>
      </c>
    </row>
    <row r="15" spans="1:60" x14ac:dyDescent="0.2">
      <c r="A15" s="91" t="s">
        <v>120</v>
      </c>
      <c r="B15" s="189">
        <f t="shared" si="10"/>
        <v>294.38575187935118</v>
      </c>
      <c r="C15" s="189">
        <f t="shared" si="10"/>
        <v>286.9982182545242</v>
      </c>
      <c r="D15" s="189">
        <f t="shared" si="10"/>
        <v>249.82582092451261</v>
      </c>
      <c r="E15" s="189">
        <f t="shared" si="10"/>
        <v>196.7617947968931</v>
      </c>
      <c r="F15" s="189">
        <f t="shared" si="10"/>
        <v>151.97754802573786</v>
      </c>
      <c r="G15" s="188"/>
      <c r="H15" s="189">
        <f t="shared" si="11"/>
        <v>131.00937650791479</v>
      </c>
      <c r="I15" s="189">
        <f t="shared" si="11"/>
        <v>127.36456196076394</v>
      </c>
      <c r="J15" s="189">
        <f t="shared" si="11"/>
        <v>110.61745625735594</v>
      </c>
      <c r="K15" s="189">
        <f t="shared" si="11"/>
        <v>86.72311902225573</v>
      </c>
      <c r="L15" s="189">
        <f t="shared" si="11"/>
        <v>66.672294242780168</v>
      </c>
      <c r="M15" s="188"/>
      <c r="N15" s="189">
        <f t="shared" si="12"/>
        <v>163.37637537143638</v>
      </c>
      <c r="O15" s="189">
        <f t="shared" si="12"/>
        <v>159.63365629376028</v>
      </c>
      <c r="P15" s="189">
        <f t="shared" si="12"/>
        <v>139.20836466715667</v>
      </c>
      <c r="Q15" s="189">
        <f t="shared" si="12"/>
        <v>110.03867577463737</v>
      </c>
      <c r="R15" s="189">
        <f t="shared" si="12"/>
        <v>85.305253782957692</v>
      </c>
      <c r="S15" s="188"/>
      <c r="T15" s="189">
        <f t="shared" si="13"/>
        <v>0</v>
      </c>
      <c r="U15" s="189">
        <f t="shared" si="13"/>
        <v>0</v>
      </c>
      <c r="V15" s="189">
        <f t="shared" si="13"/>
        <v>0</v>
      </c>
      <c r="W15" s="189">
        <f t="shared" si="13"/>
        <v>0</v>
      </c>
      <c r="X15" s="189">
        <f t="shared" si="13"/>
        <v>0</v>
      </c>
      <c r="Y15" s="91" t="str">
        <f t="shared" si="14"/>
        <v>50-54</v>
      </c>
      <c r="Z15" s="189">
        <f t="shared" si="15"/>
        <v>252.37047905418916</v>
      </c>
      <c r="AA15" s="189">
        <f t="shared" si="15"/>
        <v>261.89041594407234</v>
      </c>
      <c r="AB15" s="189">
        <f t="shared" si="15"/>
        <v>299.71030873183417</v>
      </c>
      <c r="AC15" s="189">
        <f t="shared" si="15"/>
        <v>315.46818569365763</v>
      </c>
      <c r="AD15" s="189">
        <f t="shared" si="15"/>
        <v>326.48805608055682</v>
      </c>
      <c r="AE15" s="188"/>
      <c r="AF15" s="189">
        <f t="shared" si="16"/>
        <v>240.43095817773155</v>
      </c>
      <c r="AG15" s="189">
        <f t="shared" si="16"/>
        <v>249.49009896266847</v>
      </c>
      <c r="AH15" s="189">
        <f t="shared" si="16"/>
        <v>285.51870262738919</v>
      </c>
      <c r="AI15" s="189">
        <f t="shared" si="16"/>
        <v>300.52266588791969</v>
      </c>
      <c r="AJ15" s="189">
        <f t="shared" si="16"/>
        <v>311.01138512295665</v>
      </c>
      <c r="AK15" s="188"/>
      <c r="AL15" s="189">
        <f t="shared" si="17"/>
        <v>11.939520876457582</v>
      </c>
      <c r="AM15" s="189">
        <f t="shared" si="17"/>
        <v>12.400316981403893</v>
      </c>
      <c r="AN15" s="189">
        <f t="shared" si="17"/>
        <v>14.191606104444997</v>
      </c>
      <c r="AO15" s="189">
        <f t="shared" si="17"/>
        <v>14.945519805737941</v>
      </c>
      <c r="AP15" s="189">
        <f t="shared" si="17"/>
        <v>15.476670957600156</v>
      </c>
      <c r="AQ15" s="91" t="str">
        <f t="shared" si="18"/>
        <v>50-54</v>
      </c>
      <c r="AR15" s="189">
        <f t="shared" si="19"/>
        <v>192.52176906645971</v>
      </c>
      <c r="AS15" s="189">
        <f t="shared" si="19"/>
        <v>218.63836580140344</v>
      </c>
      <c r="AT15" s="189">
        <f t="shared" si="19"/>
        <v>269.43387034365321</v>
      </c>
      <c r="AU15" s="189">
        <f t="shared" si="19"/>
        <v>285.28301950944933</v>
      </c>
      <c r="AV15" s="189">
        <f t="shared" si="19"/>
        <v>297.31139589370531</v>
      </c>
      <c r="AW15" s="188"/>
      <c r="AX15" s="189">
        <f t="shared" si="20"/>
        <v>188.73862621744155</v>
      </c>
      <c r="AY15" s="189">
        <f t="shared" si="20"/>
        <v>214.45420550224321</v>
      </c>
      <c r="AZ15" s="189">
        <f t="shared" si="20"/>
        <v>264.30480604656157</v>
      </c>
      <c r="BA15" s="189">
        <f t="shared" si="20"/>
        <v>279.90450448189154</v>
      </c>
      <c r="BB15" s="189">
        <f t="shared" si="20"/>
        <v>291.76093520892465</v>
      </c>
      <c r="BC15" s="188"/>
      <c r="BD15" s="189">
        <f t="shared" si="21"/>
        <v>3.7831428490181196</v>
      </c>
      <c r="BE15" s="189">
        <f t="shared" si="21"/>
        <v>4.1841602991602418</v>
      </c>
      <c r="BF15" s="189">
        <f t="shared" si="21"/>
        <v>5.1290642970916389</v>
      </c>
      <c r="BG15" s="189">
        <f t="shared" si="21"/>
        <v>5.3785150275577474</v>
      </c>
      <c r="BH15" s="189">
        <f t="shared" si="21"/>
        <v>5.5504606847806457</v>
      </c>
    </row>
    <row r="16" spans="1:60" x14ac:dyDescent="0.2">
      <c r="A16" s="91" t="s">
        <v>121</v>
      </c>
      <c r="B16" s="189">
        <f t="shared" si="10"/>
        <v>306.08926780144049</v>
      </c>
      <c r="C16" s="189">
        <f t="shared" si="10"/>
        <v>294.14842701950209</v>
      </c>
      <c r="D16" s="189">
        <f t="shared" si="10"/>
        <v>278.7696849113002</v>
      </c>
      <c r="E16" s="189">
        <f t="shared" si="10"/>
        <v>248.77345263961809</v>
      </c>
      <c r="F16" s="189">
        <f t="shared" si="10"/>
        <v>193.72538705183911</v>
      </c>
      <c r="G16" s="188"/>
      <c r="H16" s="189">
        <f t="shared" si="11"/>
        <v>148.94385811824938</v>
      </c>
      <c r="I16" s="189">
        <f t="shared" si="11"/>
        <v>142.80048229460601</v>
      </c>
      <c r="J16" s="189">
        <f t="shared" si="11"/>
        <v>135.1816907077864</v>
      </c>
      <c r="K16" s="189">
        <f t="shared" si="11"/>
        <v>120.20919098393057</v>
      </c>
      <c r="L16" s="189">
        <f t="shared" si="11"/>
        <v>93.347075058771225</v>
      </c>
      <c r="M16" s="188"/>
      <c r="N16" s="189">
        <f t="shared" si="12"/>
        <v>157.14540968319108</v>
      </c>
      <c r="O16" s="189">
        <f t="shared" si="12"/>
        <v>151.34794472489608</v>
      </c>
      <c r="P16" s="189">
        <f t="shared" si="12"/>
        <v>143.5879942035138</v>
      </c>
      <c r="Q16" s="189">
        <f t="shared" si="12"/>
        <v>128.56426165568749</v>
      </c>
      <c r="R16" s="189">
        <f t="shared" si="12"/>
        <v>100.37831199306788</v>
      </c>
      <c r="S16" s="188"/>
      <c r="T16" s="189">
        <f t="shared" si="13"/>
        <v>0</v>
      </c>
      <c r="U16" s="189">
        <f t="shared" si="13"/>
        <v>0</v>
      </c>
      <c r="V16" s="189">
        <f t="shared" si="13"/>
        <v>0</v>
      </c>
      <c r="W16" s="189">
        <f t="shared" si="13"/>
        <v>0</v>
      </c>
      <c r="X16" s="189">
        <f t="shared" si="13"/>
        <v>0</v>
      </c>
      <c r="Y16" s="91" t="str">
        <f t="shared" si="14"/>
        <v>55-59</v>
      </c>
      <c r="Z16" s="189">
        <f t="shared" si="15"/>
        <v>212.90735173400915</v>
      </c>
      <c r="AA16" s="189">
        <f t="shared" si="15"/>
        <v>208.34374328055009</v>
      </c>
      <c r="AB16" s="189">
        <f t="shared" si="15"/>
        <v>259.24373379880308</v>
      </c>
      <c r="AC16" s="189">
        <f t="shared" si="15"/>
        <v>305.1432760109069</v>
      </c>
      <c r="AD16" s="189">
        <f t="shared" si="15"/>
        <v>322.49455355236876</v>
      </c>
      <c r="AE16" s="188"/>
      <c r="AF16" s="189">
        <f t="shared" si="16"/>
        <v>201.39475054266842</v>
      </c>
      <c r="AG16" s="189">
        <f t="shared" si="16"/>
        <v>197.03624221177998</v>
      </c>
      <c r="AH16" s="189">
        <f t="shared" si="16"/>
        <v>245.14463767909808</v>
      </c>
      <c r="AI16" s="189">
        <f t="shared" si="16"/>
        <v>288.53398269710931</v>
      </c>
      <c r="AJ16" s="189">
        <f t="shared" si="16"/>
        <v>304.93914690919075</v>
      </c>
      <c r="AK16" s="188"/>
      <c r="AL16" s="189">
        <f t="shared" si="17"/>
        <v>11.512601191340718</v>
      </c>
      <c r="AM16" s="189">
        <f t="shared" si="17"/>
        <v>11.30750106877008</v>
      </c>
      <c r="AN16" s="189">
        <f t="shared" si="17"/>
        <v>14.099096119705006</v>
      </c>
      <c r="AO16" s="189">
        <f t="shared" si="17"/>
        <v>16.609293313797622</v>
      </c>
      <c r="AP16" s="189">
        <f t="shared" si="17"/>
        <v>17.555406643178003</v>
      </c>
      <c r="AQ16" s="91" t="str">
        <f t="shared" si="18"/>
        <v>55-59</v>
      </c>
      <c r="AR16" s="189">
        <f t="shared" si="19"/>
        <v>157.97838046455036</v>
      </c>
      <c r="AS16" s="189">
        <f t="shared" si="19"/>
        <v>186.95882969994784</v>
      </c>
      <c r="AT16" s="189">
        <f t="shared" si="19"/>
        <v>217.65058128989665</v>
      </c>
      <c r="AU16" s="189">
        <f t="shared" si="19"/>
        <v>252.64427134947505</v>
      </c>
      <c r="AV16" s="189">
        <f t="shared" si="19"/>
        <v>271.26605939579213</v>
      </c>
      <c r="AW16" s="188"/>
      <c r="AX16" s="189">
        <f t="shared" si="20"/>
        <v>154.50769225162065</v>
      </c>
      <c r="AY16" s="189">
        <f t="shared" si="20"/>
        <v>182.97075166245719</v>
      </c>
      <c r="AZ16" s="189">
        <f t="shared" si="20"/>
        <v>213.04788309462984</v>
      </c>
      <c r="BA16" s="189">
        <f t="shared" si="20"/>
        <v>247.41376136943245</v>
      </c>
      <c r="BB16" s="189">
        <f t="shared" si="20"/>
        <v>265.66983752581206</v>
      </c>
      <c r="BC16" s="188"/>
      <c r="BD16" s="189">
        <f t="shared" si="21"/>
        <v>3.470688212929685</v>
      </c>
      <c r="BE16" s="189">
        <f t="shared" si="21"/>
        <v>3.9880780374906122</v>
      </c>
      <c r="BF16" s="189">
        <f t="shared" si="21"/>
        <v>4.6026981952668296</v>
      </c>
      <c r="BG16" s="189">
        <f t="shared" si="21"/>
        <v>5.2305099800425978</v>
      </c>
      <c r="BH16" s="189">
        <f t="shared" si="21"/>
        <v>5.5962218699800657</v>
      </c>
    </row>
    <row r="17" spans="1:60" x14ac:dyDescent="0.2">
      <c r="A17" s="91" t="s">
        <v>122</v>
      </c>
      <c r="B17" s="189">
        <f t="shared" si="10"/>
        <v>300.27408615273544</v>
      </c>
      <c r="C17" s="189">
        <f t="shared" si="10"/>
        <v>307.02902619700649</v>
      </c>
      <c r="D17" s="189">
        <f t="shared" si="10"/>
        <v>275.57160817400484</v>
      </c>
      <c r="E17" s="189">
        <f t="shared" si="10"/>
        <v>242.50355927772591</v>
      </c>
      <c r="F17" s="189">
        <f t="shared" si="10"/>
        <v>196.62341104090149</v>
      </c>
      <c r="G17" s="188"/>
      <c r="H17" s="189">
        <f t="shared" si="11"/>
        <v>163.84239820508242</v>
      </c>
      <c r="I17" s="189">
        <f t="shared" si="11"/>
        <v>167.48634018543549</v>
      </c>
      <c r="J17" s="189">
        <f t="shared" si="11"/>
        <v>150.0793901711946</v>
      </c>
      <c r="K17" s="189">
        <f t="shared" si="11"/>
        <v>131.95757743155312</v>
      </c>
      <c r="L17" s="189">
        <f t="shared" si="11"/>
        <v>106.85061904727925</v>
      </c>
      <c r="M17" s="188"/>
      <c r="N17" s="189">
        <f t="shared" si="12"/>
        <v>136.43168794765302</v>
      </c>
      <c r="O17" s="189">
        <f t="shared" si="12"/>
        <v>139.54268601157099</v>
      </c>
      <c r="P17" s="189">
        <f t="shared" si="12"/>
        <v>125.49221800281023</v>
      </c>
      <c r="Q17" s="189">
        <f t="shared" si="12"/>
        <v>110.54598184617279</v>
      </c>
      <c r="R17" s="189">
        <f t="shared" si="12"/>
        <v>89.772791993622235</v>
      </c>
      <c r="S17" s="188"/>
      <c r="T17" s="189">
        <f t="shared" si="13"/>
        <v>0</v>
      </c>
      <c r="U17" s="189">
        <f t="shared" si="13"/>
        <v>0</v>
      </c>
      <c r="V17" s="189">
        <f t="shared" si="13"/>
        <v>0</v>
      </c>
      <c r="W17" s="189">
        <f t="shared" si="13"/>
        <v>0</v>
      </c>
      <c r="X17" s="189">
        <f t="shared" si="13"/>
        <v>0</v>
      </c>
      <c r="Y17" s="91" t="str">
        <f t="shared" si="14"/>
        <v>60-64</v>
      </c>
      <c r="Z17" s="189">
        <f t="shared" si="15"/>
        <v>164.67698820651987</v>
      </c>
      <c r="AA17" s="189">
        <f t="shared" si="15"/>
        <v>173.02754429415353</v>
      </c>
      <c r="AB17" s="189">
        <f t="shared" si="15"/>
        <v>211.64420247686218</v>
      </c>
      <c r="AC17" s="189">
        <f t="shared" si="15"/>
        <v>262.32745519640429</v>
      </c>
      <c r="AD17" s="189">
        <f t="shared" si="15"/>
        <v>307.19809774569194</v>
      </c>
      <c r="AE17" s="188"/>
      <c r="AF17" s="189">
        <f t="shared" si="16"/>
        <v>156.364761045058</v>
      </c>
      <c r="AG17" s="189">
        <f t="shared" si="16"/>
        <v>164.2583318854096</v>
      </c>
      <c r="AH17" s="189">
        <f t="shared" si="16"/>
        <v>200.85031018974644</v>
      </c>
      <c r="AI17" s="189">
        <f t="shared" si="16"/>
        <v>248.92153917613587</v>
      </c>
      <c r="AJ17" s="189">
        <f t="shared" si="16"/>
        <v>291.50729249745882</v>
      </c>
      <c r="AK17" s="188"/>
      <c r="AL17" s="189">
        <f t="shared" si="17"/>
        <v>8.3122271614618572</v>
      </c>
      <c r="AM17" s="189">
        <f t="shared" si="17"/>
        <v>8.7692124087439236</v>
      </c>
      <c r="AN17" s="189">
        <f t="shared" si="17"/>
        <v>10.793892287115703</v>
      </c>
      <c r="AO17" s="189">
        <f t="shared" si="17"/>
        <v>13.405916020268418</v>
      </c>
      <c r="AP17" s="189">
        <f t="shared" si="17"/>
        <v>15.690805248233143</v>
      </c>
      <c r="AQ17" s="91" t="str">
        <f t="shared" si="18"/>
        <v>60-64</v>
      </c>
      <c r="AR17" s="189">
        <f t="shared" si="19"/>
        <v>124.1659256407448</v>
      </c>
      <c r="AS17" s="189">
        <f t="shared" si="19"/>
        <v>151.81542950884</v>
      </c>
      <c r="AT17" s="189">
        <f t="shared" si="19"/>
        <v>179.49318934913299</v>
      </c>
      <c r="AU17" s="189">
        <f t="shared" si="19"/>
        <v>229.32198552586985</v>
      </c>
      <c r="AV17" s="189">
        <f t="shared" si="19"/>
        <v>282.2344912134065</v>
      </c>
      <c r="AW17" s="188"/>
      <c r="AX17" s="189">
        <f t="shared" si="20"/>
        <v>120.47353378485059</v>
      </c>
      <c r="AY17" s="189">
        <f t="shared" si="20"/>
        <v>147.28380768694541</v>
      </c>
      <c r="AZ17" s="189">
        <f t="shared" si="20"/>
        <v>174.20095676665699</v>
      </c>
      <c r="BA17" s="189">
        <f t="shared" si="20"/>
        <v>222.61021872219823</v>
      </c>
      <c r="BB17" s="189">
        <f t="shared" si="20"/>
        <v>274.01688935790713</v>
      </c>
      <c r="BC17" s="188"/>
      <c r="BD17" s="189">
        <f t="shared" si="21"/>
        <v>3.6923918558942086</v>
      </c>
      <c r="BE17" s="189">
        <f t="shared" si="21"/>
        <v>4.5316218218945803</v>
      </c>
      <c r="BF17" s="189">
        <f t="shared" si="21"/>
        <v>5.2922325824760046</v>
      </c>
      <c r="BG17" s="189">
        <f t="shared" si="21"/>
        <v>6.7117668036716331</v>
      </c>
      <c r="BH17" s="189">
        <f t="shared" si="21"/>
        <v>8.2176018554993142</v>
      </c>
    </row>
    <row r="18" spans="1:60" x14ac:dyDescent="0.2">
      <c r="A18" s="91" t="s">
        <v>109</v>
      </c>
      <c r="B18" s="189">
        <f t="shared" si="10"/>
        <v>1097.4936778000333</v>
      </c>
      <c r="C18" s="189">
        <f t="shared" si="10"/>
        <v>1072.9440531401806</v>
      </c>
      <c r="D18" s="189">
        <f t="shared" si="10"/>
        <v>980.11410948496587</v>
      </c>
      <c r="E18" s="189">
        <f t="shared" si="10"/>
        <v>860.70692539466086</v>
      </c>
      <c r="F18" s="189">
        <f t="shared" si="10"/>
        <v>731.94096038103203</v>
      </c>
      <c r="G18" s="188"/>
      <c r="H18" s="189">
        <f t="shared" si="11"/>
        <v>770.71351120273471</v>
      </c>
      <c r="I18" s="189">
        <f t="shared" si="11"/>
        <v>753.1395408366011</v>
      </c>
      <c r="J18" s="189">
        <f t="shared" si="11"/>
        <v>687.79876078330381</v>
      </c>
      <c r="K18" s="189">
        <f t="shared" si="11"/>
        <v>603.69792908410795</v>
      </c>
      <c r="L18" s="189">
        <f t="shared" si="11"/>
        <v>513.13110481139574</v>
      </c>
      <c r="M18" s="188"/>
      <c r="N18" s="189">
        <f t="shared" si="12"/>
        <v>326.78016659729855</v>
      </c>
      <c r="O18" s="189">
        <f t="shared" si="12"/>
        <v>319.80451230357949</v>
      </c>
      <c r="P18" s="189">
        <f t="shared" si="12"/>
        <v>292.31534870166195</v>
      </c>
      <c r="Q18" s="189">
        <f t="shared" si="12"/>
        <v>257.0089963105529</v>
      </c>
      <c r="R18" s="189">
        <f t="shared" si="12"/>
        <v>218.80985556963645</v>
      </c>
      <c r="S18" s="188"/>
      <c r="T18" s="189">
        <f t="shared" si="13"/>
        <v>0</v>
      </c>
      <c r="U18" s="189">
        <f t="shared" si="13"/>
        <v>0</v>
      </c>
      <c r="V18" s="189">
        <f t="shared" si="13"/>
        <v>0</v>
      </c>
      <c r="W18" s="189">
        <f t="shared" si="13"/>
        <v>0</v>
      </c>
      <c r="X18" s="189">
        <f t="shared" si="13"/>
        <v>0</v>
      </c>
      <c r="Y18" s="91" t="str">
        <f t="shared" si="14"/>
        <v>65+</v>
      </c>
      <c r="Z18" s="189">
        <f t="shared" si="15"/>
        <v>412.59519957455325</v>
      </c>
      <c r="AA18" s="189">
        <f t="shared" si="15"/>
        <v>441.80478171374187</v>
      </c>
      <c r="AB18" s="189">
        <f t="shared" si="15"/>
        <v>588.92141161742438</v>
      </c>
      <c r="AC18" s="189">
        <f t="shared" si="15"/>
        <v>717.19301187685096</v>
      </c>
      <c r="AD18" s="189">
        <f t="shared" si="15"/>
        <v>861.73238046119513</v>
      </c>
      <c r="AE18" s="188"/>
      <c r="AF18" s="189">
        <f t="shared" si="16"/>
        <v>391.95319027138726</v>
      </c>
      <c r="AG18" s="189">
        <f t="shared" si="16"/>
        <v>419.72502641576881</v>
      </c>
      <c r="AH18" s="189">
        <f t="shared" si="16"/>
        <v>559.48677128208897</v>
      </c>
      <c r="AI18" s="189">
        <f t="shared" si="16"/>
        <v>681.36315392476172</v>
      </c>
      <c r="AJ18" s="189">
        <f t="shared" si="16"/>
        <v>818.69055459842366</v>
      </c>
      <c r="AK18" s="188"/>
      <c r="AL18" s="189">
        <f t="shared" si="17"/>
        <v>20.642009303165985</v>
      </c>
      <c r="AM18" s="189">
        <f t="shared" si="17"/>
        <v>22.079755297973087</v>
      </c>
      <c r="AN18" s="189">
        <f t="shared" si="17"/>
        <v>29.434640335335327</v>
      </c>
      <c r="AO18" s="189">
        <f t="shared" si="17"/>
        <v>35.82985795208927</v>
      </c>
      <c r="AP18" s="189">
        <f t="shared" si="17"/>
        <v>43.041825862771589</v>
      </c>
      <c r="AQ18" s="91" t="str">
        <f t="shared" si="18"/>
        <v>65+</v>
      </c>
      <c r="AR18" s="189">
        <f t="shared" si="19"/>
        <v>309.63712262541355</v>
      </c>
      <c r="AS18" s="189">
        <f t="shared" si="19"/>
        <v>345.41016514607776</v>
      </c>
      <c r="AT18" s="189">
        <f t="shared" si="19"/>
        <v>465.83547889760985</v>
      </c>
      <c r="AU18" s="189">
        <f t="shared" si="19"/>
        <v>642.09606272848828</v>
      </c>
      <c r="AV18" s="189">
        <f t="shared" si="19"/>
        <v>863.68565915777276</v>
      </c>
      <c r="AW18" s="188"/>
      <c r="AX18" s="189">
        <f t="shared" si="20"/>
        <v>301.40115633884841</v>
      </c>
      <c r="AY18" s="189">
        <f t="shared" si="20"/>
        <v>336.56314669404765</v>
      </c>
      <c r="AZ18" s="189">
        <f t="shared" si="20"/>
        <v>453.89786151814837</v>
      </c>
      <c r="BA18" s="189">
        <f t="shared" si="20"/>
        <v>625.97097807950172</v>
      </c>
      <c r="BB18" s="189">
        <f t="shared" si="20"/>
        <v>842.26455696727317</v>
      </c>
      <c r="BC18" s="188"/>
      <c r="BD18" s="189">
        <f t="shared" si="21"/>
        <v>8.2359662865651462</v>
      </c>
      <c r="BE18" s="189">
        <f t="shared" si="21"/>
        <v>8.847018452030122</v>
      </c>
      <c r="BF18" s="189">
        <f t="shared" si="21"/>
        <v>11.937617379461411</v>
      </c>
      <c r="BG18" s="189">
        <f t="shared" si="21"/>
        <v>16.125084648986547</v>
      </c>
      <c r="BH18" s="189">
        <f t="shared" si="21"/>
        <v>21.421102190499685</v>
      </c>
    </row>
    <row r="19" spans="1:60" x14ac:dyDescent="0.2">
      <c r="B19" s="189"/>
      <c r="C19" s="189"/>
      <c r="D19" s="188"/>
      <c r="E19" s="188"/>
      <c r="F19" s="188"/>
      <c r="G19" s="188"/>
      <c r="H19" s="188"/>
      <c r="I19" s="188"/>
      <c r="J19" s="188"/>
      <c r="K19" s="188"/>
      <c r="L19" s="188"/>
      <c r="M19" s="188"/>
      <c r="N19" s="188"/>
      <c r="O19" s="188"/>
      <c r="P19" s="188"/>
      <c r="Q19" s="188"/>
      <c r="R19" s="188"/>
      <c r="S19" s="188"/>
      <c r="T19" s="94"/>
      <c r="U19" s="94"/>
      <c r="V19" s="94"/>
      <c r="W19" s="94"/>
      <c r="X19" s="94"/>
      <c r="Z19" s="189"/>
      <c r="AA19" s="189"/>
      <c r="AB19" s="188"/>
      <c r="AC19" s="188"/>
      <c r="AD19" s="188"/>
      <c r="AE19" s="188"/>
      <c r="AF19" s="188"/>
      <c r="AG19" s="188"/>
      <c r="AH19" s="188"/>
      <c r="AI19" s="188"/>
      <c r="AJ19" s="188"/>
      <c r="AK19" s="188"/>
      <c r="AL19" s="188"/>
      <c r="AM19" s="188"/>
      <c r="AN19" s="188"/>
      <c r="AO19" s="188"/>
      <c r="AP19" s="188"/>
      <c r="AR19" s="189"/>
      <c r="AS19" s="189"/>
      <c r="AT19" s="188"/>
      <c r="AU19" s="188"/>
      <c r="AV19" s="188"/>
      <c r="AW19" s="188"/>
      <c r="AX19" s="188"/>
      <c r="AY19" s="188"/>
      <c r="AZ19" s="188"/>
      <c r="BA19" s="188"/>
      <c r="BB19" s="188"/>
      <c r="BC19" s="188"/>
      <c r="BD19" s="188"/>
      <c r="BE19" s="188"/>
      <c r="BF19" s="188"/>
      <c r="BG19" s="188"/>
      <c r="BH19" s="188"/>
    </row>
    <row r="20" spans="1:60" x14ac:dyDescent="0.2">
      <c r="A20" s="114" t="s">
        <v>104</v>
      </c>
      <c r="B20" s="94"/>
      <c r="C20" s="94"/>
      <c r="D20" s="94"/>
      <c r="E20" s="94"/>
      <c r="F20" s="189"/>
      <c r="G20" s="189"/>
      <c r="H20" s="189"/>
      <c r="I20" s="189"/>
      <c r="J20" s="189"/>
      <c r="K20" s="189"/>
      <c r="L20" s="189"/>
      <c r="M20" s="189"/>
      <c r="N20" s="189"/>
      <c r="O20" s="189"/>
      <c r="P20" s="189"/>
      <c r="Q20" s="189"/>
      <c r="R20" s="189"/>
      <c r="S20" s="189"/>
      <c r="T20" s="94"/>
      <c r="U20" s="94"/>
      <c r="V20" s="94"/>
      <c r="W20" s="94"/>
      <c r="X20" s="94"/>
      <c r="Y20" s="114" t="str">
        <f t="shared" si="14"/>
        <v>Males</v>
      </c>
      <c r="Z20" s="94"/>
      <c r="AA20" s="94"/>
      <c r="AB20" s="94"/>
      <c r="AC20" s="94"/>
      <c r="AD20" s="189"/>
      <c r="AE20" s="189"/>
      <c r="AF20" s="189"/>
      <c r="AG20" s="189"/>
      <c r="AH20" s="189"/>
      <c r="AI20" s="189"/>
      <c r="AJ20" s="189"/>
      <c r="AK20" s="189"/>
      <c r="AL20" s="189"/>
      <c r="AM20" s="189"/>
      <c r="AN20" s="189"/>
      <c r="AO20" s="189"/>
      <c r="AP20" s="189"/>
      <c r="AQ20" s="114" t="str">
        <f>A20</f>
        <v>Males</v>
      </c>
      <c r="AR20" s="94"/>
      <c r="AS20" s="94"/>
      <c r="AT20" s="94"/>
      <c r="AU20" s="94"/>
      <c r="AV20" s="189"/>
      <c r="AW20" s="189"/>
      <c r="AX20" s="189"/>
      <c r="AY20" s="189"/>
      <c r="AZ20" s="189"/>
      <c r="BA20" s="189"/>
      <c r="BB20" s="189"/>
      <c r="BC20" s="189"/>
      <c r="BD20" s="189"/>
      <c r="BE20" s="189"/>
      <c r="BF20" s="189"/>
      <c r="BG20" s="189"/>
      <c r="BH20" s="189"/>
    </row>
    <row r="21" spans="1:60" x14ac:dyDescent="0.2">
      <c r="A21" s="91" t="str">
        <f>$A$7</f>
        <v>15+</v>
      </c>
      <c r="B21" s="189">
        <f>SUM(B22:B32)</f>
        <v>1620.2473852146525</v>
      </c>
      <c r="C21" s="189">
        <f t="shared" ref="C21:F21" si="22">SUM(C22:C32)</f>
        <v>1614.229579565203</v>
      </c>
      <c r="D21" s="189">
        <f t="shared" si="22"/>
        <v>1473.336267790763</v>
      </c>
      <c r="E21" s="189">
        <f t="shared" si="22"/>
        <v>1328.0088879474006</v>
      </c>
      <c r="F21" s="189">
        <f t="shared" si="22"/>
        <v>1173.6897154992268</v>
      </c>
      <c r="G21" s="189"/>
      <c r="H21" s="189">
        <f>SUM(H22:H32)</f>
        <v>716.1464894810149</v>
      </c>
      <c r="I21" s="189">
        <f t="shared" ref="I21:L21" si="23">SUM(I22:I32)</f>
        <v>715.64405967986499</v>
      </c>
      <c r="J21" s="189">
        <f t="shared" si="23"/>
        <v>655.33170359679184</v>
      </c>
      <c r="K21" s="189">
        <f t="shared" si="23"/>
        <v>588.71852138985469</v>
      </c>
      <c r="L21" s="189">
        <f t="shared" si="23"/>
        <v>511.80228655523888</v>
      </c>
      <c r="M21" s="189"/>
      <c r="N21" s="189">
        <f>SUM(N22:N32)</f>
        <v>904.1008957336378</v>
      </c>
      <c r="O21" s="189">
        <f t="shared" ref="O21:R21" si="24">SUM(O22:O32)</f>
        <v>898.5855198853385</v>
      </c>
      <c r="P21" s="189">
        <f t="shared" si="24"/>
        <v>818.00456419397131</v>
      </c>
      <c r="Q21" s="189">
        <f t="shared" si="24"/>
        <v>739.29036655754555</v>
      </c>
      <c r="R21" s="189">
        <f t="shared" si="24"/>
        <v>661.88742894398808</v>
      </c>
      <c r="S21" s="189"/>
      <c r="T21" s="189">
        <f>SUM(T22:T32)</f>
        <v>0</v>
      </c>
      <c r="U21" s="189">
        <f t="shared" ref="U21:X21" si="25">SUM(U22:U32)</f>
        <v>0</v>
      </c>
      <c r="V21" s="189">
        <f t="shared" si="25"/>
        <v>0</v>
      </c>
      <c r="W21" s="189">
        <f t="shared" si="25"/>
        <v>0</v>
      </c>
      <c r="X21" s="189">
        <f t="shared" si="25"/>
        <v>0</v>
      </c>
      <c r="Y21" s="91" t="str">
        <f>$A$7</f>
        <v>15+</v>
      </c>
      <c r="Z21" s="189">
        <f>SUM(Z22:Z32)</f>
        <v>1577.3024491368396</v>
      </c>
      <c r="AA21" s="189">
        <f t="shared" ref="AA21:AD21" si="26">SUM(AA22:AA32)</f>
        <v>1562.2040994555152</v>
      </c>
      <c r="AB21" s="189">
        <f t="shared" si="26"/>
        <v>1749.398715210659</v>
      </c>
      <c r="AC21" s="189">
        <f t="shared" si="26"/>
        <v>1909.488504579884</v>
      </c>
      <c r="AD21" s="189">
        <f t="shared" si="26"/>
        <v>2081.0684990931632</v>
      </c>
      <c r="AE21" s="189"/>
      <c r="AF21" s="189">
        <f>SUM(AF22:AF32)</f>
        <v>1499.7774540648427</v>
      </c>
      <c r="AG21" s="189">
        <f t="shared" ref="AG21:AJ21" si="27">SUM(AG22:AG32)</f>
        <v>1486.1007164675289</v>
      </c>
      <c r="AH21" s="189">
        <f t="shared" si="27"/>
        <v>1664.4597911861424</v>
      </c>
      <c r="AI21" s="189">
        <f t="shared" si="27"/>
        <v>1816.8390130222895</v>
      </c>
      <c r="AJ21" s="189">
        <f t="shared" si="27"/>
        <v>1980.4678395589967</v>
      </c>
      <c r="AK21" s="189"/>
      <c r="AL21" s="189">
        <f>SUM(AL22:AL32)</f>
        <v>77.524995071996941</v>
      </c>
      <c r="AM21" s="189">
        <f t="shared" ref="AM21:AP21" si="28">SUM(AM22:AM32)</f>
        <v>76.103382987986208</v>
      </c>
      <c r="AN21" s="189">
        <f t="shared" si="28"/>
        <v>84.938924024516524</v>
      </c>
      <c r="AO21" s="189">
        <f t="shared" si="28"/>
        <v>92.649491557594388</v>
      </c>
      <c r="AP21" s="189">
        <f t="shared" si="28"/>
        <v>100.60065953416633</v>
      </c>
      <c r="AQ21" s="91" t="str">
        <f>A21</f>
        <v>15+</v>
      </c>
      <c r="AR21" s="189">
        <f>SUM(AR22:AR32)</f>
        <v>1106.6731656485081</v>
      </c>
      <c r="AS21" s="189">
        <f t="shared" ref="AS21:AV21" si="29">SUM(AS22:AS32)</f>
        <v>1199.3363209792817</v>
      </c>
      <c r="AT21" s="189">
        <f t="shared" si="29"/>
        <v>1365.5690169985778</v>
      </c>
      <c r="AU21" s="189">
        <f t="shared" si="29"/>
        <v>1541.874607472716</v>
      </c>
      <c r="AV21" s="189">
        <f t="shared" si="29"/>
        <v>1748.1917854076103</v>
      </c>
      <c r="AW21" s="189"/>
      <c r="AX21" s="189">
        <f>SUM(AX22:AX32)</f>
        <v>1077.4599726477079</v>
      </c>
      <c r="AY21" s="189">
        <f t="shared" ref="AY21:BB21" si="30">SUM(AY22:AY32)</f>
        <v>1167.5793096493508</v>
      </c>
      <c r="AZ21" s="189">
        <f t="shared" si="30"/>
        <v>1328.8583394486275</v>
      </c>
      <c r="BA21" s="189">
        <f t="shared" si="30"/>
        <v>1499.4805167904162</v>
      </c>
      <c r="BB21" s="189">
        <f t="shared" si="30"/>
        <v>1698.9799024688193</v>
      </c>
      <c r="BC21" s="189"/>
      <c r="BD21" s="189">
        <f>SUM(BD22:BD32)</f>
        <v>29.213193000800217</v>
      </c>
      <c r="BE21" s="189">
        <f t="shared" ref="BE21:BH21" si="31">SUM(BE22:BE32)</f>
        <v>31.757011329930545</v>
      </c>
      <c r="BF21" s="189">
        <f t="shared" si="31"/>
        <v>36.710677549950461</v>
      </c>
      <c r="BG21" s="189">
        <f t="shared" si="31"/>
        <v>42.394090682299776</v>
      </c>
      <c r="BH21" s="189">
        <f t="shared" si="31"/>
        <v>49.211882938790794</v>
      </c>
    </row>
    <row r="22" spans="1:60" x14ac:dyDescent="0.2">
      <c r="A22" s="91" t="str">
        <f>$A$8</f>
        <v>15-19</v>
      </c>
      <c r="B22" s="189">
        <v>265.87910321369338</v>
      </c>
      <c r="C22" s="189">
        <v>258.0443726840308</v>
      </c>
      <c r="D22" s="189">
        <v>243.141770298518</v>
      </c>
      <c r="E22" s="189">
        <v>242.0329033496289</v>
      </c>
      <c r="F22" s="188">
        <v>259.48953414978911</v>
      </c>
      <c r="G22" s="189"/>
      <c r="H22" s="189">
        <v>65.502301380201217</v>
      </c>
      <c r="I22" s="189">
        <v>63.57213501074979</v>
      </c>
      <c r="J22" s="189">
        <v>59.900673398189532</v>
      </c>
      <c r="K22" s="189">
        <v>59.627470660231161</v>
      </c>
      <c r="L22" s="188">
        <v>63.928125917066254</v>
      </c>
      <c r="M22" s="189"/>
      <c r="N22" s="189">
        <v>200.37680183349218</v>
      </c>
      <c r="O22" s="189">
        <v>194.47223767328106</v>
      </c>
      <c r="P22" s="189">
        <v>183.2410969003285</v>
      </c>
      <c r="Q22" s="189">
        <v>182.40543268939777</v>
      </c>
      <c r="R22" s="188">
        <v>195.56140823272287</v>
      </c>
      <c r="S22" s="189"/>
      <c r="T22" s="189">
        <v>0</v>
      </c>
      <c r="U22" s="189">
        <v>0</v>
      </c>
      <c r="V22" s="189">
        <v>0</v>
      </c>
      <c r="W22" s="189">
        <v>0</v>
      </c>
      <c r="X22" s="188">
        <v>0</v>
      </c>
      <c r="Y22" s="91" t="str">
        <f>$A$8</f>
        <v>15-19</v>
      </c>
      <c r="Z22" s="189">
        <v>66.511132470586716</v>
      </c>
      <c r="AA22" s="189">
        <v>73.411299772273082</v>
      </c>
      <c r="AB22" s="189">
        <v>80.502722532222251</v>
      </c>
      <c r="AC22" s="189">
        <v>87.416701640226961</v>
      </c>
      <c r="AD22" s="188">
        <v>102.22230692001014</v>
      </c>
      <c r="AE22" s="189"/>
      <c r="AF22" s="189">
        <v>65.408785510809949</v>
      </c>
      <c r="AG22" s="189">
        <v>72.194629595921498</v>
      </c>
      <c r="AH22" s="189">
        <v>79.16853183013346</v>
      </c>
      <c r="AI22" s="189">
        <v>85.967955058277127</v>
      </c>
      <c r="AJ22" s="188">
        <v>100.52812602924274</v>
      </c>
      <c r="AK22" s="189"/>
      <c r="AL22" s="189">
        <v>1.1023469597767663</v>
      </c>
      <c r="AM22" s="189">
        <v>1.2166701763515873</v>
      </c>
      <c r="AN22" s="189">
        <v>1.3341907020887731</v>
      </c>
      <c r="AO22" s="189">
        <v>1.4487465819498317</v>
      </c>
      <c r="AP22" s="188">
        <v>1.6941808907673945</v>
      </c>
      <c r="AQ22" s="91" t="str">
        <f t="shared" ref="AQ22:AQ32" si="32">A22</f>
        <v>15-19</v>
      </c>
      <c r="AR22" s="189">
        <v>0.47976431571996198</v>
      </c>
      <c r="AS22" s="189">
        <v>0.72732754369609554</v>
      </c>
      <c r="AT22" s="189">
        <v>0.48550716925975612</v>
      </c>
      <c r="AU22" s="189">
        <v>0.49439501014410386</v>
      </c>
      <c r="AV22" s="188">
        <v>0.54315893020071748</v>
      </c>
      <c r="AW22" s="189"/>
      <c r="AX22" s="189">
        <v>0.424231447426622</v>
      </c>
      <c r="AY22" s="189">
        <v>0.64301397638445978</v>
      </c>
      <c r="AZ22" s="189">
        <v>0.4293477578901575</v>
      </c>
      <c r="BA22" s="189">
        <v>0.43712398467357205</v>
      </c>
      <c r="BB22" s="188">
        <v>0.4802635949877026</v>
      </c>
      <c r="BC22" s="189"/>
      <c r="BD22" s="189">
        <v>5.5532868293339949E-2</v>
      </c>
      <c r="BE22" s="189">
        <v>8.4313567311635793E-2</v>
      </c>
      <c r="BF22" s="189">
        <v>5.6159411369598657E-2</v>
      </c>
      <c r="BG22" s="189">
        <v>5.7271025470531763E-2</v>
      </c>
      <c r="BH22" s="188">
        <v>6.2895335213014894E-2</v>
      </c>
    </row>
    <row r="23" spans="1:60" x14ac:dyDescent="0.2">
      <c r="A23" s="91" t="str">
        <f>$A$9</f>
        <v>20-24</v>
      </c>
      <c r="B23" s="189">
        <v>62.563891293376557</v>
      </c>
      <c r="C23" s="189">
        <v>65.325512781581011</v>
      </c>
      <c r="D23" s="189">
        <v>67.029010553797633</v>
      </c>
      <c r="E23" s="189">
        <v>59.464637575430878</v>
      </c>
      <c r="F23" s="188">
        <v>54.38972351131563</v>
      </c>
      <c r="G23" s="189"/>
      <c r="H23" s="189">
        <v>17.754171051225015</v>
      </c>
      <c r="I23" s="189">
        <v>18.537831805843624</v>
      </c>
      <c r="J23" s="189">
        <v>19.021243659623707</v>
      </c>
      <c r="K23" s="189">
        <v>16.874679665555647</v>
      </c>
      <c r="L23" s="188">
        <v>15.434495406960504</v>
      </c>
      <c r="M23" s="189"/>
      <c r="N23" s="189">
        <v>44.809720242151542</v>
      </c>
      <c r="O23" s="189">
        <v>46.787680975737388</v>
      </c>
      <c r="P23" s="189">
        <v>48.00776689417394</v>
      </c>
      <c r="Q23" s="189">
        <v>42.589957909875231</v>
      </c>
      <c r="R23" s="188">
        <v>38.955228104355122</v>
      </c>
      <c r="S23" s="189"/>
      <c r="T23" s="189">
        <v>0</v>
      </c>
      <c r="U23" s="189">
        <v>0</v>
      </c>
      <c r="V23" s="189">
        <v>0</v>
      </c>
      <c r="W23" s="189">
        <v>0</v>
      </c>
      <c r="X23" s="188">
        <v>0</v>
      </c>
      <c r="Y23" s="91" t="str">
        <f>$A$9</f>
        <v>20-24</v>
      </c>
      <c r="Z23" s="189">
        <v>203.50469894139783</v>
      </c>
      <c r="AA23" s="189">
        <v>206.78831948241526</v>
      </c>
      <c r="AB23" s="189">
        <v>217.16688614689699</v>
      </c>
      <c r="AC23" s="189">
        <v>213.03529301815917</v>
      </c>
      <c r="AD23" s="188">
        <v>215.87448968593148</v>
      </c>
      <c r="AE23" s="189"/>
      <c r="AF23" s="189">
        <v>194.19340573185747</v>
      </c>
      <c r="AG23" s="189">
        <v>197.32683079971491</v>
      </c>
      <c r="AH23" s="189">
        <v>207.23048265883725</v>
      </c>
      <c r="AI23" s="189">
        <v>203.2879208070558</v>
      </c>
      <c r="AJ23" s="188">
        <v>205.99720170925298</v>
      </c>
      <c r="AK23" s="189"/>
      <c r="AL23" s="189">
        <v>9.3112932095403682</v>
      </c>
      <c r="AM23" s="189">
        <v>9.4614886827003613</v>
      </c>
      <c r="AN23" s="189">
        <v>9.936403488059721</v>
      </c>
      <c r="AO23" s="189">
        <v>9.7473722111033432</v>
      </c>
      <c r="AP23" s="188">
        <v>9.8772879766784918</v>
      </c>
      <c r="AQ23" s="91" t="str">
        <f t="shared" si="32"/>
        <v>20-24</v>
      </c>
      <c r="AR23" s="189">
        <v>55.35540976522563</v>
      </c>
      <c r="AS23" s="189">
        <v>59.428167736003701</v>
      </c>
      <c r="AT23" s="189">
        <v>76.351103299305365</v>
      </c>
      <c r="AU23" s="189">
        <v>82.69706940640998</v>
      </c>
      <c r="AV23" s="188">
        <v>92.251786802752903</v>
      </c>
      <c r="AW23" s="189"/>
      <c r="AX23" s="189">
        <v>55.171502233744391</v>
      </c>
      <c r="AY23" s="189">
        <v>59.230692610728923</v>
      </c>
      <c r="AZ23" s="189">
        <v>76.097464300047577</v>
      </c>
      <c r="BA23" s="189">
        <v>82.422307619001344</v>
      </c>
      <c r="BB23" s="188">
        <v>91.945269557157303</v>
      </c>
      <c r="BC23" s="189"/>
      <c r="BD23" s="189">
        <v>0.18390753148124411</v>
      </c>
      <c r="BE23" s="189">
        <v>0.19747512527477654</v>
      </c>
      <c r="BF23" s="189">
        <v>0.2536389992577906</v>
      </c>
      <c r="BG23" s="189">
        <v>0.27476178740863866</v>
      </c>
      <c r="BH23" s="188">
        <v>0.30651724559561289</v>
      </c>
    </row>
    <row r="24" spans="1:60" x14ac:dyDescent="0.2">
      <c r="A24" s="91" t="str">
        <f>$A$10</f>
        <v>25-29</v>
      </c>
      <c r="B24" s="189">
        <v>66.398736675349255</v>
      </c>
      <c r="C24" s="189">
        <v>69.045212178063281</v>
      </c>
      <c r="D24" s="189">
        <v>66.627042081793974</v>
      </c>
      <c r="E24" s="189">
        <v>68.686692459413791</v>
      </c>
      <c r="F24" s="188">
        <v>61.118016987628771</v>
      </c>
      <c r="G24" s="189"/>
      <c r="H24" s="189">
        <v>22.566174767142297</v>
      </c>
      <c r="I24" s="189">
        <v>23.465649013403809</v>
      </c>
      <c r="J24" s="189">
        <v>22.643783635613381</v>
      </c>
      <c r="K24" s="189">
        <v>23.343782133688464</v>
      </c>
      <c r="L24" s="188">
        <v>20.771486527956</v>
      </c>
      <c r="M24" s="189"/>
      <c r="N24" s="189">
        <v>43.832561908206955</v>
      </c>
      <c r="O24" s="189">
        <v>45.579563164659476</v>
      </c>
      <c r="P24" s="189">
        <v>43.983258446180592</v>
      </c>
      <c r="Q24" s="189">
        <v>45.342910325725327</v>
      </c>
      <c r="R24" s="188">
        <v>40.346530459672763</v>
      </c>
      <c r="S24" s="189"/>
      <c r="T24" s="189">
        <v>0</v>
      </c>
      <c r="U24" s="189">
        <v>0</v>
      </c>
      <c r="V24" s="189">
        <v>0</v>
      </c>
      <c r="W24" s="189">
        <v>0</v>
      </c>
      <c r="X24" s="188">
        <v>0</v>
      </c>
      <c r="Y24" s="91" t="str">
        <f>$A$10</f>
        <v>25-29</v>
      </c>
      <c r="Z24" s="189">
        <v>157.53682636123301</v>
      </c>
      <c r="AA24" s="189">
        <v>146.82469164415315</v>
      </c>
      <c r="AB24" s="189">
        <v>162.09459077138558</v>
      </c>
      <c r="AC24" s="189">
        <v>176.76412293200428</v>
      </c>
      <c r="AD24" s="188">
        <v>178.0449747242445</v>
      </c>
      <c r="AE24" s="189"/>
      <c r="AF24" s="189">
        <v>147.64849438417414</v>
      </c>
      <c r="AG24" s="189">
        <v>137.60882551682283</v>
      </c>
      <c r="AH24" s="189">
        <v>151.92024178805138</v>
      </c>
      <c r="AI24" s="189">
        <v>165.66900835507411</v>
      </c>
      <c r="AJ24" s="188">
        <v>166.86940114891388</v>
      </c>
      <c r="AK24" s="189"/>
      <c r="AL24" s="189">
        <v>9.8883319770588862</v>
      </c>
      <c r="AM24" s="189">
        <v>9.21586612733031</v>
      </c>
      <c r="AN24" s="189">
        <v>10.174348983334211</v>
      </c>
      <c r="AO24" s="189">
        <v>11.095114576930154</v>
      </c>
      <c r="AP24" s="188">
        <v>11.175573575330596</v>
      </c>
      <c r="AQ24" s="91" t="str">
        <f t="shared" si="32"/>
        <v>25-29</v>
      </c>
      <c r="AR24" s="189">
        <v>119.99943696341774</v>
      </c>
      <c r="AS24" s="189">
        <v>129.39109617778351</v>
      </c>
      <c r="AT24" s="189">
        <v>137.02936714682045</v>
      </c>
      <c r="AU24" s="189">
        <v>151.42218460858194</v>
      </c>
      <c r="AV24" s="188">
        <v>154.61300828812676</v>
      </c>
      <c r="AW24" s="189"/>
      <c r="AX24" s="189">
        <v>118.70993980899782</v>
      </c>
      <c r="AY24" s="189">
        <v>128.00063464065943</v>
      </c>
      <c r="AZ24" s="189">
        <v>135.5567932955843</v>
      </c>
      <c r="BA24" s="189">
        <v>149.7950052068511</v>
      </c>
      <c r="BB24" s="188">
        <v>152.9514745672883</v>
      </c>
      <c r="BC24" s="189"/>
      <c r="BD24" s="189">
        <v>1.2894971544199207</v>
      </c>
      <c r="BE24" s="189">
        <v>1.3904615371240769</v>
      </c>
      <c r="BF24" s="189">
        <v>1.4725738512361566</v>
      </c>
      <c r="BG24" s="189">
        <v>1.6271794017308401</v>
      </c>
      <c r="BH24" s="188">
        <v>1.6615337208384582</v>
      </c>
    </row>
    <row r="25" spans="1:60" x14ac:dyDescent="0.2">
      <c r="A25" s="91" t="str">
        <f>$A$11</f>
        <v>30-34</v>
      </c>
      <c r="B25" s="189">
        <v>68.283196879250426</v>
      </c>
      <c r="C25" s="189">
        <v>66.945802724107253</v>
      </c>
      <c r="D25" s="189">
        <v>66.03723253213704</v>
      </c>
      <c r="E25" s="189">
        <v>61.74876482433028</v>
      </c>
      <c r="F25" s="188">
        <v>53.450029841365982</v>
      </c>
      <c r="G25" s="189"/>
      <c r="H25" s="189">
        <v>24.544039774496266</v>
      </c>
      <c r="I25" s="189">
        <v>24.063322041545216</v>
      </c>
      <c r="J25" s="189">
        <v>23.736795331659089</v>
      </c>
      <c r="K25" s="189">
        <v>22.195343632842444</v>
      </c>
      <c r="L25" s="188">
        <v>19.212368288465317</v>
      </c>
      <c r="M25" s="189"/>
      <c r="N25" s="189">
        <v>43.739157104754149</v>
      </c>
      <c r="O25" s="189">
        <v>42.88248068256204</v>
      </c>
      <c r="P25" s="189">
        <v>42.300437200477958</v>
      </c>
      <c r="Q25" s="189">
        <v>39.553421191487843</v>
      </c>
      <c r="R25" s="188">
        <v>34.237661552900661</v>
      </c>
      <c r="S25" s="189"/>
      <c r="T25" s="189">
        <v>0</v>
      </c>
      <c r="U25" s="189">
        <v>0</v>
      </c>
      <c r="V25" s="189">
        <v>0</v>
      </c>
      <c r="W25" s="189">
        <v>0</v>
      </c>
      <c r="X25" s="188">
        <v>0</v>
      </c>
      <c r="Y25" s="91" t="str">
        <f>$A$11</f>
        <v>30-34</v>
      </c>
      <c r="Z25" s="189">
        <v>148.60780472425301</v>
      </c>
      <c r="AA25" s="189">
        <v>147.31893427815288</v>
      </c>
      <c r="AB25" s="189">
        <v>161.47366094590328</v>
      </c>
      <c r="AC25" s="189">
        <v>172.47340823028688</v>
      </c>
      <c r="AD25" s="188">
        <v>191.95713844294832</v>
      </c>
      <c r="AE25" s="189"/>
      <c r="AF25" s="189">
        <v>138.80683308840062</v>
      </c>
      <c r="AG25" s="189">
        <v>137.60298665378525</v>
      </c>
      <c r="AH25" s="189">
        <v>150.82413863510811</v>
      </c>
      <c r="AI25" s="189">
        <v>161.09845641798645</v>
      </c>
      <c r="AJ25" s="188">
        <v>179.29720884021523</v>
      </c>
      <c r="AK25" s="189"/>
      <c r="AL25" s="189">
        <v>9.8009716358523953</v>
      </c>
      <c r="AM25" s="189">
        <v>9.7159476243676277</v>
      </c>
      <c r="AN25" s="189">
        <v>10.649522310795193</v>
      </c>
      <c r="AO25" s="189">
        <v>11.374951812300438</v>
      </c>
      <c r="AP25" s="188">
        <v>12.659929602733092</v>
      </c>
      <c r="AQ25" s="91" t="str">
        <f t="shared" si="32"/>
        <v>30-34</v>
      </c>
      <c r="AR25" s="189">
        <v>129.43499839649661</v>
      </c>
      <c r="AS25" s="189">
        <v>136.9352629977399</v>
      </c>
      <c r="AT25" s="189">
        <v>146.86710652195967</v>
      </c>
      <c r="AU25" s="189">
        <v>156.94682694538284</v>
      </c>
      <c r="AV25" s="188">
        <v>178.67283171568567</v>
      </c>
      <c r="AW25" s="189"/>
      <c r="AX25" s="189">
        <v>126.08382142150504</v>
      </c>
      <c r="AY25" s="189">
        <v>133.38988826824271</v>
      </c>
      <c r="AZ25" s="189">
        <v>143.06466319041809</v>
      </c>
      <c r="BA25" s="189">
        <v>152.88342672901697</v>
      </c>
      <c r="BB25" s="188">
        <v>174.04687249714561</v>
      </c>
      <c r="BC25" s="189"/>
      <c r="BD25" s="189">
        <v>3.3511769749915721</v>
      </c>
      <c r="BE25" s="189">
        <v>3.5453747294971758</v>
      </c>
      <c r="BF25" s="189">
        <v>3.8024433315415691</v>
      </c>
      <c r="BG25" s="189">
        <v>4.0634002163658671</v>
      </c>
      <c r="BH25" s="188">
        <v>4.625959218540066</v>
      </c>
    </row>
    <row r="26" spans="1:60" x14ac:dyDescent="0.2">
      <c r="A26" s="91" t="str">
        <f>$A$12</f>
        <v>35-39</v>
      </c>
      <c r="B26" s="189">
        <v>81.570107580789099</v>
      </c>
      <c r="C26" s="189">
        <v>83.089506586868126</v>
      </c>
      <c r="D26" s="189">
        <v>69.396955766521813</v>
      </c>
      <c r="E26" s="189">
        <v>57.477476782623199</v>
      </c>
      <c r="F26" s="188">
        <v>45.376437261099497</v>
      </c>
      <c r="G26" s="189"/>
      <c r="H26" s="189">
        <v>27.823839481647656</v>
      </c>
      <c r="I26" s="189">
        <v>28.342149363665129</v>
      </c>
      <c r="J26" s="189">
        <v>23.671532314933994</v>
      </c>
      <c r="K26" s="189">
        <v>19.605797942974593</v>
      </c>
      <c r="L26" s="188">
        <v>15.478099602590135</v>
      </c>
      <c r="M26" s="189"/>
      <c r="N26" s="189">
        <v>53.746268099141446</v>
      </c>
      <c r="O26" s="189">
        <v>54.747357223203004</v>
      </c>
      <c r="P26" s="189">
        <v>45.725423451587815</v>
      </c>
      <c r="Q26" s="189">
        <v>37.871678839648609</v>
      </c>
      <c r="R26" s="188">
        <v>29.898337658509362</v>
      </c>
      <c r="S26" s="189"/>
      <c r="T26" s="189">
        <v>0</v>
      </c>
      <c r="U26" s="189">
        <v>0</v>
      </c>
      <c r="V26" s="189">
        <v>0</v>
      </c>
      <c r="W26" s="189">
        <v>0</v>
      </c>
      <c r="X26" s="188">
        <v>0</v>
      </c>
      <c r="Y26" s="91" t="str">
        <f>$A$12</f>
        <v>35-39</v>
      </c>
      <c r="Z26" s="189">
        <v>172.87314170144836</v>
      </c>
      <c r="AA26" s="189">
        <v>151.81746175182639</v>
      </c>
      <c r="AB26" s="189">
        <v>156.19921187888309</v>
      </c>
      <c r="AC26" s="189">
        <v>170.06847351368867</v>
      </c>
      <c r="AD26" s="188">
        <v>183.91916269923121</v>
      </c>
      <c r="AE26" s="189"/>
      <c r="AF26" s="189">
        <v>162.99555148006215</v>
      </c>
      <c r="AG26" s="189">
        <v>143.14291162441359</v>
      </c>
      <c r="AH26" s="189">
        <v>147.27436031165053</v>
      </c>
      <c r="AI26" s="189">
        <v>160.35109660117249</v>
      </c>
      <c r="AJ26" s="188">
        <v>173.41038032330772</v>
      </c>
      <c r="AK26" s="189"/>
      <c r="AL26" s="189">
        <v>9.8775902213862175</v>
      </c>
      <c r="AM26" s="189">
        <v>8.6745501274128145</v>
      </c>
      <c r="AN26" s="189">
        <v>8.9248515672325688</v>
      </c>
      <c r="AO26" s="189">
        <v>9.7173769125161513</v>
      </c>
      <c r="AP26" s="188">
        <v>10.508782375923495</v>
      </c>
      <c r="AQ26" s="91" t="str">
        <f t="shared" si="32"/>
        <v>35-39</v>
      </c>
      <c r="AR26" s="189">
        <v>130.84375071776253</v>
      </c>
      <c r="AS26" s="189">
        <v>143.10303166130547</v>
      </c>
      <c r="AT26" s="189">
        <v>145.7508323545951</v>
      </c>
      <c r="AU26" s="189">
        <v>161.80904970368815</v>
      </c>
      <c r="AV26" s="188">
        <v>178.15540003966933</v>
      </c>
      <c r="AW26" s="189"/>
      <c r="AX26" s="189">
        <v>127.60652595957404</v>
      </c>
      <c r="AY26" s="189">
        <v>139.56251449676819</v>
      </c>
      <c r="AZ26" s="189">
        <v>142.14475173688641</v>
      </c>
      <c r="BA26" s="189">
        <v>157.80566912987618</v>
      </c>
      <c r="BB26" s="188">
        <v>173.74761952873018</v>
      </c>
      <c r="BC26" s="189"/>
      <c r="BD26" s="189">
        <v>3.237224758188491</v>
      </c>
      <c r="BE26" s="189">
        <v>3.5405171645372788</v>
      </c>
      <c r="BF26" s="189">
        <v>3.6060806177086793</v>
      </c>
      <c r="BG26" s="189">
        <v>4.003380573811949</v>
      </c>
      <c r="BH26" s="188">
        <v>4.4077805109391317</v>
      </c>
    </row>
    <row r="27" spans="1:60" x14ac:dyDescent="0.2">
      <c r="A27" s="91" t="str">
        <f>$A$13</f>
        <v>40-44</v>
      </c>
      <c r="B27" s="189">
        <v>109.36258023994721</v>
      </c>
      <c r="C27" s="189">
        <v>100.65735353635027</v>
      </c>
      <c r="D27" s="189">
        <v>79.894996074335893</v>
      </c>
      <c r="E27" s="189">
        <v>58.266248681924139</v>
      </c>
      <c r="F27" s="188">
        <v>44.943691641188508</v>
      </c>
      <c r="G27" s="189"/>
      <c r="H27" s="189">
        <v>37.497201603751407</v>
      </c>
      <c r="I27" s="189">
        <v>34.512468517177361</v>
      </c>
      <c r="J27" s="189">
        <v>27.393678246007219</v>
      </c>
      <c r="K27" s="189">
        <v>19.977808097422283</v>
      </c>
      <c r="L27" s="188">
        <v>15.409876741628949</v>
      </c>
      <c r="M27" s="189"/>
      <c r="N27" s="189">
        <v>71.8653786361958</v>
      </c>
      <c r="O27" s="189">
        <v>66.144885019172918</v>
      </c>
      <c r="P27" s="189">
        <v>52.501317828328666</v>
      </c>
      <c r="Q27" s="189">
        <v>38.288440584501856</v>
      </c>
      <c r="R27" s="188">
        <v>29.533814899559559</v>
      </c>
      <c r="S27" s="189"/>
      <c r="T27" s="189">
        <v>0</v>
      </c>
      <c r="U27" s="189">
        <v>0</v>
      </c>
      <c r="V27" s="189">
        <v>0</v>
      </c>
      <c r="W27" s="189">
        <v>0</v>
      </c>
      <c r="X27" s="188">
        <v>0</v>
      </c>
      <c r="Y27" s="91" t="str">
        <f>$A$13</f>
        <v>40-44</v>
      </c>
      <c r="Z27" s="189">
        <v>173.78731454334542</v>
      </c>
      <c r="AA27" s="189">
        <v>163.77527356450886</v>
      </c>
      <c r="AB27" s="189">
        <v>162.60647900072252</v>
      </c>
      <c r="AC27" s="189">
        <v>166.47427183086532</v>
      </c>
      <c r="AD27" s="188">
        <v>181.69643068872716</v>
      </c>
      <c r="AE27" s="189"/>
      <c r="AF27" s="189">
        <v>165.32689297611799</v>
      </c>
      <c r="AG27" s="189">
        <v>155.80222756557217</v>
      </c>
      <c r="AH27" s="189">
        <v>154.69035923872957</v>
      </c>
      <c r="AI27" s="189">
        <v>158.36986274844344</v>
      </c>
      <c r="AJ27" s="188">
        <v>172.85093659793318</v>
      </c>
      <c r="AK27" s="189"/>
      <c r="AL27" s="189">
        <v>8.4604215672274528</v>
      </c>
      <c r="AM27" s="189">
        <v>7.9730459989366764</v>
      </c>
      <c r="AN27" s="189">
        <v>7.9161197619929249</v>
      </c>
      <c r="AO27" s="189">
        <v>8.1044090824218635</v>
      </c>
      <c r="AP27" s="188">
        <v>8.8454940907939719</v>
      </c>
      <c r="AQ27" s="91" t="str">
        <f t="shared" si="32"/>
        <v>40-44</v>
      </c>
      <c r="AR27" s="189">
        <v>128.62610521670734</v>
      </c>
      <c r="AS27" s="189">
        <v>136.39037289914091</v>
      </c>
      <c r="AT27" s="189">
        <v>148.07052492494154</v>
      </c>
      <c r="AU27" s="189">
        <v>154.31647948721056</v>
      </c>
      <c r="AV27" s="188">
        <v>171.30987767008435</v>
      </c>
      <c r="AW27" s="189"/>
      <c r="AX27" s="189">
        <v>125.76772964125814</v>
      </c>
      <c r="AY27" s="189">
        <v>133.35947800784845</v>
      </c>
      <c r="AZ27" s="189">
        <v>144.78005921667193</v>
      </c>
      <c r="BA27" s="189">
        <v>150.88727091047099</v>
      </c>
      <c r="BB27" s="188">
        <v>167.50296624498654</v>
      </c>
      <c r="BC27" s="189"/>
      <c r="BD27" s="189">
        <v>2.8583755754492008</v>
      </c>
      <c r="BE27" s="189">
        <v>3.030894891292423</v>
      </c>
      <c r="BF27" s="189">
        <v>3.2904657082695943</v>
      </c>
      <c r="BG27" s="189">
        <v>3.4292085767395757</v>
      </c>
      <c r="BH27" s="188">
        <v>3.8069114250978413</v>
      </c>
    </row>
    <row r="28" spans="1:60" x14ac:dyDescent="0.2">
      <c r="A28" s="91" t="str">
        <f>$A$14</f>
        <v>45-49</v>
      </c>
      <c r="B28" s="189">
        <v>133.05883203982552</v>
      </c>
      <c r="C28" s="189">
        <v>130.62922404585686</v>
      </c>
      <c r="D28" s="189">
        <v>99.593963362259984</v>
      </c>
      <c r="E28" s="189">
        <v>77.436632042573009</v>
      </c>
      <c r="F28" s="188">
        <v>59.492715137111858</v>
      </c>
      <c r="G28" s="189"/>
      <c r="H28" s="189">
        <v>45.027200591392536</v>
      </c>
      <c r="I28" s="189">
        <v>44.204981813015024</v>
      </c>
      <c r="J28" s="189">
        <v>33.702642640591492</v>
      </c>
      <c r="K28" s="189">
        <v>26.204594261379921</v>
      </c>
      <c r="L28" s="188">
        <v>20.132393786098973</v>
      </c>
      <c r="M28" s="189"/>
      <c r="N28" s="189">
        <v>88.031631448432989</v>
      </c>
      <c r="O28" s="189">
        <v>86.424242232841848</v>
      </c>
      <c r="P28" s="189">
        <v>65.891320721668478</v>
      </c>
      <c r="Q28" s="189">
        <v>51.232037781193085</v>
      </c>
      <c r="R28" s="188">
        <v>39.360321351012892</v>
      </c>
      <c r="S28" s="189"/>
      <c r="T28" s="189">
        <v>0</v>
      </c>
      <c r="U28" s="189">
        <v>0</v>
      </c>
      <c r="V28" s="189">
        <v>0</v>
      </c>
      <c r="W28" s="189">
        <v>0</v>
      </c>
      <c r="X28" s="188">
        <v>0</v>
      </c>
      <c r="Y28" s="91" t="str">
        <f>$A$14</f>
        <v>45-49</v>
      </c>
      <c r="Z28" s="189">
        <v>147.70040930140374</v>
      </c>
      <c r="AA28" s="189">
        <v>150.78309476094216</v>
      </c>
      <c r="AB28" s="189">
        <v>165.92406107867228</v>
      </c>
      <c r="AC28" s="189">
        <v>170.02775905499576</v>
      </c>
      <c r="AD28" s="188">
        <v>173.29143493241449</v>
      </c>
      <c r="AE28" s="189"/>
      <c r="AF28" s="189">
        <v>141.54694322175274</v>
      </c>
      <c r="AG28" s="189">
        <v>144.50116492117996</v>
      </c>
      <c r="AH28" s="189">
        <v>159.01136074679223</v>
      </c>
      <c r="AI28" s="189">
        <v>162.94414401206637</v>
      </c>
      <c r="AJ28" s="188">
        <v>166.07180166684751</v>
      </c>
      <c r="AK28" s="189"/>
      <c r="AL28" s="189">
        <v>6.1534660796509844</v>
      </c>
      <c r="AM28" s="189">
        <v>6.2819298397621735</v>
      </c>
      <c r="AN28" s="189">
        <v>6.9127003318800542</v>
      </c>
      <c r="AO28" s="189">
        <v>7.0836150429293721</v>
      </c>
      <c r="AP28" s="188">
        <v>7.2196332655670084</v>
      </c>
      <c r="AQ28" s="91" t="str">
        <f t="shared" si="32"/>
        <v>45-49</v>
      </c>
      <c r="AR28" s="189">
        <v>123.31275865877076</v>
      </c>
      <c r="AS28" s="189">
        <v>132.41368119320103</v>
      </c>
      <c r="AT28" s="189">
        <v>140.53797555906777</v>
      </c>
      <c r="AU28" s="189">
        <v>145.28260890243126</v>
      </c>
      <c r="AV28" s="188">
        <v>149.41884993047367</v>
      </c>
      <c r="AW28" s="189"/>
      <c r="AX28" s="189">
        <v>120.05066515719325</v>
      </c>
      <c r="AY28" s="189">
        <v>128.91090449693274</v>
      </c>
      <c r="AZ28" s="189">
        <v>136.82028565996129</v>
      </c>
      <c r="BA28" s="189">
        <v>141.4394248982336</v>
      </c>
      <c r="BB28" s="188">
        <v>145.46618310656098</v>
      </c>
      <c r="BC28" s="189"/>
      <c r="BD28" s="189">
        <v>3.2620935015775157</v>
      </c>
      <c r="BE28" s="189">
        <v>3.5027766962682798</v>
      </c>
      <c r="BF28" s="189">
        <v>3.7176898991064919</v>
      </c>
      <c r="BG28" s="189">
        <v>3.8431840041976795</v>
      </c>
      <c r="BH28" s="188">
        <v>3.952666823912681</v>
      </c>
    </row>
    <row r="29" spans="1:60" x14ac:dyDescent="0.2">
      <c r="A29" s="91" t="str">
        <f>$A$15</f>
        <v>50-54</v>
      </c>
      <c r="B29" s="189">
        <v>142.62528866518252</v>
      </c>
      <c r="C29" s="189">
        <v>144.67879652164194</v>
      </c>
      <c r="D29" s="189">
        <v>129.89288976403338</v>
      </c>
      <c r="E29" s="189">
        <v>108.5906384249285</v>
      </c>
      <c r="F29" s="188">
        <v>88.797023806023716</v>
      </c>
      <c r="G29" s="189"/>
      <c r="H29" s="189">
        <v>58.809677206890292</v>
      </c>
      <c r="I29" s="189">
        <v>59.656444402939428</v>
      </c>
      <c r="J29" s="189">
        <v>53.559622114055813</v>
      </c>
      <c r="K29" s="189">
        <v>44.77589197427843</v>
      </c>
      <c r="L29" s="188">
        <v>36.614290916009523</v>
      </c>
      <c r="M29" s="189"/>
      <c r="N29" s="189">
        <v>83.815611458292224</v>
      </c>
      <c r="O29" s="189">
        <v>85.022352118702528</v>
      </c>
      <c r="P29" s="189">
        <v>76.333267649977572</v>
      </c>
      <c r="Q29" s="189">
        <v>63.814746450650077</v>
      </c>
      <c r="R29" s="188">
        <v>52.182732890014194</v>
      </c>
      <c r="S29" s="189"/>
      <c r="T29" s="189">
        <v>0</v>
      </c>
      <c r="U29" s="189">
        <v>0</v>
      </c>
      <c r="V29" s="189">
        <v>0</v>
      </c>
      <c r="W29" s="189">
        <v>0</v>
      </c>
      <c r="X29" s="188">
        <v>0</v>
      </c>
      <c r="Y29" s="91" t="str">
        <f>$A$15</f>
        <v>50-54</v>
      </c>
      <c r="Z29" s="189">
        <v>128.12433076039389</v>
      </c>
      <c r="AA29" s="189">
        <v>131.63132793945925</v>
      </c>
      <c r="AB29" s="189">
        <v>150.56527705284162</v>
      </c>
      <c r="AC29" s="189">
        <v>157.47681805010433</v>
      </c>
      <c r="AD29" s="188">
        <v>161.81424705237774</v>
      </c>
      <c r="AE29" s="189"/>
      <c r="AF29" s="189">
        <v>122.55278649675924</v>
      </c>
      <c r="AG29" s="189">
        <v>125.90722170135525</v>
      </c>
      <c r="AH29" s="189">
        <v>144.01786562915689</v>
      </c>
      <c r="AI29" s="189">
        <v>150.62881683229153</v>
      </c>
      <c r="AJ29" s="188">
        <v>154.77764225506792</v>
      </c>
      <c r="AK29" s="189"/>
      <c r="AL29" s="189">
        <v>5.5715442636346637</v>
      </c>
      <c r="AM29" s="189">
        <v>5.7241062381040022</v>
      </c>
      <c r="AN29" s="189">
        <v>6.5474114236847223</v>
      </c>
      <c r="AO29" s="189">
        <v>6.848001217812798</v>
      </c>
      <c r="AP29" s="188">
        <v>7.0366047973098143</v>
      </c>
      <c r="AQ29" s="91" t="str">
        <f t="shared" si="32"/>
        <v>50-54</v>
      </c>
      <c r="AR29" s="189">
        <v>99.533380574423589</v>
      </c>
      <c r="AS29" s="189">
        <v>107.85887553889877</v>
      </c>
      <c r="AT29" s="189">
        <v>131.66083318312499</v>
      </c>
      <c r="AU29" s="189">
        <v>136.99154352496717</v>
      </c>
      <c r="AV29" s="188">
        <v>140.23672914159854</v>
      </c>
      <c r="AW29" s="189"/>
      <c r="AX29" s="189">
        <v>96.536032850777929</v>
      </c>
      <c r="AY29" s="189">
        <v>104.61089167560138</v>
      </c>
      <c r="AZ29" s="189">
        <v>127.6960784524572</v>
      </c>
      <c r="BA29" s="189">
        <v>132.86627000855998</v>
      </c>
      <c r="BB29" s="188">
        <v>136.01369492085831</v>
      </c>
      <c r="BC29" s="189"/>
      <c r="BD29" s="189">
        <v>2.9973477236456505</v>
      </c>
      <c r="BE29" s="189">
        <v>3.2479838632974087</v>
      </c>
      <c r="BF29" s="189">
        <v>3.9647547306677895</v>
      </c>
      <c r="BG29" s="189">
        <v>4.1252735164071801</v>
      </c>
      <c r="BH29" s="188">
        <v>4.2230342207402218</v>
      </c>
    </row>
    <row r="30" spans="1:60" x14ac:dyDescent="0.2">
      <c r="A30" s="91" t="str">
        <f>$A$16</f>
        <v>55-59</v>
      </c>
      <c r="B30" s="189">
        <v>142.02345355885194</v>
      </c>
      <c r="C30" s="189">
        <v>143.44952230302076</v>
      </c>
      <c r="D30" s="189">
        <v>139.14959212331905</v>
      </c>
      <c r="E30" s="189">
        <v>133.10606492478584</v>
      </c>
      <c r="F30" s="188">
        <v>109.14650779855604</v>
      </c>
      <c r="G30" s="189"/>
      <c r="H30" s="189">
        <v>65.471577847382605</v>
      </c>
      <c r="I30" s="189">
        <v>66.128938994656224</v>
      </c>
      <c r="J30" s="189">
        <v>64.146760401718026</v>
      </c>
      <c r="K30" s="189">
        <v>61.360743377948751</v>
      </c>
      <c r="L30" s="188">
        <v>50.315564885494574</v>
      </c>
      <c r="M30" s="189"/>
      <c r="N30" s="189">
        <v>76.551875711469307</v>
      </c>
      <c r="O30" s="189">
        <v>77.320583308364533</v>
      </c>
      <c r="P30" s="189">
        <v>75.002831721601012</v>
      </c>
      <c r="Q30" s="189">
        <v>71.74532154683709</v>
      </c>
      <c r="R30" s="188">
        <v>58.830942913061456</v>
      </c>
      <c r="S30" s="189"/>
      <c r="T30" s="189">
        <v>0</v>
      </c>
      <c r="U30" s="189">
        <v>0</v>
      </c>
      <c r="V30" s="189">
        <v>0</v>
      </c>
      <c r="W30" s="189">
        <v>0</v>
      </c>
      <c r="X30" s="188">
        <v>0</v>
      </c>
      <c r="Y30" s="91" t="str">
        <f>$A$16</f>
        <v>55-59</v>
      </c>
      <c r="Z30" s="189">
        <v>109.05588764571488</v>
      </c>
      <c r="AA30" s="189">
        <v>103.02668159053177</v>
      </c>
      <c r="AB30" s="189">
        <v>125.61808852626254</v>
      </c>
      <c r="AC30" s="189">
        <v>146.63086089061352</v>
      </c>
      <c r="AD30" s="188">
        <v>154.81770782548793</v>
      </c>
      <c r="AE30" s="189"/>
      <c r="AF30" s="189">
        <v>103.75944425598405</v>
      </c>
      <c r="AG30" s="189">
        <v>98.023014500202649</v>
      </c>
      <c r="AH30" s="189">
        <v>119.51727296970975</v>
      </c>
      <c r="AI30" s="189">
        <v>139.509472215926</v>
      </c>
      <c r="AJ30" s="188">
        <v>147.29874653579841</v>
      </c>
      <c r="AK30" s="189"/>
      <c r="AL30" s="189">
        <v>5.296443389730813</v>
      </c>
      <c r="AM30" s="189">
        <v>5.0036670903291043</v>
      </c>
      <c r="AN30" s="189">
        <v>6.1008155565527895</v>
      </c>
      <c r="AO30" s="189">
        <v>7.1213886746875295</v>
      </c>
      <c r="AP30" s="188">
        <v>7.5189612896894937</v>
      </c>
      <c r="AQ30" s="91" t="str">
        <f t="shared" si="32"/>
        <v>55-59</v>
      </c>
      <c r="AR30" s="189">
        <v>86.859658795433134</v>
      </c>
      <c r="AS30" s="189">
        <v>96.998796106447443</v>
      </c>
      <c r="AT30" s="189">
        <v>110.9803193504184</v>
      </c>
      <c r="AU30" s="189">
        <v>123.37107418460066</v>
      </c>
      <c r="AV30" s="188">
        <v>131.50178437595608</v>
      </c>
      <c r="AW30" s="189"/>
      <c r="AX30" s="189">
        <v>84.146035314499002</v>
      </c>
      <c r="AY30" s="189">
        <v>93.968368312463639</v>
      </c>
      <c r="AZ30" s="189">
        <v>107.5131451192468</v>
      </c>
      <c r="BA30" s="189">
        <v>119.51673817354288</v>
      </c>
      <c r="BB30" s="188">
        <v>127.3934508351265</v>
      </c>
      <c r="BC30" s="189"/>
      <c r="BD30" s="189">
        <v>2.7136234809341366</v>
      </c>
      <c r="BE30" s="189">
        <v>3.030427793983804</v>
      </c>
      <c r="BF30" s="189">
        <v>3.4671742311715938</v>
      </c>
      <c r="BG30" s="189">
        <v>3.8543360110577858</v>
      </c>
      <c r="BH30" s="188">
        <v>4.1083335408295882</v>
      </c>
    </row>
    <row r="31" spans="1:60" x14ac:dyDescent="0.2">
      <c r="A31" s="91" t="str">
        <f>$A$17</f>
        <v>60-64</v>
      </c>
      <c r="B31" s="189">
        <v>135.20871159850742</v>
      </c>
      <c r="C31" s="189">
        <v>139.14227803640441</v>
      </c>
      <c r="D31" s="189">
        <v>130.14619876262617</v>
      </c>
      <c r="E31" s="189">
        <v>116.92965912610188</v>
      </c>
      <c r="F31" s="188">
        <v>97.821165625616288</v>
      </c>
      <c r="G31" s="189"/>
      <c r="H31" s="189">
        <v>70.289274754240722</v>
      </c>
      <c r="I31" s="189">
        <v>72.334142210216811</v>
      </c>
      <c r="J31" s="189">
        <v>67.657493952962056</v>
      </c>
      <c r="K31" s="189">
        <v>60.786778379352796</v>
      </c>
      <c r="L31" s="188">
        <v>50.853075153050249</v>
      </c>
      <c r="M31" s="189"/>
      <c r="N31" s="189">
        <v>64.919436844266713</v>
      </c>
      <c r="O31" s="189">
        <v>66.808135826187581</v>
      </c>
      <c r="P31" s="189">
        <v>62.488704809664121</v>
      </c>
      <c r="Q31" s="189">
        <v>56.142880746749078</v>
      </c>
      <c r="R31" s="188">
        <v>46.968090472566033</v>
      </c>
      <c r="S31" s="189"/>
      <c r="T31" s="189">
        <v>0</v>
      </c>
      <c r="U31" s="189">
        <v>0</v>
      </c>
      <c r="V31" s="189">
        <v>0</v>
      </c>
      <c r="W31" s="189">
        <v>0</v>
      </c>
      <c r="X31" s="188">
        <v>0</v>
      </c>
      <c r="Y31" s="91" t="str">
        <f>$A$17</f>
        <v>60-64</v>
      </c>
      <c r="Z31" s="189">
        <v>86.312916170074814</v>
      </c>
      <c r="AA31" s="189">
        <v>87.978682675397692</v>
      </c>
      <c r="AB31" s="189">
        <v>102.45961005200583</v>
      </c>
      <c r="AC31" s="189">
        <v>124.91232684164649</v>
      </c>
      <c r="AD31" s="188">
        <v>146.90533839921289</v>
      </c>
      <c r="AE31" s="189"/>
      <c r="AF31" s="189">
        <v>82.494145323393639</v>
      </c>
      <c r="AG31" s="189">
        <v>84.086253978523061</v>
      </c>
      <c r="AH31" s="189">
        <v>97.926456664959204</v>
      </c>
      <c r="AI31" s="189">
        <v>119.38584315305835</v>
      </c>
      <c r="AJ31" s="188">
        <v>140.40583035374158</v>
      </c>
      <c r="AK31" s="189"/>
      <c r="AL31" s="189">
        <v>3.8187708466811769</v>
      </c>
      <c r="AM31" s="189">
        <v>3.8924286968746324</v>
      </c>
      <c r="AN31" s="189">
        <v>4.533153387046621</v>
      </c>
      <c r="AO31" s="189">
        <v>5.5264836885881472</v>
      </c>
      <c r="AP31" s="188">
        <v>6.4995080454712904</v>
      </c>
      <c r="AQ31" s="91" t="str">
        <f t="shared" si="32"/>
        <v>60-64</v>
      </c>
      <c r="AR31" s="189">
        <v>67.855372231417789</v>
      </c>
      <c r="AS31" s="189">
        <v>83.945039288197918</v>
      </c>
      <c r="AT31" s="189">
        <v>95.468191185367971</v>
      </c>
      <c r="AU31" s="189">
        <v>119.10401403225165</v>
      </c>
      <c r="AV31" s="188">
        <v>144.11749597517081</v>
      </c>
      <c r="AW31" s="189"/>
      <c r="AX31" s="189">
        <v>65.304426563134072</v>
      </c>
      <c r="AY31" s="189">
        <v>80.789147061586561</v>
      </c>
      <c r="AZ31" s="189">
        <v>91.879108865414764</v>
      </c>
      <c r="BA31" s="189">
        <v>114.62635921396409</v>
      </c>
      <c r="BB31" s="188">
        <v>138.69950783520864</v>
      </c>
      <c r="BC31" s="189"/>
      <c r="BD31" s="189">
        <v>2.5509456682837173</v>
      </c>
      <c r="BE31" s="189">
        <v>3.1558922266113782</v>
      </c>
      <c r="BF31" s="189">
        <v>3.5890823199532207</v>
      </c>
      <c r="BG31" s="189">
        <v>4.4776548182875615</v>
      </c>
      <c r="BH31" s="188">
        <v>5.4179881399621461</v>
      </c>
    </row>
    <row r="32" spans="1:60" x14ac:dyDescent="0.2">
      <c r="A32" s="91" t="str">
        <f>$A$18</f>
        <v>65+</v>
      </c>
      <c r="B32" s="189">
        <v>413.27348346987924</v>
      </c>
      <c r="C32" s="189">
        <v>413.22199816727857</v>
      </c>
      <c r="D32" s="189">
        <v>382.42661647142006</v>
      </c>
      <c r="E32" s="189">
        <v>344.26916975565996</v>
      </c>
      <c r="F32" s="188">
        <v>299.66486973953153</v>
      </c>
      <c r="G32" s="189"/>
      <c r="H32" s="189">
        <v>280.86103102264485</v>
      </c>
      <c r="I32" s="189">
        <v>280.82599650665259</v>
      </c>
      <c r="J32" s="189">
        <v>259.89747790143747</v>
      </c>
      <c r="K32" s="189">
        <v>233.96563126418033</v>
      </c>
      <c r="L32" s="188">
        <v>203.65250932991842</v>
      </c>
      <c r="M32" s="189"/>
      <c r="N32" s="189">
        <v>132.41245244723444</v>
      </c>
      <c r="O32" s="189">
        <v>132.39600166062604</v>
      </c>
      <c r="P32" s="189">
        <v>122.52913856998256</v>
      </c>
      <c r="Q32" s="189">
        <v>110.30353849147959</v>
      </c>
      <c r="R32" s="188">
        <v>96.012360409613152</v>
      </c>
      <c r="S32" s="189"/>
      <c r="T32" s="189">
        <v>0</v>
      </c>
      <c r="U32" s="189">
        <v>0</v>
      </c>
      <c r="V32" s="189">
        <v>0</v>
      </c>
      <c r="W32" s="189">
        <v>0</v>
      </c>
      <c r="X32" s="188">
        <v>0</v>
      </c>
      <c r="Y32" s="91" t="str">
        <f>$A$18</f>
        <v>65+</v>
      </c>
      <c r="Z32" s="189">
        <v>183.28798651698779</v>
      </c>
      <c r="AA32" s="189">
        <v>198.84833199585475</v>
      </c>
      <c r="AB32" s="189">
        <v>264.78812722486305</v>
      </c>
      <c r="AC32" s="189">
        <v>324.20846857729254</v>
      </c>
      <c r="AD32" s="188">
        <v>390.52526772257721</v>
      </c>
      <c r="AE32" s="189"/>
      <c r="AF32" s="189">
        <v>175.04417159553057</v>
      </c>
      <c r="AG32" s="189">
        <v>189.90464961003784</v>
      </c>
      <c r="AH32" s="189">
        <v>252.8787207130141</v>
      </c>
      <c r="AI32" s="189">
        <v>309.62643682093773</v>
      </c>
      <c r="AJ32" s="188">
        <v>372.96056409867555</v>
      </c>
      <c r="AK32" s="189"/>
      <c r="AL32" s="189">
        <v>8.243814921457215</v>
      </c>
      <c r="AM32" s="189">
        <v>8.9436823858169294</v>
      </c>
      <c r="AN32" s="189">
        <v>11.909406511848935</v>
      </c>
      <c r="AO32" s="189">
        <v>14.582031756354773</v>
      </c>
      <c r="AP32" s="188">
        <v>17.564703623901661</v>
      </c>
      <c r="AQ32" s="91" t="str">
        <f t="shared" si="32"/>
        <v>65+</v>
      </c>
      <c r="AR32" s="189">
        <v>164.37253001313297</v>
      </c>
      <c r="AS32" s="189">
        <v>172.14466983686671</v>
      </c>
      <c r="AT32" s="189">
        <v>232.36725630371686</v>
      </c>
      <c r="AU32" s="189">
        <v>309.43936166704759</v>
      </c>
      <c r="AV32" s="188">
        <v>407.37086253789136</v>
      </c>
      <c r="AW32" s="189"/>
      <c r="AX32" s="189">
        <v>157.65906224959758</v>
      </c>
      <c r="AY32" s="189">
        <v>165.11377610213441</v>
      </c>
      <c r="AZ32" s="189">
        <v>222.87664185404887</v>
      </c>
      <c r="BA32" s="189">
        <v>296.80092091622549</v>
      </c>
      <c r="BB32" s="188">
        <v>390.73259978076936</v>
      </c>
      <c r="BC32" s="189"/>
      <c r="BD32" s="189">
        <v>6.7134677635354318</v>
      </c>
      <c r="BE32" s="189">
        <v>7.0308937347323051</v>
      </c>
      <c r="BF32" s="189">
        <v>9.4906144496679747</v>
      </c>
      <c r="BG32" s="189">
        <v>12.63844075082217</v>
      </c>
      <c r="BH32" s="188">
        <v>16.638262757122035</v>
      </c>
    </row>
    <row r="33" spans="1:60" x14ac:dyDescent="0.2">
      <c r="B33" s="189"/>
      <c r="C33" s="189"/>
      <c r="D33" s="189"/>
      <c r="E33" s="189"/>
      <c r="F33" s="188"/>
      <c r="G33" s="188"/>
      <c r="H33" s="188"/>
      <c r="I33" s="188"/>
      <c r="J33" s="188"/>
      <c r="K33" s="188"/>
      <c r="L33" s="188"/>
      <c r="M33" s="188"/>
      <c r="N33" s="188"/>
      <c r="O33" s="188"/>
      <c r="P33" s="188"/>
      <c r="Q33" s="188"/>
      <c r="R33" s="188"/>
      <c r="S33" s="188"/>
      <c r="T33" s="94"/>
      <c r="U33" s="94"/>
      <c r="V33" s="94"/>
      <c r="W33" s="94"/>
      <c r="X33" s="94"/>
      <c r="Z33" s="189"/>
      <c r="AA33" s="189"/>
      <c r="AB33" s="189"/>
      <c r="AC33" s="189"/>
      <c r="AD33" s="188"/>
      <c r="AE33" s="188"/>
      <c r="AF33" s="188"/>
      <c r="AG33" s="188"/>
      <c r="AH33" s="188"/>
      <c r="AI33" s="188"/>
      <c r="AJ33" s="188"/>
      <c r="AK33" s="188"/>
      <c r="AL33" s="188"/>
      <c r="AM33" s="188"/>
      <c r="AN33" s="188"/>
      <c r="AO33" s="188"/>
      <c r="AP33" s="188"/>
      <c r="AR33" s="189"/>
      <c r="AS33" s="189"/>
      <c r="AT33" s="189"/>
      <c r="AU33" s="189"/>
      <c r="AV33" s="188"/>
      <c r="AW33" s="188"/>
      <c r="AX33" s="188"/>
      <c r="AY33" s="188"/>
      <c r="AZ33" s="188"/>
      <c r="BA33" s="188"/>
      <c r="BB33" s="188"/>
      <c r="BC33" s="188"/>
      <c r="BD33" s="188"/>
      <c r="BE33" s="188"/>
      <c r="BF33" s="188"/>
      <c r="BG33" s="188"/>
      <c r="BH33" s="188"/>
    </row>
    <row r="34" spans="1:60" x14ac:dyDescent="0.2">
      <c r="A34" s="114" t="s">
        <v>105</v>
      </c>
      <c r="B34" s="189"/>
      <c r="C34" s="189"/>
      <c r="D34" s="189"/>
      <c r="E34" s="189"/>
      <c r="F34" s="188"/>
      <c r="G34" s="188"/>
      <c r="H34" s="188"/>
      <c r="I34" s="188"/>
      <c r="J34" s="188"/>
      <c r="K34" s="188"/>
      <c r="L34" s="188"/>
      <c r="M34" s="188"/>
      <c r="N34" s="188"/>
      <c r="O34" s="188"/>
      <c r="P34" s="188"/>
      <c r="Q34" s="188"/>
      <c r="R34" s="188"/>
      <c r="S34" s="188"/>
      <c r="T34" s="94"/>
      <c r="U34" s="94"/>
      <c r="V34" s="94"/>
      <c r="W34" s="94"/>
      <c r="X34" s="94"/>
      <c r="Y34" s="114" t="str">
        <f>A34</f>
        <v>Females</v>
      </c>
      <c r="Z34" s="94"/>
      <c r="AA34" s="94"/>
      <c r="AB34" s="94"/>
      <c r="AC34" s="94"/>
      <c r="AD34" s="188"/>
      <c r="AE34" s="188"/>
      <c r="AF34" s="188"/>
      <c r="AG34" s="188"/>
      <c r="AH34" s="188"/>
      <c r="AI34" s="188"/>
      <c r="AJ34" s="188"/>
      <c r="AK34" s="188"/>
      <c r="AL34" s="188"/>
      <c r="AM34" s="188"/>
      <c r="AN34" s="188"/>
      <c r="AO34" s="188"/>
      <c r="AP34" s="188"/>
      <c r="AQ34" s="114" t="str">
        <f>A34</f>
        <v>Females</v>
      </c>
      <c r="AR34" s="94"/>
      <c r="AS34" s="94"/>
      <c r="AT34" s="94"/>
      <c r="AU34" s="94"/>
      <c r="AV34" s="188"/>
      <c r="AW34" s="188"/>
      <c r="AX34" s="188"/>
      <c r="AY34" s="188"/>
      <c r="AZ34" s="188"/>
      <c r="BA34" s="188"/>
      <c r="BB34" s="188"/>
      <c r="BC34" s="188"/>
      <c r="BD34" s="188"/>
      <c r="BE34" s="188"/>
      <c r="BF34" s="188"/>
      <c r="BG34" s="188"/>
      <c r="BH34" s="188"/>
    </row>
    <row r="35" spans="1:60" x14ac:dyDescent="0.2">
      <c r="A35" s="91" t="str">
        <f>$A$7</f>
        <v>15+</v>
      </c>
      <c r="B35" s="189">
        <f>SUM(B36:B46)</f>
        <v>1839.2166575000715</v>
      </c>
      <c r="C35" s="189">
        <f t="shared" ref="C35:F35" si="33">SUM(C36:C46)</f>
        <v>1786.0603742980511</v>
      </c>
      <c r="D35" s="189">
        <f t="shared" si="33"/>
        <v>1572.103997262989</v>
      </c>
      <c r="E35" s="189">
        <f t="shared" si="33"/>
        <v>1350.9626109662327</v>
      </c>
      <c r="F35" s="189">
        <f t="shared" si="33"/>
        <v>1143.3207917146487</v>
      </c>
      <c r="G35" s="188"/>
      <c r="H35" s="189">
        <f>SUM(H36:H46)</f>
        <v>963.2794859618532</v>
      </c>
      <c r="I35" s="189">
        <f t="shared" ref="I35:L35" si="34">SUM(I36:I46)</f>
        <v>932.67382880597597</v>
      </c>
      <c r="J35" s="189">
        <f t="shared" si="34"/>
        <v>822.41738994957336</v>
      </c>
      <c r="K35" s="189">
        <f t="shared" si="34"/>
        <v>699.51116772963974</v>
      </c>
      <c r="L35" s="189">
        <f t="shared" si="34"/>
        <v>576.46624793891874</v>
      </c>
      <c r="M35" s="188"/>
      <c r="N35" s="189">
        <f>SUM(N36:N46)</f>
        <v>875.93717153821831</v>
      </c>
      <c r="O35" s="189">
        <f t="shared" ref="O35:R35" si="35">SUM(O36:O46)</f>
        <v>853.38654549207513</v>
      </c>
      <c r="P35" s="189">
        <f t="shared" si="35"/>
        <v>749.68660731341538</v>
      </c>
      <c r="Q35" s="189">
        <f t="shared" si="35"/>
        <v>651.45144323659315</v>
      </c>
      <c r="R35" s="189">
        <f t="shared" si="35"/>
        <v>566.85454377573012</v>
      </c>
      <c r="S35" s="188"/>
      <c r="T35" s="189">
        <f>SUM(T36:T46)</f>
        <v>0</v>
      </c>
      <c r="U35" s="189">
        <f t="shared" ref="U35:X35" si="36">SUM(U36:U46)</f>
        <v>0</v>
      </c>
      <c r="V35" s="189">
        <f t="shared" si="36"/>
        <v>0</v>
      </c>
      <c r="W35" s="189">
        <f t="shared" si="36"/>
        <v>0</v>
      </c>
      <c r="X35" s="189">
        <f t="shared" si="36"/>
        <v>0</v>
      </c>
      <c r="Y35" s="91" t="str">
        <f>$A$7</f>
        <v>15+</v>
      </c>
      <c r="Z35" s="189">
        <f>SUM(Z36:Z46)</f>
        <v>1514.4894356563314</v>
      </c>
      <c r="AA35" s="189">
        <f t="shared" ref="AA35:AD35" si="37">SUM(AA36:AA46)</f>
        <v>1503.6765075089238</v>
      </c>
      <c r="AB35" s="189">
        <f t="shared" si="37"/>
        <v>1659.9026427502681</v>
      </c>
      <c r="AC35" s="189">
        <f t="shared" si="37"/>
        <v>1797.4464428451124</v>
      </c>
      <c r="AD35" s="189">
        <f t="shared" si="37"/>
        <v>1939.4301277122679</v>
      </c>
      <c r="AE35" s="189"/>
      <c r="AF35" s="189">
        <f>SUM(AF36:AF46)</f>
        <v>1427.6490102140683</v>
      </c>
      <c r="AG35" s="189">
        <f t="shared" ref="AG35:AJ35" si="38">SUM(AG36:AG46)</f>
        <v>1417.9494245743583</v>
      </c>
      <c r="AH35" s="189">
        <f t="shared" si="38"/>
        <v>1565.6898030959378</v>
      </c>
      <c r="AI35" s="189">
        <f t="shared" si="38"/>
        <v>1695.8037388732168</v>
      </c>
      <c r="AJ35" s="189">
        <f t="shared" si="38"/>
        <v>1830.7085872896366</v>
      </c>
      <c r="AK35" s="189"/>
      <c r="AL35" s="189">
        <f>SUM(AL36:AL46)</f>
        <v>86.840425442262955</v>
      </c>
      <c r="AM35" s="189">
        <f t="shared" ref="AM35:AP35" si="39">SUM(AM36:AM46)</f>
        <v>85.727082934565459</v>
      </c>
      <c r="AN35" s="189">
        <f t="shared" si="39"/>
        <v>94.212839654330281</v>
      </c>
      <c r="AO35" s="189">
        <f t="shared" si="39"/>
        <v>101.64270397189549</v>
      </c>
      <c r="AP35" s="189">
        <f t="shared" si="39"/>
        <v>108.72154042263139</v>
      </c>
      <c r="AQ35" s="91" t="str">
        <f>$A$7</f>
        <v>15+</v>
      </c>
      <c r="AR35" s="189">
        <f>SUM(AR36:AR46)</f>
        <v>1208.4819068435977</v>
      </c>
      <c r="AS35" s="189">
        <f t="shared" ref="AS35:AV35" si="40">SUM(AS36:AS46)</f>
        <v>1342.1641181930254</v>
      </c>
      <c r="AT35" s="189">
        <f t="shared" si="40"/>
        <v>1576.2403599867432</v>
      </c>
      <c r="AU35" s="189">
        <f t="shared" si="40"/>
        <v>1829.5899461886547</v>
      </c>
      <c r="AV35" s="189">
        <f t="shared" si="40"/>
        <v>2104.1100805730839</v>
      </c>
      <c r="AW35" s="189"/>
      <c r="AX35" s="189">
        <f>SUM(AX36:AX46)</f>
        <v>1195.8231128172695</v>
      </c>
      <c r="AY35" s="189">
        <f t="shared" ref="AY35:BB35" si="41">SUM(AY36:AY46)</f>
        <v>1327.9996346900398</v>
      </c>
      <c r="AZ35" s="189">
        <f t="shared" si="41"/>
        <v>1559.651180973065</v>
      </c>
      <c r="BA35" s="189">
        <f t="shared" si="41"/>
        <v>1810.1453176220125</v>
      </c>
      <c r="BB35" s="189">
        <f t="shared" si="41"/>
        <v>2081.5851755357075</v>
      </c>
      <c r="BC35" s="189"/>
      <c r="BD35" s="189">
        <f>SUM(BD36:BD46)</f>
        <v>12.658794026328057</v>
      </c>
      <c r="BE35" s="189">
        <f t="shared" ref="BE35:BH35" si="42">SUM(BE36:BE46)</f>
        <v>14.164483502985499</v>
      </c>
      <c r="BF35" s="189">
        <f t="shared" si="42"/>
        <v>16.589179013678287</v>
      </c>
      <c r="BG35" s="189">
        <f t="shared" si="42"/>
        <v>19.444628566642407</v>
      </c>
      <c r="BH35" s="189">
        <f t="shared" si="42"/>
        <v>22.524905037375824</v>
      </c>
    </row>
    <row r="36" spans="1:60" x14ac:dyDescent="0.2">
      <c r="A36" s="91" t="str">
        <f>$A$8</f>
        <v>15-19</v>
      </c>
      <c r="B36" s="189">
        <v>235.75197725192589</v>
      </c>
      <c r="C36" s="189">
        <v>235.32459036047223</v>
      </c>
      <c r="D36" s="189">
        <v>224.52607187954138</v>
      </c>
      <c r="E36" s="189">
        <v>225.53877970723389</v>
      </c>
      <c r="F36" s="188">
        <v>243.72400964127928</v>
      </c>
      <c r="G36" s="188"/>
      <c r="H36" s="189">
        <v>48.983534945390808</v>
      </c>
      <c r="I36" s="189">
        <v>48.894690177294805</v>
      </c>
      <c r="J36" s="189">
        <v>46.651003976088816</v>
      </c>
      <c r="K36" s="189">
        <v>46.861405382749254</v>
      </c>
      <c r="L36" s="188">
        <v>50.639873799695991</v>
      </c>
      <c r="M36" s="188"/>
      <c r="N36" s="189">
        <v>186.76844230653509</v>
      </c>
      <c r="O36" s="189">
        <v>186.42990018317741</v>
      </c>
      <c r="P36" s="189">
        <v>177.87506790345256</v>
      </c>
      <c r="Q36" s="189">
        <v>178.67737432448465</v>
      </c>
      <c r="R36" s="188">
        <v>193.08413584158328</v>
      </c>
      <c r="S36" s="188"/>
      <c r="T36" s="189">
        <v>0</v>
      </c>
      <c r="U36" s="189">
        <v>0</v>
      </c>
      <c r="V36" s="189">
        <v>0</v>
      </c>
      <c r="W36" s="189">
        <v>0</v>
      </c>
      <c r="X36" s="188">
        <v>0</v>
      </c>
      <c r="Y36" s="91" t="str">
        <f>$A$8</f>
        <v>15-19</v>
      </c>
      <c r="Z36" s="189">
        <v>83.569879527684336</v>
      </c>
      <c r="AA36" s="189">
        <v>82.526656420969161</v>
      </c>
      <c r="AB36" s="189">
        <v>84.494484512367791</v>
      </c>
      <c r="AC36" s="189">
        <v>90.946079800349651</v>
      </c>
      <c r="AD36" s="188">
        <v>105.28765306859901</v>
      </c>
      <c r="AE36" s="188"/>
      <c r="AF36" s="189">
        <v>82.46118212650282</v>
      </c>
      <c r="AG36" s="189">
        <v>81.431768542600082</v>
      </c>
      <c r="AH36" s="189">
        <v>83.373443742554031</v>
      </c>
      <c r="AI36" s="189">
        <v>89.739476773593154</v>
      </c>
      <c r="AJ36" s="188">
        <v>103.89079794445267</v>
      </c>
      <c r="AK36" s="188"/>
      <c r="AL36" s="189">
        <v>1.1086974011815047</v>
      </c>
      <c r="AM36" s="189">
        <v>1.0948878783690683</v>
      </c>
      <c r="AN36" s="189">
        <v>1.1210407698137705</v>
      </c>
      <c r="AO36" s="189">
        <v>1.2066030267565</v>
      </c>
      <c r="AP36" s="188">
        <v>1.3968551241463449</v>
      </c>
      <c r="AQ36" s="91" t="str">
        <f>$A$8</f>
        <v>15-19</v>
      </c>
      <c r="AR36" s="189">
        <v>0.12314322038975159</v>
      </c>
      <c r="AS36" s="189">
        <v>0.59775321855860108</v>
      </c>
      <c r="AT36" s="189">
        <v>1.4364436080908414</v>
      </c>
      <c r="AU36" s="189">
        <v>1.4711404924164426</v>
      </c>
      <c r="AV36" s="188">
        <v>1.6223372901217372</v>
      </c>
      <c r="AW36" s="188"/>
      <c r="AX36" s="189">
        <v>0.12314322038975159</v>
      </c>
      <c r="AY36" s="189">
        <v>0.59775321855860108</v>
      </c>
      <c r="AZ36" s="189">
        <v>1.4364436080908414</v>
      </c>
      <c r="BA36" s="189">
        <v>1.4711404924164426</v>
      </c>
      <c r="BB36" s="188">
        <v>1.6223372901217372</v>
      </c>
      <c r="BC36" s="188"/>
      <c r="BD36" s="189">
        <v>0</v>
      </c>
      <c r="BE36" s="189">
        <v>0</v>
      </c>
      <c r="BF36" s="189">
        <v>0</v>
      </c>
      <c r="BG36" s="189">
        <v>0</v>
      </c>
      <c r="BH36" s="188">
        <v>0</v>
      </c>
    </row>
    <row r="37" spans="1:60" x14ac:dyDescent="0.2">
      <c r="A37" s="91" t="str">
        <f>$A$9</f>
        <v>20-24</v>
      </c>
      <c r="B37" s="189">
        <v>51.28667688291447</v>
      </c>
      <c r="C37" s="189">
        <v>50.325615142463022</v>
      </c>
      <c r="D37" s="189">
        <v>41.617556806647421</v>
      </c>
      <c r="E37" s="189">
        <v>36.381749805465141</v>
      </c>
      <c r="F37" s="188">
        <v>33.131944227953063</v>
      </c>
      <c r="G37" s="188"/>
      <c r="H37" s="189">
        <v>18.958252611047016</v>
      </c>
      <c r="I37" s="189">
        <v>18.60303815545123</v>
      </c>
      <c r="J37" s="189">
        <v>15.38403685205089</v>
      </c>
      <c r="K37" s="189">
        <v>13.448615257113641</v>
      </c>
      <c r="L37" s="188">
        <v>12.247310379881396</v>
      </c>
      <c r="M37" s="188"/>
      <c r="N37" s="189">
        <v>32.328424271867455</v>
      </c>
      <c r="O37" s="189">
        <v>31.722576987011788</v>
      </c>
      <c r="P37" s="189">
        <v>26.233519954596538</v>
      </c>
      <c r="Q37" s="189">
        <v>22.9331345483515</v>
      </c>
      <c r="R37" s="188">
        <v>20.884633848071665</v>
      </c>
      <c r="S37" s="188"/>
      <c r="T37" s="189">
        <v>0</v>
      </c>
      <c r="U37" s="189">
        <v>0</v>
      </c>
      <c r="V37" s="189">
        <v>0</v>
      </c>
      <c r="W37" s="189">
        <v>0</v>
      </c>
      <c r="X37" s="188">
        <v>0</v>
      </c>
      <c r="Y37" s="91" t="str">
        <f>$A$9</f>
        <v>20-24</v>
      </c>
      <c r="Z37" s="189">
        <v>179.47599670013653</v>
      </c>
      <c r="AA37" s="189">
        <v>187.56758244877105</v>
      </c>
      <c r="AB37" s="189">
        <v>195.70388276755187</v>
      </c>
      <c r="AC37" s="189">
        <v>186.34405047249078</v>
      </c>
      <c r="AD37" s="188">
        <v>185.01228504909878</v>
      </c>
      <c r="AE37" s="188"/>
      <c r="AF37" s="189">
        <v>169.79137146665974</v>
      </c>
      <c r="AG37" s="189">
        <v>177.44629400726811</v>
      </c>
      <c r="AH37" s="189">
        <v>185.14356605643363</v>
      </c>
      <c r="AI37" s="189">
        <v>176.28878253096943</v>
      </c>
      <c r="AJ37" s="188">
        <v>175.02885632439069</v>
      </c>
      <c r="AK37" s="188"/>
      <c r="AL37" s="189">
        <v>9.6846252334768117</v>
      </c>
      <c r="AM37" s="189">
        <v>10.121288441502955</v>
      </c>
      <c r="AN37" s="189">
        <v>10.560316711118229</v>
      </c>
      <c r="AO37" s="189">
        <v>10.055267941521366</v>
      </c>
      <c r="AP37" s="188">
        <v>9.9834287247081175</v>
      </c>
      <c r="AQ37" s="91" t="str">
        <f>$A$9</f>
        <v>20-24</v>
      </c>
      <c r="AR37" s="189">
        <v>88.329326416949002</v>
      </c>
      <c r="AS37" s="189">
        <v>91.282802408765903</v>
      </c>
      <c r="AT37" s="189">
        <v>110.63256042580073</v>
      </c>
      <c r="AU37" s="189">
        <v>118.86519972204405</v>
      </c>
      <c r="AV37" s="188">
        <v>132.58977072294817</v>
      </c>
      <c r="AW37" s="188"/>
      <c r="AX37" s="189">
        <v>88.165028914454396</v>
      </c>
      <c r="AY37" s="189">
        <v>91.112930485790656</v>
      </c>
      <c r="AZ37" s="189">
        <v>110.42669182995489</v>
      </c>
      <c r="BA37" s="189">
        <v>118.644032109338</v>
      </c>
      <c r="BB37" s="188">
        <v>132.3431042203359</v>
      </c>
      <c r="BC37" s="188"/>
      <c r="BD37" s="189">
        <v>0.16429750249460409</v>
      </c>
      <c r="BE37" s="189">
        <v>0.16987192297524076</v>
      </c>
      <c r="BF37" s="189">
        <v>0.2058685958458471</v>
      </c>
      <c r="BG37" s="189">
        <v>0.2211676127060439</v>
      </c>
      <c r="BH37" s="188">
        <v>0.2466665026122716</v>
      </c>
    </row>
    <row r="38" spans="1:60" x14ac:dyDescent="0.2">
      <c r="A38" s="91" t="str">
        <f>$A$10</f>
        <v>25-29</v>
      </c>
      <c r="B38" s="189">
        <v>48.980336910061595</v>
      </c>
      <c r="C38" s="189">
        <v>58.029393144137778</v>
      </c>
      <c r="D38" s="189">
        <v>51.776100367683391</v>
      </c>
      <c r="E38" s="189">
        <v>49.053973946460331</v>
      </c>
      <c r="F38" s="188">
        <v>43.531243964596278</v>
      </c>
      <c r="G38" s="188"/>
      <c r="H38" s="189">
        <v>18.23204899869749</v>
      </c>
      <c r="I38" s="189">
        <v>21.600341017225613</v>
      </c>
      <c r="J38" s="189">
        <v>19.272660294510747</v>
      </c>
      <c r="K38" s="189">
        <v>18.259465614997644</v>
      </c>
      <c r="L38" s="188">
        <v>16.203686177787539</v>
      </c>
      <c r="M38" s="188"/>
      <c r="N38" s="189">
        <v>30.748287911364105</v>
      </c>
      <c r="O38" s="189">
        <v>36.429052126912168</v>
      </c>
      <c r="P38" s="189">
        <v>32.503440073172648</v>
      </c>
      <c r="Q38" s="189">
        <v>30.794508331462694</v>
      </c>
      <c r="R38" s="188">
        <v>27.32755778680874</v>
      </c>
      <c r="S38" s="188"/>
      <c r="T38" s="189">
        <v>0</v>
      </c>
      <c r="U38" s="189">
        <v>0</v>
      </c>
      <c r="V38" s="189">
        <v>0</v>
      </c>
      <c r="W38" s="189">
        <v>0</v>
      </c>
      <c r="X38" s="188">
        <v>0</v>
      </c>
      <c r="Y38" s="91" t="str">
        <f>$A$10</f>
        <v>25-29</v>
      </c>
      <c r="Z38" s="189">
        <v>127.78718872779281</v>
      </c>
      <c r="AA38" s="189">
        <v>119.37410820126239</v>
      </c>
      <c r="AB38" s="189">
        <v>118.02109899531821</v>
      </c>
      <c r="AC38" s="189">
        <v>118.58410734575391</v>
      </c>
      <c r="AD38" s="188">
        <v>111.69989644356696</v>
      </c>
      <c r="AE38" s="188"/>
      <c r="AF38" s="189">
        <v>117.06434284916277</v>
      </c>
      <c r="AG38" s="189">
        <v>109.35717668619014</v>
      </c>
      <c r="AH38" s="189">
        <v>108.11773722560081</v>
      </c>
      <c r="AI38" s="189">
        <v>108.63342670868553</v>
      </c>
      <c r="AJ38" s="188">
        <v>102.3269079217695</v>
      </c>
      <c r="AK38" s="188"/>
      <c r="AL38" s="189">
        <v>10.722845878630038</v>
      </c>
      <c r="AM38" s="189">
        <v>10.01693151507223</v>
      </c>
      <c r="AN38" s="189">
        <v>9.9033617697174048</v>
      </c>
      <c r="AO38" s="189">
        <v>9.9506806370683663</v>
      </c>
      <c r="AP38" s="188">
        <v>9.3729885217974456</v>
      </c>
      <c r="AQ38" s="91" t="str">
        <f>$A$10</f>
        <v>25-29</v>
      </c>
      <c r="AR38" s="189">
        <v>165.48947436214561</v>
      </c>
      <c r="AS38" s="189">
        <v>169.04449865459986</v>
      </c>
      <c r="AT38" s="189">
        <v>192.77780063699839</v>
      </c>
      <c r="AU38" s="189">
        <v>214.16091870778578</v>
      </c>
      <c r="AV38" s="188">
        <v>222.34985959183678</v>
      </c>
      <c r="AW38" s="188"/>
      <c r="AX38" s="189">
        <v>163.99516578961072</v>
      </c>
      <c r="AY38" s="189">
        <v>167.51816718569009</v>
      </c>
      <c r="AZ38" s="189">
        <v>191.03715957991898</v>
      </c>
      <c r="BA38" s="189">
        <v>212.22723208261212</v>
      </c>
      <c r="BB38" s="188">
        <v>220.34220948065195</v>
      </c>
      <c r="BC38" s="188"/>
      <c r="BD38" s="189">
        <v>1.4943085725348841</v>
      </c>
      <c r="BE38" s="189">
        <v>1.526331468909754</v>
      </c>
      <c r="BF38" s="189">
        <v>1.740641057079428</v>
      </c>
      <c r="BG38" s="189">
        <v>1.9336866251736855</v>
      </c>
      <c r="BH38" s="188">
        <v>2.0076501111848128</v>
      </c>
    </row>
    <row r="39" spans="1:60" x14ac:dyDescent="0.2">
      <c r="A39" s="91" t="str">
        <f>$A$11</f>
        <v>30-34</v>
      </c>
      <c r="B39" s="189">
        <v>48.351616200732686</v>
      </c>
      <c r="C39" s="189">
        <v>54.81450484456311</v>
      </c>
      <c r="D39" s="189">
        <v>52.150998553698685</v>
      </c>
      <c r="E39" s="189">
        <v>48.164476439532713</v>
      </c>
      <c r="F39" s="188">
        <v>40.226027639053598</v>
      </c>
      <c r="G39" s="188"/>
      <c r="H39" s="189">
        <v>20.247488689226163</v>
      </c>
      <c r="I39" s="189">
        <v>22.95380254002168</v>
      </c>
      <c r="J39" s="189">
        <v>21.838502656747391</v>
      </c>
      <c r="K39" s="189">
        <v>20.169083304063328</v>
      </c>
      <c r="L39" s="188">
        <v>16.844826452036404</v>
      </c>
      <c r="M39" s="188"/>
      <c r="N39" s="189">
        <v>28.104127511506523</v>
      </c>
      <c r="O39" s="189">
        <v>31.86070230454143</v>
      </c>
      <c r="P39" s="189">
        <v>30.312495896951297</v>
      </c>
      <c r="Q39" s="189">
        <v>27.995393135469385</v>
      </c>
      <c r="R39" s="188">
        <v>23.381201187017187</v>
      </c>
      <c r="S39" s="188"/>
      <c r="T39" s="189">
        <v>0</v>
      </c>
      <c r="U39" s="189">
        <v>0</v>
      </c>
      <c r="V39" s="189">
        <v>0</v>
      </c>
      <c r="W39" s="189">
        <v>0</v>
      </c>
      <c r="X39" s="188">
        <v>0</v>
      </c>
      <c r="Y39" s="91" t="str">
        <f>$A$11</f>
        <v>30-34</v>
      </c>
      <c r="Z39" s="189">
        <v>126.59052603481021</v>
      </c>
      <c r="AA39" s="189">
        <v>118.76404254564063</v>
      </c>
      <c r="AB39" s="189">
        <v>124.03995863874285</v>
      </c>
      <c r="AC39" s="189">
        <v>123.84674741528471</v>
      </c>
      <c r="AD39" s="188">
        <v>125.93134426917472</v>
      </c>
      <c r="AE39" s="188"/>
      <c r="AF39" s="189">
        <v>116.68034085440465</v>
      </c>
      <c r="AG39" s="189">
        <v>109.46652247600598</v>
      </c>
      <c r="AH39" s="189">
        <v>114.32946398888731</v>
      </c>
      <c r="AI39" s="189">
        <v>114.15134413116714</v>
      </c>
      <c r="AJ39" s="188">
        <v>116.0727553396063</v>
      </c>
      <c r="AK39" s="188"/>
      <c r="AL39" s="189">
        <v>9.9101851804055663</v>
      </c>
      <c r="AM39" s="189">
        <v>9.2975200696346505</v>
      </c>
      <c r="AN39" s="189">
        <v>9.7104946498555318</v>
      </c>
      <c r="AO39" s="189">
        <v>9.6954032841175852</v>
      </c>
      <c r="AP39" s="188">
        <v>9.8585889295684215</v>
      </c>
      <c r="AQ39" s="91" t="str">
        <f>$A$11</f>
        <v>30-34</v>
      </c>
      <c r="AR39" s="189">
        <v>165.33285776445709</v>
      </c>
      <c r="AS39" s="189">
        <v>173.27745260979628</v>
      </c>
      <c r="AT39" s="189">
        <v>193.84104280755847</v>
      </c>
      <c r="AU39" s="189">
        <v>212.88877614518256</v>
      </c>
      <c r="AV39" s="188">
        <v>239.55062809177167</v>
      </c>
      <c r="AW39" s="188"/>
      <c r="AX39" s="189">
        <v>163.54698646509576</v>
      </c>
      <c r="AY39" s="189">
        <v>171.40581210762247</v>
      </c>
      <c r="AZ39" s="189">
        <v>191.74726433199922</v>
      </c>
      <c r="BA39" s="189">
        <v>210.58921239342598</v>
      </c>
      <c r="BB39" s="188">
        <v>236.96312770820174</v>
      </c>
      <c r="BC39" s="188"/>
      <c r="BD39" s="189">
        <v>1.785871299361329</v>
      </c>
      <c r="BE39" s="189">
        <v>1.8716405021737883</v>
      </c>
      <c r="BF39" s="189">
        <v>2.0937784755592417</v>
      </c>
      <c r="BG39" s="189">
        <v>2.2995637517565553</v>
      </c>
      <c r="BH39" s="188">
        <v>2.587500383569969</v>
      </c>
    </row>
    <row r="40" spans="1:60" x14ac:dyDescent="0.2">
      <c r="A40" s="91" t="str">
        <f>$A$12</f>
        <v>35-39</v>
      </c>
      <c r="B40" s="189">
        <v>72.542037614782771</v>
      </c>
      <c r="C40" s="189">
        <v>65.06766726540738</v>
      </c>
      <c r="D40" s="189">
        <v>54.766784806672291</v>
      </c>
      <c r="E40" s="189">
        <v>45.523587094052431</v>
      </c>
      <c r="F40" s="188">
        <v>34.291330085724873</v>
      </c>
      <c r="G40" s="188"/>
      <c r="H40" s="189">
        <v>28.179422220811407</v>
      </c>
      <c r="I40" s="189">
        <v>25.275934699382731</v>
      </c>
      <c r="J40" s="189">
        <v>21.27450416950764</v>
      </c>
      <c r="K40" s="189">
        <v>17.683894029231208</v>
      </c>
      <c r="L40" s="188">
        <v>13.320662566860962</v>
      </c>
      <c r="M40" s="188"/>
      <c r="N40" s="189">
        <v>44.362615393971375</v>
      </c>
      <c r="O40" s="189">
        <v>39.791732566024642</v>
      </c>
      <c r="P40" s="189">
        <v>33.492280637164654</v>
      </c>
      <c r="Q40" s="189">
        <v>27.839693064821223</v>
      </c>
      <c r="R40" s="188">
        <v>20.97066751886392</v>
      </c>
      <c r="S40" s="188"/>
      <c r="T40" s="189">
        <v>0</v>
      </c>
      <c r="U40" s="189">
        <v>0</v>
      </c>
      <c r="V40" s="189">
        <v>0</v>
      </c>
      <c r="W40" s="189">
        <v>0</v>
      </c>
      <c r="X40" s="188">
        <v>0</v>
      </c>
      <c r="Y40" s="91" t="str">
        <f>$A$12</f>
        <v>35-39</v>
      </c>
      <c r="Z40" s="189">
        <v>150.0126567417164</v>
      </c>
      <c r="AA40" s="189">
        <v>135.68236231505094</v>
      </c>
      <c r="AB40" s="189">
        <v>124.7291826751361</v>
      </c>
      <c r="AC40" s="189">
        <v>129.47197272823703</v>
      </c>
      <c r="AD40" s="188">
        <v>133.15322905166937</v>
      </c>
      <c r="AE40" s="188"/>
      <c r="AF40" s="189">
        <v>140.37576984147361</v>
      </c>
      <c r="AG40" s="189">
        <v>126.96602473402704</v>
      </c>
      <c r="AH40" s="189">
        <v>116.71649206662644</v>
      </c>
      <c r="AI40" s="189">
        <v>121.15460882835858</v>
      </c>
      <c r="AJ40" s="188">
        <v>124.59942116921782</v>
      </c>
      <c r="AK40" s="188"/>
      <c r="AL40" s="189">
        <v>9.6368869002428053</v>
      </c>
      <c r="AM40" s="189">
        <v>8.7163375810238843</v>
      </c>
      <c r="AN40" s="189">
        <v>8.0126906085096579</v>
      </c>
      <c r="AO40" s="189">
        <v>8.3173638998784618</v>
      </c>
      <c r="AP40" s="188">
        <v>8.5538078824515384</v>
      </c>
      <c r="AQ40" s="91" t="str">
        <f>$A$12</f>
        <v>35-39</v>
      </c>
      <c r="AR40" s="189">
        <v>154.06830564350082</v>
      </c>
      <c r="AS40" s="189">
        <v>168.96597041954166</v>
      </c>
      <c r="AT40" s="189">
        <v>183.46103251819156</v>
      </c>
      <c r="AU40" s="189">
        <v>208.70844017771051</v>
      </c>
      <c r="AV40" s="188">
        <v>232.21144086260571</v>
      </c>
      <c r="AW40" s="188"/>
      <c r="AX40" s="189">
        <v>152.29837009196677</v>
      </c>
      <c r="AY40" s="189">
        <v>167.02491938857551</v>
      </c>
      <c r="AZ40" s="189">
        <v>181.35346640367695</v>
      </c>
      <c r="BA40" s="189">
        <v>206.31083395767615</v>
      </c>
      <c r="BB40" s="188">
        <v>229.54383629553598</v>
      </c>
      <c r="BC40" s="188"/>
      <c r="BD40" s="189">
        <v>1.7699355515340602</v>
      </c>
      <c r="BE40" s="189">
        <v>1.9410510309661682</v>
      </c>
      <c r="BF40" s="189">
        <v>2.1075661145145714</v>
      </c>
      <c r="BG40" s="189">
        <v>2.3976062200343793</v>
      </c>
      <c r="BH40" s="188">
        <v>2.6676045670697208</v>
      </c>
    </row>
    <row r="41" spans="1:60" x14ac:dyDescent="0.2">
      <c r="A41" s="91" t="str">
        <f>$A$13</f>
        <v>40-44</v>
      </c>
      <c r="B41" s="189">
        <v>95.592148824351668</v>
      </c>
      <c r="C41" s="189">
        <v>82.616320455715311</v>
      </c>
      <c r="D41" s="189">
        <v>65.715939292358911</v>
      </c>
      <c r="E41" s="189">
        <v>45.625343125830476</v>
      </c>
      <c r="F41" s="188">
        <v>32.319365015981639</v>
      </c>
      <c r="G41" s="188"/>
      <c r="H41" s="189">
        <v>37.546766551729547</v>
      </c>
      <c r="I41" s="189">
        <v>32.450059589071273</v>
      </c>
      <c r="J41" s="189">
        <v>25.811957711373253</v>
      </c>
      <c r="K41" s="189">
        <v>17.920731648709907</v>
      </c>
      <c r="L41" s="188">
        <v>12.694407857730498</v>
      </c>
      <c r="M41" s="188"/>
      <c r="N41" s="189">
        <v>58.045382272622113</v>
      </c>
      <c r="O41" s="189">
        <v>50.166260866644031</v>
      </c>
      <c r="P41" s="189">
        <v>39.903981580985658</v>
      </c>
      <c r="Q41" s="189">
        <v>27.704611477120565</v>
      </c>
      <c r="R41" s="188">
        <v>19.624957158251146</v>
      </c>
      <c r="S41" s="188"/>
      <c r="T41" s="189">
        <v>0</v>
      </c>
      <c r="U41" s="189">
        <v>0</v>
      </c>
      <c r="V41" s="189">
        <v>0</v>
      </c>
      <c r="W41" s="189">
        <v>0</v>
      </c>
      <c r="X41" s="188">
        <v>0</v>
      </c>
      <c r="Y41" s="91" t="str">
        <f>$A$13</f>
        <v>40-44</v>
      </c>
      <c r="Z41" s="189">
        <v>162.09391868766315</v>
      </c>
      <c r="AA41" s="189">
        <v>149.15249146976197</v>
      </c>
      <c r="AB41" s="189">
        <v>139.74715456529819</v>
      </c>
      <c r="AC41" s="189">
        <v>140.1664801116975</v>
      </c>
      <c r="AD41" s="188">
        <v>150.93061003653065</v>
      </c>
      <c r="AE41" s="188"/>
      <c r="AF41" s="189">
        <v>153.25080642376565</v>
      </c>
      <c r="AG41" s="189">
        <v>141.01546291821501</v>
      </c>
      <c r="AH41" s="189">
        <v>132.12323273689802</v>
      </c>
      <c r="AI41" s="189">
        <v>132.51964992616811</v>
      </c>
      <c r="AJ41" s="188">
        <v>142.69650407013222</v>
      </c>
      <c r="AK41" s="188"/>
      <c r="AL41" s="189">
        <v>8.8431122638974973</v>
      </c>
      <c r="AM41" s="189">
        <v>8.1370285515469902</v>
      </c>
      <c r="AN41" s="189">
        <v>7.6239218284001815</v>
      </c>
      <c r="AO41" s="189">
        <v>7.6468301855293674</v>
      </c>
      <c r="AP41" s="188">
        <v>8.2341059663984471</v>
      </c>
      <c r="AQ41" s="91" t="str">
        <f>$A$13</f>
        <v>40-44</v>
      </c>
      <c r="AR41" s="189">
        <v>142.30393248798518</v>
      </c>
      <c r="AS41" s="189">
        <v>157.16218807452273</v>
      </c>
      <c r="AT41" s="189">
        <v>174.12990614234292</v>
      </c>
      <c r="AU41" s="189">
        <v>185.34617676247206</v>
      </c>
      <c r="AV41" s="188">
        <v>209.35902494748774</v>
      </c>
      <c r="AW41" s="188"/>
      <c r="AX41" s="189">
        <v>140.61932188279332</v>
      </c>
      <c r="AY41" s="189">
        <v>155.30162565099377</v>
      </c>
      <c r="AZ41" s="189">
        <v>172.06854465783039</v>
      </c>
      <c r="BA41" s="189">
        <v>183.15203689418161</v>
      </c>
      <c r="BB41" s="188">
        <v>206.8805346793352</v>
      </c>
      <c r="BC41" s="188"/>
      <c r="BD41" s="189">
        <v>1.6846106051918688</v>
      </c>
      <c r="BE41" s="189">
        <v>1.8605624235289417</v>
      </c>
      <c r="BF41" s="189">
        <v>2.061361484512561</v>
      </c>
      <c r="BG41" s="189">
        <v>2.1941398682904496</v>
      </c>
      <c r="BH41" s="188">
        <v>2.4784902681525449</v>
      </c>
    </row>
    <row r="42" spans="1:60" x14ac:dyDescent="0.2">
      <c r="A42" s="91" t="str">
        <f>$A$14</f>
        <v>45-49</v>
      </c>
      <c r="B42" s="189">
        <v>121.60001747416324</v>
      </c>
      <c r="C42" s="189">
        <v>119.25515350242472</v>
      </c>
      <c r="D42" s="189">
        <v>78.884619183002073</v>
      </c>
      <c r="E42" s="189">
        <v>54.824500970236151</v>
      </c>
      <c r="F42" s="188">
        <v>37.259131610277123</v>
      </c>
      <c r="G42" s="188"/>
      <c r="H42" s="189">
        <v>52.054388742127969</v>
      </c>
      <c r="I42" s="189">
        <v>51.050559464587302</v>
      </c>
      <c r="J42" s="189">
        <v>33.768780739827292</v>
      </c>
      <c r="K42" s="189">
        <v>23.469200966687755</v>
      </c>
      <c r="L42" s="188">
        <v>15.949827829172355</v>
      </c>
      <c r="M42" s="188"/>
      <c r="N42" s="189">
        <v>69.545628732035269</v>
      </c>
      <c r="O42" s="189">
        <v>68.20459403783741</v>
      </c>
      <c r="P42" s="189">
        <v>45.115838443174781</v>
      </c>
      <c r="Q42" s="189">
        <v>31.355300003548397</v>
      </c>
      <c r="R42" s="188">
        <v>21.309303781104767</v>
      </c>
      <c r="S42" s="188"/>
      <c r="T42" s="189">
        <v>0</v>
      </c>
      <c r="U42" s="189">
        <v>0</v>
      </c>
      <c r="V42" s="189">
        <v>0</v>
      </c>
      <c r="W42" s="189">
        <v>0</v>
      </c>
      <c r="X42" s="188">
        <v>0</v>
      </c>
      <c r="Y42" s="91" t="str">
        <f>$A$14</f>
        <v>45-49</v>
      </c>
      <c r="Z42" s="189">
        <v>149.19037176042775</v>
      </c>
      <c r="AA42" s="189">
        <v>147.02780307619315</v>
      </c>
      <c r="AB42" s="189">
        <v>157.07832682690201</v>
      </c>
      <c r="AC42" s="189">
        <v>161.18355055313589</v>
      </c>
      <c r="AD42" s="188">
        <v>163.5645829534713</v>
      </c>
      <c r="AE42" s="188"/>
      <c r="AF42" s="189">
        <v>141.73208428692129</v>
      </c>
      <c r="AG42" s="189">
        <v>139.67761552454377</v>
      </c>
      <c r="AH42" s="189">
        <v>149.22576147745451</v>
      </c>
      <c r="AI42" s="189">
        <v>153.12567731056208</v>
      </c>
      <c r="AJ42" s="188">
        <v>155.38774863532086</v>
      </c>
      <c r="AK42" s="188"/>
      <c r="AL42" s="189">
        <v>7.4582874735064566</v>
      </c>
      <c r="AM42" s="189">
        <v>7.350187551649368</v>
      </c>
      <c r="AN42" s="189">
        <v>7.852565349447544</v>
      </c>
      <c r="AO42" s="189">
        <v>8.0578732425738266</v>
      </c>
      <c r="AP42" s="188">
        <v>8.1768343181504513</v>
      </c>
      <c r="AQ42" s="91" t="str">
        <f>$A$14</f>
        <v>45-49</v>
      </c>
      <c r="AR42" s="189">
        <v>127.15261076540904</v>
      </c>
      <c r="AS42" s="189">
        <v>139.95804342138214</v>
      </c>
      <c r="AT42" s="189">
        <v>158.0250539900959</v>
      </c>
      <c r="AU42" s="189">
        <v>167.70994847662797</v>
      </c>
      <c r="AV42" s="188">
        <v>175.15628543625161</v>
      </c>
      <c r="AW42" s="188"/>
      <c r="AX42" s="189">
        <v>125.59964483820595</v>
      </c>
      <c r="AY42" s="189">
        <v>138.24869825890119</v>
      </c>
      <c r="AZ42" s="189">
        <v>156.09507742676459</v>
      </c>
      <c r="BA42" s="189">
        <v>165.66165535163051</v>
      </c>
      <c r="BB42" s="188">
        <v>173.01706017357083</v>
      </c>
      <c r="BC42" s="188"/>
      <c r="BD42" s="189">
        <v>1.5529659272030856</v>
      </c>
      <c r="BE42" s="189">
        <v>1.7093451624809444</v>
      </c>
      <c r="BF42" s="189">
        <v>1.9299765633313342</v>
      </c>
      <c r="BG42" s="189">
        <v>2.0482931249974619</v>
      </c>
      <c r="BH42" s="188">
        <v>2.1392252626807844</v>
      </c>
    </row>
    <row r="43" spans="1:60" x14ac:dyDescent="0.2">
      <c r="A43" s="91" t="str">
        <f>$A$15</f>
        <v>50-54</v>
      </c>
      <c r="B43" s="189">
        <v>151.76046321416865</v>
      </c>
      <c r="C43" s="189">
        <v>142.31942173288223</v>
      </c>
      <c r="D43" s="189">
        <v>119.93293116047923</v>
      </c>
      <c r="E43" s="189">
        <v>88.171156371964599</v>
      </c>
      <c r="F43" s="188">
        <v>63.180524219714144</v>
      </c>
      <c r="G43" s="188"/>
      <c r="H43" s="189">
        <v>72.199699301024509</v>
      </c>
      <c r="I43" s="189">
        <v>67.708117557824508</v>
      </c>
      <c r="J43" s="189">
        <v>57.057834143300127</v>
      </c>
      <c r="K43" s="189">
        <v>41.9472270479773</v>
      </c>
      <c r="L43" s="188">
        <v>30.058003326770649</v>
      </c>
      <c r="M43" s="188"/>
      <c r="N43" s="189">
        <v>79.560763913144157</v>
      </c>
      <c r="O43" s="189">
        <v>74.611304175057768</v>
      </c>
      <c r="P43" s="189">
        <v>62.875097017179108</v>
      </c>
      <c r="Q43" s="189">
        <v>46.223929323987292</v>
      </c>
      <c r="R43" s="188">
        <v>33.122520892943498</v>
      </c>
      <c r="S43" s="188"/>
      <c r="T43" s="189">
        <v>0</v>
      </c>
      <c r="U43" s="189">
        <v>0</v>
      </c>
      <c r="V43" s="189">
        <v>0</v>
      </c>
      <c r="W43" s="189">
        <v>0</v>
      </c>
      <c r="X43" s="188">
        <v>0</v>
      </c>
      <c r="Y43" s="91" t="str">
        <f>$A$15</f>
        <v>50-54</v>
      </c>
      <c r="Z43" s="189">
        <v>124.24614829379526</v>
      </c>
      <c r="AA43" s="189">
        <v>130.25908800461309</v>
      </c>
      <c r="AB43" s="189">
        <v>149.14503167899258</v>
      </c>
      <c r="AC43" s="189">
        <v>157.9913676435533</v>
      </c>
      <c r="AD43" s="188">
        <v>164.67380902817911</v>
      </c>
      <c r="AE43" s="188"/>
      <c r="AF43" s="189">
        <v>117.87817168097233</v>
      </c>
      <c r="AG43" s="189">
        <v>123.5828772613132</v>
      </c>
      <c r="AH43" s="189">
        <v>141.50083699823233</v>
      </c>
      <c r="AI43" s="189">
        <v>149.89384905562815</v>
      </c>
      <c r="AJ43" s="188">
        <v>156.23374286788874</v>
      </c>
      <c r="AK43" s="188"/>
      <c r="AL43" s="189">
        <v>6.3679766128229192</v>
      </c>
      <c r="AM43" s="189">
        <v>6.6762107432998921</v>
      </c>
      <c r="AN43" s="189">
        <v>7.6441946807602736</v>
      </c>
      <c r="AO43" s="189">
        <v>8.0975185879251441</v>
      </c>
      <c r="AP43" s="188">
        <v>8.4400661602903408</v>
      </c>
      <c r="AQ43" s="91" t="str">
        <f>$A$15</f>
        <v>50-54</v>
      </c>
      <c r="AR43" s="189">
        <v>92.988388492036123</v>
      </c>
      <c r="AS43" s="189">
        <v>110.77949026250468</v>
      </c>
      <c r="AT43" s="189">
        <v>137.77303716052822</v>
      </c>
      <c r="AU43" s="189">
        <v>148.29147598448213</v>
      </c>
      <c r="AV43" s="188">
        <v>157.07466675210676</v>
      </c>
      <c r="AW43" s="188"/>
      <c r="AX43" s="189">
        <v>92.202593366663635</v>
      </c>
      <c r="AY43" s="189">
        <v>109.84331382664183</v>
      </c>
      <c r="AZ43" s="189">
        <v>136.60872759410435</v>
      </c>
      <c r="BA43" s="189">
        <v>147.03823447333156</v>
      </c>
      <c r="BB43" s="188">
        <v>155.74724028806634</v>
      </c>
      <c r="BC43" s="188"/>
      <c r="BD43" s="189">
        <v>0.78579512537246932</v>
      </c>
      <c r="BE43" s="189">
        <v>0.93617643586283261</v>
      </c>
      <c r="BF43" s="189">
        <v>1.1643095664238496</v>
      </c>
      <c r="BG43" s="189">
        <v>1.2532415111505675</v>
      </c>
      <c r="BH43" s="188">
        <v>1.3274264640404241</v>
      </c>
    </row>
    <row r="44" spans="1:60" x14ac:dyDescent="0.2">
      <c r="A44" s="91" t="str">
        <f>$A$16</f>
        <v>55-59</v>
      </c>
      <c r="B44" s="189">
        <v>164.06581424258854</v>
      </c>
      <c r="C44" s="189">
        <v>150.69890471648134</v>
      </c>
      <c r="D44" s="189">
        <v>139.62009278798115</v>
      </c>
      <c r="E44" s="189">
        <v>115.66738771483223</v>
      </c>
      <c r="F44" s="188">
        <v>84.578879253283077</v>
      </c>
      <c r="G44" s="188"/>
      <c r="H44" s="189">
        <v>83.472280270866776</v>
      </c>
      <c r="I44" s="189">
        <v>76.671543299949803</v>
      </c>
      <c r="J44" s="189">
        <v>71.034930306068375</v>
      </c>
      <c r="K44" s="189">
        <v>58.848447605981825</v>
      </c>
      <c r="L44" s="188">
        <v>43.031510173276651</v>
      </c>
      <c r="M44" s="188"/>
      <c r="N44" s="189">
        <v>80.593533971721769</v>
      </c>
      <c r="O44" s="189">
        <v>74.027361416531534</v>
      </c>
      <c r="P44" s="189">
        <v>68.585162481912789</v>
      </c>
      <c r="Q44" s="189">
        <v>56.818940108850398</v>
      </c>
      <c r="R44" s="188">
        <v>41.547369080006419</v>
      </c>
      <c r="S44" s="188"/>
      <c r="T44" s="189">
        <v>0</v>
      </c>
      <c r="U44" s="189">
        <v>0</v>
      </c>
      <c r="V44" s="189">
        <v>0</v>
      </c>
      <c r="W44" s="189">
        <v>0</v>
      </c>
      <c r="X44" s="188">
        <v>0</v>
      </c>
      <c r="Y44" s="91" t="str">
        <f>$A$16</f>
        <v>55-59</v>
      </c>
      <c r="Z44" s="189">
        <v>103.85146408829428</v>
      </c>
      <c r="AA44" s="189">
        <v>105.31706169001831</v>
      </c>
      <c r="AB44" s="189">
        <v>133.62564527254057</v>
      </c>
      <c r="AC44" s="189">
        <v>158.51241512029338</v>
      </c>
      <c r="AD44" s="188">
        <v>167.67684572688086</v>
      </c>
      <c r="AE44" s="188"/>
      <c r="AF44" s="189">
        <v>97.635306286684369</v>
      </c>
      <c r="AG44" s="189">
        <v>99.013227711577329</v>
      </c>
      <c r="AH44" s="189">
        <v>125.62736470938835</v>
      </c>
      <c r="AI44" s="189">
        <v>149.02451048118331</v>
      </c>
      <c r="AJ44" s="188">
        <v>157.64040037339234</v>
      </c>
      <c r="AK44" s="188"/>
      <c r="AL44" s="189">
        <v>6.2161578016099055</v>
      </c>
      <c r="AM44" s="189">
        <v>6.3038339784409745</v>
      </c>
      <c r="AN44" s="189">
        <v>7.9982805631522167</v>
      </c>
      <c r="AO44" s="189">
        <v>9.4879046391100914</v>
      </c>
      <c r="AP44" s="188">
        <v>10.036445353488508</v>
      </c>
      <c r="AQ44" s="91" t="str">
        <f>$A$16</f>
        <v>55-59</v>
      </c>
      <c r="AR44" s="189">
        <v>71.118721669117207</v>
      </c>
      <c r="AS44" s="189">
        <v>89.960033593500384</v>
      </c>
      <c r="AT44" s="189">
        <v>106.67026193947827</v>
      </c>
      <c r="AU44" s="189">
        <v>129.27319716487438</v>
      </c>
      <c r="AV44" s="188">
        <v>139.76427501983605</v>
      </c>
      <c r="AW44" s="188"/>
      <c r="AX44" s="189">
        <v>70.361656937121666</v>
      </c>
      <c r="AY44" s="189">
        <v>89.002383349993565</v>
      </c>
      <c r="AZ44" s="189">
        <v>105.53473797538304</v>
      </c>
      <c r="BA44" s="189">
        <v>127.89702319588957</v>
      </c>
      <c r="BB44" s="188">
        <v>138.27638669068557</v>
      </c>
      <c r="BC44" s="188"/>
      <c r="BD44" s="189">
        <v>0.75706473199554847</v>
      </c>
      <c r="BE44" s="189">
        <v>0.95765024350680805</v>
      </c>
      <c r="BF44" s="189">
        <v>1.1355239640952357</v>
      </c>
      <c r="BG44" s="189">
        <v>1.3761739689848116</v>
      </c>
      <c r="BH44" s="188">
        <v>1.4878883291504774</v>
      </c>
    </row>
    <row r="45" spans="1:60" x14ac:dyDescent="0.2">
      <c r="A45" s="91" t="str">
        <f>$A$17</f>
        <v>60-64</v>
      </c>
      <c r="B45" s="189">
        <v>165.06537455422799</v>
      </c>
      <c r="C45" s="189">
        <v>167.88674816060211</v>
      </c>
      <c r="D45" s="189">
        <v>145.42540941137864</v>
      </c>
      <c r="E45" s="189">
        <v>125.57390015162404</v>
      </c>
      <c r="F45" s="188">
        <v>98.802245415285199</v>
      </c>
      <c r="G45" s="188"/>
      <c r="H45" s="189">
        <v>93.553123450841682</v>
      </c>
      <c r="I45" s="189">
        <v>95.15219797521867</v>
      </c>
      <c r="J45" s="189">
        <v>82.421896218232547</v>
      </c>
      <c r="K45" s="189">
        <v>71.170799052200323</v>
      </c>
      <c r="L45" s="188">
        <v>55.997543894228997</v>
      </c>
      <c r="M45" s="188"/>
      <c r="N45" s="189">
        <v>71.512251103386319</v>
      </c>
      <c r="O45" s="189">
        <v>72.734550185383426</v>
      </c>
      <c r="P45" s="189">
        <v>63.003513193146112</v>
      </c>
      <c r="Q45" s="189">
        <v>54.403101099423715</v>
      </c>
      <c r="R45" s="188">
        <v>42.804701521056209</v>
      </c>
      <c r="S45" s="188"/>
      <c r="T45" s="189">
        <v>0</v>
      </c>
      <c r="U45" s="189">
        <v>0</v>
      </c>
      <c r="V45" s="189">
        <v>0</v>
      </c>
      <c r="W45" s="189">
        <v>0</v>
      </c>
      <c r="X45" s="188">
        <v>0</v>
      </c>
      <c r="Y45" s="91" t="str">
        <f>$A$17</f>
        <v>60-64</v>
      </c>
      <c r="Z45" s="189">
        <v>78.364072036445037</v>
      </c>
      <c r="AA45" s="189">
        <v>85.048861618755822</v>
      </c>
      <c r="AB45" s="189">
        <v>109.18459242485633</v>
      </c>
      <c r="AC45" s="189">
        <v>137.4151283547578</v>
      </c>
      <c r="AD45" s="188">
        <v>160.29275934647907</v>
      </c>
      <c r="AE45" s="188"/>
      <c r="AF45" s="189">
        <v>73.870615721664365</v>
      </c>
      <c r="AG45" s="189">
        <v>80.172077906886543</v>
      </c>
      <c r="AH45" s="189">
        <v>102.92385352478725</v>
      </c>
      <c r="AI45" s="189">
        <v>129.53569602307752</v>
      </c>
      <c r="AJ45" s="188">
        <v>151.10146214371721</v>
      </c>
      <c r="AK45" s="188"/>
      <c r="AL45" s="189">
        <v>4.4934563147806799</v>
      </c>
      <c r="AM45" s="189">
        <v>4.8767837118692912</v>
      </c>
      <c r="AN45" s="189">
        <v>6.2607389000690823</v>
      </c>
      <c r="AO45" s="189">
        <v>7.8794323316802695</v>
      </c>
      <c r="AP45" s="188">
        <v>9.191297202761854</v>
      </c>
      <c r="AQ45" s="91" t="str">
        <f>$A$17</f>
        <v>60-64</v>
      </c>
      <c r="AR45" s="189">
        <v>56.310553409327007</v>
      </c>
      <c r="AS45" s="189">
        <v>67.870390220642065</v>
      </c>
      <c r="AT45" s="189">
        <v>84.024998163765019</v>
      </c>
      <c r="AU45" s="189">
        <v>110.21797149361819</v>
      </c>
      <c r="AV45" s="188">
        <v>138.11699523823569</v>
      </c>
      <c r="AW45" s="188"/>
      <c r="AX45" s="189">
        <v>55.169107221716523</v>
      </c>
      <c r="AY45" s="189">
        <v>66.494660625358861</v>
      </c>
      <c r="AZ45" s="189">
        <v>82.321847901242236</v>
      </c>
      <c r="BA45" s="189">
        <v>107.98385950823412</v>
      </c>
      <c r="BB45" s="188">
        <v>135.3173815226985</v>
      </c>
      <c r="BC45" s="188"/>
      <c r="BD45" s="189">
        <v>1.1414461876104915</v>
      </c>
      <c r="BE45" s="189">
        <v>1.375729595283202</v>
      </c>
      <c r="BF45" s="189">
        <v>1.7031502625227839</v>
      </c>
      <c r="BG45" s="189">
        <v>2.2341119853840721</v>
      </c>
      <c r="BH45" s="188">
        <v>2.7996137155371672</v>
      </c>
    </row>
    <row r="46" spans="1:60" x14ac:dyDescent="0.2">
      <c r="A46" s="91" t="str">
        <f>$A$18</f>
        <v>65+</v>
      </c>
      <c r="B46" s="189">
        <v>684.22019433015396</v>
      </c>
      <c r="C46" s="189">
        <v>659.7220549729019</v>
      </c>
      <c r="D46" s="189">
        <v>597.6874930135458</v>
      </c>
      <c r="E46" s="189">
        <v>516.4377556390009</v>
      </c>
      <c r="F46" s="188">
        <v>432.27609064150056</v>
      </c>
      <c r="G46" s="190"/>
      <c r="H46" s="189">
        <v>489.85248018008991</v>
      </c>
      <c r="I46" s="189">
        <v>472.31354432994846</v>
      </c>
      <c r="J46" s="189">
        <v>427.90128288186639</v>
      </c>
      <c r="K46" s="189">
        <v>369.73229781992757</v>
      </c>
      <c r="L46" s="188">
        <v>309.47859548147727</v>
      </c>
      <c r="M46" s="190"/>
      <c r="N46" s="189">
        <v>194.3677141500641</v>
      </c>
      <c r="O46" s="189">
        <v>187.40851064295344</v>
      </c>
      <c r="P46" s="189">
        <v>169.78621013167941</v>
      </c>
      <c r="Q46" s="189">
        <v>146.70545781907333</v>
      </c>
      <c r="R46" s="188">
        <v>122.79749516002329</v>
      </c>
      <c r="S46" s="190"/>
      <c r="T46" s="190">
        <v>0</v>
      </c>
      <c r="U46" s="190">
        <v>0</v>
      </c>
      <c r="V46" s="190">
        <v>0</v>
      </c>
      <c r="W46" s="190">
        <v>0</v>
      </c>
      <c r="X46" s="190">
        <v>0</v>
      </c>
      <c r="Y46" s="91" t="str">
        <f>$A$18</f>
        <v>65+</v>
      </c>
      <c r="Z46" s="189">
        <v>229.30721305756543</v>
      </c>
      <c r="AA46" s="189">
        <v>242.95644971788712</v>
      </c>
      <c r="AB46" s="189">
        <v>324.13328439256134</v>
      </c>
      <c r="AC46" s="189">
        <v>392.98454329955848</v>
      </c>
      <c r="AD46" s="188">
        <v>471.20711273861792</v>
      </c>
      <c r="AE46" s="190"/>
      <c r="AF46" s="189">
        <v>216.90901867585666</v>
      </c>
      <c r="AG46" s="189">
        <v>229.82037680573097</v>
      </c>
      <c r="AH46" s="189">
        <v>306.60805056907492</v>
      </c>
      <c r="AI46" s="189">
        <v>371.73671710382393</v>
      </c>
      <c r="AJ46" s="188">
        <v>445.72999049974806</v>
      </c>
      <c r="AK46" s="190"/>
      <c r="AL46" s="189">
        <v>12.398194381708771</v>
      </c>
      <c r="AM46" s="189">
        <v>13.136072912156155</v>
      </c>
      <c r="AN46" s="189">
        <v>17.525233823486392</v>
      </c>
      <c r="AO46" s="189">
        <v>21.247826195734497</v>
      </c>
      <c r="AP46" s="188">
        <v>25.477122238869928</v>
      </c>
      <c r="AQ46" s="91" t="str">
        <f>$A$18</f>
        <v>65+</v>
      </c>
      <c r="AR46" s="189">
        <v>145.26459261228058</v>
      </c>
      <c r="AS46" s="189">
        <v>173.26549530921105</v>
      </c>
      <c r="AT46" s="189">
        <v>233.46822259389299</v>
      </c>
      <c r="AU46" s="189">
        <v>332.65670106144069</v>
      </c>
      <c r="AV46" s="188">
        <v>456.31479661988146</v>
      </c>
      <c r="AW46" s="190"/>
      <c r="AX46" s="189">
        <v>143.74209408925086</v>
      </c>
      <c r="AY46" s="189">
        <v>171.44937059191324</v>
      </c>
      <c r="AZ46" s="189">
        <v>231.02121966409953</v>
      </c>
      <c r="BA46" s="189">
        <v>329.17005716327628</v>
      </c>
      <c r="BB46" s="188">
        <v>451.53195718650386</v>
      </c>
      <c r="BC46" s="190"/>
      <c r="BD46" s="189">
        <v>1.5224985230297139</v>
      </c>
      <c r="BE46" s="189">
        <v>1.8161247172978172</v>
      </c>
      <c r="BF46" s="189">
        <v>2.4470029297934355</v>
      </c>
      <c r="BG46" s="189">
        <v>3.4866438981643779</v>
      </c>
      <c r="BH46" s="188">
        <v>4.7828394333776503</v>
      </c>
    </row>
    <row r="47" spans="1:60" x14ac:dyDescent="0.2">
      <c r="A47" s="96"/>
      <c r="B47" s="191"/>
      <c r="C47" s="191"/>
      <c r="D47" s="191"/>
      <c r="E47" s="191"/>
      <c r="F47" s="191"/>
      <c r="G47" s="191"/>
      <c r="H47" s="191"/>
      <c r="I47" s="191"/>
      <c r="J47" s="191"/>
      <c r="K47" s="191"/>
      <c r="L47" s="191"/>
      <c r="M47" s="191"/>
      <c r="N47" s="191"/>
      <c r="O47" s="191"/>
      <c r="P47" s="191"/>
      <c r="Q47" s="191"/>
      <c r="R47" s="191"/>
      <c r="S47" s="191"/>
      <c r="Y47" s="96"/>
      <c r="Z47" s="191"/>
      <c r="AA47" s="191"/>
      <c r="AB47" s="191"/>
      <c r="AC47" s="191"/>
      <c r="AD47" s="191"/>
      <c r="AE47" s="191"/>
      <c r="AF47" s="191"/>
      <c r="AG47" s="191"/>
      <c r="AH47" s="191"/>
      <c r="AI47" s="191"/>
      <c r="AJ47" s="191"/>
      <c r="AK47" s="191"/>
      <c r="AL47" s="191"/>
      <c r="AM47" s="191"/>
      <c r="AN47" s="191"/>
      <c r="AO47" s="191"/>
      <c r="AP47" s="191"/>
      <c r="AQ47" s="96"/>
      <c r="AR47" s="191"/>
      <c r="AS47" s="191"/>
      <c r="AT47" s="191"/>
      <c r="AU47" s="191"/>
      <c r="AV47" s="191"/>
      <c r="AW47" s="191"/>
      <c r="AX47" s="191"/>
      <c r="AY47" s="191"/>
      <c r="AZ47" s="191"/>
      <c r="BA47" s="191"/>
      <c r="BB47" s="191"/>
      <c r="BC47" s="191"/>
      <c r="BD47" s="191"/>
      <c r="BE47" s="191"/>
      <c r="BF47" s="191"/>
      <c r="BG47" s="191"/>
      <c r="BH47" s="191"/>
    </row>
    <row r="48" spans="1:60" x14ac:dyDescent="0.2">
      <c r="B48" s="94"/>
      <c r="C48" s="94"/>
      <c r="D48" s="94"/>
      <c r="E48" s="94"/>
      <c r="Z48" s="94"/>
      <c r="AA48" s="94"/>
      <c r="AB48" s="94"/>
      <c r="AC48" s="94"/>
      <c r="AR48" s="94"/>
      <c r="AS48" s="94"/>
      <c r="AT48" s="94"/>
      <c r="AU48" s="94"/>
    </row>
    <row r="49" spans="1:60" ht="15.75" x14ac:dyDescent="0.25">
      <c r="A49" s="19" t="str">
        <f>CONCATENATE("Basic Table 2b  Labour Force by Gender, Age Group and ISCED Qualification, ",Info!B8,", ",$B$5,"-",$F$5)</f>
        <v>Basic Table 2b  Labour Force by Gender, Age Group and ISCED Qualification, , 2008-2025</v>
      </c>
      <c r="Y49" s="19" t="str">
        <f>CONCATENATE("Basic Table 2b  Labour Force by Gender, Age Group and ISCED Qualification, ",Info!B8,", ",$B$5,"-",$F$5," (continued)")</f>
        <v>Basic Table 2b  Labour Force by Gender, Age Group and ISCED Qualification, , 2008-2025 (continued)</v>
      </c>
      <c r="AQ49" s="19" t="str">
        <f>CONCATENATE("Basic Table 2b  Labour Force by Gender, Age Group and ISCED Qualification, ",Info!B8,", ",$B$5,"-",$F$5," (continued)")</f>
        <v>Basic Table 2b  Labour Force by Gender, Age Group and ISCED Qualification, , 2008-2025 (continued)</v>
      </c>
    </row>
    <row r="50" spans="1:60" ht="12.75" customHeight="1" x14ac:dyDescent="0.2">
      <c r="W50" s="385" t="s">
        <v>13</v>
      </c>
      <c r="X50" s="385"/>
      <c r="AP50" s="183" t="str">
        <f>AP2</f>
        <v>Levels (000s)</v>
      </c>
      <c r="BH50" s="183" t="str">
        <f>BH2</f>
        <v>Levels (000s)</v>
      </c>
    </row>
    <row r="51" spans="1:60" x14ac:dyDescent="0.2">
      <c r="A51" s="118" t="s">
        <v>108</v>
      </c>
      <c r="B51" s="184" t="str">
        <f>B3</f>
        <v>All Low qualifications</v>
      </c>
      <c r="C51" s="184"/>
      <c r="D51" s="185"/>
      <c r="E51" s="184"/>
      <c r="F51" s="184"/>
      <c r="G51" s="118"/>
      <c r="H51" s="184" t="str">
        <f>H3</f>
        <v>Pre-primary education</v>
      </c>
      <c r="I51" s="184"/>
      <c r="J51" s="184"/>
      <c r="K51" s="184"/>
      <c r="L51" s="184"/>
      <c r="M51" s="118"/>
      <c r="N51" s="184" t="str">
        <f>N3</f>
        <v>Primary education (1st stage basic)</v>
      </c>
      <c r="O51" s="184"/>
      <c r="P51" s="184"/>
      <c r="Q51" s="184"/>
      <c r="R51" s="184"/>
      <c r="S51" s="118"/>
      <c r="T51" s="390" t="str">
        <f>T3</f>
        <v>Lower secondary education (2nd stage basic)</v>
      </c>
      <c r="U51" s="390"/>
      <c r="V51" s="390"/>
      <c r="W51" s="390"/>
      <c r="X51" s="390"/>
      <c r="Y51" s="118" t="s">
        <v>108</v>
      </c>
      <c r="Z51" s="184" t="str">
        <f>Z3</f>
        <v>All Medium qualifications</v>
      </c>
      <c r="AA51" s="184"/>
      <c r="AB51" s="185"/>
      <c r="AC51" s="184"/>
      <c r="AD51" s="184"/>
      <c r="AE51" s="118"/>
      <c r="AF51" s="184" t="str">
        <f>AF3</f>
        <v>Upper secondary education</v>
      </c>
      <c r="AG51" s="184"/>
      <c r="AH51" s="184"/>
      <c r="AI51" s="184"/>
      <c r="AJ51" s="184"/>
      <c r="AK51" s="118"/>
      <c r="AL51" s="184" t="str">
        <f>AL3</f>
        <v>Post-secondary non-tertiary education</v>
      </c>
      <c r="AM51" s="184"/>
      <c r="AN51" s="184"/>
      <c r="AO51" s="184"/>
      <c r="AP51" s="184"/>
      <c r="AQ51" s="118" t="s">
        <v>108</v>
      </c>
      <c r="AR51" s="184" t="str">
        <f>AR3</f>
        <v>All High qualifications</v>
      </c>
      <c r="AS51" s="184"/>
      <c r="AT51" s="185"/>
      <c r="AU51" s="184"/>
      <c r="AV51" s="184"/>
      <c r="AW51" s="118"/>
      <c r="AX51" s="184" t="str">
        <f>AX3</f>
        <v>First stage of tertiary education</v>
      </c>
      <c r="AY51" s="184"/>
      <c r="AZ51" s="184"/>
      <c r="BA51" s="184"/>
      <c r="BB51" s="184"/>
      <c r="BC51" s="118"/>
      <c r="BD51" s="184" t="str">
        <f>BD3</f>
        <v>Second stage of tertiary education</v>
      </c>
      <c r="BE51" s="184"/>
      <c r="BF51" s="184"/>
      <c r="BG51" s="184"/>
      <c r="BH51" s="184"/>
    </row>
    <row r="52" spans="1:60" x14ac:dyDescent="0.2">
      <c r="A52" s="180" t="s">
        <v>110</v>
      </c>
      <c r="B52" s="186"/>
      <c r="C52" s="186"/>
      <c r="D52" s="186"/>
      <c r="E52" s="186"/>
      <c r="F52" s="186"/>
      <c r="G52" s="92"/>
      <c r="H52" s="186"/>
      <c r="I52" s="186"/>
      <c r="J52" s="186"/>
      <c r="K52" s="186"/>
      <c r="L52" s="186"/>
      <c r="M52" s="92"/>
      <c r="N52" s="186"/>
      <c r="O52" s="186"/>
      <c r="P52" s="186"/>
      <c r="Q52" s="186"/>
      <c r="R52" s="186"/>
      <c r="S52" s="92"/>
      <c r="T52" s="186"/>
      <c r="U52" s="186"/>
      <c r="V52" s="186"/>
      <c r="W52" s="186"/>
      <c r="X52" s="186"/>
      <c r="Y52" s="180" t="s">
        <v>110</v>
      </c>
      <c r="Z52" s="186"/>
      <c r="AA52" s="186"/>
      <c r="AB52" s="186"/>
      <c r="AC52" s="186"/>
      <c r="AD52" s="186"/>
      <c r="AE52" s="92"/>
      <c r="AF52" s="186"/>
      <c r="AG52" s="186"/>
      <c r="AH52" s="186"/>
      <c r="AI52" s="186"/>
      <c r="AJ52" s="186"/>
      <c r="AK52" s="92"/>
      <c r="AL52" s="186"/>
      <c r="AM52" s="186"/>
      <c r="AN52" s="186"/>
      <c r="AO52" s="186"/>
      <c r="AP52" s="186"/>
      <c r="AQ52" s="180" t="s">
        <v>110</v>
      </c>
      <c r="AR52" s="186"/>
      <c r="AS52" s="186"/>
      <c r="AT52" s="186"/>
      <c r="AU52" s="186"/>
      <c r="AV52" s="186"/>
      <c r="AW52" s="92"/>
      <c r="AX52" s="186"/>
      <c r="AY52" s="186"/>
      <c r="AZ52" s="186"/>
      <c r="BA52" s="186"/>
      <c r="BB52" s="186"/>
      <c r="BC52" s="92"/>
      <c r="BD52" s="186"/>
      <c r="BE52" s="186"/>
      <c r="BF52" s="186"/>
      <c r="BG52" s="186"/>
      <c r="BH52" s="186"/>
    </row>
    <row r="53" spans="1:60" x14ac:dyDescent="0.2">
      <c r="A53" s="179"/>
      <c r="B53" s="187">
        <v>2008</v>
      </c>
      <c r="C53" s="187">
        <v>2010</v>
      </c>
      <c r="D53" s="187">
        <v>2012</v>
      </c>
      <c r="E53" s="187">
        <v>2015</v>
      </c>
      <c r="F53" s="180">
        <v>2020</v>
      </c>
      <c r="G53" s="120"/>
      <c r="H53" s="120">
        <f>B53</f>
        <v>2008</v>
      </c>
      <c r="I53" s="120">
        <f>C53</f>
        <v>2010</v>
      </c>
      <c r="J53" s="120">
        <f>D53</f>
        <v>2012</v>
      </c>
      <c r="K53" s="120">
        <f>E53</f>
        <v>2015</v>
      </c>
      <c r="L53" s="120">
        <f>F53</f>
        <v>2020</v>
      </c>
      <c r="M53" s="120"/>
      <c r="N53" s="120">
        <f>B53</f>
        <v>2008</v>
      </c>
      <c r="O53" s="120">
        <f>C53</f>
        <v>2010</v>
      </c>
      <c r="P53" s="120">
        <f>D53</f>
        <v>2012</v>
      </c>
      <c r="Q53" s="120">
        <f>E53</f>
        <v>2015</v>
      </c>
      <c r="R53" s="120">
        <f>F53</f>
        <v>2020</v>
      </c>
      <c r="S53" s="120"/>
      <c r="T53" s="120">
        <f>B53</f>
        <v>2008</v>
      </c>
      <c r="U53" s="120">
        <f>C53</f>
        <v>2010</v>
      </c>
      <c r="V53" s="120">
        <f>D53</f>
        <v>2012</v>
      </c>
      <c r="W53" s="120">
        <f>E53</f>
        <v>2015</v>
      </c>
      <c r="X53" s="120">
        <f>F53</f>
        <v>2020</v>
      </c>
      <c r="Y53" s="179"/>
      <c r="Z53" s="187">
        <v>2008</v>
      </c>
      <c r="AA53" s="187">
        <v>2010</v>
      </c>
      <c r="AB53" s="187">
        <v>2012</v>
      </c>
      <c r="AC53" s="187">
        <v>2015</v>
      </c>
      <c r="AD53" s="180">
        <v>2020</v>
      </c>
      <c r="AE53" s="120"/>
      <c r="AF53" s="120">
        <f>Z53</f>
        <v>2008</v>
      </c>
      <c r="AG53" s="120">
        <f>AA53</f>
        <v>2010</v>
      </c>
      <c r="AH53" s="120">
        <f>AB53</f>
        <v>2012</v>
      </c>
      <c r="AI53" s="120">
        <f>AC53</f>
        <v>2015</v>
      </c>
      <c r="AJ53" s="120">
        <f>AD53</f>
        <v>2020</v>
      </c>
      <c r="AK53" s="120"/>
      <c r="AL53" s="120">
        <f>Z53</f>
        <v>2008</v>
      </c>
      <c r="AM53" s="120">
        <f>AA53</f>
        <v>2010</v>
      </c>
      <c r="AN53" s="120">
        <f>AB53</f>
        <v>2012</v>
      </c>
      <c r="AO53" s="120">
        <f>AC53</f>
        <v>2015</v>
      </c>
      <c r="AP53" s="120">
        <f>AD53</f>
        <v>2020</v>
      </c>
      <c r="AQ53" s="179"/>
      <c r="AR53" s="187">
        <v>2008</v>
      </c>
      <c r="AS53" s="187">
        <v>2010</v>
      </c>
      <c r="AT53" s="187">
        <v>2012</v>
      </c>
      <c r="AU53" s="187">
        <v>2015</v>
      </c>
      <c r="AV53" s="180">
        <v>2020</v>
      </c>
      <c r="AW53" s="120"/>
      <c r="AX53" s="120">
        <f>AR53</f>
        <v>2008</v>
      </c>
      <c r="AY53" s="120">
        <f>AS53</f>
        <v>2010</v>
      </c>
      <c r="AZ53" s="120">
        <f>AT53</f>
        <v>2012</v>
      </c>
      <c r="BA53" s="120">
        <f>AU53</f>
        <v>2015</v>
      </c>
      <c r="BB53" s="120">
        <f>AV53</f>
        <v>2020</v>
      </c>
      <c r="BC53" s="120"/>
      <c r="BD53" s="120">
        <f>AR53</f>
        <v>2008</v>
      </c>
      <c r="BE53" s="120">
        <f>AS53</f>
        <v>2010</v>
      </c>
      <c r="BF53" s="120">
        <f>AT53</f>
        <v>2012</v>
      </c>
      <c r="BG53" s="120">
        <f>AU53</f>
        <v>2015</v>
      </c>
      <c r="BH53" s="120">
        <f>AV53</f>
        <v>2020</v>
      </c>
    </row>
    <row r="54" spans="1:60" x14ac:dyDescent="0.2">
      <c r="A54" s="114" t="str">
        <f>A6</f>
        <v>Males and females</v>
      </c>
      <c r="F54" s="188"/>
      <c r="G54" s="188"/>
      <c r="H54" s="188"/>
      <c r="I54" s="188"/>
      <c r="J54" s="188"/>
      <c r="K54" s="188"/>
      <c r="L54" s="188"/>
      <c r="M54" s="188"/>
      <c r="N54" s="188"/>
      <c r="O54" s="188"/>
      <c r="P54" s="188"/>
      <c r="Q54" s="188"/>
      <c r="R54" s="188"/>
      <c r="S54" s="188"/>
      <c r="Y54" s="114" t="str">
        <f>Y6</f>
        <v>Males and females</v>
      </c>
      <c r="AD54" s="188"/>
      <c r="AE54" s="188"/>
      <c r="AF54" s="188"/>
      <c r="AG54" s="188"/>
      <c r="AH54" s="188"/>
      <c r="AI54" s="188"/>
      <c r="AJ54" s="188"/>
      <c r="AK54" s="188"/>
      <c r="AL54" s="188"/>
      <c r="AM54" s="188"/>
      <c r="AN54" s="188"/>
      <c r="AO54" s="188"/>
      <c r="AP54" s="188"/>
      <c r="AQ54" s="114" t="str">
        <f>AQ6</f>
        <v>Males and females</v>
      </c>
      <c r="AV54" s="188"/>
      <c r="AW54" s="188"/>
      <c r="AX54" s="188"/>
      <c r="AY54" s="188"/>
      <c r="AZ54" s="188"/>
      <c r="BA54" s="188"/>
      <c r="BB54" s="188"/>
      <c r="BC54" s="188"/>
      <c r="BD54" s="188"/>
      <c r="BE54" s="188"/>
      <c r="BF54" s="188"/>
      <c r="BG54" s="188"/>
      <c r="BH54" s="188"/>
    </row>
    <row r="55" spans="1:60" x14ac:dyDescent="0.2">
      <c r="A55" s="91" t="str">
        <f>A7</f>
        <v>15+</v>
      </c>
      <c r="B55" s="189">
        <f>SUM(B69,B83)</f>
        <v>1091.4118992738524</v>
      </c>
      <c r="C55" s="189">
        <f t="shared" ref="C55:F55" si="43">SUM(C69,C83)</f>
        <v>1100.0037861102892</v>
      </c>
      <c r="D55" s="189">
        <f t="shared" si="43"/>
        <v>916.42301941602898</v>
      </c>
      <c r="E55" s="189">
        <f t="shared" si="43"/>
        <v>787.47393586094222</v>
      </c>
      <c r="F55" s="189">
        <f t="shared" si="43"/>
        <v>647.93759918436888</v>
      </c>
      <c r="G55" s="188"/>
      <c r="H55" s="189">
        <f>SUM(H69,H83)</f>
        <v>362.47383711398129</v>
      </c>
      <c r="I55" s="189">
        <f t="shared" ref="I55:L55" si="44">SUM(I69,I83)</f>
        <v>367.09230695546</v>
      </c>
      <c r="J55" s="189">
        <f t="shared" si="44"/>
        <v>309.04252665358638</v>
      </c>
      <c r="K55" s="189">
        <f t="shared" si="44"/>
        <v>265.71661758383789</v>
      </c>
      <c r="L55" s="189">
        <f t="shared" si="44"/>
        <v>217.36047114432725</v>
      </c>
      <c r="M55" s="188"/>
      <c r="N55" s="189">
        <f>SUM(N69,N83)</f>
        <v>728.93806215987115</v>
      </c>
      <c r="O55" s="189">
        <f t="shared" ref="O55:R55" si="45">SUM(O69,O83)</f>
        <v>732.91147915482918</v>
      </c>
      <c r="P55" s="189">
        <f t="shared" si="45"/>
        <v>607.3804927624426</v>
      </c>
      <c r="Q55" s="189">
        <f t="shared" si="45"/>
        <v>521.75731827710433</v>
      </c>
      <c r="R55" s="189">
        <f t="shared" si="45"/>
        <v>430.57712804004166</v>
      </c>
      <c r="S55" s="188"/>
      <c r="T55" s="189">
        <f>SUM(T69,T83)</f>
        <v>0</v>
      </c>
      <c r="U55" s="189">
        <f t="shared" ref="U55:X55" si="46">SUM(U69,U83)</f>
        <v>0</v>
      </c>
      <c r="V55" s="189">
        <f t="shared" si="46"/>
        <v>0</v>
      </c>
      <c r="W55" s="189">
        <f t="shared" si="46"/>
        <v>0</v>
      </c>
      <c r="X55" s="189">
        <f t="shared" si="46"/>
        <v>0</v>
      </c>
      <c r="Y55" s="91" t="str">
        <f>Y7</f>
        <v>15+</v>
      </c>
      <c r="Z55" s="189">
        <f>SUM(Z69,Z83)</f>
        <v>1946.6117047650587</v>
      </c>
      <c r="AA55" s="189">
        <f t="shared" ref="AA55:AD55" si="47">SUM(AA69,AA83)</f>
        <v>1898.9657890695435</v>
      </c>
      <c r="AB55" s="189">
        <f t="shared" si="47"/>
        <v>1962.8308563745852</v>
      </c>
      <c r="AC55" s="189">
        <f t="shared" si="47"/>
        <v>2069.7042275623553</v>
      </c>
      <c r="AD55" s="189">
        <f t="shared" si="47"/>
        <v>2170.6375884387007</v>
      </c>
      <c r="AE55" s="188"/>
      <c r="AF55" s="189">
        <f>SUM(AF69,AF83)</f>
        <v>1824.1912882451829</v>
      </c>
      <c r="AG55" s="189">
        <f t="shared" ref="AG55:AJ55" si="48">SUM(AG69,AG83)</f>
        <v>1779.7966268394514</v>
      </c>
      <c r="AH55" s="189">
        <f t="shared" si="48"/>
        <v>1839.9843516955048</v>
      </c>
      <c r="AI55" s="189">
        <f t="shared" si="48"/>
        <v>1940.4817534613794</v>
      </c>
      <c r="AJ55" s="189">
        <f t="shared" si="48"/>
        <v>2035.5057599780253</v>
      </c>
      <c r="AK55" s="188"/>
      <c r="AL55" s="189">
        <f>SUM(AL69,AL83)</f>
        <v>122.42041651987563</v>
      </c>
      <c r="AM55" s="189">
        <f t="shared" ref="AM55:AP55" si="49">SUM(AM69,AM83)</f>
        <v>119.16916223009233</v>
      </c>
      <c r="AN55" s="189">
        <f t="shared" si="49"/>
        <v>122.84650467908108</v>
      </c>
      <c r="AO55" s="189">
        <f t="shared" si="49"/>
        <v>129.22247410097572</v>
      </c>
      <c r="AP55" s="189">
        <f t="shared" si="49"/>
        <v>135.13182846067508</v>
      </c>
      <c r="AQ55" s="91" t="str">
        <f>AQ7</f>
        <v>15+</v>
      </c>
      <c r="AR55" s="189">
        <f>SUM(AR69,AR83)</f>
        <v>1748.2863959610891</v>
      </c>
      <c r="AS55" s="189">
        <f t="shared" ref="AS55:AV55" si="50">SUM(AS69,AS83)</f>
        <v>1906.3674248201669</v>
      </c>
      <c r="AT55" s="189">
        <f t="shared" si="50"/>
        <v>2115.1681242093855</v>
      </c>
      <c r="AU55" s="189">
        <f t="shared" si="50"/>
        <v>2318.0908365767018</v>
      </c>
      <c r="AV55" s="189">
        <f t="shared" si="50"/>
        <v>2521.4978123769306</v>
      </c>
      <c r="AW55" s="188"/>
      <c r="AX55" s="189">
        <f>SUM(AX69,AX83)</f>
        <v>1717.00572023467</v>
      </c>
      <c r="AY55" s="189">
        <f t="shared" ref="AY55:BB55" si="51">SUM(AY69,AY83)</f>
        <v>1871.5654118320501</v>
      </c>
      <c r="AZ55" s="189">
        <f t="shared" si="51"/>
        <v>2075.3669628743173</v>
      </c>
      <c r="BA55" s="189">
        <f t="shared" si="51"/>
        <v>2274.1381911334825</v>
      </c>
      <c r="BB55" s="189">
        <f t="shared" si="51"/>
        <v>2472.9509757013893</v>
      </c>
      <c r="BC55" s="188"/>
      <c r="BD55" s="189">
        <f>SUM(BD69,BD83)</f>
        <v>31.280675726418963</v>
      </c>
      <c r="BE55" s="189">
        <f t="shared" ref="BE55:BH55" si="52">SUM(BE69,BE83)</f>
        <v>34.676945501519299</v>
      </c>
      <c r="BF55" s="189">
        <f t="shared" si="52"/>
        <v>39.483123423895734</v>
      </c>
      <c r="BG55" s="189">
        <f t="shared" si="52"/>
        <v>43.95264544321995</v>
      </c>
      <c r="BH55" s="189">
        <f t="shared" si="52"/>
        <v>48.546836675541741</v>
      </c>
    </row>
    <row r="56" spans="1:60" x14ac:dyDescent="0.2">
      <c r="A56" s="91" t="str">
        <f t="shared" ref="A56:A66" si="53">A8</f>
        <v>15-19</v>
      </c>
      <c r="B56" s="189">
        <f t="shared" ref="B56:F66" si="54">SUM(B70,B84)</f>
        <v>33.922484918096792</v>
      </c>
      <c r="C56" s="189">
        <f t="shared" si="54"/>
        <v>33.428963380218356</v>
      </c>
      <c r="D56" s="189">
        <f t="shared" si="54"/>
        <v>25.618579168305843</v>
      </c>
      <c r="E56" s="189">
        <f t="shared" si="54"/>
        <v>27.576564899958772</v>
      </c>
      <c r="F56" s="189">
        <f t="shared" si="54"/>
        <v>31.444379921686618</v>
      </c>
      <c r="G56" s="188"/>
      <c r="H56" s="189">
        <f t="shared" ref="H56:L66" si="55">SUM(H70,H84)</f>
        <v>7.8573198535721822</v>
      </c>
      <c r="I56" s="189">
        <f t="shared" si="55"/>
        <v>7.5672034937247652</v>
      </c>
      <c r="J56" s="189">
        <f t="shared" si="55"/>
        <v>5.7747610908860949</v>
      </c>
      <c r="K56" s="189">
        <f t="shared" si="55"/>
        <v>6.3040880162625772</v>
      </c>
      <c r="L56" s="189">
        <f t="shared" si="55"/>
        <v>7.2506410354839996</v>
      </c>
      <c r="M56" s="188"/>
      <c r="N56" s="189">
        <f t="shared" ref="N56:R66" si="56">SUM(N70,N84)</f>
        <v>26.065165064524606</v>
      </c>
      <c r="O56" s="189">
        <f t="shared" si="56"/>
        <v>25.861759886493594</v>
      </c>
      <c r="P56" s="189">
        <f t="shared" si="56"/>
        <v>19.843818077419751</v>
      </c>
      <c r="Q56" s="189">
        <f t="shared" si="56"/>
        <v>21.272476883696193</v>
      </c>
      <c r="R56" s="189">
        <f t="shared" si="56"/>
        <v>24.193738886202624</v>
      </c>
      <c r="S56" s="188"/>
      <c r="T56" s="189">
        <f t="shared" ref="T56:X66" si="57">SUM(T70,T84)</f>
        <v>0</v>
      </c>
      <c r="U56" s="189">
        <f t="shared" si="57"/>
        <v>0</v>
      </c>
      <c r="V56" s="189">
        <f t="shared" si="57"/>
        <v>0</v>
      </c>
      <c r="W56" s="189">
        <f t="shared" si="57"/>
        <v>0</v>
      </c>
      <c r="X56" s="189">
        <f t="shared" si="57"/>
        <v>0</v>
      </c>
      <c r="Y56" s="91" t="str">
        <f t="shared" ref="Y56:Y66" si="58">Y8</f>
        <v>15-19</v>
      </c>
      <c r="Z56" s="189">
        <f t="shared" ref="Z56:AD66" si="59">SUM(Z70,Z84)</f>
        <v>28.669275921467221</v>
      </c>
      <c r="AA56" s="189">
        <f t="shared" si="59"/>
        <v>24.94017830051537</v>
      </c>
      <c r="AB56" s="189">
        <f t="shared" si="59"/>
        <v>22.096171672766943</v>
      </c>
      <c r="AC56" s="189">
        <f t="shared" si="59"/>
        <v>24.369923731987864</v>
      </c>
      <c r="AD56" s="189">
        <f t="shared" si="59"/>
        <v>28.847750118738247</v>
      </c>
      <c r="AE56" s="188"/>
      <c r="AF56" s="189">
        <f t="shared" ref="AF56:AJ66" si="60">SUM(AF70,AF84)</f>
        <v>27.131107622890386</v>
      </c>
      <c r="AG56" s="189">
        <f t="shared" si="60"/>
        <v>23.604856528669352</v>
      </c>
      <c r="AH56" s="189">
        <f t="shared" si="60"/>
        <v>20.910693259755835</v>
      </c>
      <c r="AI56" s="189">
        <f t="shared" si="60"/>
        <v>23.061501302502187</v>
      </c>
      <c r="AJ56" s="189">
        <f t="shared" si="60"/>
        <v>27.298051224460476</v>
      </c>
      <c r="AK56" s="188"/>
      <c r="AL56" s="189">
        <f t="shared" ref="AL56:AP66" si="61">SUM(AL70,AL84)</f>
        <v>1.538168298576831</v>
      </c>
      <c r="AM56" s="189">
        <f t="shared" si="61"/>
        <v>1.3353217718460186</v>
      </c>
      <c r="AN56" s="189">
        <f t="shared" si="61"/>
        <v>1.185478413011108</v>
      </c>
      <c r="AO56" s="189">
        <f t="shared" si="61"/>
        <v>1.3084224294856792</v>
      </c>
      <c r="AP56" s="189">
        <f t="shared" si="61"/>
        <v>1.5496988942777667</v>
      </c>
      <c r="AQ56" s="91" t="str">
        <f t="shared" ref="AQ56:AQ66" si="62">AQ8</f>
        <v>15-19</v>
      </c>
      <c r="AR56" s="189">
        <f t="shared" ref="AR56:AV66" si="63">SUM(AR70,AR84)</f>
        <v>0.22323916043599393</v>
      </c>
      <c r="AS56" s="189">
        <f t="shared" si="63"/>
        <v>0.23185831926626108</v>
      </c>
      <c r="AT56" s="189">
        <f t="shared" si="63"/>
        <v>0.31924915892721956</v>
      </c>
      <c r="AU56" s="189">
        <f t="shared" si="63"/>
        <v>0.32851136805335357</v>
      </c>
      <c r="AV56" s="189">
        <f t="shared" si="63"/>
        <v>0.36386995957513524</v>
      </c>
      <c r="AW56" s="188"/>
      <c r="AX56" s="189">
        <f t="shared" ref="AX56:BB66" si="64">SUM(AX70,AX84)</f>
        <v>0.18942213461700935</v>
      </c>
      <c r="AY56" s="189">
        <f t="shared" si="64"/>
        <v>7.0679138418197798E-2</v>
      </c>
      <c r="AZ56" s="189">
        <f t="shared" si="64"/>
        <v>8.014133599071727E-4</v>
      </c>
      <c r="BA56" s="189">
        <f t="shared" si="64"/>
        <v>0.32647088949339453</v>
      </c>
      <c r="BB56" s="189">
        <f t="shared" si="64"/>
        <v>0.3602016521563422</v>
      </c>
      <c r="BC56" s="188"/>
      <c r="BD56" s="189">
        <f t="shared" ref="BD56:BH66" si="65">SUM(BD70,BD84)</f>
        <v>3.3817025818984561E-2</v>
      </c>
      <c r="BE56" s="189">
        <f t="shared" si="65"/>
        <v>3.6111694250642229E-2</v>
      </c>
      <c r="BF56" s="189">
        <f t="shared" si="65"/>
        <v>4.0983439475890718E-4</v>
      </c>
      <c r="BG56" s="189">
        <f t="shared" si="65"/>
        <v>2.0404785599590159E-3</v>
      </c>
      <c r="BH56" s="189">
        <f t="shared" si="65"/>
        <v>3.6683074187930289E-3</v>
      </c>
    </row>
    <row r="57" spans="1:60" x14ac:dyDescent="0.2">
      <c r="A57" s="91" t="str">
        <f t="shared" si="53"/>
        <v>20-24</v>
      </c>
      <c r="B57" s="189">
        <f t="shared" si="54"/>
        <v>69.997446885450401</v>
      </c>
      <c r="C57" s="189">
        <f t="shared" si="54"/>
        <v>73.885251785075525</v>
      </c>
      <c r="D57" s="189">
        <f t="shared" si="54"/>
        <v>60.82748778551305</v>
      </c>
      <c r="E57" s="189">
        <f t="shared" si="54"/>
        <v>52.336025748722321</v>
      </c>
      <c r="F57" s="189">
        <f t="shared" si="54"/>
        <v>47.838308330484821</v>
      </c>
      <c r="G57" s="188"/>
      <c r="H57" s="189">
        <f t="shared" si="55"/>
        <v>17.50666245872462</v>
      </c>
      <c r="I57" s="189">
        <f t="shared" si="55"/>
        <v>18.316843567871658</v>
      </c>
      <c r="J57" s="189">
        <f t="shared" si="55"/>
        <v>14.976024192054551</v>
      </c>
      <c r="K57" s="189">
        <f t="shared" si="55"/>
        <v>12.905149968073884</v>
      </c>
      <c r="L57" s="189">
        <f t="shared" si="55"/>
        <v>11.781306690276619</v>
      </c>
      <c r="M57" s="188"/>
      <c r="N57" s="189">
        <f t="shared" si="56"/>
        <v>52.490784426725781</v>
      </c>
      <c r="O57" s="189">
        <f t="shared" si="56"/>
        <v>55.568408217203867</v>
      </c>
      <c r="P57" s="189">
        <f t="shared" si="56"/>
        <v>45.851463593458497</v>
      </c>
      <c r="Q57" s="189">
        <f t="shared" si="56"/>
        <v>39.430875780648435</v>
      </c>
      <c r="R57" s="189">
        <f t="shared" si="56"/>
        <v>36.057001640208199</v>
      </c>
      <c r="S57" s="188"/>
      <c r="T57" s="189">
        <f t="shared" si="57"/>
        <v>0</v>
      </c>
      <c r="U57" s="189">
        <f t="shared" si="57"/>
        <v>0</v>
      </c>
      <c r="V57" s="189">
        <f t="shared" si="57"/>
        <v>0</v>
      </c>
      <c r="W57" s="189">
        <f t="shared" si="57"/>
        <v>0</v>
      </c>
      <c r="X57" s="189">
        <f t="shared" si="57"/>
        <v>0</v>
      </c>
      <c r="Y57" s="91" t="str">
        <f t="shared" si="58"/>
        <v>20-24</v>
      </c>
      <c r="Z57" s="189">
        <f t="shared" si="59"/>
        <v>200.63056393547677</v>
      </c>
      <c r="AA57" s="189">
        <f t="shared" si="59"/>
        <v>200.10878986052779</v>
      </c>
      <c r="AB57" s="189">
        <f t="shared" si="59"/>
        <v>192.82988811096317</v>
      </c>
      <c r="AC57" s="189">
        <f t="shared" si="59"/>
        <v>182.24243827723632</v>
      </c>
      <c r="AD57" s="189">
        <f t="shared" si="59"/>
        <v>183.10832552939812</v>
      </c>
      <c r="AE57" s="188"/>
      <c r="AF57" s="189">
        <f t="shared" si="60"/>
        <v>184.4013377657671</v>
      </c>
      <c r="AG57" s="189">
        <f t="shared" si="60"/>
        <v>183.88709709012173</v>
      </c>
      <c r="AH57" s="189">
        <f t="shared" si="60"/>
        <v>177.34938200988924</v>
      </c>
      <c r="AI57" s="189">
        <f t="shared" si="60"/>
        <v>167.58221623961009</v>
      </c>
      <c r="AJ57" s="189">
        <f t="shared" si="60"/>
        <v>168.42784713146324</v>
      </c>
      <c r="AK57" s="188"/>
      <c r="AL57" s="189">
        <f t="shared" si="61"/>
        <v>16.229226169709651</v>
      </c>
      <c r="AM57" s="189">
        <f t="shared" si="61"/>
        <v>16.221692770406051</v>
      </c>
      <c r="AN57" s="189">
        <f t="shared" si="61"/>
        <v>15.480506101073939</v>
      </c>
      <c r="AO57" s="189">
        <f t="shared" si="61"/>
        <v>14.660222037626259</v>
      </c>
      <c r="AP57" s="189">
        <f t="shared" si="61"/>
        <v>14.680478397934866</v>
      </c>
      <c r="AQ57" s="91" t="str">
        <f t="shared" si="62"/>
        <v>20-24</v>
      </c>
      <c r="AR57" s="189">
        <f t="shared" si="63"/>
        <v>100.04998917907284</v>
      </c>
      <c r="AS57" s="189">
        <f t="shared" si="63"/>
        <v>94.987958354396682</v>
      </c>
      <c r="AT57" s="189">
        <f t="shared" si="63"/>
        <v>103.98462410352381</v>
      </c>
      <c r="AU57" s="189">
        <f t="shared" si="63"/>
        <v>110.10453597404138</v>
      </c>
      <c r="AV57" s="189">
        <f t="shared" si="63"/>
        <v>122.21236614011708</v>
      </c>
      <c r="AW57" s="188"/>
      <c r="AX57" s="189">
        <f t="shared" si="64"/>
        <v>99.830703255982527</v>
      </c>
      <c r="AY57" s="189">
        <f t="shared" si="64"/>
        <v>94.78083623451991</v>
      </c>
      <c r="AZ57" s="189">
        <f t="shared" si="64"/>
        <v>103.75807484517797</v>
      </c>
      <c r="BA57" s="189">
        <f t="shared" si="64"/>
        <v>109.86373714713562</v>
      </c>
      <c r="BB57" s="189">
        <f t="shared" si="64"/>
        <v>121.94555113721529</v>
      </c>
      <c r="BC57" s="188"/>
      <c r="BD57" s="189">
        <f t="shared" si="65"/>
        <v>0.21928592309030701</v>
      </c>
      <c r="BE57" s="189">
        <f t="shared" si="65"/>
        <v>0.20712211987677406</v>
      </c>
      <c r="BF57" s="189">
        <f t="shared" si="65"/>
        <v>0.2265492583458453</v>
      </c>
      <c r="BG57" s="189">
        <f t="shared" si="65"/>
        <v>0.24079882690576235</v>
      </c>
      <c r="BH57" s="189">
        <f t="shared" si="65"/>
        <v>0.26681500290179178</v>
      </c>
    </row>
    <row r="58" spans="1:60" x14ac:dyDescent="0.2">
      <c r="A58" s="91" t="str">
        <f t="shared" si="53"/>
        <v>25-29</v>
      </c>
      <c r="B58" s="189">
        <f t="shared" si="54"/>
        <v>83.10566032859262</v>
      </c>
      <c r="C58" s="189">
        <f t="shared" si="54"/>
        <v>92.922114197332945</v>
      </c>
      <c r="D58" s="189">
        <f t="shared" si="54"/>
        <v>81.756122550300972</v>
      </c>
      <c r="E58" s="189">
        <f t="shared" si="54"/>
        <v>81.088950586198422</v>
      </c>
      <c r="F58" s="189">
        <f t="shared" si="54"/>
        <v>71.085865926883031</v>
      </c>
      <c r="G58" s="188"/>
      <c r="H58" s="189">
        <f t="shared" si="55"/>
        <v>23.608107087454297</v>
      </c>
      <c r="I58" s="189">
        <f t="shared" si="55"/>
        <v>26.378552793035944</v>
      </c>
      <c r="J58" s="189">
        <f t="shared" si="55"/>
        <v>23.222779194804581</v>
      </c>
      <c r="K58" s="189">
        <f t="shared" si="55"/>
        <v>23.044303745971408</v>
      </c>
      <c r="L58" s="189">
        <f t="shared" si="55"/>
        <v>20.194793417876976</v>
      </c>
      <c r="M58" s="188"/>
      <c r="N58" s="189">
        <f t="shared" si="56"/>
        <v>59.49755324113832</v>
      </c>
      <c r="O58" s="189">
        <f t="shared" si="56"/>
        <v>66.543561404296995</v>
      </c>
      <c r="P58" s="189">
        <f t="shared" si="56"/>
        <v>58.533343355496399</v>
      </c>
      <c r="Q58" s="189">
        <f t="shared" si="56"/>
        <v>58.04464684022701</v>
      </c>
      <c r="R58" s="189">
        <f t="shared" si="56"/>
        <v>50.891072509006051</v>
      </c>
      <c r="S58" s="188"/>
      <c r="T58" s="189">
        <f t="shared" si="57"/>
        <v>0</v>
      </c>
      <c r="U58" s="189">
        <f t="shared" si="57"/>
        <v>0</v>
      </c>
      <c r="V58" s="189">
        <f t="shared" si="57"/>
        <v>0</v>
      </c>
      <c r="W58" s="189">
        <f t="shared" si="57"/>
        <v>0</v>
      </c>
      <c r="X58" s="189">
        <f t="shared" si="57"/>
        <v>0</v>
      </c>
      <c r="Y58" s="91" t="str">
        <f t="shared" si="58"/>
        <v>25-29</v>
      </c>
      <c r="Z58" s="189">
        <f t="shared" si="59"/>
        <v>253.52682972521137</v>
      </c>
      <c r="AA58" s="189">
        <f t="shared" si="59"/>
        <v>234.83645593614608</v>
      </c>
      <c r="AB58" s="189">
        <f t="shared" si="59"/>
        <v>239.38100582652388</v>
      </c>
      <c r="AC58" s="189">
        <f t="shared" si="59"/>
        <v>250.47379611646011</v>
      </c>
      <c r="AD58" s="189">
        <f t="shared" si="59"/>
        <v>242.75774055369266</v>
      </c>
      <c r="AE58" s="188"/>
      <c r="AF58" s="189">
        <f t="shared" si="60"/>
        <v>233.96361796129568</v>
      </c>
      <c r="AG58" s="189">
        <f t="shared" si="60"/>
        <v>216.69951214512702</v>
      </c>
      <c r="AH58" s="189">
        <f t="shared" si="60"/>
        <v>220.99938766367791</v>
      </c>
      <c r="AI58" s="189">
        <f t="shared" si="60"/>
        <v>231.32962388195671</v>
      </c>
      <c r="AJ58" s="189">
        <f t="shared" si="60"/>
        <v>224.27741219211396</v>
      </c>
      <c r="AK58" s="188"/>
      <c r="AL58" s="189">
        <f t="shared" si="61"/>
        <v>19.563211763915717</v>
      </c>
      <c r="AM58" s="189">
        <f t="shared" si="61"/>
        <v>18.13694379101905</v>
      </c>
      <c r="AN58" s="189">
        <f t="shared" si="61"/>
        <v>18.381618162845992</v>
      </c>
      <c r="AO58" s="189">
        <f t="shared" si="61"/>
        <v>19.144172234503415</v>
      </c>
      <c r="AP58" s="189">
        <f t="shared" si="61"/>
        <v>18.480328361578685</v>
      </c>
      <c r="AQ58" s="91" t="str">
        <f t="shared" si="62"/>
        <v>25-29</v>
      </c>
      <c r="AR58" s="189">
        <f t="shared" si="63"/>
        <v>268.657509946196</v>
      </c>
      <c r="AS58" s="189">
        <f t="shared" si="63"/>
        <v>278.23442986652105</v>
      </c>
      <c r="AT58" s="189">
        <f t="shared" si="63"/>
        <v>292.29787162317513</v>
      </c>
      <c r="AU58" s="189">
        <f t="shared" si="63"/>
        <v>322.87025329734149</v>
      </c>
      <c r="AV58" s="189">
        <f t="shared" si="63"/>
        <v>330.34739351942437</v>
      </c>
      <c r="AW58" s="188"/>
      <c r="AX58" s="189">
        <f t="shared" si="64"/>
        <v>266.3288913677211</v>
      </c>
      <c r="AY58" s="189">
        <f t="shared" si="64"/>
        <v>275.82018573820613</v>
      </c>
      <c r="AZ58" s="189">
        <f t="shared" si="64"/>
        <v>289.76922026464791</v>
      </c>
      <c r="BA58" s="189">
        <f t="shared" si="64"/>
        <v>320.08257546262871</v>
      </c>
      <c r="BB58" s="189">
        <f t="shared" si="64"/>
        <v>327.50130630655138</v>
      </c>
      <c r="BC58" s="188"/>
      <c r="BD58" s="189">
        <f t="shared" si="65"/>
        <v>2.3286185784749271</v>
      </c>
      <c r="BE58" s="189">
        <f t="shared" si="65"/>
        <v>2.414244128314877</v>
      </c>
      <c r="BF58" s="189">
        <f t="shared" si="65"/>
        <v>2.5286513585272092</v>
      </c>
      <c r="BG58" s="189">
        <f t="shared" si="65"/>
        <v>2.7876778347128019</v>
      </c>
      <c r="BH58" s="189">
        <f t="shared" si="65"/>
        <v>2.8460872128729875</v>
      </c>
    </row>
    <row r="59" spans="1:60" x14ac:dyDescent="0.2">
      <c r="A59" s="91" t="str">
        <f t="shared" si="53"/>
        <v>30-34</v>
      </c>
      <c r="B59" s="189">
        <f t="shared" si="54"/>
        <v>88.294623576316411</v>
      </c>
      <c r="C59" s="189">
        <f t="shared" si="54"/>
        <v>89.184182813705448</v>
      </c>
      <c r="D59" s="189">
        <f t="shared" si="54"/>
        <v>78.82086492460455</v>
      </c>
      <c r="E59" s="189">
        <f t="shared" si="54"/>
        <v>73.409248466261431</v>
      </c>
      <c r="F59" s="189">
        <f t="shared" si="54"/>
        <v>62.433211012240555</v>
      </c>
      <c r="G59" s="188"/>
      <c r="H59" s="189">
        <f t="shared" si="55"/>
        <v>28.30985950772898</v>
      </c>
      <c r="I59" s="189">
        <f t="shared" si="55"/>
        <v>28.523912034677551</v>
      </c>
      <c r="J59" s="189">
        <f t="shared" si="55"/>
        <v>25.261997348079788</v>
      </c>
      <c r="K59" s="189">
        <f t="shared" si="55"/>
        <v>23.527246978251746</v>
      </c>
      <c r="L59" s="189">
        <f t="shared" si="55"/>
        <v>20.017532858379102</v>
      </c>
      <c r="M59" s="188"/>
      <c r="N59" s="189">
        <f t="shared" si="56"/>
        <v>59.984764068587438</v>
      </c>
      <c r="O59" s="189">
        <f t="shared" si="56"/>
        <v>60.660270779027904</v>
      </c>
      <c r="P59" s="189">
        <f t="shared" si="56"/>
        <v>53.558867576524761</v>
      </c>
      <c r="Q59" s="189">
        <f t="shared" si="56"/>
        <v>49.882001488009664</v>
      </c>
      <c r="R59" s="189">
        <f t="shared" si="56"/>
        <v>42.41567815386145</v>
      </c>
      <c r="S59" s="188"/>
      <c r="T59" s="189">
        <f t="shared" si="57"/>
        <v>0</v>
      </c>
      <c r="U59" s="189">
        <f t="shared" si="57"/>
        <v>0</v>
      </c>
      <c r="V59" s="189">
        <f t="shared" si="57"/>
        <v>0</v>
      </c>
      <c r="W59" s="189">
        <f t="shared" si="57"/>
        <v>0</v>
      </c>
      <c r="X59" s="189">
        <f t="shared" si="57"/>
        <v>0</v>
      </c>
      <c r="Y59" s="91" t="str">
        <f t="shared" si="58"/>
        <v>30-34</v>
      </c>
      <c r="Z59" s="189">
        <f t="shared" si="59"/>
        <v>252.02853262692997</v>
      </c>
      <c r="AA59" s="189">
        <f t="shared" si="59"/>
        <v>241.95757229192009</v>
      </c>
      <c r="AB59" s="189">
        <f t="shared" si="59"/>
        <v>250.36416862690376</v>
      </c>
      <c r="AC59" s="189">
        <f t="shared" si="59"/>
        <v>260.01917178438288</v>
      </c>
      <c r="AD59" s="189">
        <f t="shared" si="59"/>
        <v>277.87154542964436</v>
      </c>
      <c r="AE59" s="188"/>
      <c r="AF59" s="189">
        <f t="shared" si="60"/>
        <v>233.37617479742303</v>
      </c>
      <c r="AG59" s="189">
        <f t="shared" si="60"/>
        <v>224.1436906659363</v>
      </c>
      <c r="AH59" s="189">
        <f t="shared" si="60"/>
        <v>231.98013090632361</v>
      </c>
      <c r="AI59" s="189">
        <f t="shared" si="60"/>
        <v>240.99879756210669</v>
      </c>
      <c r="AJ59" s="189">
        <f t="shared" si="60"/>
        <v>257.66322853004982</v>
      </c>
      <c r="AK59" s="188"/>
      <c r="AL59" s="189">
        <f t="shared" si="61"/>
        <v>18.65235782950694</v>
      </c>
      <c r="AM59" s="189">
        <f t="shared" si="61"/>
        <v>17.813881625983782</v>
      </c>
      <c r="AN59" s="189">
        <f t="shared" si="61"/>
        <v>18.384037720580174</v>
      </c>
      <c r="AO59" s="189">
        <f t="shared" si="61"/>
        <v>19.02037422227616</v>
      </c>
      <c r="AP59" s="189">
        <f t="shared" si="61"/>
        <v>20.208316899594564</v>
      </c>
      <c r="AQ59" s="91" t="str">
        <f t="shared" si="62"/>
        <v>30-34</v>
      </c>
      <c r="AR59" s="189">
        <f t="shared" si="63"/>
        <v>280.69384379675364</v>
      </c>
      <c r="AS59" s="189">
        <f t="shared" si="63"/>
        <v>298.74624489437451</v>
      </c>
      <c r="AT59" s="189">
        <f t="shared" si="63"/>
        <v>315.83096644849167</v>
      </c>
      <c r="AU59" s="189">
        <f t="shared" si="63"/>
        <v>342.31857974935576</v>
      </c>
      <c r="AV59" s="189">
        <f t="shared" si="63"/>
        <v>384.08524355811511</v>
      </c>
      <c r="AW59" s="188"/>
      <c r="AX59" s="189">
        <f t="shared" si="64"/>
        <v>275.62991148902091</v>
      </c>
      <c r="AY59" s="189">
        <f t="shared" si="64"/>
        <v>293.35345054546065</v>
      </c>
      <c r="AZ59" s="189">
        <f t="shared" si="64"/>
        <v>310.17909296528001</v>
      </c>
      <c r="BA59" s="189">
        <f t="shared" si="64"/>
        <v>336.2348278556392</v>
      </c>
      <c r="BB59" s="189">
        <f t="shared" si="64"/>
        <v>377.23616137901718</v>
      </c>
      <c r="BC59" s="188"/>
      <c r="BD59" s="189">
        <f t="shared" si="65"/>
        <v>5.063932307732685</v>
      </c>
      <c r="BE59" s="189">
        <f t="shared" si="65"/>
        <v>5.3927943489138421</v>
      </c>
      <c r="BF59" s="189">
        <f t="shared" si="65"/>
        <v>5.6518734832116824</v>
      </c>
      <c r="BG59" s="189">
        <f t="shared" si="65"/>
        <v>6.0837518937165616</v>
      </c>
      <c r="BH59" s="189">
        <f t="shared" si="65"/>
        <v>6.8490821790979144</v>
      </c>
    </row>
    <row r="60" spans="1:60" x14ac:dyDescent="0.2">
      <c r="A60" s="91" t="str">
        <f t="shared" si="53"/>
        <v>35-39</v>
      </c>
      <c r="B60" s="189">
        <f t="shared" si="54"/>
        <v>116.40573165092457</v>
      </c>
      <c r="C60" s="189">
        <f t="shared" si="54"/>
        <v>111.62087650319086</v>
      </c>
      <c r="D60" s="189">
        <f t="shared" si="54"/>
        <v>87.010674497835979</v>
      </c>
      <c r="E60" s="189">
        <f t="shared" si="54"/>
        <v>72.169455639072808</v>
      </c>
      <c r="F60" s="189">
        <f t="shared" si="54"/>
        <v>56.078787071994824</v>
      </c>
      <c r="G60" s="188"/>
      <c r="H60" s="189">
        <f t="shared" si="55"/>
        <v>35.263117567908004</v>
      </c>
      <c r="I60" s="189">
        <f t="shared" si="55"/>
        <v>33.826936328651151</v>
      </c>
      <c r="J60" s="189">
        <f t="shared" si="55"/>
        <v>26.372888660399127</v>
      </c>
      <c r="K60" s="189">
        <f t="shared" si="55"/>
        <v>21.873558995262968</v>
      </c>
      <c r="L60" s="189">
        <f t="shared" si="55"/>
        <v>16.999346797068803</v>
      </c>
      <c r="M60" s="188"/>
      <c r="N60" s="189">
        <f t="shared" si="56"/>
        <v>81.142614083016582</v>
      </c>
      <c r="O60" s="189">
        <f t="shared" si="56"/>
        <v>77.793940174539699</v>
      </c>
      <c r="P60" s="189">
        <f t="shared" si="56"/>
        <v>60.637785837436844</v>
      </c>
      <c r="Q60" s="189">
        <f t="shared" si="56"/>
        <v>50.29589664380984</v>
      </c>
      <c r="R60" s="189">
        <f t="shared" si="56"/>
        <v>39.079440274926021</v>
      </c>
      <c r="S60" s="188"/>
      <c r="T60" s="189">
        <f t="shared" si="57"/>
        <v>0</v>
      </c>
      <c r="U60" s="189">
        <f t="shared" si="57"/>
        <v>0</v>
      </c>
      <c r="V60" s="189">
        <f t="shared" si="57"/>
        <v>0</v>
      </c>
      <c r="W60" s="189">
        <f t="shared" si="57"/>
        <v>0</v>
      </c>
      <c r="X60" s="189">
        <f t="shared" si="57"/>
        <v>0</v>
      </c>
      <c r="Y60" s="91" t="str">
        <f t="shared" si="58"/>
        <v>35-39</v>
      </c>
      <c r="Z60" s="189">
        <f t="shared" si="59"/>
        <v>292.69516984616689</v>
      </c>
      <c r="AA60" s="189">
        <f t="shared" si="59"/>
        <v>264.43124011815416</v>
      </c>
      <c r="AB60" s="189">
        <f t="shared" si="59"/>
        <v>249.36383456629306</v>
      </c>
      <c r="AC60" s="189">
        <f t="shared" si="59"/>
        <v>265.62693121403328</v>
      </c>
      <c r="AD60" s="189">
        <f t="shared" si="59"/>
        <v>281.01300955525153</v>
      </c>
      <c r="AE60" s="188"/>
      <c r="AF60" s="189">
        <f t="shared" si="60"/>
        <v>274.90708265744615</v>
      </c>
      <c r="AG60" s="189">
        <f t="shared" si="60"/>
        <v>248.33674178769135</v>
      </c>
      <c r="AH60" s="189">
        <f t="shared" si="60"/>
        <v>234.22524163699583</v>
      </c>
      <c r="AI60" s="189">
        <f t="shared" si="60"/>
        <v>249.52613818829445</v>
      </c>
      <c r="AJ60" s="189">
        <f t="shared" si="60"/>
        <v>264.00561865600736</v>
      </c>
      <c r="AK60" s="188"/>
      <c r="AL60" s="189">
        <f t="shared" si="61"/>
        <v>17.788087188720716</v>
      </c>
      <c r="AM60" s="189">
        <f t="shared" si="61"/>
        <v>16.094498330462777</v>
      </c>
      <c r="AN60" s="189">
        <f t="shared" si="61"/>
        <v>15.138592929297266</v>
      </c>
      <c r="AO60" s="189">
        <f t="shared" si="61"/>
        <v>16.100793025738767</v>
      </c>
      <c r="AP60" s="189">
        <f t="shared" si="61"/>
        <v>17.007390899244211</v>
      </c>
      <c r="AQ60" s="91" t="str">
        <f t="shared" si="62"/>
        <v>35-39</v>
      </c>
      <c r="AR60" s="189">
        <f t="shared" si="63"/>
        <v>271.17009850290862</v>
      </c>
      <c r="AS60" s="189">
        <f t="shared" si="63"/>
        <v>299.350883378655</v>
      </c>
      <c r="AT60" s="189">
        <f t="shared" si="63"/>
        <v>309.54249093587089</v>
      </c>
      <c r="AU60" s="189">
        <f t="shared" si="63"/>
        <v>347.30661314689394</v>
      </c>
      <c r="AV60" s="189">
        <f t="shared" si="63"/>
        <v>383.85620337275361</v>
      </c>
      <c r="AW60" s="188"/>
      <c r="AX60" s="189">
        <f t="shared" si="64"/>
        <v>266.39031937491359</v>
      </c>
      <c r="AY60" s="189">
        <f t="shared" si="64"/>
        <v>294.09970734798696</v>
      </c>
      <c r="AZ60" s="189">
        <f t="shared" si="64"/>
        <v>304.18685308252333</v>
      </c>
      <c r="BA60" s="189">
        <f t="shared" si="64"/>
        <v>341.32613291295013</v>
      </c>
      <c r="BB60" s="189">
        <f t="shared" si="64"/>
        <v>377.26357305597628</v>
      </c>
      <c r="BC60" s="188"/>
      <c r="BD60" s="189">
        <f t="shared" si="65"/>
        <v>4.7797791279950284</v>
      </c>
      <c r="BE60" s="189">
        <f t="shared" si="65"/>
        <v>5.2511760306679776</v>
      </c>
      <c r="BF60" s="189">
        <f t="shared" si="65"/>
        <v>5.3556378533475719</v>
      </c>
      <c r="BG60" s="189">
        <f t="shared" si="65"/>
        <v>5.9804802339438368</v>
      </c>
      <c r="BH60" s="189">
        <f t="shared" si="65"/>
        <v>6.5926303167773872</v>
      </c>
    </row>
    <row r="61" spans="1:60" x14ac:dyDescent="0.2">
      <c r="A61" s="91" t="str">
        <f t="shared" si="53"/>
        <v>40-44</v>
      </c>
      <c r="B61" s="189">
        <f t="shared" si="54"/>
        <v>156.26741886428681</v>
      </c>
      <c r="C61" s="189">
        <f t="shared" si="54"/>
        <v>138.06633532257501</v>
      </c>
      <c r="D61" s="189">
        <f t="shared" si="54"/>
        <v>102.04230405027101</v>
      </c>
      <c r="E61" s="189">
        <f t="shared" si="54"/>
        <v>72.607670352464169</v>
      </c>
      <c r="F61" s="189">
        <f t="shared" si="54"/>
        <v>53.870397558877769</v>
      </c>
      <c r="G61" s="188"/>
      <c r="H61" s="189">
        <f t="shared" si="55"/>
        <v>49.7957894254127</v>
      </c>
      <c r="I61" s="189">
        <f t="shared" si="55"/>
        <v>43.898270250594351</v>
      </c>
      <c r="J61" s="189">
        <f t="shared" si="55"/>
        <v>32.409044993954737</v>
      </c>
      <c r="K61" s="189">
        <f t="shared" si="55"/>
        <v>23.036152368803652</v>
      </c>
      <c r="L61" s="189">
        <f t="shared" si="55"/>
        <v>17.053911147098564</v>
      </c>
      <c r="M61" s="188"/>
      <c r="N61" s="189">
        <f t="shared" si="56"/>
        <v>106.47162943887409</v>
      </c>
      <c r="O61" s="189">
        <f t="shared" si="56"/>
        <v>94.168065071980649</v>
      </c>
      <c r="P61" s="189">
        <f t="shared" si="56"/>
        <v>69.633259056316291</v>
      </c>
      <c r="Q61" s="189">
        <f t="shared" si="56"/>
        <v>49.571517983660513</v>
      </c>
      <c r="R61" s="189">
        <f t="shared" si="56"/>
        <v>36.816486411779202</v>
      </c>
      <c r="S61" s="188"/>
      <c r="T61" s="189">
        <f t="shared" si="57"/>
        <v>0</v>
      </c>
      <c r="U61" s="189">
        <f t="shared" si="57"/>
        <v>0</v>
      </c>
      <c r="V61" s="189">
        <f t="shared" si="57"/>
        <v>0</v>
      </c>
      <c r="W61" s="189">
        <f t="shared" si="57"/>
        <v>0</v>
      </c>
      <c r="X61" s="189">
        <f t="shared" si="57"/>
        <v>0</v>
      </c>
      <c r="Y61" s="91" t="str">
        <f t="shared" si="58"/>
        <v>40-44</v>
      </c>
      <c r="Z61" s="189">
        <f t="shared" si="59"/>
        <v>297.53049844792429</v>
      </c>
      <c r="AA61" s="189">
        <f t="shared" si="59"/>
        <v>279.21152782576593</v>
      </c>
      <c r="AB61" s="189">
        <f t="shared" si="59"/>
        <v>264.15997152705989</v>
      </c>
      <c r="AC61" s="189">
        <f t="shared" si="59"/>
        <v>265.769688987834</v>
      </c>
      <c r="AD61" s="189">
        <f t="shared" si="59"/>
        <v>285.38300501207038</v>
      </c>
      <c r="AE61" s="188"/>
      <c r="AF61" s="189">
        <f t="shared" si="60"/>
        <v>281.6051488677208</v>
      </c>
      <c r="AG61" s="189">
        <f t="shared" si="60"/>
        <v>264.27565335337636</v>
      </c>
      <c r="AH61" s="189">
        <f t="shared" si="60"/>
        <v>250.06064702096575</v>
      </c>
      <c r="AI61" s="189">
        <f t="shared" si="60"/>
        <v>251.59948400746447</v>
      </c>
      <c r="AJ61" s="189">
        <f t="shared" si="60"/>
        <v>270.1868670204085</v>
      </c>
      <c r="AK61" s="188"/>
      <c r="AL61" s="189">
        <f t="shared" si="61"/>
        <v>15.925349580203488</v>
      </c>
      <c r="AM61" s="189">
        <f t="shared" si="61"/>
        <v>14.935874472389486</v>
      </c>
      <c r="AN61" s="189">
        <f t="shared" si="61"/>
        <v>14.099324506094138</v>
      </c>
      <c r="AO61" s="189">
        <f t="shared" si="61"/>
        <v>14.170204980369528</v>
      </c>
      <c r="AP61" s="189">
        <f t="shared" si="61"/>
        <v>15.196137991661878</v>
      </c>
      <c r="AQ61" s="91" t="str">
        <f t="shared" si="62"/>
        <v>40-44</v>
      </c>
      <c r="AR61" s="189">
        <f t="shared" si="63"/>
        <v>254.53008268778893</v>
      </c>
      <c r="AS61" s="189">
        <f t="shared" si="63"/>
        <v>277.04113685165908</v>
      </c>
      <c r="AT61" s="189">
        <f t="shared" si="63"/>
        <v>302.03972442266905</v>
      </c>
      <c r="AU61" s="189">
        <f t="shared" si="63"/>
        <v>315.32964065970185</v>
      </c>
      <c r="AV61" s="189">
        <f t="shared" si="63"/>
        <v>349.0545974290518</v>
      </c>
      <c r="AW61" s="188"/>
      <c r="AX61" s="189">
        <f t="shared" si="64"/>
        <v>250.24828407721705</v>
      </c>
      <c r="AY61" s="189">
        <f t="shared" si="64"/>
        <v>272.4224484468516</v>
      </c>
      <c r="AZ61" s="189">
        <f t="shared" si="64"/>
        <v>297.01618494130969</v>
      </c>
      <c r="BA61" s="189">
        <f t="shared" si="64"/>
        <v>310.0976851562209</v>
      </c>
      <c r="BB61" s="189">
        <f t="shared" si="64"/>
        <v>343.26501484324086</v>
      </c>
      <c r="BC61" s="188"/>
      <c r="BD61" s="189">
        <f t="shared" si="65"/>
        <v>4.2817986105719035</v>
      </c>
      <c r="BE61" s="189">
        <f t="shared" si="65"/>
        <v>4.6186884048075676</v>
      </c>
      <c r="BF61" s="189">
        <f t="shared" si="65"/>
        <v>5.0235394813593235</v>
      </c>
      <c r="BG61" s="189">
        <f t="shared" si="65"/>
        <v>5.2319555034809255</v>
      </c>
      <c r="BH61" s="189">
        <f t="shared" si="65"/>
        <v>5.7895825858109662</v>
      </c>
    </row>
    <row r="62" spans="1:60" x14ac:dyDescent="0.2">
      <c r="A62" s="91" t="str">
        <f t="shared" si="53"/>
        <v>45-49</v>
      </c>
      <c r="B62" s="189">
        <f t="shared" si="54"/>
        <v>192.10532237663983</v>
      </c>
      <c r="C62" s="189">
        <f t="shared" si="54"/>
        <v>181.7014990686323</v>
      </c>
      <c r="D62" s="189">
        <f t="shared" si="54"/>
        <v>125.84366969436242</v>
      </c>
      <c r="E62" s="189">
        <f t="shared" si="54"/>
        <v>94.413771810554039</v>
      </c>
      <c r="F62" s="189">
        <f t="shared" si="54"/>
        <v>69.482068956144474</v>
      </c>
      <c r="G62" s="188"/>
      <c r="H62" s="189">
        <f t="shared" si="55"/>
        <v>63.114524104301118</v>
      </c>
      <c r="I62" s="189">
        <f t="shared" si="55"/>
        <v>59.680357878773279</v>
      </c>
      <c r="J62" s="189">
        <f t="shared" si="55"/>
        <v>41.135830568231285</v>
      </c>
      <c r="K62" s="189">
        <f t="shared" si="55"/>
        <v>30.734675124538327</v>
      </c>
      <c r="L62" s="189">
        <f t="shared" si="55"/>
        <v>22.525760365918362</v>
      </c>
      <c r="M62" s="188"/>
      <c r="N62" s="189">
        <f t="shared" si="56"/>
        <v>128.99079827233871</v>
      </c>
      <c r="O62" s="189">
        <f t="shared" si="56"/>
        <v>122.02114118985901</v>
      </c>
      <c r="P62" s="189">
        <f t="shared" si="56"/>
        <v>84.707839126131134</v>
      </c>
      <c r="Q62" s="189">
        <f t="shared" si="56"/>
        <v>63.679096686015725</v>
      </c>
      <c r="R62" s="189">
        <f t="shared" si="56"/>
        <v>46.956308590226101</v>
      </c>
      <c r="S62" s="188"/>
      <c r="T62" s="189">
        <f t="shared" si="57"/>
        <v>0</v>
      </c>
      <c r="U62" s="189">
        <f t="shared" si="57"/>
        <v>0</v>
      </c>
      <c r="V62" s="189">
        <f t="shared" si="57"/>
        <v>0</v>
      </c>
      <c r="W62" s="189">
        <f t="shared" si="57"/>
        <v>0</v>
      </c>
      <c r="X62" s="189">
        <f t="shared" si="57"/>
        <v>0</v>
      </c>
      <c r="Y62" s="91" t="str">
        <f t="shared" si="58"/>
        <v>45-49</v>
      </c>
      <c r="Z62" s="189">
        <f t="shared" si="59"/>
        <v>259.3931665564873</v>
      </c>
      <c r="AA62" s="189">
        <f t="shared" si="59"/>
        <v>259.85569110569543</v>
      </c>
      <c r="AB62" s="189">
        <f t="shared" si="59"/>
        <v>276.06033600610709</v>
      </c>
      <c r="AC62" s="189">
        <f t="shared" si="59"/>
        <v>283.54672387522641</v>
      </c>
      <c r="AD62" s="189">
        <f t="shared" si="59"/>
        <v>287.849736988811</v>
      </c>
      <c r="AE62" s="188"/>
      <c r="AF62" s="189">
        <f t="shared" si="60"/>
        <v>247.30603323034916</v>
      </c>
      <c r="AG62" s="189">
        <f t="shared" si="60"/>
        <v>247.7788871489098</v>
      </c>
      <c r="AH62" s="189">
        <f t="shared" si="60"/>
        <v>263.21646229283618</v>
      </c>
      <c r="AI62" s="189">
        <f t="shared" si="60"/>
        <v>270.34872282364341</v>
      </c>
      <c r="AJ62" s="189">
        <f t="shared" si="60"/>
        <v>274.44279780539426</v>
      </c>
      <c r="AK62" s="188"/>
      <c r="AL62" s="189">
        <f t="shared" si="61"/>
        <v>12.087133326138117</v>
      </c>
      <c r="AM62" s="189">
        <f t="shared" si="61"/>
        <v>12.076803956785602</v>
      </c>
      <c r="AN62" s="189">
        <f t="shared" si="61"/>
        <v>12.84387371327092</v>
      </c>
      <c r="AO62" s="189">
        <f t="shared" si="61"/>
        <v>13.198001051582985</v>
      </c>
      <c r="AP62" s="189">
        <f t="shared" si="61"/>
        <v>13.40693918341676</v>
      </c>
      <c r="AQ62" s="91" t="str">
        <f t="shared" si="62"/>
        <v>45-49</v>
      </c>
      <c r="AR62" s="189">
        <f t="shared" si="63"/>
        <v>233.19851106687287</v>
      </c>
      <c r="AS62" s="189">
        <f t="shared" si="63"/>
        <v>255.42780982567223</v>
      </c>
      <c r="AT62" s="189">
        <f t="shared" si="63"/>
        <v>278.84899429953055</v>
      </c>
      <c r="AU62" s="189">
        <f t="shared" si="63"/>
        <v>292.33350431421957</v>
      </c>
      <c r="AV62" s="189">
        <f t="shared" si="63"/>
        <v>302.44819405504461</v>
      </c>
      <c r="AW62" s="188"/>
      <c r="AX62" s="189">
        <f t="shared" si="64"/>
        <v>228.81453920689103</v>
      </c>
      <c r="AY62" s="189">
        <f t="shared" si="64"/>
        <v>250.65558136759938</v>
      </c>
      <c r="AZ62" s="189">
        <f t="shared" si="64"/>
        <v>273.711876568962</v>
      </c>
      <c r="BA62" s="189">
        <f t="shared" si="64"/>
        <v>286.97795838324782</v>
      </c>
      <c r="BB62" s="189">
        <f t="shared" si="64"/>
        <v>296.93591992657696</v>
      </c>
      <c r="BC62" s="188"/>
      <c r="BD62" s="189">
        <f t="shared" si="65"/>
        <v>4.3839718599818829</v>
      </c>
      <c r="BE62" s="189">
        <f t="shared" si="65"/>
        <v>4.7722284580728216</v>
      </c>
      <c r="BF62" s="189">
        <f t="shared" si="65"/>
        <v>5.1371177305685114</v>
      </c>
      <c r="BG62" s="189">
        <f t="shared" si="65"/>
        <v>5.3555459309717897</v>
      </c>
      <c r="BH62" s="189">
        <f t="shared" si="65"/>
        <v>5.5122741284676167</v>
      </c>
    </row>
    <row r="63" spans="1:60" x14ac:dyDescent="0.2">
      <c r="A63" s="91" t="str">
        <f t="shared" si="53"/>
        <v>50-54</v>
      </c>
      <c r="B63" s="189">
        <f t="shared" si="54"/>
        <v>185.40604857322711</v>
      </c>
      <c r="C63" s="189">
        <f t="shared" si="54"/>
        <v>192.72292557560411</v>
      </c>
      <c r="D63" s="189">
        <f t="shared" si="54"/>
        <v>162.16719193834749</v>
      </c>
      <c r="E63" s="189">
        <f t="shared" si="54"/>
        <v>133.41410305220273</v>
      </c>
      <c r="F63" s="189">
        <f t="shared" si="54"/>
        <v>106.3528116102037</v>
      </c>
      <c r="G63" s="188"/>
      <c r="H63" s="189">
        <f t="shared" si="55"/>
        <v>66.691082872087563</v>
      </c>
      <c r="I63" s="189">
        <f t="shared" si="55"/>
        <v>69.308339401755902</v>
      </c>
      <c r="J63" s="189">
        <f t="shared" si="55"/>
        <v>58.294203339386414</v>
      </c>
      <c r="K63" s="189">
        <f t="shared" si="55"/>
        <v>47.904759864066669</v>
      </c>
      <c r="L63" s="189">
        <f t="shared" si="55"/>
        <v>38.151642732729172</v>
      </c>
      <c r="M63" s="188"/>
      <c r="N63" s="189">
        <f t="shared" si="56"/>
        <v>118.71496570113956</v>
      </c>
      <c r="O63" s="189">
        <f t="shared" si="56"/>
        <v>123.41458617384822</v>
      </c>
      <c r="P63" s="189">
        <f t="shared" si="56"/>
        <v>103.87298859896106</v>
      </c>
      <c r="Q63" s="189">
        <f t="shared" si="56"/>
        <v>85.509343188136071</v>
      </c>
      <c r="R63" s="189">
        <f t="shared" si="56"/>
        <v>68.201168877474544</v>
      </c>
      <c r="S63" s="188"/>
      <c r="T63" s="189">
        <f t="shared" si="57"/>
        <v>0</v>
      </c>
      <c r="U63" s="189">
        <f t="shared" si="57"/>
        <v>0</v>
      </c>
      <c r="V63" s="189">
        <f t="shared" si="57"/>
        <v>0</v>
      </c>
      <c r="W63" s="189">
        <f t="shared" si="57"/>
        <v>0</v>
      </c>
      <c r="X63" s="189">
        <f t="shared" si="57"/>
        <v>0</v>
      </c>
      <c r="Y63" s="91" t="str">
        <f t="shared" si="58"/>
        <v>50-54</v>
      </c>
      <c r="Z63" s="189">
        <f t="shared" si="59"/>
        <v>200.15705088001573</v>
      </c>
      <c r="AA63" s="189">
        <f t="shared" si="59"/>
        <v>218.54573674510601</v>
      </c>
      <c r="AB63" s="189">
        <f t="shared" si="59"/>
        <v>239.21960647496348</v>
      </c>
      <c r="AC63" s="189">
        <f t="shared" si="59"/>
        <v>257.81605841504751</v>
      </c>
      <c r="AD63" s="189">
        <f t="shared" si="59"/>
        <v>271.65581059286012</v>
      </c>
      <c r="AE63" s="188"/>
      <c r="AF63" s="189">
        <f t="shared" si="60"/>
        <v>190.04078964826027</v>
      </c>
      <c r="AG63" s="189">
        <f t="shared" si="60"/>
        <v>207.46488432579588</v>
      </c>
      <c r="AH63" s="189">
        <f t="shared" si="60"/>
        <v>227.09664617165495</v>
      </c>
      <c r="AI63" s="189">
        <f t="shared" si="60"/>
        <v>244.71475666454</v>
      </c>
      <c r="AJ63" s="189">
        <f t="shared" si="60"/>
        <v>257.79476785525156</v>
      </c>
      <c r="AK63" s="188"/>
      <c r="AL63" s="189">
        <f t="shared" si="61"/>
        <v>10.116261231755457</v>
      </c>
      <c r="AM63" s="189">
        <f t="shared" si="61"/>
        <v>11.080852419310158</v>
      </c>
      <c r="AN63" s="189">
        <f t="shared" si="61"/>
        <v>12.122960303308531</v>
      </c>
      <c r="AO63" s="189">
        <f t="shared" si="61"/>
        <v>13.101301750507519</v>
      </c>
      <c r="AP63" s="189">
        <f t="shared" si="61"/>
        <v>13.861042737608585</v>
      </c>
      <c r="AQ63" s="91" t="str">
        <f t="shared" si="62"/>
        <v>50-54</v>
      </c>
      <c r="AR63" s="189">
        <f t="shared" si="63"/>
        <v>172.51190054675715</v>
      </c>
      <c r="AS63" s="189">
        <f t="shared" si="63"/>
        <v>201.44733767928977</v>
      </c>
      <c r="AT63" s="189">
        <f t="shared" si="63"/>
        <v>243.89220158668905</v>
      </c>
      <c r="AU63" s="189">
        <f t="shared" si="63"/>
        <v>263.09583853274978</v>
      </c>
      <c r="AV63" s="189">
        <f t="shared" si="63"/>
        <v>278.2843777969361</v>
      </c>
      <c r="AW63" s="188"/>
      <c r="AX63" s="189">
        <f t="shared" si="64"/>
        <v>168.88787751101148</v>
      </c>
      <c r="AY63" s="189">
        <f t="shared" si="64"/>
        <v>197.35794837642953</v>
      </c>
      <c r="AZ63" s="189">
        <f t="shared" si="64"/>
        <v>238.9340888070729</v>
      </c>
      <c r="BA63" s="189">
        <f t="shared" si="64"/>
        <v>257.81671276903228</v>
      </c>
      <c r="BB63" s="189">
        <f t="shared" si="64"/>
        <v>272.79729732120262</v>
      </c>
      <c r="BC63" s="188"/>
      <c r="BD63" s="189">
        <f t="shared" si="65"/>
        <v>3.6240230357456578</v>
      </c>
      <c r="BE63" s="189">
        <f t="shared" si="65"/>
        <v>4.0893893028602495</v>
      </c>
      <c r="BF63" s="189">
        <f t="shared" si="65"/>
        <v>4.958112779616183</v>
      </c>
      <c r="BG63" s="189">
        <f t="shared" si="65"/>
        <v>5.2791257637175608</v>
      </c>
      <c r="BH63" s="189">
        <f t="shared" si="65"/>
        <v>5.4870804757334763</v>
      </c>
    </row>
    <row r="64" spans="1:60" x14ac:dyDescent="0.2">
      <c r="A64" s="91" t="str">
        <f t="shared" si="53"/>
        <v>55-59</v>
      </c>
      <c r="B64" s="189">
        <f t="shared" si="54"/>
        <v>118.1352024705036</v>
      </c>
      <c r="C64" s="189">
        <f t="shared" si="54"/>
        <v>125.51688761373863</v>
      </c>
      <c r="D64" s="189">
        <f t="shared" si="54"/>
        <v>135.69347634171973</v>
      </c>
      <c r="E64" s="189">
        <f t="shared" si="54"/>
        <v>127.61999627132217</v>
      </c>
      <c r="F64" s="189">
        <f t="shared" si="54"/>
        <v>103.83680807778796</v>
      </c>
      <c r="G64" s="188"/>
      <c r="H64" s="189">
        <f t="shared" si="55"/>
        <v>47.020085047969616</v>
      </c>
      <c r="I64" s="189">
        <f t="shared" si="55"/>
        <v>49.942017947737568</v>
      </c>
      <c r="J64" s="189">
        <f t="shared" si="55"/>
        <v>53.996980542501134</v>
      </c>
      <c r="K64" s="189">
        <f t="shared" si="55"/>
        <v>50.765369807184982</v>
      </c>
      <c r="L64" s="189">
        <f t="shared" si="55"/>
        <v>41.29898124275995</v>
      </c>
      <c r="M64" s="188"/>
      <c r="N64" s="189">
        <f t="shared" si="56"/>
        <v>71.115117422534013</v>
      </c>
      <c r="O64" s="189">
        <f t="shared" si="56"/>
        <v>75.574869666001078</v>
      </c>
      <c r="P64" s="189">
        <f t="shared" si="56"/>
        <v>81.696495799218582</v>
      </c>
      <c r="Q64" s="189">
        <f t="shared" si="56"/>
        <v>76.854626464137169</v>
      </c>
      <c r="R64" s="189">
        <f t="shared" si="56"/>
        <v>62.537826835028014</v>
      </c>
      <c r="S64" s="188"/>
      <c r="T64" s="189">
        <f t="shared" si="57"/>
        <v>0</v>
      </c>
      <c r="U64" s="189">
        <f t="shared" si="57"/>
        <v>0</v>
      </c>
      <c r="V64" s="189">
        <f t="shared" si="57"/>
        <v>0</v>
      </c>
      <c r="W64" s="189">
        <f t="shared" si="57"/>
        <v>0</v>
      </c>
      <c r="X64" s="189">
        <f t="shared" si="57"/>
        <v>0</v>
      </c>
      <c r="Y64" s="91" t="str">
        <f t="shared" si="58"/>
        <v>55-59</v>
      </c>
      <c r="Z64" s="189">
        <f t="shared" si="59"/>
        <v>122.81319674265731</v>
      </c>
      <c r="AA64" s="189">
        <f t="shared" si="59"/>
        <v>127.76576484388534</v>
      </c>
      <c r="AB64" s="189">
        <f t="shared" si="59"/>
        <v>167.56934646025536</v>
      </c>
      <c r="AC64" s="189">
        <f t="shared" si="59"/>
        <v>201.55893986495374</v>
      </c>
      <c r="AD64" s="189">
        <f t="shared" si="59"/>
        <v>218.03560485524812</v>
      </c>
      <c r="AE64" s="188"/>
      <c r="AF64" s="189">
        <f t="shared" si="60"/>
        <v>115.33146461461402</v>
      </c>
      <c r="AG64" s="189">
        <f t="shared" si="60"/>
        <v>119.93869463814224</v>
      </c>
      <c r="AH64" s="189">
        <f t="shared" si="60"/>
        <v>157.20305952301629</v>
      </c>
      <c r="AI64" s="189">
        <f t="shared" si="60"/>
        <v>189.09467188304029</v>
      </c>
      <c r="AJ64" s="189">
        <f t="shared" si="60"/>
        <v>204.52603798057652</v>
      </c>
      <c r="AK64" s="188"/>
      <c r="AL64" s="189">
        <f t="shared" si="61"/>
        <v>7.4817321280432685</v>
      </c>
      <c r="AM64" s="189">
        <f t="shared" si="61"/>
        <v>7.8270702057431016</v>
      </c>
      <c r="AN64" s="189">
        <f t="shared" si="61"/>
        <v>10.366286937239055</v>
      </c>
      <c r="AO64" s="189">
        <f t="shared" si="61"/>
        <v>12.464267981913423</v>
      </c>
      <c r="AP64" s="189">
        <f t="shared" si="61"/>
        <v>13.509566874671609</v>
      </c>
      <c r="AQ64" s="91" t="str">
        <f t="shared" si="62"/>
        <v>55-59</v>
      </c>
      <c r="AR64" s="189">
        <f t="shared" si="63"/>
        <v>115.94160078683907</v>
      </c>
      <c r="AS64" s="189">
        <f t="shared" si="63"/>
        <v>135.51634754237602</v>
      </c>
      <c r="AT64" s="189">
        <f t="shared" si="63"/>
        <v>177.65217719802493</v>
      </c>
      <c r="AU64" s="189">
        <f t="shared" si="63"/>
        <v>208.31606386372408</v>
      </c>
      <c r="AV64" s="189">
        <f t="shared" si="63"/>
        <v>226.8625870669639</v>
      </c>
      <c r="AW64" s="188"/>
      <c r="AX64" s="189">
        <f t="shared" si="64"/>
        <v>112.73432150536409</v>
      </c>
      <c r="AY64" s="189">
        <f t="shared" si="64"/>
        <v>131.84828185573497</v>
      </c>
      <c r="AZ64" s="189">
        <f t="shared" si="64"/>
        <v>173.0031356627903</v>
      </c>
      <c r="BA64" s="189">
        <f t="shared" si="64"/>
        <v>202.93168009516813</v>
      </c>
      <c r="BB64" s="189">
        <f t="shared" si="64"/>
        <v>221.04132666504691</v>
      </c>
      <c r="BC64" s="188"/>
      <c r="BD64" s="189">
        <f t="shared" si="65"/>
        <v>3.2072792814749906</v>
      </c>
      <c r="BE64" s="189">
        <f t="shared" si="65"/>
        <v>3.6680656866410524</v>
      </c>
      <c r="BF64" s="189">
        <f t="shared" si="65"/>
        <v>4.6490415352346357</v>
      </c>
      <c r="BG64" s="189">
        <f t="shared" si="65"/>
        <v>5.3843837685559581</v>
      </c>
      <c r="BH64" s="189">
        <f t="shared" si="65"/>
        <v>5.8212604019169705</v>
      </c>
    </row>
    <row r="65" spans="1:60" x14ac:dyDescent="0.2">
      <c r="A65" s="91" t="str">
        <f t="shared" si="53"/>
        <v>60-64</v>
      </c>
      <c r="B65" s="189">
        <f t="shared" si="54"/>
        <v>35.823218463615042</v>
      </c>
      <c r="C65" s="189">
        <f t="shared" si="54"/>
        <v>44.494263253571226</v>
      </c>
      <c r="D65" s="189">
        <f t="shared" si="54"/>
        <v>41.613632960941956</v>
      </c>
      <c r="E65" s="189">
        <f t="shared" si="54"/>
        <v>40.934965671055551</v>
      </c>
      <c r="F65" s="189">
        <f t="shared" si="54"/>
        <v>35.667541570413341</v>
      </c>
      <c r="G65" s="188"/>
      <c r="H65" s="189">
        <f t="shared" si="55"/>
        <v>16.931856207862616</v>
      </c>
      <c r="I65" s="189">
        <f t="shared" si="55"/>
        <v>21.062717164219428</v>
      </c>
      <c r="J65" s="189">
        <f t="shared" si="55"/>
        <v>19.717624343517112</v>
      </c>
      <c r="K65" s="189">
        <f t="shared" si="55"/>
        <v>19.381394399502241</v>
      </c>
      <c r="L65" s="189">
        <f t="shared" si="55"/>
        <v>16.879614538550584</v>
      </c>
      <c r="M65" s="188"/>
      <c r="N65" s="189">
        <f t="shared" si="56"/>
        <v>18.891362255752426</v>
      </c>
      <c r="O65" s="189">
        <f t="shared" si="56"/>
        <v>23.431546089351805</v>
      </c>
      <c r="P65" s="189">
        <f t="shared" si="56"/>
        <v>21.89600861742484</v>
      </c>
      <c r="Q65" s="189">
        <f t="shared" si="56"/>
        <v>21.553571271553317</v>
      </c>
      <c r="R65" s="189">
        <f t="shared" si="56"/>
        <v>18.787927031862754</v>
      </c>
      <c r="S65" s="188"/>
      <c r="T65" s="189">
        <f t="shared" si="57"/>
        <v>0</v>
      </c>
      <c r="U65" s="189">
        <f t="shared" si="57"/>
        <v>0</v>
      </c>
      <c r="V65" s="189">
        <f t="shared" si="57"/>
        <v>0</v>
      </c>
      <c r="W65" s="189">
        <f t="shared" si="57"/>
        <v>0</v>
      </c>
      <c r="X65" s="189">
        <f t="shared" si="57"/>
        <v>0</v>
      </c>
      <c r="Y65" s="91" t="str">
        <f t="shared" si="58"/>
        <v>60-64</v>
      </c>
      <c r="Z65" s="189">
        <f t="shared" si="59"/>
        <v>31.343339667083313</v>
      </c>
      <c r="AA65" s="189">
        <f t="shared" si="59"/>
        <v>37.400907742954743</v>
      </c>
      <c r="AB65" s="189">
        <f t="shared" si="59"/>
        <v>50.777770478130293</v>
      </c>
      <c r="AC65" s="189">
        <f t="shared" si="59"/>
        <v>66.266094080470012</v>
      </c>
      <c r="AD65" s="189">
        <f t="shared" si="59"/>
        <v>80.260766484007178</v>
      </c>
      <c r="AE65" s="188"/>
      <c r="AF65" s="189">
        <f t="shared" si="60"/>
        <v>29.203027553951088</v>
      </c>
      <c r="AG65" s="189">
        <f t="shared" si="60"/>
        <v>34.871395449563813</v>
      </c>
      <c r="AH65" s="189">
        <f t="shared" si="60"/>
        <v>47.209555911882788</v>
      </c>
      <c r="AI65" s="189">
        <f t="shared" si="60"/>
        <v>61.600974211672487</v>
      </c>
      <c r="AJ65" s="189">
        <f t="shared" si="60"/>
        <v>74.607227360463867</v>
      </c>
      <c r="AK65" s="188"/>
      <c r="AL65" s="189">
        <f t="shared" si="61"/>
        <v>2.1403121131322234</v>
      </c>
      <c r="AM65" s="189">
        <f t="shared" si="61"/>
        <v>2.5295122933909324</v>
      </c>
      <c r="AN65" s="189">
        <f t="shared" si="61"/>
        <v>3.5682145662475118</v>
      </c>
      <c r="AO65" s="189">
        <f t="shared" si="61"/>
        <v>4.6651198687975111</v>
      </c>
      <c r="AP65" s="189">
        <f t="shared" si="61"/>
        <v>5.6535391235433075</v>
      </c>
      <c r="AQ65" s="91" t="str">
        <f t="shared" si="62"/>
        <v>60-64</v>
      </c>
      <c r="AR65" s="189">
        <f t="shared" si="63"/>
        <v>38.517441869301649</v>
      </c>
      <c r="AS65" s="189">
        <f t="shared" si="63"/>
        <v>53.191829003474027</v>
      </c>
      <c r="AT65" s="189">
        <f t="shared" si="63"/>
        <v>71.393596560927747</v>
      </c>
      <c r="AU65" s="189">
        <f t="shared" si="63"/>
        <v>92.303940248474447</v>
      </c>
      <c r="AV65" s="189">
        <f t="shared" si="63"/>
        <v>113.97169194557949</v>
      </c>
      <c r="AW65" s="188"/>
      <c r="AX65" s="189">
        <f t="shared" si="64"/>
        <v>35.940957081944205</v>
      </c>
      <c r="AY65" s="189">
        <f t="shared" si="64"/>
        <v>49.626732053099445</v>
      </c>
      <c r="AZ65" s="189">
        <f t="shared" si="64"/>
        <v>66.596362264723197</v>
      </c>
      <c r="BA65" s="189">
        <f t="shared" si="64"/>
        <v>86.098448390329622</v>
      </c>
      <c r="BB65" s="189">
        <f t="shared" si="64"/>
        <v>106.3052407990122</v>
      </c>
      <c r="BC65" s="188"/>
      <c r="BD65" s="189">
        <f t="shared" si="65"/>
        <v>2.5764847873574377</v>
      </c>
      <c r="BE65" s="189">
        <f t="shared" si="65"/>
        <v>3.5650969503745911</v>
      </c>
      <c r="BF65" s="189">
        <f t="shared" si="65"/>
        <v>4.7972342962045555</v>
      </c>
      <c r="BG65" s="189">
        <f t="shared" si="65"/>
        <v>6.2054918581448213</v>
      </c>
      <c r="BH65" s="189">
        <f t="shared" si="65"/>
        <v>7.6664511465673009</v>
      </c>
    </row>
    <row r="66" spans="1:60" x14ac:dyDescent="0.2">
      <c r="A66" s="91" t="str">
        <f t="shared" si="53"/>
        <v>65+</v>
      </c>
      <c r="B66" s="189">
        <f t="shared" si="54"/>
        <v>11.948741166199174</v>
      </c>
      <c r="C66" s="189">
        <f t="shared" si="54"/>
        <v>16.460486596644937</v>
      </c>
      <c r="D66" s="189">
        <f t="shared" si="54"/>
        <v>15.029015503825972</v>
      </c>
      <c r="E66" s="189">
        <f t="shared" si="54"/>
        <v>11.903183363129848</v>
      </c>
      <c r="F66" s="189">
        <f t="shared" si="54"/>
        <v>9.8474191476518342</v>
      </c>
      <c r="G66" s="188"/>
      <c r="H66" s="189">
        <f t="shared" si="55"/>
        <v>6.3754329809595625</v>
      </c>
      <c r="I66" s="189">
        <f t="shared" si="55"/>
        <v>8.5871560944185141</v>
      </c>
      <c r="J66" s="189">
        <f t="shared" si="55"/>
        <v>7.8803923797716067</v>
      </c>
      <c r="K66" s="189">
        <f t="shared" si="55"/>
        <v>6.2399183159193861</v>
      </c>
      <c r="L66" s="189">
        <f t="shared" si="55"/>
        <v>5.2069403181851044</v>
      </c>
      <c r="M66" s="188"/>
      <c r="N66" s="189">
        <f t="shared" si="56"/>
        <v>5.5733081852396102</v>
      </c>
      <c r="O66" s="189">
        <f t="shared" si="56"/>
        <v>7.8733305022264224</v>
      </c>
      <c r="P66" s="189">
        <f t="shared" si="56"/>
        <v>7.1486231240543656</v>
      </c>
      <c r="Q66" s="189">
        <f t="shared" si="56"/>
        <v>5.6632650472104613</v>
      </c>
      <c r="R66" s="189">
        <f t="shared" si="56"/>
        <v>4.6404788294667298</v>
      </c>
      <c r="S66" s="188"/>
      <c r="T66" s="189">
        <f t="shared" si="57"/>
        <v>0</v>
      </c>
      <c r="U66" s="189">
        <f t="shared" si="57"/>
        <v>0</v>
      </c>
      <c r="V66" s="189">
        <f t="shared" si="57"/>
        <v>0</v>
      </c>
      <c r="W66" s="189">
        <f t="shared" si="57"/>
        <v>0</v>
      </c>
      <c r="X66" s="189">
        <f t="shared" si="57"/>
        <v>0</v>
      </c>
      <c r="Y66" s="91" t="str">
        <f t="shared" si="58"/>
        <v>65+</v>
      </c>
      <c r="Z66" s="189">
        <f t="shared" si="59"/>
        <v>7.8240804156386137</v>
      </c>
      <c r="AA66" s="189">
        <f t="shared" si="59"/>
        <v>9.9119242988728669</v>
      </c>
      <c r="AB66" s="189">
        <f t="shared" si="59"/>
        <v>11.008756624618567</v>
      </c>
      <c r="AC66" s="189">
        <f t="shared" si="59"/>
        <v>12.01446121472337</v>
      </c>
      <c r="AD66" s="189">
        <f t="shared" si="59"/>
        <v>13.854293318978709</v>
      </c>
      <c r="AE66" s="188"/>
      <c r="AF66" s="189">
        <f t="shared" si="60"/>
        <v>6.9255035254653912</v>
      </c>
      <c r="AG66" s="189">
        <f t="shared" si="60"/>
        <v>8.7952137061175186</v>
      </c>
      <c r="AH66" s="189">
        <f t="shared" si="60"/>
        <v>9.7331452985061144</v>
      </c>
      <c r="AI66" s="189">
        <f t="shared" si="60"/>
        <v>10.624866696548906</v>
      </c>
      <c r="AJ66" s="189">
        <f t="shared" si="60"/>
        <v>12.275904221835862</v>
      </c>
      <c r="AK66" s="188"/>
      <c r="AL66" s="189">
        <f t="shared" si="61"/>
        <v>0.89857689017322329</v>
      </c>
      <c r="AM66" s="189">
        <f t="shared" si="61"/>
        <v>1.1167105927553487</v>
      </c>
      <c r="AN66" s="189">
        <f t="shared" si="61"/>
        <v>1.2756113261124509</v>
      </c>
      <c r="AO66" s="189">
        <f t="shared" si="61"/>
        <v>1.389594518174466</v>
      </c>
      <c r="AP66" s="189">
        <f t="shared" si="61"/>
        <v>1.5783890971428471</v>
      </c>
      <c r="AQ66" s="91" t="str">
        <f t="shared" si="62"/>
        <v>65+</v>
      </c>
      <c r="AR66" s="189">
        <f t="shared" si="63"/>
        <v>12.792178418162218</v>
      </c>
      <c r="AS66" s="189">
        <f t="shared" si="63"/>
        <v>12.19158910448219</v>
      </c>
      <c r="AT66" s="189">
        <f t="shared" si="63"/>
        <v>19.366227871555463</v>
      </c>
      <c r="AU66" s="189">
        <f t="shared" si="63"/>
        <v>23.78335542214678</v>
      </c>
      <c r="AV66" s="189">
        <f t="shared" si="63"/>
        <v>30.011287533369462</v>
      </c>
      <c r="AW66" s="188"/>
      <c r="AX66" s="189">
        <f t="shared" si="64"/>
        <v>12.010493229987055</v>
      </c>
      <c r="AY66" s="189">
        <f t="shared" si="64"/>
        <v>11.529560727743291</v>
      </c>
      <c r="AZ66" s="189">
        <f t="shared" si="64"/>
        <v>18.211272058470012</v>
      </c>
      <c r="BA66" s="189">
        <f t="shared" si="64"/>
        <v>22.381962071636803</v>
      </c>
      <c r="BB66" s="189">
        <f t="shared" si="64"/>
        <v>28.299382615392936</v>
      </c>
      <c r="BC66" s="188"/>
      <c r="BD66" s="189">
        <f t="shared" si="65"/>
        <v>0.78168518817516097</v>
      </c>
      <c r="BE66" s="189">
        <f t="shared" si="65"/>
        <v>0.66202837673890058</v>
      </c>
      <c r="BF66" s="189">
        <f t="shared" si="65"/>
        <v>1.1549558130854503</v>
      </c>
      <c r="BG66" s="189">
        <f t="shared" si="65"/>
        <v>1.4013933505099772</v>
      </c>
      <c r="BH66" s="189">
        <f t="shared" si="65"/>
        <v>1.7119049179765302</v>
      </c>
    </row>
    <row r="67" spans="1:60" x14ac:dyDescent="0.2">
      <c r="B67" s="189"/>
      <c r="C67" s="189"/>
      <c r="D67" s="188"/>
      <c r="E67" s="188"/>
      <c r="F67" s="188"/>
      <c r="G67" s="188"/>
      <c r="H67" s="188"/>
      <c r="I67" s="188"/>
      <c r="J67" s="188"/>
      <c r="K67" s="188"/>
      <c r="L67" s="188"/>
      <c r="M67" s="188"/>
      <c r="N67" s="188"/>
      <c r="O67" s="188"/>
      <c r="P67" s="188"/>
      <c r="Q67" s="188"/>
      <c r="R67" s="188"/>
      <c r="S67" s="188"/>
      <c r="T67" s="94"/>
      <c r="U67" s="94"/>
      <c r="V67" s="94"/>
      <c r="W67" s="94"/>
      <c r="X67" s="94"/>
      <c r="Z67" s="189"/>
      <c r="AA67" s="189"/>
      <c r="AB67" s="188"/>
      <c r="AC67" s="188"/>
      <c r="AD67" s="188"/>
      <c r="AE67" s="188"/>
      <c r="AF67" s="188"/>
      <c r="AG67" s="188"/>
      <c r="AH67" s="188"/>
      <c r="AI67" s="188"/>
      <c r="AJ67" s="188"/>
      <c r="AK67" s="188"/>
      <c r="AL67" s="188"/>
      <c r="AM67" s="188"/>
      <c r="AN67" s="188"/>
      <c r="AO67" s="188"/>
      <c r="AP67" s="188"/>
      <c r="AR67" s="189"/>
      <c r="AS67" s="189"/>
      <c r="AT67" s="188"/>
      <c r="AU67" s="188"/>
      <c r="AV67" s="188"/>
      <c r="AW67" s="188"/>
      <c r="AX67" s="188"/>
      <c r="AY67" s="188"/>
      <c r="AZ67" s="188"/>
      <c r="BA67" s="188"/>
      <c r="BB67" s="188"/>
      <c r="BC67" s="188"/>
      <c r="BD67" s="188"/>
      <c r="BE67" s="188"/>
      <c r="BF67" s="188"/>
      <c r="BG67" s="188"/>
      <c r="BH67" s="188"/>
    </row>
    <row r="68" spans="1:60" x14ac:dyDescent="0.2">
      <c r="A68" s="114" t="str">
        <f>A20</f>
        <v>Males</v>
      </c>
      <c r="B68" s="94"/>
      <c r="C68" s="94"/>
      <c r="D68" s="94"/>
      <c r="E68" s="94"/>
      <c r="F68" s="189"/>
      <c r="G68" s="189"/>
      <c r="H68" s="189"/>
      <c r="I68" s="189"/>
      <c r="J68" s="189"/>
      <c r="K68" s="189"/>
      <c r="L68" s="189"/>
      <c r="M68" s="189"/>
      <c r="N68" s="189"/>
      <c r="O68" s="189"/>
      <c r="P68" s="189"/>
      <c r="Q68" s="189"/>
      <c r="R68" s="189"/>
      <c r="S68" s="189"/>
      <c r="T68" s="94"/>
      <c r="U68" s="94"/>
      <c r="V68" s="94"/>
      <c r="W68" s="94"/>
      <c r="X68" s="94"/>
      <c r="Y68" s="114" t="str">
        <f>Y20</f>
        <v>Males</v>
      </c>
      <c r="Z68" s="94"/>
      <c r="AA68" s="94"/>
      <c r="AB68" s="94"/>
      <c r="AC68" s="94"/>
      <c r="AD68" s="189"/>
      <c r="AE68" s="189"/>
      <c r="AF68" s="189"/>
      <c r="AG68" s="189"/>
      <c r="AH68" s="189"/>
      <c r="AI68" s="189"/>
      <c r="AJ68" s="189"/>
      <c r="AK68" s="189"/>
      <c r="AL68" s="189"/>
      <c r="AM68" s="189"/>
      <c r="AN68" s="189"/>
      <c r="AO68" s="189"/>
      <c r="AP68" s="189"/>
      <c r="AQ68" s="114" t="str">
        <f>AQ20</f>
        <v>Males</v>
      </c>
      <c r="AR68" s="94"/>
      <c r="AS68" s="94"/>
      <c r="AT68" s="94"/>
      <c r="AU68" s="94"/>
      <c r="AV68" s="189"/>
      <c r="AW68" s="189"/>
      <c r="AX68" s="189"/>
      <c r="AY68" s="189"/>
      <c r="AZ68" s="189"/>
      <c r="BA68" s="189"/>
      <c r="BB68" s="189"/>
      <c r="BC68" s="189"/>
      <c r="BD68" s="189"/>
      <c r="BE68" s="189"/>
      <c r="BF68" s="189"/>
      <c r="BG68" s="189"/>
      <c r="BH68" s="189"/>
    </row>
    <row r="69" spans="1:60" x14ac:dyDescent="0.2">
      <c r="A69" s="91" t="str">
        <f>A21</f>
        <v>15+</v>
      </c>
      <c r="B69" s="189">
        <f>SUM(B70:B80)</f>
        <v>668.34829787442732</v>
      </c>
      <c r="C69" s="189">
        <f t="shared" ref="C69:F69" si="66">SUM(C70:C80)</f>
        <v>679.97434318708918</v>
      </c>
      <c r="D69" s="189">
        <f t="shared" si="66"/>
        <v>576.0987188576471</v>
      </c>
      <c r="E69" s="189">
        <f t="shared" si="66"/>
        <v>506.60924483387572</v>
      </c>
      <c r="F69" s="189">
        <f t="shared" si="66"/>
        <v>424.17079532170612</v>
      </c>
      <c r="G69" s="189"/>
      <c r="H69" s="189">
        <f>SUM(H70:H80)</f>
        <v>216.57689663424574</v>
      </c>
      <c r="I69" s="189">
        <f t="shared" ref="I69:L69" si="67">SUM(I70:I80)</f>
        <v>222.01749682244036</v>
      </c>
      <c r="J69" s="189">
        <f t="shared" si="67"/>
        <v>189.97263257060061</v>
      </c>
      <c r="K69" s="189">
        <f t="shared" si="67"/>
        <v>168.03119397716577</v>
      </c>
      <c r="L69" s="189">
        <f t="shared" si="67"/>
        <v>140.23377379308036</v>
      </c>
      <c r="M69" s="189"/>
      <c r="N69" s="189">
        <f>SUM(N70:N80)</f>
        <v>451.77140124018155</v>
      </c>
      <c r="O69" s="189">
        <f t="shared" ref="O69:R69" si="68">SUM(O70:O80)</f>
        <v>457.95684636464887</v>
      </c>
      <c r="P69" s="189">
        <f t="shared" si="68"/>
        <v>386.12608628704652</v>
      </c>
      <c r="Q69" s="189">
        <f t="shared" si="68"/>
        <v>338.57805085670992</v>
      </c>
      <c r="R69" s="189">
        <f t="shared" si="68"/>
        <v>283.93702152862579</v>
      </c>
      <c r="S69" s="189"/>
      <c r="T69" s="189">
        <f>SUM(T70:T80)</f>
        <v>0</v>
      </c>
      <c r="U69" s="189">
        <f t="shared" ref="U69:X69" si="69">SUM(U70:U80)</f>
        <v>0</v>
      </c>
      <c r="V69" s="189">
        <f t="shared" si="69"/>
        <v>0</v>
      </c>
      <c r="W69" s="189">
        <f t="shared" si="69"/>
        <v>0</v>
      </c>
      <c r="X69" s="189">
        <f t="shared" si="69"/>
        <v>0</v>
      </c>
      <c r="Y69" s="91" t="str">
        <f>Y21</f>
        <v>15+</v>
      </c>
      <c r="Z69" s="189">
        <f>SUM(Z70:Z80)</f>
        <v>1110.8221091376672</v>
      </c>
      <c r="AA69" s="189">
        <f t="shared" ref="AA69:AD69" si="70">SUM(AA70:AA80)</f>
        <v>1081.2462760791657</v>
      </c>
      <c r="AB69" s="189">
        <f t="shared" si="70"/>
        <v>1129.3696341240161</v>
      </c>
      <c r="AC69" s="189">
        <f t="shared" si="70"/>
        <v>1196.947412591609</v>
      </c>
      <c r="AD69" s="189">
        <f t="shared" si="70"/>
        <v>1263.8735341848089</v>
      </c>
      <c r="AE69" s="189"/>
      <c r="AF69" s="189">
        <f>SUM(AF70:AF80)</f>
        <v>1048.6925402059803</v>
      </c>
      <c r="AG69" s="189">
        <f t="shared" ref="AG69:AJ69" si="71">SUM(AG70:AG80)</f>
        <v>1020.9879008290815</v>
      </c>
      <c r="AH69" s="189">
        <f t="shared" si="71"/>
        <v>1066.4680897558023</v>
      </c>
      <c r="AI69" s="189">
        <f t="shared" si="71"/>
        <v>1130.4132844970143</v>
      </c>
      <c r="AJ69" s="189">
        <f t="shared" si="71"/>
        <v>1193.6123831216405</v>
      </c>
      <c r="AK69" s="189"/>
      <c r="AL69" s="189">
        <f>SUM(AL70:AL80)</f>
        <v>62.12956893168694</v>
      </c>
      <c r="AM69" s="189">
        <f t="shared" ref="AM69:AP69" si="72">SUM(AM70:AM80)</f>
        <v>60.258375250084285</v>
      </c>
      <c r="AN69" s="189">
        <f t="shared" si="72"/>
        <v>62.90154436821414</v>
      </c>
      <c r="AO69" s="189">
        <f t="shared" si="72"/>
        <v>66.534128094594536</v>
      </c>
      <c r="AP69" s="189">
        <f t="shared" si="72"/>
        <v>70.261151063168086</v>
      </c>
      <c r="AQ69" s="91" t="str">
        <f>AQ21</f>
        <v>15+</v>
      </c>
      <c r="AR69" s="189">
        <f>SUM(AR70:AR80)</f>
        <v>858.87759298790547</v>
      </c>
      <c r="AS69" s="189">
        <f t="shared" ref="AS69:AV69" si="73">SUM(AS70:AS80)</f>
        <v>924.03238073374484</v>
      </c>
      <c r="AT69" s="189">
        <f t="shared" si="73"/>
        <v>1006.6636470183364</v>
      </c>
      <c r="AU69" s="189">
        <f t="shared" si="73"/>
        <v>1087.2593425745151</v>
      </c>
      <c r="AV69" s="189">
        <f t="shared" si="73"/>
        <v>1172.5296704934854</v>
      </c>
      <c r="AW69" s="189"/>
      <c r="AX69" s="189">
        <f>SUM(AX70:AX80)</f>
        <v>837.25747303433036</v>
      </c>
      <c r="AY69" s="189">
        <f t="shared" ref="AY69:BB69" si="74">SUM(AY70:AY80)</f>
        <v>900.46119959493876</v>
      </c>
      <c r="AZ69" s="189">
        <f t="shared" si="74"/>
        <v>980.19920817165428</v>
      </c>
      <c r="BA69" s="189">
        <f t="shared" si="74"/>
        <v>1058.1193206787443</v>
      </c>
      <c r="BB69" s="189">
        <f t="shared" si="74"/>
        <v>1140.618907885826</v>
      </c>
      <c r="BC69" s="189"/>
      <c r="BD69" s="189">
        <f>SUM(BD70:BD80)</f>
        <v>21.620119953575205</v>
      </c>
      <c r="BE69" s="189">
        <f t="shared" ref="BE69:BH69" si="75">SUM(BE70:BE80)</f>
        <v>23.571181138806118</v>
      </c>
      <c r="BF69" s="189">
        <f t="shared" si="75"/>
        <v>26.464438846682153</v>
      </c>
      <c r="BG69" s="189">
        <f t="shared" si="75"/>
        <v>29.140021895771127</v>
      </c>
      <c r="BH69" s="189">
        <f t="shared" si="75"/>
        <v>31.910762607659223</v>
      </c>
    </row>
    <row r="70" spans="1:60" x14ac:dyDescent="0.2">
      <c r="A70" s="91" t="str">
        <f t="shared" ref="A70:A80" si="76">A22</f>
        <v>15-19</v>
      </c>
      <c r="B70" s="189">
        <v>21.970306906103936</v>
      </c>
      <c r="C70" s="189">
        <v>20.026076119996116</v>
      </c>
      <c r="D70" s="189">
        <v>15.121179094017016</v>
      </c>
      <c r="E70" s="189">
        <v>17.089485140563891</v>
      </c>
      <c r="F70" s="188">
        <v>20.063648634933156</v>
      </c>
      <c r="G70" s="189"/>
      <c r="H70" s="189">
        <v>5.926181505924986</v>
      </c>
      <c r="I70" s="189">
        <v>5.4017609070647374</v>
      </c>
      <c r="J70" s="189">
        <v>4.0787280675207782</v>
      </c>
      <c r="K70" s="189">
        <v>4.6096697076419106</v>
      </c>
      <c r="L70" s="188">
        <v>5.4118921208641293</v>
      </c>
      <c r="M70" s="189"/>
      <c r="N70" s="189">
        <v>16.044125400178949</v>
      </c>
      <c r="O70" s="189">
        <v>14.624315212931378</v>
      </c>
      <c r="P70" s="189">
        <v>11.04245102649624</v>
      </c>
      <c r="Q70" s="189">
        <v>12.479815432921979</v>
      </c>
      <c r="R70" s="188">
        <v>14.651756514069028</v>
      </c>
      <c r="S70" s="189"/>
      <c r="T70" s="189">
        <v>0</v>
      </c>
      <c r="U70" s="189">
        <v>0</v>
      </c>
      <c r="V70" s="189">
        <v>0</v>
      </c>
      <c r="W70" s="189">
        <v>0</v>
      </c>
      <c r="X70" s="188">
        <v>0</v>
      </c>
      <c r="Y70" s="91" t="str">
        <f t="shared" ref="Y70:Y80" si="77">Y22</f>
        <v>15-19</v>
      </c>
      <c r="Z70" s="189">
        <v>17.840683082880268</v>
      </c>
      <c r="AA70" s="189">
        <v>14.680133047335039</v>
      </c>
      <c r="AB70" s="189">
        <v>13.72560965822832</v>
      </c>
      <c r="AC70" s="189">
        <v>15.436484788467865</v>
      </c>
      <c r="AD70" s="188">
        <v>18.541508530812692</v>
      </c>
      <c r="AE70" s="189"/>
      <c r="AF70" s="189">
        <v>16.8611671563519</v>
      </c>
      <c r="AG70" s="189">
        <v>13.874168165612016</v>
      </c>
      <c r="AH70" s="189">
        <v>12.972040867641711</v>
      </c>
      <c r="AI70" s="189">
        <v>14.588974970800006</v>
      </c>
      <c r="AJ70" s="188">
        <v>17.523528875034817</v>
      </c>
      <c r="AK70" s="189"/>
      <c r="AL70" s="189">
        <v>0.9795159265283645</v>
      </c>
      <c r="AM70" s="189">
        <v>0.80596488172302239</v>
      </c>
      <c r="AN70" s="189">
        <v>0.75356879058660964</v>
      </c>
      <c r="AO70" s="189">
        <v>0.84750981766786149</v>
      </c>
      <c r="AP70" s="188">
        <v>1.0179796557778724</v>
      </c>
      <c r="AQ70" s="91" t="str">
        <f t="shared" ref="AQ70:AQ80" si="78">AQ22</f>
        <v>15-19</v>
      </c>
      <c r="AR70" s="189">
        <v>0.10001001101580378</v>
      </c>
      <c r="AS70" s="189">
        <v>0.10679083266884004</v>
      </c>
      <c r="AT70" s="189">
        <v>1.2112477546660798E-3</v>
      </c>
      <c r="AU70" s="189">
        <v>6.0300709682370914E-3</v>
      </c>
      <c r="AV70" s="188">
        <v>1.0842834254153347E-2</v>
      </c>
      <c r="AW70" s="189"/>
      <c r="AX70" s="189">
        <v>6.6192985196819223E-2</v>
      </c>
      <c r="AY70" s="189">
        <v>7.0679138418197798E-2</v>
      </c>
      <c r="AZ70" s="189">
        <v>8.014133599071727E-4</v>
      </c>
      <c r="BA70" s="189">
        <v>3.9895924082780755E-3</v>
      </c>
      <c r="BB70" s="188">
        <v>7.1745268353603188E-3</v>
      </c>
      <c r="BC70" s="189"/>
      <c r="BD70" s="189">
        <v>3.3817025818984561E-2</v>
      </c>
      <c r="BE70" s="189">
        <v>3.6111694250642229E-2</v>
      </c>
      <c r="BF70" s="189">
        <v>4.0983439475890718E-4</v>
      </c>
      <c r="BG70" s="189">
        <v>2.0404785599590159E-3</v>
      </c>
      <c r="BH70" s="188">
        <v>3.6683074187930289E-3</v>
      </c>
    </row>
    <row r="71" spans="1:60" x14ac:dyDescent="0.2">
      <c r="A71" s="91" t="str">
        <f t="shared" si="76"/>
        <v>20-24</v>
      </c>
      <c r="B71" s="189">
        <v>42.835372944962316</v>
      </c>
      <c r="C71" s="189">
        <v>48.066292311616593</v>
      </c>
      <c r="D71" s="189">
        <v>41.397068793006476</v>
      </c>
      <c r="E71" s="189">
        <v>35.270255608267561</v>
      </c>
      <c r="F71" s="188">
        <v>32.498817128536295</v>
      </c>
      <c r="G71" s="189"/>
      <c r="H71" s="189">
        <v>9.7684866793085128</v>
      </c>
      <c r="I71" s="189">
        <v>10.961327650529908</v>
      </c>
      <c r="J71" s="189">
        <v>9.4404947503411645</v>
      </c>
      <c r="K71" s="189">
        <v>8.0432844087857056</v>
      </c>
      <c r="L71" s="188">
        <v>7.4112487352797149</v>
      </c>
      <c r="M71" s="189"/>
      <c r="N71" s="189">
        <v>33.0668862656538</v>
      </c>
      <c r="O71" s="189">
        <v>37.104964661086683</v>
      </c>
      <c r="P71" s="189">
        <v>31.956574042665309</v>
      </c>
      <c r="Q71" s="189">
        <v>27.226971199481849</v>
      </c>
      <c r="R71" s="188">
        <v>25.087568393256582</v>
      </c>
      <c r="S71" s="189"/>
      <c r="T71" s="189">
        <v>0</v>
      </c>
      <c r="U71" s="189">
        <v>0</v>
      </c>
      <c r="V71" s="189">
        <v>0</v>
      </c>
      <c r="W71" s="189">
        <v>0</v>
      </c>
      <c r="X71" s="188">
        <v>0</v>
      </c>
      <c r="Y71" s="91" t="str">
        <f t="shared" si="77"/>
        <v>20-24</v>
      </c>
      <c r="Z71" s="189">
        <v>117.60066097337621</v>
      </c>
      <c r="AA71" s="189">
        <v>116.00972577437592</v>
      </c>
      <c r="AB71" s="189">
        <v>117.37387172072432</v>
      </c>
      <c r="AC71" s="189">
        <v>109.8328571099937</v>
      </c>
      <c r="AD71" s="188">
        <v>112.18324785696579</v>
      </c>
      <c r="AE71" s="189"/>
      <c r="AF71" s="189">
        <v>109.40519835653062</v>
      </c>
      <c r="AG71" s="189">
        <v>107.92518380300695</v>
      </c>
      <c r="AH71" s="189">
        <v>109.19423291573709</v>
      </c>
      <c r="AI71" s="189">
        <v>102.17877037651678</v>
      </c>
      <c r="AJ71" s="188">
        <v>104.36530258032673</v>
      </c>
      <c r="AK71" s="189"/>
      <c r="AL71" s="189">
        <v>8.1954626168455889</v>
      </c>
      <c r="AM71" s="189">
        <v>8.0845419713689743</v>
      </c>
      <c r="AN71" s="189">
        <v>8.1796388049872402</v>
      </c>
      <c r="AO71" s="189">
        <v>7.6540867334769196</v>
      </c>
      <c r="AP71" s="188">
        <v>7.8179452766390698</v>
      </c>
      <c r="AQ71" s="91" t="str">
        <f t="shared" si="78"/>
        <v>20-24</v>
      </c>
      <c r="AR71" s="189">
        <v>35.953966081661484</v>
      </c>
      <c r="AS71" s="189">
        <v>35.412981914007489</v>
      </c>
      <c r="AT71" s="189">
        <v>39.05605948626922</v>
      </c>
      <c r="AU71" s="189">
        <v>40.227887281738759</v>
      </c>
      <c r="AV71" s="188">
        <v>45.244935014497926</v>
      </c>
      <c r="AW71" s="189"/>
      <c r="AX71" s="189">
        <v>35.894388197223741</v>
      </c>
      <c r="AY71" s="189">
        <v>35.354282498596831</v>
      </c>
      <c r="AZ71" s="189">
        <v>38.991316542918099</v>
      </c>
      <c r="BA71" s="189">
        <v>40.161217830179162</v>
      </c>
      <c r="BB71" s="188">
        <v>45.169897221289091</v>
      </c>
      <c r="BC71" s="189"/>
      <c r="BD71" s="189">
        <v>5.9577884437741695E-2</v>
      </c>
      <c r="BE71" s="189">
        <v>5.8699415410650713E-2</v>
      </c>
      <c r="BF71" s="189">
        <v>6.4742943351118576E-2</v>
      </c>
      <c r="BG71" s="189">
        <v>6.6669451559595388E-2</v>
      </c>
      <c r="BH71" s="188">
        <v>7.5037793208839618E-2</v>
      </c>
    </row>
    <row r="72" spans="1:60" x14ac:dyDescent="0.2">
      <c r="A72" s="91" t="str">
        <f t="shared" si="76"/>
        <v>25-29</v>
      </c>
      <c r="B72" s="189">
        <v>54.132987761997782</v>
      </c>
      <c r="C72" s="189">
        <v>59.30277365778997</v>
      </c>
      <c r="D72" s="189">
        <v>53.119400404129237</v>
      </c>
      <c r="E72" s="189">
        <v>53.434184420591016</v>
      </c>
      <c r="F72" s="188">
        <v>46.384829749714591</v>
      </c>
      <c r="G72" s="189"/>
      <c r="H72" s="189">
        <v>15.657402965414564</v>
      </c>
      <c r="I72" s="189">
        <v>17.15271266465906</v>
      </c>
      <c r="J72" s="189">
        <v>15.364227768456015</v>
      </c>
      <c r="K72" s="189">
        <v>15.455258797856304</v>
      </c>
      <c r="L72" s="188">
        <v>13.416311066916181</v>
      </c>
      <c r="M72" s="189"/>
      <c r="N72" s="189">
        <v>38.47558479658322</v>
      </c>
      <c r="O72" s="189">
        <v>42.150060993130907</v>
      </c>
      <c r="P72" s="189">
        <v>37.755172635673226</v>
      </c>
      <c r="Q72" s="189">
        <v>37.978925622734714</v>
      </c>
      <c r="R72" s="188">
        <v>32.968518682798404</v>
      </c>
      <c r="S72" s="189"/>
      <c r="T72" s="189">
        <v>0</v>
      </c>
      <c r="U72" s="189">
        <v>0</v>
      </c>
      <c r="V72" s="189">
        <v>0</v>
      </c>
      <c r="W72" s="189">
        <v>0</v>
      </c>
      <c r="X72" s="188">
        <v>0</v>
      </c>
      <c r="Y72" s="91" t="str">
        <f t="shared" si="77"/>
        <v>25-29</v>
      </c>
      <c r="Z72" s="189">
        <v>149.16941523155822</v>
      </c>
      <c r="AA72" s="189">
        <v>137.65111832560171</v>
      </c>
      <c r="AB72" s="189">
        <v>143.78119393240843</v>
      </c>
      <c r="AC72" s="189">
        <v>153.35525074005449</v>
      </c>
      <c r="AD72" s="188">
        <v>151.04532202229836</v>
      </c>
      <c r="AE72" s="189"/>
      <c r="AF72" s="189">
        <v>139.54207798178672</v>
      </c>
      <c r="AG72" s="189">
        <v>128.76718250907044</v>
      </c>
      <c r="AH72" s="189">
        <v>134.50166828917818</v>
      </c>
      <c r="AI72" s="189">
        <v>143.4577811169944</v>
      </c>
      <c r="AJ72" s="188">
        <v>141.29698663959073</v>
      </c>
      <c r="AK72" s="189"/>
      <c r="AL72" s="189">
        <v>9.6273372497715179</v>
      </c>
      <c r="AM72" s="189">
        <v>8.8839358165312774</v>
      </c>
      <c r="AN72" s="189">
        <v>9.2795256432302509</v>
      </c>
      <c r="AO72" s="189">
        <v>9.8974696230601076</v>
      </c>
      <c r="AP72" s="188">
        <v>9.7483353827076193</v>
      </c>
      <c r="AQ72" s="91" t="str">
        <f t="shared" si="78"/>
        <v>25-29</v>
      </c>
      <c r="AR72" s="189">
        <v>114.08059700644398</v>
      </c>
      <c r="AS72" s="189">
        <v>119.54710801660832</v>
      </c>
      <c r="AT72" s="189">
        <v>121.54440566346231</v>
      </c>
      <c r="AU72" s="189">
        <v>131.36556483935448</v>
      </c>
      <c r="AV72" s="188">
        <v>131.1628482279871</v>
      </c>
      <c r="AW72" s="189"/>
      <c r="AX72" s="189">
        <v>112.96810261144897</v>
      </c>
      <c r="AY72" s="189">
        <v>118.38128469844733</v>
      </c>
      <c r="AZ72" s="189">
        <v>120.35910614116368</v>
      </c>
      <c r="BA72" s="189">
        <v>130.08456385999412</v>
      </c>
      <c r="BB72" s="188">
        <v>129.88383705598</v>
      </c>
      <c r="BC72" s="189"/>
      <c r="BD72" s="189">
        <v>1.1124943949950061</v>
      </c>
      <c r="BE72" s="189">
        <v>1.1658233181609874</v>
      </c>
      <c r="BF72" s="189">
        <v>1.1852995222986344</v>
      </c>
      <c r="BG72" s="189">
        <v>1.2810009793603585</v>
      </c>
      <c r="BH72" s="188">
        <v>1.2790111720071109</v>
      </c>
    </row>
    <row r="73" spans="1:60" x14ac:dyDescent="0.2">
      <c r="A73" s="91" t="str">
        <f t="shared" si="76"/>
        <v>30-34</v>
      </c>
      <c r="B73" s="189">
        <v>59.746194470013975</v>
      </c>
      <c r="C73" s="189">
        <v>55.826048413105191</v>
      </c>
      <c r="D73" s="189">
        <v>52.687517039427384</v>
      </c>
      <c r="E73" s="189">
        <v>49.043992638223799</v>
      </c>
      <c r="F73" s="188">
        <v>42.215560181056873</v>
      </c>
      <c r="G73" s="189"/>
      <c r="H73" s="189">
        <v>19.460449413601172</v>
      </c>
      <c r="I73" s="189">
        <v>18.183578385321248</v>
      </c>
      <c r="J73" s="189">
        <v>17.161250414897957</v>
      </c>
      <c r="K73" s="189">
        <v>15.974514770585094</v>
      </c>
      <c r="L73" s="188">
        <v>13.750439228926275</v>
      </c>
      <c r="M73" s="189"/>
      <c r="N73" s="189">
        <v>40.285745056412807</v>
      </c>
      <c r="O73" s="189">
        <v>37.642470027783951</v>
      </c>
      <c r="P73" s="189">
        <v>35.526266624529427</v>
      </c>
      <c r="Q73" s="189">
        <v>33.069477867638696</v>
      </c>
      <c r="R73" s="188">
        <v>28.465120952130594</v>
      </c>
      <c r="S73" s="189"/>
      <c r="T73" s="189">
        <v>0</v>
      </c>
      <c r="U73" s="189">
        <v>0</v>
      </c>
      <c r="V73" s="189">
        <v>0</v>
      </c>
      <c r="W73" s="189">
        <v>0</v>
      </c>
      <c r="X73" s="188">
        <v>0</v>
      </c>
      <c r="Y73" s="91" t="str">
        <f t="shared" si="77"/>
        <v>30-34</v>
      </c>
      <c r="Z73" s="189">
        <v>143.97550755975615</v>
      </c>
      <c r="AA73" s="189">
        <v>143.04692062923695</v>
      </c>
      <c r="AB73" s="189">
        <v>150.54112992034914</v>
      </c>
      <c r="AC73" s="189">
        <v>160.10889854017847</v>
      </c>
      <c r="AD73" s="188">
        <v>177.21576862141688</v>
      </c>
      <c r="AE73" s="189"/>
      <c r="AF73" s="189">
        <v>134.51151244341474</v>
      </c>
      <c r="AG73" s="189">
        <v>133.6439199496856</v>
      </c>
      <c r="AH73" s="189">
        <v>140.64555798795368</v>
      </c>
      <c r="AI73" s="189">
        <v>149.58441151968711</v>
      </c>
      <c r="AJ73" s="188">
        <v>165.5667550636862</v>
      </c>
      <c r="AK73" s="189"/>
      <c r="AL73" s="189">
        <v>9.4639951163413958</v>
      </c>
      <c r="AM73" s="189">
        <v>9.4030006795513597</v>
      </c>
      <c r="AN73" s="189">
        <v>9.8955719323954607</v>
      </c>
      <c r="AO73" s="189">
        <v>10.524487020491364</v>
      </c>
      <c r="AP73" s="188">
        <v>11.649013557730687</v>
      </c>
      <c r="AQ73" s="91" t="str">
        <f t="shared" si="78"/>
        <v>30-34</v>
      </c>
      <c r="AR73" s="189">
        <v>126.29229797022987</v>
      </c>
      <c r="AS73" s="189">
        <v>134.62703095765789</v>
      </c>
      <c r="AT73" s="189">
        <v>139.10335304022348</v>
      </c>
      <c r="AU73" s="189">
        <v>148.01810882159774</v>
      </c>
      <c r="AV73" s="188">
        <v>167.58267119752625</v>
      </c>
      <c r="AW73" s="189"/>
      <c r="AX73" s="189">
        <v>122.95073277336256</v>
      </c>
      <c r="AY73" s="189">
        <v>131.06497700319039</v>
      </c>
      <c r="AZ73" s="189">
        <v>135.42281890028266</v>
      </c>
      <c r="BA73" s="189">
        <v>144.10171770063747</v>
      </c>
      <c r="BB73" s="188">
        <v>163.14861509949301</v>
      </c>
      <c r="BC73" s="189"/>
      <c r="BD73" s="189">
        <v>3.3415651968673079</v>
      </c>
      <c r="BE73" s="189">
        <v>3.5620539544675016</v>
      </c>
      <c r="BF73" s="189">
        <v>3.6805341399408</v>
      </c>
      <c r="BG73" s="189">
        <v>3.9163911209602649</v>
      </c>
      <c r="BH73" s="188">
        <v>4.434056098033226</v>
      </c>
    </row>
    <row r="74" spans="1:60" x14ac:dyDescent="0.2">
      <c r="A74" s="91" t="str">
        <f t="shared" si="76"/>
        <v>35-39</v>
      </c>
      <c r="B74" s="189">
        <v>72.389274390689224</v>
      </c>
      <c r="C74" s="189">
        <v>71.644104598988108</v>
      </c>
      <c r="D74" s="189">
        <v>56.546565915153813</v>
      </c>
      <c r="E74" s="189">
        <v>46.727112769454443</v>
      </c>
      <c r="F74" s="188">
        <v>36.765389039064232</v>
      </c>
      <c r="G74" s="189"/>
      <c r="H74" s="189">
        <v>22.092351099930109</v>
      </c>
      <c r="I74" s="189">
        <v>21.864916566985048</v>
      </c>
      <c r="J74" s="189">
        <v>17.257326348768249</v>
      </c>
      <c r="K74" s="189">
        <v>14.26057413503738</v>
      </c>
      <c r="L74" s="188">
        <v>11.220343143702051</v>
      </c>
      <c r="M74" s="189"/>
      <c r="N74" s="189">
        <v>50.296923290759125</v>
      </c>
      <c r="O74" s="189">
        <v>49.779188032003056</v>
      </c>
      <c r="P74" s="189">
        <v>39.289239566385561</v>
      </c>
      <c r="Q74" s="189">
        <v>32.466538634417063</v>
      </c>
      <c r="R74" s="188">
        <v>25.545045895362183</v>
      </c>
      <c r="S74" s="189"/>
      <c r="T74" s="189">
        <v>0</v>
      </c>
      <c r="U74" s="189">
        <v>0</v>
      </c>
      <c r="V74" s="189">
        <v>0</v>
      </c>
      <c r="W74" s="189">
        <v>0</v>
      </c>
      <c r="X74" s="188">
        <v>0</v>
      </c>
      <c r="Y74" s="91" t="str">
        <f t="shared" si="77"/>
        <v>35-39</v>
      </c>
      <c r="Z74" s="189">
        <v>168.36341500024318</v>
      </c>
      <c r="AA74" s="189">
        <v>149.22804572146893</v>
      </c>
      <c r="AB74" s="189">
        <v>145.3653492467291</v>
      </c>
      <c r="AC74" s="189">
        <v>157.84177384899948</v>
      </c>
      <c r="AD74" s="188">
        <v>170.08164787734725</v>
      </c>
      <c r="AE74" s="189"/>
      <c r="AF74" s="189">
        <v>158.73056855159768</v>
      </c>
      <c r="AG74" s="189">
        <v>140.68998106739087</v>
      </c>
      <c r="AH74" s="189">
        <v>137.0482794654304</v>
      </c>
      <c r="AI74" s="189">
        <v>148.81088905475639</v>
      </c>
      <c r="AJ74" s="188">
        <v>160.35047022072709</v>
      </c>
      <c r="AK74" s="189"/>
      <c r="AL74" s="189">
        <v>9.632846448645493</v>
      </c>
      <c r="AM74" s="189">
        <v>8.53806465407804</v>
      </c>
      <c r="AN74" s="189">
        <v>8.3170697812987289</v>
      </c>
      <c r="AO74" s="189">
        <v>9.0308847942430752</v>
      </c>
      <c r="AP74" s="188">
        <v>9.7311776566201527</v>
      </c>
      <c r="AQ74" s="91" t="str">
        <f t="shared" si="78"/>
        <v>35-39</v>
      </c>
      <c r="AR74" s="189">
        <v>130.00931060906763</v>
      </c>
      <c r="AS74" s="189">
        <v>141.63984967954292</v>
      </c>
      <c r="AT74" s="189">
        <v>140.96708483811705</v>
      </c>
      <c r="AU74" s="189">
        <v>156.05411338154607</v>
      </c>
      <c r="AV74" s="188">
        <v>171.1889630835885</v>
      </c>
      <c r="AW74" s="189"/>
      <c r="AX74" s="189">
        <v>126.80367098267918</v>
      </c>
      <c r="AY74" s="189">
        <v>138.14739398786907</v>
      </c>
      <c r="AZ74" s="189">
        <v>137.49128574990962</v>
      </c>
      <c r="BA74" s="189">
        <v>152.20632202622306</v>
      </c>
      <c r="BB74" s="188">
        <v>166.96792004521947</v>
      </c>
      <c r="BC74" s="189"/>
      <c r="BD74" s="189">
        <v>3.2056396263884279</v>
      </c>
      <c r="BE74" s="189">
        <v>3.4924556916738441</v>
      </c>
      <c r="BF74" s="189">
        <v>3.4757990882074257</v>
      </c>
      <c r="BG74" s="189">
        <v>3.8477913553230336</v>
      </c>
      <c r="BH74" s="188">
        <v>4.2210430383690394</v>
      </c>
    </row>
    <row r="75" spans="1:60" x14ac:dyDescent="0.2">
      <c r="A75" s="91" t="str">
        <f t="shared" si="76"/>
        <v>40-44</v>
      </c>
      <c r="B75" s="189">
        <v>93.704921018490225</v>
      </c>
      <c r="C75" s="189">
        <v>86.025081460274208</v>
      </c>
      <c r="D75" s="189">
        <v>64.749495706932109</v>
      </c>
      <c r="E75" s="189">
        <v>46.877352399091471</v>
      </c>
      <c r="F75" s="188">
        <v>36.022235674570041</v>
      </c>
      <c r="G75" s="189"/>
      <c r="H75" s="189">
        <v>28.726825295106707</v>
      </c>
      <c r="I75" s="189">
        <v>26.372500122799597</v>
      </c>
      <c r="J75" s="189">
        <v>19.850090685545279</v>
      </c>
      <c r="K75" s="189">
        <v>14.37105615293013</v>
      </c>
      <c r="L75" s="188">
        <v>11.043233820019529</v>
      </c>
      <c r="M75" s="189"/>
      <c r="N75" s="189">
        <v>64.978095723383518</v>
      </c>
      <c r="O75" s="189">
        <v>59.652581337474615</v>
      </c>
      <c r="P75" s="189">
        <v>44.899405021386841</v>
      </c>
      <c r="Q75" s="189">
        <v>32.506296246161341</v>
      </c>
      <c r="R75" s="188">
        <v>24.979001854550507</v>
      </c>
      <c r="S75" s="189"/>
      <c r="T75" s="189">
        <v>0</v>
      </c>
      <c r="U75" s="189">
        <v>0</v>
      </c>
      <c r="V75" s="189">
        <v>0</v>
      </c>
      <c r="W75" s="189">
        <v>0</v>
      </c>
      <c r="X75" s="188">
        <v>0</v>
      </c>
      <c r="Y75" s="91" t="str">
        <f t="shared" si="77"/>
        <v>40-44</v>
      </c>
      <c r="Z75" s="189">
        <v>164.09838718909504</v>
      </c>
      <c r="AA75" s="189">
        <v>154.9023270474899</v>
      </c>
      <c r="AB75" s="189">
        <v>149.73668224901951</v>
      </c>
      <c r="AC75" s="189">
        <v>152.17875641282711</v>
      </c>
      <c r="AD75" s="188">
        <v>165.42214209784782</v>
      </c>
      <c r="AE75" s="189"/>
      <c r="AF75" s="189">
        <v>156.03959735584664</v>
      </c>
      <c r="AG75" s="189">
        <v>147.29512638226808</v>
      </c>
      <c r="AH75" s="189">
        <v>142.38323098553826</v>
      </c>
      <c r="AI75" s="189">
        <v>144.70535111932526</v>
      </c>
      <c r="AJ75" s="188">
        <v>157.29833296840684</v>
      </c>
      <c r="AK75" s="189"/>
      <c r="AL75" s="189">
        <v>8.0587898332483814</v>
      </c>
      <c r="AM75" s="189">
        <v>7.6072006652217956</v>
      </c>
      <c r="AN75" s="189">
        <v>7.3534512634812508</v>
      </c>
      <c r="AO75" s="189">
        <v>7.4734052935018527</v>
      </c>
      <c r="AP75" s="188">
        <v>8.1238091294409802</v>
      </c>
      <c r="AQ75" s="91" t="str">
        <f t="shared" si="78"/>
        <v>40-44</v>
      </c>
      <c r="AR75" s="189">
        <v>126.01269179241478</v>
      </c>
      <c r="AS75" s="189">
        <v>132.67959149223591</v>
      </c>
      <c r="AT75" s="189">
        <v>143.37582204404833</v>
      </c>
      <c r="AU75" s="189">
        <v>148.33089118808141</v>
      </c>
      <c r="AV75" s="188">
        <v>163.98362222758209</v>
      </c>
      <c r="AW75" s="189"/>
      <c r="AX75" s="189">
        <v>123.30009020573293</v>
      </c>
      <c r="AY75" s="189">
        <v>129.8235193902282</v>
      </c>
      <c r="AZ75" s="189">
        <v>140.28954114726304</v>
      </c>
      <c r="BA75" s="189">
        <v>145.13792831010065</v>
      </c>
      <c r="BB75" s="188">
        <v>160.4537346018306</v>
      </c>
      <c r="BC75" s="189"/>
      <c r="BD75" s="189">
        <v>2.7126015866818696</v>
      </c>
      <c r="BE75" s="189">
        <v>2.85607210200773</v>
      </c>
      <c r="BF75" s="189">
        <v>3.0862808967852815</v>
      </c>
      <c r="BG75" s="189">
        <v>3.1929628779807668</v>
      </c>
      <c r="BH75" s="188">
        <v>3.5298876257514915</v>
      </c>
    </row>
    <row r="76" spans="1:60" x14ac:dyDescent="0.2">
      <c r="A76" s="91" t="str">
        <f t="shared" si="76"/>
        <v>45-49</v>
      </c>
      <c r="B76" s="189">
        <v>115.30181592604359</v>
      </c>
      <c r="C76" s="189">
        <v>109.33182845391168</v>
      </c>
      <c r="D76" s="189">
        <v>79.086091683348073</v>
      </c>
      <c r="E76" s="189">
        <v>61.499061829076247</v>
      </c>
      <c r="F76" s="188">
        <v>46.838498328679577</v>
      </c>
      <c r="G76" s="189"/>
      <c r="H76" s="189">
        <v>35.170555457916208</v>
      </c>
      <c r="I76" s="189">
        <v>33.349530919839154</v>
      </c>
      <c r="J76" s="189">
        <v>24.123666078720824</v>
      </c>
      <c r="K76" s="189">
        <v>18.759060670682956</v>
      </c>
      <c r="L76" s="188">
        <v>14.287158175019892</v>
      </c>
      <c r="M76" s="189"/>
      <c r="N76" s="189">
        <v>80.131260468127394</v>
      </c>
      <c r="O76" s="189">
        <v>75.982297534072529</v>
      </c>
      <c r="P76" s="189">
        <v>54.962425604627256</v>
      </c>
      <c r="Q76" s="189">
        <v>42.740001158393298</v>
      </c>
      <c r="R76" s="188">
        <v>32.55134015365968</v>
      </c>
      <c r="S76" s="189"/>
      <c r="T76" s="189">
        <v>0</v>
      </c>
      <c r="U76" s="189">
        <v>0</v>
      </c>
      <c r="V76" s="189">
        <v>0</v>
      </c>
      <c r="W76" s="189">
        <v>0</v>
      </c>
      <c r="X76" s="188">
        <v>0</v>
      </c>
      <c r="Y76" s="91" t="str">
        <f t="shared" si="77"/>
        <v>45-49</v>
      </c>
      <c r="Z76" s="189">
        <v>139.47645471921948</v>
      </c>
      <c r="AA76" s="189">
        <v>142.31555594986082</v>
      </c>
      <c r="AB76" s="189">
        <v>150.05821621827403</v>
      </c>
      <c r="AC76" s="189">
        <v>153.64746661870106</v>
      </c>
      <c r="AD76" s="188">
        <v>155.27997647346041</v>
      </c>
      <c r="AE76" s="189"/>
      <c r="AF76" s="189">
        <v>133.76971424566429</v>
      </c>
      <c r="AG76" s="189">
        <v>136.49269012868396</v>
      </c>
      <c r="AH76" s="189">
        <v>143.91849594775999</v>
      </c>
      <c r="AI76" s="189">
        <v>147.36094259416896</v>
      </c>
      <c r="AJ76" s="188">
        <v>148.92665752037087</v>
      </c>
      <c r="AK76" s="189"/>
      <c r="AL76" s="189">
        <v>5.7067404735551852</v>
      </c>
      <c r="AM76" s="189">
        <v>5.8228658211768556</v>
      </c>
      <c r="AN76" s="189">
        <v>6.1397202705140401</v>
      </c>
      <c r="AO76" s="189">
        <v>6.2865240245320777</v>
      </c>
      <c r="AP76" s="188">
        <v>6.3533189530895484</v>
      </c>
      <c r="AQ76" s="91" t="str">
        <f t="shared" si="78"/>
        <v>45-49</v>
      </c>
      <c r="AR76" s="189">
        <v>120.1197293547369</v>
      </c>
      <c r="AS76" s="189">
        <v>129.44461559622746</v>
      </c>
      <c r="AT76" s="189">
        <v>136.0726920983779</v>
      </c>
      <c r="AU76" s="189">
        <v>140.49347155222273</v>
      </c>
      <c r="AV76" s="188">
        <v>143.29652519786003</v>
      </c>
      <c r="AW76" s="189"/>
      <c r="AX76" s="189">
        <v>117.05294273548799</v>
      </c>
      <c r="AY76" s="189">
        <v>126.13980543389869</v>
      </c>
      <c r="AZ76" s="189">
        <v>132.59867152271417</v>
      </c>
      <c r="BA76" s="189">
        <v>136.90652744386634</v>
      </c>
      <c r="BB76" s="188">
        <v>139.63803926200524</v>
      </c>
      <c r="BC76" s="189"/>
      <c r="BD76" s="189">
        <v>3.0667866192489188</v>
      </c>
      <c r="BE76" s="189">
        <v>3.3048101623287747</v>
      </c>
      <c r="BF76" s="189">
        <v>3.4740205756637477</v>
      </c>
      <c r="BG76" s="189">
        <v>3.5869441083564158</v>
      </c>
      <c r="BH76" s="188">
        <v>3.6584859358547694</v>
      </c>
    </row>
    <row r="77" spans="1:60" x14ac:dyDescent="0.2">
      <c r="A77" s="91" t="str">
        <f t="shared" si="76"/>
        <v>50-54</v>
      </c>
      <c r="B77" s="189">
        <v>111.27520275605481</v>
      </c>
      <c r="C77" s="189">
        <v>116.43002391638842</v>
      </c>
      <c r="D77" s="189">
        <v>99.298446084176007</v>
      </c>
      <c r="E77" s="189">
        <v>84.486604991419114</v>
      </c>
      <c r="F77" s="188">
        <v>69.243878653988489</v>
      </c>
      <c r="G77" s="189"/>
      <c r="H77" s="189">
        <v>39.173130960659876</v>
      </c>
      <c r="I77" s="189">
        <v>40.987832117041947</v>
      </c>
      <c r="J77" s="189">
        <v>34.956838880438383</v>
      </c>
      <c r="K77" s="189">
        <v>29.742505447101941</v>
      </c>
      <c r="L77" s="188">
        <v>24.376494465649984</v>
      </c>
      <c r="M77" s="189"/>
      <c r="N77" s="189">
        <v>72.102071795394934</v>
      </c>
      <c r="O77" s="189">
        <v>75.442191799346489</v>
      </c>
      <c r="P77" s="189">
        <v>64.34160720373761</v>
      </c>
      <c r="Q77" s="189">
        <v>54.74409954431718</v>
      </c>
      <c r="R77" s="188">
        <v>44.867384188338512</v>
      </c>
      <c r="S77" s="189"/>
      <c r="T77" s="189">
        <v>0</v>
      </c>
      <c r="U77" s="189">
        <v>0</v>
      </c>
      <c r="V77" s="189">
        <v>0</v>
      </c>
      <c r="W77" s="189">
        <v>0</v>
      </c>
      <c r="X77" s="188">
        <v>0</v>
      </c>
      <c r="Y77" s="91" t="str">
        <f t="shared" si="77"/>
        <v>50-54</v>
      </c>
      <c r="Z77" s="189">
        <v>113.3960574955765</v>
      </c>
      <c r="AA77" s="189">
        <v>121.59249637417638</v>
      </c>
      <c r="AB77" s="189">
        <v>133.48105449911949</v>
      </c>
      <c r="AC77" s="189">
        <v>141.58741797337134</v>
      </c>
      <c r="AD77" s="188">
        <v>145.63112009368126</v>
      </c>
      <c r="AE77" s="189"/>
      <c r="AF77" s="189">
        <v>108.44421929852143</v>
      </c>
      <c r="AG77" s="189">
        <v>116.28270261170104</v>
      </c>
      <c r="AH77" s="189">
        <v>127.65209448250005</v>
      </c>
      <c r="AI77" s="189">
        <v>135.40448983032255</v>
      </c>
      <c r="AJ77" s="188">
        <v>139.27159339268175</v>
      </c>
      <c r="AK77" s="189"/>
      <c r="AL77" s="189">
        <v>4.9518381970550793</v>
      </c>
      <c r="AM77" s="189">
        <v>5.3097937624753415</v>
      </c>
      <c r="AN77" s="189">
        <v>5.828960016619444</v>
      </c>
      <c r="AO77" s="189">
        <v>6.1829281430488319</v>
      </c>
      <c r="AP77" s="188">
        <v>6.3595267009995187</v>
      </c>
      <c r="AQ77" s="91" t="str">
        <f t="shared" si="78"/>
        <v>50-54</v>
      </c>
      <c r="AR77" s="189">
        <v>95.512739748368674</v>
      </c>
      <c r="AS77" s="189">
        <v>104.88647970943516</v>
      </c>
      <c r="AT77" s="189">
        <v>127.31949941670452</v>
      </c>
      <c r="AU77" s="189">
        <v>134.10597703520958</v>
      </c>
      <c r="AV77" s="188">
        <v>137.3260012523302</v>
      </c>
      <c r="AW77" s="189"/>
      <c r="AX77" s="189">
        <v>92.592908798161787</v>
      </c>
      <c r="AY77" s="189">
        <v>101.68009864647333</v>
      </c>
      <c r="AZ77" s="189">
        <v>123.42737975287275</v>
      </c>
      <c r="BA77" s="189">
        <v>130.00642315954263</v>
      </c>
      <c r="BB77" s="188">
        <v>133.12800670973192</v>
      </c>
      <c r="BC77" s="189"/>
      <c r="BD77" s="189">
        <v>2.9198309502068871</v>
      </c>
      <c r="BE77" s="189">
        <v>3.2063810629618299</v>
      </c>
      <c r="BF77" s="189">
        <v>3.892119663831775</v>
      </c>
      <c r="BG77" s="189">
        <v>4.0995538756669365</v>
      </c>
      <c r="BH77" s="188">
        <v>4.1979945425982796</v>
      </c>
    </row>
    <row r="78" spans="1:60" x14ac:dyDescent="0.2">
      <c r="A78" s="91" t="str">
        <f t="shared" si="76"/>
        <v>55-59</v>
      </c>
      <c r="B78" s="189">
        <v>68.012091171952278</v>
      </c>
      <c r="C78" s="189">
        <v>76.192899119068656</v>
      </c>
      <c r="D78" s="189">
        <v>80.959107437946358</v>
      </c>
      <c r="E78" s="189">
        <v>80.741803905128123</v>
      </c>
      <c r="F78" s="188">
        <v>67.11887912992232</v>
      </c>
      <c r="G78" s="189"/>
      <c r="H78" s="189">
        <v>26.951872424022827</v>
      </c>
      <c r="I78" s="189">
        <v>30.193746005149503</v>
      </c>
      <c r="J78" s="189">
        <v>32.082502271621657</v>
      </c>
      <c r="K78" s="189">
        <v>31.996398811217055</v>
      </c>
      <c r="L78" s="188">
        <v>26.597935178999514</v>
      </c>
      <c r="M78" s="189"/>
      <c r="N78" s="189">
        <v>41.060218747929468</v>
      </c>
      <c r="O78" s="189">
        <v>45.999153113919157</v>
      </c>
      <c r="P78" s="189">
        <v>48.876605166324701</v>
      </c>
      <c r="Q78" s="189">
        <v>48.74540509391106</v>
      </c>
      <c r="R78" s="188">
        <v>40.520943950922806</v>
      </c>
      <c r="S78" s="189"/>
      <c r="T78" s="189">
        <v>0</v>
      </c>
      <c r="U78" s="189">
        <v>0</v>
      </c>
      <c r="V78" s="189">
        <v>0</v>
      </c>
      <c r="W78" s="189">
        <v>0</v>
      </c>
      <c r="X78" s="188">
        <v>0</v>
      </c>
      <c r="Y78" s="91" t="str">
        <f t="shared" si="77"/>
        <v>55-59</v>
      </c>
      <c r="Z78" s="189">
        <v>72.790478327088792</v>
      </c>
      <c r="AA78" s="189">
        <v>72.824377516205331</v>
      </c>
      <c r="AB78" s="189">
        <v>88.796407596616632</v>
      </c>
      <c r="AC78" s="189">
        <v>107.12135329397736</v>
      </c>
      <c r="AD78" s="188">
        <v>114.12115272286486</v>
      </c>
      <c r="AE78" s="189"/>
      <c r="AF78" s="189">
        <v>68.801294834834081</v>
      </c>
      <c r="AG78" s="189">
        <v>68.83331603311845</v>
      </c>
      <c r="AH78" s="189">
        <v>83.930009776338608</v>
      </c>
      <c r="AI78" s="189">
        <v>101.25067814642075</v>
      </c>
      <c r="AJ78" s="188">
        <v>107.86683113473264</v>
      </c>
      <c r="AK78" s="189"/>
      <c r="AL78" s="189">
        <v>3.9891834922546994</v>
      </c>
      <c r="AM78" s="189">
        <v>3.9910614830868849</v>
      </c>
      <c r="AN78" s="189">
        <v>4.8663978202780056</v>
      </c>
      <c r="AO78" s="189">
        <v>5.8706751475565877</v>
      </c>
      <c r="AP78" s="188">
        <v>6.2543215881322256</v>
      </c>
      <c r="AQ78" s="91" t="str">
        <f t="shared" si="78"/>
        <v>55-59</v>
      </c>
      <c r="AR78" s="189">
        <v>71.997430500958913</v>
      </c>
      <c r="AS78" s="189">
        <v>80.286723364726001</v>
      </c>
      <c r="AT78" s="189">
        <v>97.623484965437029</v>
      </c>
      <c r="AU78" s="189">
        <v>111.25484280089452</v>
      </c>
      <c r="AV78" s="188">
        <v>119.13196814721282</v>
      </c>
      <c r="AW78" s="189"/>
      <c r="AX78" s="189">
        <v>69.435486947844097</v>
      </c>
      <c r="AY78" s="189">
        <v>77.429759529039274</v>
      </c>
      <c r="AZ78" s="189">
        <v>94.149691730122299</v>
      </c>
      <c r="BA78" s="189">
        <v>107.29594200979159</v>
      </c>
      <c r="BB78" s="188">
        <v>114.89276509261856</v>
      </c>
      <c r="BC78" s="189"/>
      <c r="BD78" s="189">
        <v>2.5619435531148169</v>
      </c>
      <c r="BE78" s="189">
        <v>2.8569638356867268</v>
      </c>
      <c r="BF78" s="189">
        <v>3.4737932353147438</v>
      </c>
      <c r="BG78" s="189">
        <v>3.9589007911029319</v>
      </c>
      <c r="BH78" s="188">
        <v>4.2392030545942614</v>
      </c>
    </row>
    <row r="79" spans="1:60" x14ac:dyDescent="0.2">
      <c r="A79" s="91" t="str">
        <f t="shared" si="76"/>
        <v>60-64</v>
      </c>
      <c r="B79" s="189">
        <v>22.058986538549966</v>
      </c>
      <c r="C79" s="189">
        <v>25.725899636040516</v>
      </c>
      <c r="D79" s="189">
        <v>23.105090180247199</v>
      </c>
      <c r="E79" s="189">
        <v>23.482130526076944</v>
      </c>
      <c r="F79" s="188">
        <v>20.863456754363423</v>
      </c>
      <c r="G79" s="189"/>
      <c r="H79" s="189">
        <v>10.261625462059436</v>
      </c>
      <c r="I79" s="189">
        <v>11.967431555445883</v>
      </c>
      <c r="J79" s="189">
        <v>10.748274288790256</v>
      </c>
      <c r="K79" s="189">
        <v>10.923637169620605</v>
      </c>
      <c r="L79" s="188">
        <v>9.7054628731438477</v>
      </c>
      <c r="M79" s="189"/>
      <c r="N79" s="189">
        <v>11.797361076490528</v>
      </c>
      <c r="O79" s="189">
        <v>13.758468080594636</v>
      </c>
      <c r="P79" s="189">
        <v>12.356815891456941</v>
      </c>
      <c r="Q79" s="189">
        <v>12.558493356456339</v>
      </c>
      <c r="R79" s="188">
        <v>11.157993881219575</v>
      </c>
      <c r="S79" s="189"/>
      <c r="T79" s="189">
        <v>0</v>
      </c>
      <c r="U79" s="189">
        <v>0</v>
      </c>
      <c r="V79" s="189">
        <v>0</v>
      </c>
      <c r="W79" s="189">
        <v>0</v>
      </c>
      <c r="X79" s="188">
        <v>0</v>
      </c>
      <c r="Y79" s="91" t="str">
        <f t="shared" si="77"/>
        <v>60-64</v>
      </c>
      <c r="Z79" s="189">
        <v>19.033134372987352</v>
      </c>
      <c r="AA79" s="189">
        <v>23.139563185511207</v>
      </c>
      <c r="AB79" s="189">
        <v>29.062611970564706</v>
      </c>
      <c r="AC79" s="189">
        <v>37.775985439184019</v>
      </c>
      <c r="AD79" s="188">
        <v>45.699503561805081</v>
      </c>
      <c r="AE79" s="189"/>
      <c r="AF79" s="189">
        <v>18.159098770843201</v>
      </c>
      <c r="AG79" s="189">
        <v>22.076986233291766</v>
      </c>
      <c r="AH79" s="189">
        <v>27.728037414140051</v>
      </c>
      <c r="AI79" s="189">
        <v>36.041367319946715</v>
      </c>
      <c r="AJ79" s="188">
        <v>43.600996459396789</v>
      </c>
      <c r="AK79" s="189"/>
      <c r="AL79" s="189">
        <v>0.87403560214415288</v>
      </c>
      <c r="AM79" s="189">
        <v>1.0625769522194444</v>
      </c>
      <c r="AN79" s="189">
        <v>1.3345745564246547</v>
      </c>
      <c r="AO79" s="189">
        <v>1.7346181192372983</v>
      </c>
      <c r="AP79" s="188">
        <v>2.0985071024082935</v>
      </c>
      <c r="AQ79" s="91" t="str">
        <f t="shared" si="78"/>
        <v>60-64</v>
      </c>
      <c r="AR79" s="189">
        <v>28.502879088462684</v>
      </c>
      <c r="AS79" s="189">
        <v>37.330537178448267</v>
      </c>
      <c r="AT79" s="189">
        <v>46.611297849188091</v>
      </c>
      <c r="AU79" s="189">
        <v>59.348884034739037</v>
      </c>
      <c r="AV79" s="188">
        <v>72.006039683831503</v>
      </c>
      <c r="AW79" s="189"/>
      <c r="AX79" s="189">
        <v>26.621847428232694</v>
      </c>
      <c r="AY79" s="189">
        <v>34.866929781336395</v>
      </c>
      <c r="AZ79" s="189">
        <v>43.535121181596431</v>
      </c>
      <c r="BA79" s="189">
        <v>55.432075117845166</v>
      </c>
      <c r="BB79" s="188">
        <v>67.253939495670267</v>
      </c>
      <c r="BC79" s="189"/>
      <c r="BD79" s="189">
        <v>1.881031660229987</v>
      </c>
      <c r="BE79" s="189">
        <v>2.463607397111879</v>
      </c>
      <c r="BF79" s="189">
        <v>3.0761766675916631</v>
      </c>
      <c r="BG79" s="189">
        <v>3.9168089168938671</v>
      </c>
      <c r="BH79" s="188">
        <v>4.7521001881612417</v>
      </c>
    </row>
    <row r="80" spans="1:60" x14ac:dyDescent="0.2">
      <c r="A80" s="91" t="str">
        <f t="shared" si="76"/>
        <v>65+</v>
      </c>
      <c r="B80" s="189">
        <v>6.9211439895691509</v>
      </c>
      <c r="C80" s="189">
        <v>11.403315499909841</v>
      </c>
      <c r="D80" s="189">
        <v>10.028756519263442</v>
      </c>
      <c r="E80" s="189">
        <v>7.9572606059831097</v>
      </c>
      <c r="F80" s="188">
        <v>6.1556020468771537</v>
      </c>
      <c r="G80" s="189"/>
      <c r="H80" s="189">
        <v>3.3880153703013169</v>
      </c>
      <c r="I80" s="189">
        <v>5.5821599276043257</v>
      </c>
      <c r="J80" s="189">
        <v>4.9092330155000692</v>
      </c>
      <c r="K80" s="189">
        <v>3.8952339057066752</v>
      </c>
      <c r="L80" s="188">
        <v>3.0132549845592425</v>
      </c>
      <c r="M80" s="189"/>
      <c r="N80" s="189">
        <v>3.5331286192678335</v>
      </c>
      <c r="O80" s="189">
        <v>5.8211555723055133</v>
      </c>
      <c r="P80" s="189">
        <v>5.1195235037633742</v>
      </c>
      <c r="Q80" s="189">
        <v>4.0620267002764345</v>
      </c>
      <c r="R80" s="188">
        <v>3.1423470623179108</v>
      </c>
      <c r="S80" s="189"/>
      <c r="T80" s="189">
        <v>0</v>
      </c>
      <c r="U80" s="189">
        <v>0</v>
      </c>
      <c r="V80" s="189">
        <v>0</v>
      </c>
      <c r="W80" s="189">
        <v>0</v>
      </c>
      <c r="X80" s="188">
        <v>0</v>
      </c>
      <c r="Y80" s="91" t="str">
        <f t="shared" si="77"/>
        <v>65+</v>
      </c>
      <c r="Z80" s="189">
        <v>5.0779151858860399</v>
      </c>
      <c r="AA80" s="189">
        <v>5.8560125079035359</v>
      </c>
      <c r="AB80" s="189">
        <v>7.4475071119826133</v>
      </c>
      <c r="AC80" s="189">
        <v>8.0611678258540653</v>
      </c>
      <c r="AD80" s="188">
        <v>8.6521443263082798</v>
      </c>
      <c r="AE80" s="189"/>
      <c r="AF80" s="189">
        <v>4.4280912105889678</v>
      </c>
      <c r="AG80" s="189">
        <v>5.1066439452522596</v>
      </c>
      <c r="AH80" s="189">
        <v>6.4944416235841498</v>
      </c>
      <c r="AI80" s="189">
        <v>7.0296284480755258</v>
      </c>
      <c r="AJ80" s="188">
        <v>7.5449282666861546</v>
      </c>
      <c r="AK80" s="189"/>
      <c r="AL80" s="189">
        <v>0.64982397529707225</v>
      </c>
      <c r="AM80" s="189">
        <v>0.74936856265127538</v>
      </c>
      <c r="AN80" s="189">
        <v>0.95306548839846261</v>
      </c>
      <c r="AO80" s="189">
        <v>1.03153937777854</v>
      </c>
      <c r="AP80" s="188">
        <v>1.1072160596221259</v>
      </c>
      <c r="AQ80" s="91" t="str">
        <f t="shared" si="78"/>
        <v>65+</v>
      </c>
      <c r="AR80" s="189">
        <v>10.295940824544813</v>
      </c>
      <c r="AS80" s="189">
        <v>8.0706719921866217</v>
      </c>
      <c r="AT80" s="189">
        <v>14.988736368753946</v>
      </c>
      <c r="AU80" s="189">
        <v>18.053571568162823</v>
      </c>
      <c r="AV80" s="188">
        <v>21.595253626814571</v>
      </c>
      <c r="AW80" s="189"/>
      <c r="AX80" s="189">
        <v>9.5711093689595526</v>
      </c>
      <c r="AY80" s="189">
        <v>7.5024694874410747</v>
      </c>
      <c r="AZ80" s="189">
        <v>13.933474089451744</v>
      </c>
      <c r="BA80" s="189">
        <v>16.782613628155822</v>
      </c>
      <c r="BB80" s="188">
        <v>20.07497877515241</v>
      </c>
      <c r="BC80" s="189"/>
      <c r="BD80" s="189">
        <v>0.72483145558525974</v>
      </c>
      <c r="BE80" s="189">
        <v>0.5682025047455489</v>
      </c>
      <c r="BF80" s="189">
        <v>1.0552622793022017</v>
      </c>
      <c r="BG80" s="189">
        <v>1.2709579400070001</v>
      </c>
      <c r="BH80" s="188">
        <v>1.5202748516621645</v>
      </c>
    </row>
    <row r="81" spans="1:60" x14ac:dyDescent="0.2">
      <c r="B81" s="188"/>
      <c r="C81" s="188"/>
      <c r="D81" s="188"/>
      <c r="E81" s="188"/>
      <c r="F81" s="188"/>
      <c r="G81" s="188"/>
      <c r="H81" s="188"/>
      <c r="I81" s="188"/>
      <c r="J81" s="188"/>
      <c r="K81" s="188"/>
      <c r="L81" s="188"/>
      <c r="M81" s="188"/>
      <c r="N81" s="188"/>
      <c r="O81" s="188"/>
      <c r="P81" s="188"/>
      <c r="Q81" s="188"/>
      <c r="R81" s="188"/>
      <c r="S81" s="188"/>
      <c r="T81" s="94"/>
      <c r="U81" s="94"/>
      <c r="V81" s="94"/>
      <c r="W81" s="94"/>
      <c r="X81" s="94"/>
      <c r="Z81" s="188"/>
      <c r="AA81" s="188"/>
      <c r="AB81" s="188"/>
      <c r="AC81" s="188"/>
      <c r="AD81" s="188"/>
      <c r="AE81" s="188"/>
      <c r="AF81" s="188"/>
      <c r="AG81" s="188"/>
      <c r="AH81" s="188"/>
      <c r="AI81" s="188"/>
      <c r="AJ81" s="188"/>
      <c r="AK81" s="188"/>
      <c r="AL81" s="188"/>
      <c r="AM81" s="188"/>
      <c r="AN81" s="188"/>
      <c r="AO81" s="188"/>
      <c r="AP81" s="188"/>
      <c r="AR81" s="189"/>
      <c r="AS81" s="189"/>
      <c r="AT81" s="189"/>
      <c r="AU81" s="189"/>
      <c r="AV81" s="188"/>
      <c r="AW81" s="188"/>
      <c r="AX81" s="188"/>
      <c r="AY81" s="188"/>
      <c r="AZ81" s="188"/>
      <c r="BA81" s="188"/>
      <c r="BB81" s="188"/>
      <c r="BC81" s="188"/>
      <c r="BD81" s="188"/>
      <c r="BE81" s="188"/>
      <c r="BF81" s="188"/>
      <c r="BG81" s="188"/>
      <c r="BH81" s="188"/>
    </row>
    <row r="82" spans="1:60" x14ac:dyDescent="0.2">
      <c r="A82" s="114" t="str">
        <f>A34</f>
        <v>Females</v>
      </c>
      <c r="B82" s="188"/>
      <c r="C82" s="188"/>
      <c r="D82" s="188"/>
      <c r="E82" s="188"/>
      <c r="F82" s="188"/>
      <c r="G82" s="188"/>
      <c r="H82" s="188"/>
      <c r="I82" s="188"/>
      <c r="J82" s="188"/>
      <c r="K82" s="188"/>
      <c r="L82" s="188"/>
      <c r="M82" s="188"/>
      <c r="N82" s="188"/>
      <c r="O82" s="188"/>
      <c r="P82" s="188"/>
      <c r="Q82" s="188"/>
      <c r="R82" s="188"/>
      <c r="S82" s="188"/>
      <c r="T82" s="94"/>
      <c r="U82" s="94"/>
      <c r="V82" s="94"/>
      <c r="W82" s="94"/>
      <c r="X82" s="94"/>
      <c r="Y82" s="114" t="str">
        <f>Y34</f>
        <v>Females</v>
      </c>
      <c r="Z82" s="188"/>
      <c r="AA82" s="188"/>
      <c r="AB82" s="188"/>
      <c r="AC82" s="188"/>
      <c r="AD82" s="188"/>
      <c r="AE82" s="188"/>
      <c r="AF82" s="188"/>
      <c r="AG82" s="188"/>
      <c r="AH82" s="188"/>
      <c r="AI82" s="188"/>
      <c r="AJ82" s="188"/>
      <c r="AK82" s="188"/>
      <c r="AL82" s="188"/>
      <c r="AM82" s="188"/>
      <c r="AN82" s="188"/>
      <c r="AO82" s="188"/>
      <c r="AP82" s="188"/>
      <c r="AQ82" s="114" t="str">
        <f>AQ34</f>
        <v>Females</v>
      </c>
      <c r="AR82" s="94"/>
      <c r="AS82" s="94"/>
      <c r="AT82" s="94"/>
      <c r="AU82" s="94"/>
      <c r="AV82" s="188"/>
      <c r="AW82" s="188"/>
      <c r="AX82" s="188"/>
      <c r="AY82" s="188"/>
      <c r="AZ82" s="188"/>
      <c r="BA82" s="188"/>
      <c r="BB82" s="188"/>
      <c r="BC82" s="188"/>
      <c r="BD82" s="188"/>
      <c r="BE82" s="188"/>
      <c r="BF82" s="188"/>
      <c r="BG82" s="188"/>
      <c r="BH82" s="188"/>
    </row>
    <row r="83" spans="1:60" x14ac:dyDescent="0.2">
      <c r="A83" s="91" t="str">
        <f>A35</f>
        <v>15+</v>
      </c>
      <c r="B83" s="189">
        <f>SUM(B84:B94)</f>
        <v>423.06360139942507</v>
      </c>
      <c r="C83" s="189">
        <f t="shared" ref="C83:F83" si="79">SUM(C84:C94)</f>
        <v>420.02944292320001</v>
      </c>
      <c r="D83" s="189">
        <f t="shared" si="79"/>
        <v>340.32430055838188</v>
      </c>
      <c r="E83" s="189">
        <f t="shared" si="79"/>
        <v>280.86469102706656</v>
      </c>
      <c r="F83" s="189">
        <f t="shared" si="79"/>
        <v>223.76680386266278</v>
      </c>
      <c r="G83" s="189"/>
      <c r="H83" s="189">
        <f>SUM(H84:H94)</f>
        <v>145.89694047973552</v>
      </c>
      <c r="I83" s="189">
        <f t="shared" ref="I83:L83" si="80">SUM(I84:I94)</f>
        <v>145.07481013301967</v>
      </c>
      <c r="J83" s="189">
        <f t="shared" si="80"/>
        <v>119.0698940829858</v>
      </c>
      <c r="K83" s="189">
        <f t="shared" si="80"/>
        <v>97.685423606672089</v>
      </c>
      <c r="L83" s="189">
        <f t="shared" si="80"/>
        <v>77.126697351246889</v>
      </c>
      <c r="M83" s="189"/>
      <c r="N83" s="189">
        <f>SUM(N84:N94)</f>
        <v>277.16666091968955</v>
      </c>
      <c r="O83" s="189">
        <f t="shared" ref="O83:R83" si="81">SUM(O84:O94)</f>
        <v>274.95463279018031</v>
      </c>
      <c r="P83" s="189">
        <f t="shared" si="81"/>
        <v>221.25440647539608</v>
      </c>
      <c r="Q83" s="189">
        <f t="shared" si="81"/>
        <v>183.17926742039447</v>
      </c>
      <c r="R83" s="189">
        <f t="shared" si="81"/>
        <v>146.64010651141589</v>
      </c>
      <c r="S83" s="189"/>
      <c r="T83" s="189">
        <f>SUM(T84:T94)</f>
        <v>0</v>
      </c>
      <c r="U83" s="189">
        <f t="shared" ref="U83:X83" si="82">SUM(U84:U94)</f>
        <v>0</v>
      </c>
      <c r="V83" s="189">
        <f t="shared" si="82"/>
        <v>0</v>
      </c>
      <c r="W83" s="189">
        <f t="shared" si="82"/>
        <v>0</v>
      </c>
      <c r="X83" s="189">
        <f t="shared" si="82"/>
        <v>0</v>
      </c>
      <c r="Y83" s="91" t="str">
        <f>Y35</f>
        <v>15+</v>
      </c>
      <c r="Z83" s="189">
        <f>SUM(Z84:Z94)</f>
        <v>835.78959562739158</v>
      </c>
      <c r="AA83" s="189">
        <f t="shared" ref="AA83:AD83" si="83">SUM(AA84:AA94)</f>
        <v>817.71951299037789</v>
      </c>
      <c r="AB83" s="189">
        <f t="shared" si="83"/>
        <v>833.46122225056911</v>
      </c>
      <c r="AC83" s="189">
        <f t="shared" si="83"/>
        <v>872.7568149707464</v>
      </c>
      <c r="AD83" s="189">
        <f t="shared" si="83"/>
        <v>906.76405425389191</v>
      </c>
      <c r="AE83" s="189"/>
      <c r="AF83" s="189">
        <f>SUM(AF84:AF94)</f>
        <v>775.49874803920272</v>
      </c>
      <c r="AG83" s="189">
        <f t="shared" ref="AG83:AJ83" si="84">SUM(AG84:AG94)</f>
        <v>758.80872601036992</v>
      </c>
      <c r="AH83" s="189">
        <f t="shared" si="84"/>
        <v>773.5162619397023</v>
      </c>
      <c r="AI83" s="189">
        <f t="shared" si="84"/>
        <v>810.06846896436525</v>
      </c>
      <c r="AJ83" s="189">
        <f t="shared" si="84"/>
        <v>841.89337685638475</v>
      </c>
      <c r="AK83" s="189"/>
      <c r="AL83" s="189">
        <f>SUM(AL84:AL94)</f>
        <v>60.29084758818869</v>
      </c>
      <c r="AM83" s="189">
        <f t="shared" ref="AM83:AP83" si="85">SUM(AM84:AM94)</f>
        <v>58.910786980008034</v>
      </c>
      <c r="AN83" s="189">
        <f t="shared" si="85"/>
        <v>59.944960310866939</v>
      </c>
      <c r="AO83" s="189">
        <f t="shared" si="85"/>
        <v>62.688346006381188</v>
      </c>
      <c r="AP83" s="189">
        <f t="shared" si="85"/>
        <v>64.870677397506995</v>
      </c>
      <c r="AQ83" s="91" t="str">
        <f>AQ35</f>
        <v>15+</v>
      </c>
      <c r="AR83" s="189">
        <f>SUM(AR84:AR94)</f>
        <v>889.40880297318358</v>
      </c>
      <c r="AS83" s="189">
        <f t="shared" ref="AS83:AV83" si="86">SUM(AS84:AS94)</f>
        <v>982.33504408642204</v>
      </c>
      <c r="AT83" s="189">
        <f t="shared" si="86"/>
        <v>1108.5044771910491</v>
      </c>
      <c r="AU83" s="189">
        <f t="shared" si="86"/>
        <v>1230.8314940021869</v>
      </c>
      <c r="AV83" s="189">
        <f t="shared" si="86"/>
        <v>1348.9681418834455</v>
      </c>
      <c r="AW83" s="189"/>
      <c r="AX83" s="189">
        <f>SUM(AX84:AX94)</f>
        <v>879.74824720033962</v>
      </c>
      <c r="AY83" s="189">
        <f t="shared" ref="AY83:BB83" si="87">SUM(AY84:AY94)</f>
        <v>971.10421223711137</v>
      </c>
      <c r="AZ83" s="189">
        <f t="shared" si="87"/>
        <v>1095.1677547026629</v>
      </c>
      <c r="BA83" s="189">
        <f t="shared" si="87"/>
        <v>1216.0188704547381</v>
      </c>
      <c r="BB83" s="189">
        <f t="shared" si="87"/>
        <v>1332.3320678155631</v>
      </c>
      <c r="BC83" s="189"/>
      <c r="BD83" s="189">
        <f>SUM(BD84:BD94)</f>
        <v>9.6605557728437574</v>
      </c>
      <c r="BE83" s="189">
        <f t="shared" ref="BE83:BH83" si="88">SUM(BE84:BE94)</f>
        <v>11.105764362713181</v>
      </c>
      <c r="BF83" s="189">
        <f t="shared" si="88"/>
        <v>13.018684577213577</v>
      </c>
      <c r="BG83" s="189">
        <f t="shared" si="88"/>
        <v>14.812623547448824</v>
      </c>
      <c r="BH83" s="189">
        <f t="shared" si="88"/>
        <v>16.636074067882518</v>
      </c>
    </row>
    <row r="84" spans="1:60" x14ac:dyDescent="0.2">
      <c r="A84" s="91" t="str">
        <f t="shared" ref="A84:A94" si="89">A36</f>
        <v>15-19</v>
      </c>
      <c r="B84" s="189">
        <v>11.952178011992856</v>
      </c>
      <c r="C84" s="189">
        <v>13.402887260222242</v>
      </c>
      <c r="D84" s="189">
        <v>10.497400074288828</v>
      </c>
      <c r="E84" s="189">
        <v>10.487079759394881</v>
      </c>
      <c r="F84" s="188">
        <v>11.380731286753464</v>
      </c>
      <c r="G84" s="188"/>
      <c r="H84" s="189">
        <v>1.9311383476471966</v>
      </c>
      <c r="I84" s="189">
        <v>2.1654425866600273</v>
      </c>
      <c r="J84" s="189">
        <v>1.6960330233653167</v>
      </c>
      <c r="K84" s="189">
        <v>1.6944183086206663</v>
      </c>
      <c r="L84" s="188">
        <v>1.8387489146198699</v>
      </c>
      <c r="M84" s="188"/>
      <c r="N84" s="189">
        <v>10.021039664345659</v>
      </c>
      <c r="O84" s="189">
        <v>11.237444673562216</v>
      </c>
      <c r="P84" s="189">
        <v>8.8013670509235116</v>
      </c>
      <c r="Q84" s="189">
        <v>8.7926614507742151</v>
      </c>
      <c r="R84" s="188">
        <v>9.5419823721335941</v>
      </c>
      <c r="S84" s="188"/>
      <c r="T84" s="189">
        <v>0</v>
      </c>
      <c r="U84" s="189">
        <v>0</v>
      </c>
      <c r="V84" s="189">
        <v>0</v>
      </c>
      <c r="W84" s="189">
        <v>0</v>
      </c>
      <c r="X84" s="188">
        <v>0</v>
      </c>
      <c r="Y84" s="91" t="str">
        <f t="shared" ref="Y84:Y94" si="90">Y36</f>
        <v>15-19</v>
      </c>
      <c r="Z84" s="189">
        <v>10.828592838586953</v>
      </c>
      <c r="AA84" s="189">
        <v>10.260045253180333</v>
      </c>
      <c r="AB84" s="189">
        <v>8.3705620145386224</v>
      </c>
      <c r="AC84" s="189">
        <v>8.9334389435199988</v>
      </c>
      <c r="AD84" s="188">
        <v>10.306241587925554</v>
      </c>
      <c r="AE84" s="188"/>
      <c r="AF84" s="189">
        <v>10.269940466538486</v>
      </c>
      <c r="AG84" s="189">
        <v>9.7306883630573378</v>
      </c>
      <c r="AH84" s="189">
        <v>7.9386523921141237</v>
      </c>
      <c r="AI84" s="189">
        <v>8.4725263317021824</v>
      </c>
      <c r="AJ84" s="188">
        <v>9.7745223494256592</v>
      </c>
      <c r="AK84" s="188"/>
      <c r="AL84" s="189">
        <v>0.55865237204846663</v>
      </c>
      <c r="AM84" s="189">
        <v>0.52935689012299614</v>
      </c>
      <c r="AN84" s="189">
        <v>0.43190962242449843</v>
      </c>
      <c r="AO84" s="189">
        <v>0.46091261181781773</v>
      </c>
      <c r="AP84" s="188">
        <v>0.53171923849989433</v>
      </c>
      <c r="AQ84" s="91" t="str">
        <f t="shared" ref="AQ84:AQ94" si="91">AQ36</f>
        <v>15-19</v>
      </c>
      <c r="AR84" s="189">
        <v>0.12322914942019014</v>
      </c>
      <c r="AS84" s="189">
        <v>0.12506748659742103</v>
      </c>
      <c r="AT84" s="189">
        <v>0.31803791117255348</v>
      </c>
      <c r="AU84" s="189">
        <v>0.32248129708511647</v>
      </c>
      <c r="AV84" s="188">
        <v>0.3530271253209819</v>
      </c>
      <c r="AW84" s="188"/>
      <c r="AX84" s="189">
        <v>0.12322914942019014</v>
      </c>
      <c r="AY84" s="189">
        <v>0</v>
      </c>
      <c r="AZ84" s="189">
        <v>0</v>
      </c>
      <c r="BA84" s="189">
        <v>0.32248129708511647</v>
      </c>
      <c r="BB84" s="188">
        <v>0.3530271253209819</v>
      </c>
      <c r="BC84" s="188"/>
      <c r="BD84" s="189">
        <v>0</v>
      </c>
      <c r="BE84" s="189">
        <v>0</v>
      </c>
      <c r="BF84" s="189">
        <v>0</v>
      </c>
      <c r="BG84" s="189">
        <v>0</v>
      </c>
      <c r="BH84" s="188">
        <v>0</v>
      </c>
    </row>
    <row r="85" spans="1:60" x14ac:dyDescent="0.2">
      <c r="A85" s="91" t="str">
        <f t="shared" si="89"/>
        <v>20-24</v>
      </c>
      <c r="B85" s="189">
        <v>27.162073940488085</v>
      </c>
      <c r="C85" s="189">
        <v>25.818959473458939</v>
      </c>
      <c r="D85" s="189">
        <v>19.430418992506574</v>
      </c>
      <c r="E85" s="189">
        <v>17.065770140454763</v>
      </c>
      <c r="F85" s="188">
        <v>15.339491201948526</v>
      </c>
      <c r="G85" s="188"/>
      <c r="H85" s="189">
        <v>7.738175779416105</v>
      </c>
      <c r="I85" s="189">
        <v>7.3555159173417479</v>
      </c>
      <c r="J85" s="189">
        <v>5.5355294417133862</v>
      </c>
      <c r="K85" s="189">
        <v>4.8618655592881783</v>
      </c>
      <c r="L85" s="188">
        <v>4.370057954996903</v>
      </c>
      <c r="M85" s="188"/>
      <c r="N85" s="189">
        <v>19.423898161071982</v>
      </c>
      <c r="O85" s="189">
        <v>18.463443556117188</v>
      </c>
      <c r="P85" s="189">
        <v>13.894889550793188</v>
      </c>
      <c r="Q85" s="189">
        <v>12.203904581166585</v>
      </c>
      <c r="R85" s="188">
        <v>10.96943324695162</v>
      </c>
      <c r="S85" s="188"/>
      <c r="T85" s="189">
        <v>0</v>
      </c>
      <c r="U85" s="189">
        <v>0</v>
      </c>
      <c r="V85" s="189">
        <v>0</v>
      </c>
      <c r="W85" s="189">
        <v>0</v>
      </c>
      <c r="X85" s="188">
        <v>0</v>
      </c>
      <c r="Y85" s="91" t="str">
        <f t="shared" si="90"/>
        <v>20-24</v>
      </c>
      <c r="Z85" s="189">
        <v>83.029902962100564</v>
      </c>
      <c r="AA85" s="189">
        <v>84.099064086151856</v>
      </c>
      <c r="AB85" s="189">
        <v>75.456016390238844</v>
      </c>
      <c r="AC85" s="189">
        <v>72.409581167242635</v>
      </c>
      <c r="AD85" s="188">
        <v>70.925077672432323</v>
      </c>
      <c r="AE85" s="188"/>
      <c r="AF85" s="189">
        <v>74.996139409236491</v>
      </c>
      <c r="AG85" s="189">
        <v>75.961913287114783</v>
      </c>
      <c r="AH85" s="189">
        <v>68.155149094152151</v>
      </c>
      <c r="AI85" s="189">
        <v>65.403445863093296</v>
      </c>
      <c r="AJ85" s="188">
        <v>64.062544551136526</v>
      </c>
      <c r="AK85" s="188"/>
      <c r="AL85" s="189">
        <v>8.0337635528640625</v>
      </c>
      <c r="AM85" s="189">
        <v>8.1371507990370748</v>
      </c>
      <c r="AN85" s="189">
        <v>7.3008672960866994</v>
      </c>
      <c r="AO85" s="189">
        <v>7.0061353041493399</v>
      </c>
      <c r="AP85" s="188">
        <v>6.8625331212957974</v>
      </c>
      <c r="AQ85" s="91" t="str">
        <f t="shared" si="91"/>
        <v>20-24</v>
      </c>
      <c r="AR85" s="189">
        <v>64.096023097411347</v>
      </c>
      <c r="AS85" s="189">
        <v>59.5749764403892</v>
      </c>
      <c r="AT85" s="189">
        <v>64.928564617254594</v>
      </c>
      <c r="AU85" s="189">
        <v>69.876648692302624</v>
      </c>
      <c r="AV85" s="188">
        <v>76.967431125619157</v>
      </c>
      <c r="AW85" s="188"/>
      <c r="AX85" s="189">
        <v>63.936315058758787</v>
      </c>
      <c r="AY85" s="189">
        <v>59.426553735923072</v>
      </c>
      <c r="AZ85" s="189">
        <v>64.766758302259873</v>
      </c>
      <c r="BA85" s="189">
        <v>69.702519316956455</v>
      </c>
      <c r="BB85" s="188">
        <v>76.775653915926199</v>
      </c>
      <c r="BC85" s="188"/>
      <c r="BD85" s="189">
        <v>0.1597080386525653</v>
      </c>
      <c r="BE85" s="189">
        <v>0.14842270446612335</v>
      </c>
      <c r="BF85" s="189">
        <v>0.16180631499472672</v>
      </c>
      <c r="BG85" s="189">
        <v>0.17412937534616696</v>
      </c>
      <c r="BH85" s="188">
        <v>0.19177720969295214</v>
      </c>
    </row>
    <row r="86" spans="1:60" x14ac:dyDescent="0.2">
      <c r="A86" s="91" t="str">
        <f t="shared" si="89"/>
        <v>25-29</v>
      </c>
      <c r="B86" s="189">
        <v>28.972672566594831</v>
      </c>
      <c r="C86" s="189">
        <v>33.619340539542968</v>
      </c>
      <c r="D86" s="189">
        <v>28.636722146171739</v>
      </c>
      <c r="E86" s="189">
        <v>27.654766165607402</v>
      </c>
      <c r="F86" s="188">
        <v>24.701036177168444</v>
      </c>
      <c r="G86" s="188"/>
      <c r="H86" s="189">
        <v>7.950704122039733</v>
      </c>
      <c r="I86" s="189">
        <v>9.2258401283768823</v>
      </c>
      <c r="J86" s="189">
        <v>7.8585514263485647</v>
      </c>
      <c r="K86" s="189">
        <v>7.589044948115105</v>
      </c>
      <c r="L86" s="188">
        <v>6.778482350960795</v>
      </c>
      <c r="M86" s="188"/>
      <c r="N86" s="189">
        <v>21.021968444555103</v>
      </c>
      <c r="O86" s="189">
        <v>24.393500411166084</v>
      </c>
      <c r="P86" s="189">
        <v>20.778170719823173</v>
      </c>
      <c r="Q86" s="189">
        <v>20.065721217492296</v>
      </c>
      <c r="R86" s="188">
        <v>17.922553826207647</v>
      </c>
      <c r="S86" s="188"/>
      <c r="T86" s="189">
        <v>0</v>
      </c>
      <c r="U86" s="189">
        <v>0</v>
      </c>
      <c r="V86" s="189">
        <v>0</v>
      </c>
      <c r="W86" s="189">
        <v>0</v>
      </c>
      <c r="X86" s="188">
        <v>0</v>
      </c>
      <c r="Y86" s="91" t="str">
        <f t="shared" si="90"/>
        <v>25-29</v>
      </c>
      <c r="Z86" s="189">
        <v>104.35741449365315</v>
      </c>
      <c r="AA86" s="189">
        <v>97.185337610544352</v>
      </c>
      <c r="AB86" s="189">
        <v>95.599811894115447</v>
      </c>
      <c r="AC86" s="189">
        <v>97.118545376405621</v>
      </c>
      <c r="AD86" s="188">
        <v>91.712418531394292</v>
      </c>
      <c r="AE86" s="188"/>
      <c r="AF86" s="189">
        <v>94.421539979508964</v>
      </c>
      <c r="AG86" s="189">
        <v>87.932329636056579</v>
      </c>
      <c r="AH86" s="189">
        <v>86.497719374499709</v>
      </c>
      <c r="AI86" s="189">
        <v>87.87184276496231</v>
      </c>
      <c r="AJ86" s="188">
        <v>82.980425552523215</v>
      </c>
      <c r="AK86" s="188"/>
      <c r="AL86" s="189">
        <v>9.9358745141441993</v>
      </c>
      <c r="AM86" s="189">
        <v>9.2530079744877742</v>
      </c>
      <c r="AN86" s="189">
        <v>9.1020925196157414</v>
      </c>
      <c r="AO86" s="189">
        <v>9.2467026114433057</v>
      </c>
      <c r="AP86" s="188">
        <v>8.7319929788710677</v>
      </c>
      <c r="AQ86" s="91" t="str">
        <f t="shared" si="91"/>
        <v>25-29</v>
      </c>
      <c r="AR86" s="189">
        <v>154.57691293975205</v>
      </c>
      <c r="AS86" s="189">
        <v>158.68732184991271</v>
      </c>
      <c r="AT86" s="189">
        <v>170.7534659597128</v>
      </c>
      <c r="AU86" s="189">
        <v>191.50468845798702</v>
      </c>
      <c r="AV86" s="188">
        <v>199.18454529143727</v>
      </c>
      <c r="AW86" s="188"/>
      <c r="AX86" s="189">
        <v>153.36078875627214</v>
      </c>
      <c r="AY86" s="189">
        <v>157.4389010397588</v>
      </c>
      <c r="AZ86" s="189">
        <v>169.41011412348425</v>
      </c>
      <c r="BA86" s="189">
        <v>189.99801160263456</v>
      </c>
      <c r="BB86" s="188">
        <v>197.61746925057139</v>
      </c>
      <c r="BC86" s="188"/>
      <c r="BD86" s="189">
        <v>1.216124183479921</v>
      </c>
      <c r="BE86" s="189">
        <v>1.2484208101538898</v>
      </c>
      <c r="BF86" s="189">
        <v>1.3433518362285748</v>
      </c>
      <c r="BG86" s="189">
        <v>1.5066768553524434</v>
      </c>
      <c r="BH86" s="188">
        <v>1.5670760408658764</v>
      </c>
    </row>
    <row r="87" spans="1:60" x14ac:dyDescent="0.2">
      <c r="A87" s="91" t="str">
        <f t="shared" si="89"/>
        <v>30-34</v>
      </c>
      <c r="B87" s="189">
        <v>28.548429106302432</v>
      </c>
      <c r="C87" s="189">
        <v>33.358134400600257</v>
      </c>
      <c r="D87" s="189">
        <v>26.133347885177166</v>
      </c>
      <c r="E87" s="189">
        <v>24.365255828037625</v>
      </c>
      <c r="F87" s="188">
        <v>20.217650831183683</v>
      </c>
      <c r="G87" s="188"/>
      <c r="H87" s="189">
        <v>8.8494100941278067</v>
      </c>
      <c r="I87" s="189">
        <v>10.340333649356303</v>
      </c>
      <c r="J87" s="189">
        <v>8.1007469331818331</v>
      </c>
      <c r="K87" s="189">
        <v>7.5527322076666525</v>
      </c>
      <c r="L87" s="188">
        <v>6.2670936294528277</v>
      </c>
      <c r="M87" s="188"/>
      <c r="N87" s="189">
        <v>19.699019012174627</v>
      </c>
      <c r="O87" s="189">
        <v>23.017800751243954</v>
      </c>
      <c r="P87" s="189">
        <v>18.032600951995331</v>
      </c>
      <c r="Q87" s="189">
        <v>16.812523620370971</v>
      </c>
      <c r="R87" s="188">
        <v>13.950557201730856</v>
      </c>
      <c r="S87" s="188"/>
      <c r="T87" s="189">
        <v>0</v>
      </c>
      <c r="U87" s="189">
        <v>0</v>
      </c>
      <c r="V87" s="189">
        <v>0</v>
      </c>
      <c r="W87" s="189">
        <v>0</v>
      </c>
      <c r="X87" s="188">
        <v>0</v>
      </c>
      <c r="Y87" s="91" t="str">
        <f t="shared" si="90"/>
        <v>30-34</v>
      </c>
      <c r="Z87" s="189">
        <v>108.05302506717383</v>
      </c>
      <c r="AA87" s="189">
        <v>98.910651662683122</v>
      </c>
      <c r="AB87" s="189">
        <v>99.823038706554627</v>
      </c>
      <c r="AC87" s="189">
        <v>99.91027324420439</v>
      </c>
      <c r="AD87" s="188">
        <v>100.65577680822747</v>
      </c>
      <c r="AE87" s="188"/>
      <c r="AF87" s="189">
        <v>98.864662354008289</v>
      </c>
      <c r="AG87" s="189">
        <v>90.499770716250708</v>
      </c>
      <c r="AH87" s="189">
        <v>91.334572918369915</v>
      </c>
      <c r="AI87" s="189">
        <v>91.414386042419594</v>
      </c>
      <c r="AJ87" s="188">
        <v>92.096473466363605</v>
      </c>
      <c r="AK87" s="188"/>
      <c r="AL87" s="189">
        <v>9.1883627131655423</v>
      </c>
      <c r="AM87" s="189">
        <v>8.4108809464324228</v>
      </c>
      <c r="AN87" s="189">
        <v>8.4884657881847136</v>
      </c>
      <c r="AO87" s="189">
        <v>8.4958872017847948</v>
      </c>
      <c r="AP87" s="188">
        <v>8.5593033418638793</v>
      </c>
      <c r="AQ87" s="91" t="str">
        <f t="shared" si="91"/>
        <v>30-34</v>
      </c>
      <c r="AR87" s="189">
        <v>154.40154582652374</v>
      </c>
      <c r="AS87" s="189">
        <v>164.11921393671662</v>
      </c>
      <c r="AT87" s="189">
        <v>176.72761340826818</v>
      </c>
      <c r="AU87" s="189">
        <v>194.300470927758</v>
      </c>
      <c r="AV87" s="188">
        <v>216.50257236058886</v>
      </c>
      <c r="AW87" s="188"/>
      <c r="AX87" s="189">
        <v>152.67917871565837</v>
      </c>
      <c r="AY87" s="189">
        <v>162.28847354227025</v>
      </c>
      <c r="AZ87" s="189">
        <v>174.75627406499731</v>
      </c>
      <c r="BA87" s="189">
        <v>192.1331101550017</v>
      </c>
      <c r="BB87" s="188">
        <v>214.08754627952416</v>
      </c>
      <c r="BC87" s="188"/>
      <c r="BD87" s="189">
        <v>1.7223671108653775</v>
      </c>
      <c r="BE87" s="189">
        <v>1.8307403944463407</v>
      </c>
      <c r="BF87" s="189">
        <v>1.9713393432708828</v>
      </c>
      <c r="BG87" s="189">
        <v>2.1673607727562971</v>
      </c>
      <c r="BH87" s="188">
        <v>2.415026081064688</v>
      </c>
    </row>
    <row r="88" spans="1:60" x14ac:dyDescent="0.2">
      <c r="A88" s="91" t="str">
        <f t="shared" si="89"/>
        <v>35-39</v>
      </c>
      <c r="B88" s="189">
        <v>44.016457260235349</v>
      </c>
      <c r="C88" s="189">
        <v>39.976771904202742</v>
      </c>
      <c r="D88" s="189">
        <v>30.464108582682162</v>
      </c>
      <c r="E88" s="189">
        <v>25.442342869618368</v>
      </c>
      <c r="F88" s="188">
        <v>19.313398032930589</v>
      </c>
      <c r="G88" s="188"/>
      <c r="H88" s="189">
        <v>13.170766467977897</v>
      </c>
      <c r="I88" s="189">
        <v>11.962019761666104</v>
      </c>
      <c r="J88" s="189">
        <v>9.1155623116308764</v>
      </c>
      <c r="K88" s="189">
        <v>7.6129848602255867</v>
      </c>
      <c r="L88" s="188">
        <v>5.7790036533667513</v>
      </c>
      <c r="M88" s="188"/>
      <c r="N88" s="189">
        <v>30.845690792257454</v>
      </c>
      <c r="O88" s="189">
        <v>28.014752142536643</v>
      </c>
      <c r="P88" s="189">
        <v>21.348546271051283</v>
      </c>
      <c r="Q88" s="189">
        <v>17.829358009392781</v>
      </c>
      <c r="R88" s="188">
        <v>13.534394379563837</v>
      </c>
      <c r="S88" s="188"/>
      <c r="T88" s="189">
        <v>0</v>
      </c>
      <c r="U88" s="189">
        <v>0</v>
      </c>
      <c r="V88" s="189">
        <v>0</v>
      </c>
      <c r="W88" s="189">
        <v>0</v>
      </c>
      <c r="X88" s="188">
        <v>0</v>
      </c>
      <c r="Y88" s="91" t="str">
        <f t="shared" si="90"/>
        <v>35-39</v>
      </c>
      <c r="Z88" s="189">
        <v>124.3317548459237</v>
      </c>
      <c r="AA88" s="189">
        <v>115.20319439668521</v>
      </c>
      <c r="AB88" s="189">
        <v>103.99848531956397</v>
      </c>
      <c r="AC88" s="189">
        <v>107.78515736503378</v>
      </c>
      <c r="AD88" s="188">
        <v>110.93136167790429</v>
      </c>
      <c r="AE88" s="188"/>
      <c r="AF88" s="189">
        <v>116.17651410584847</v>
      </c>
      <c r="AG88" s="189">
        <v>107.64676072030048</v>
      </c>
      <c r="AH88" s="189">
        <v>97.176962171565435</v>
      </c>
      <c r="AI88" s="189">
        <v>100.71524913353808</v>
      </c>
      <c r="AJ88" s="188">
        <v>103.65514843528025</v>
      </c>
      <c r="AK88" s="188"/>
      <c r="AL88" s="189">
        <v>8.1552407400752234</v>
      </c>
      <c r="AM88" s="189">
        <v>7.5564336763847377</v>
      </c>
      <c r="AN88" s="189">
        <v>6.821523147998537</v>
      </c>
      <c r="AO88" s="189">
        <v>7.06990823149569</v>
      </c>
      <c r="AP88" s="188">
        <v>7.2762132426240571</v>
      </c>
      <c r="AQ88" s="91" t="str">
        <f t="shared" si="91"/>
        <v>35-39</v>
      </c>
      <c r="AR88" s="189">
        <v>141.16078789384099</v>
      </c>
      <c r="AS88" s="189">
        <v>157.71103369911205</v>
      </c>
      <c r="AT88" s="189">
        <v>168.57540609775387</v>
      </c>
      <c r="AU88" s="189">
        <v>191.25249976534786</v>
      </c>
      <c r="AV88" s="188">
        <v>212.66724028916508</v>
      </c>
      <c r="AW88" s="188"/>
      <c r="AX88" s="189">
        <v>139.58664839223439</v>
      </c>
      <c r="AY88" s="189">
        <v>155.9523133601179</v>
      </c>
      <c r="AZ88" s="189">
        <v>166.69556733261371</v>
      </c>
      <c r="BA88" s="189">
        <v>189.11981088672707</v>
      </c>
      <c r="BB88" s="188">
        <v>210.29565301075678</v>
      </c>
      <c r="BC88" s="188"/>
      <c r="BD88" s="189">
        <v>1.5741395016066007</v>
      </c>
      <c r="BE88" s="189">
        <v>1.758720338994133</v>
      </c>
      <c r="BF88" s="189">
        <v>1.8798387651401465</v>
      </c>
      <c r="BG88" s="189">
        <v>2.1326888786208036</v>
      </c>
      <c r="BH88" s="188">
        <v>2.3715872784083478</v>
      </c>
    </row>
    <row r="89" spans="1:60" x14ac:dyDescent="0.2">
      <c r="A89" s="91" t="str">
        <f t="shared" si="89"/>
        <v>40-44</v>
      </c>
      <c r="B89" s="189">
        <v>62.562497845796578</v>
      </c>
      <c r="C89" s="189">
        <v>52.041253862300799</v>
      </c>
      <c r="D89" s="189">
        <v>37.292808343338905</v>
      </c>
      <c r="E89" s="189">
        <v>25.730317953372698</v>
      </c>
      <c r="F89" s="188">
        <v>17.848161884307732</v>
      </c>
      <c r="G89" s="188"/>
      <c r="H89" s="189">
        <v>21.068964130305993</v>
      </c>
      <c r="I89" s="189">
        <v>17.525770127794758</v>
      </c>
      <c r="J89" s="189">
        <v>12.558954308409454</v>
      </c>
      <c r="K89" s="189">
        <v>8.6650962158735219</v>
      </c>
      <c r="L89" s="188">
        <v>6.0106773270790361</v>
      </c>
      <c r="M89" s="188"/>
      <c r="N89" s="189">
        <v>41.493533715490578</v>
      </c>
      <c r="O89" s="189">
        <v>34.515483734506034</v>
      </c>
      <c r="P89" s="189">
        <v>24.73385403492945</v>
      </c>
      <c r="Q89" s="189">
        <v>17.065221737499176</v>
      </c>
      <c r="R89" s="188">
        <v>11.837484557228693</v>
      </c>
      <c r="S89" s="188"/>
      <c r="T89" s="189">
        <v>0</v>
      </c>
      <c r="U89" s="189">
        <v>0</v>
      </c>
      <c r="V89" s="189">
        <v>0</v>
      </c>
      <c r="W89" s="189">
        <v>0</v>
      </c>
      <c r="X89" s="188">
        <v>0</v>
      </c>
      <c r="Y89" s="91" t="str">
        <f t="shared" si="90"/>
        <v>40-44</v>
      </c>
      <c r="Z89" s="189">
        <v>133.43211125882925</v>
      </c>
      <c r="AA89" s="189">
        <v>124.30920077827601</v>
      </c>
      <c r="AB89" s="189">
        <v>114.42328927804037</v>
      </c>
      <c r="AC89" s="189">
        <v>113.59093257500689</v>
      </c>
      <c r="AD89" s="188">
        <v>119.96086291422256</v>
      </c>
      <c r="AE89" s="188"/>
      <c r="AF89" s="189">
        <v>125.56555151187415</v>
      </c>
      <c r="AG89" s="189">
        <v>116.9805269711083</v>
      </c>
      <c r="AH89" s="189">
        <v>107.6774160354275</v>
      </c>
      <c r="AI89" s="189">
        <v>106.89413288813921</v>
      </c>
      <c r="AJ89" s="188">
        <v>112.88853405200165</v>
      </c>
      <c r="AK89" s="188"/>
      <c r="AL89" s="189">
        <v>7.8665597469551063</v>
      </c>
      <c r="AM89" s="189">
        <v>7.3286738071676902</v>
      </c>
      <c r="AN89" s="189">
        <v>6.7458732426128867</v>
      </c>
      <c r="AO89" s="189">
        <v>6.6967996868676751</v>
      </c>
      <c r="AP89" s="188">
        <v>7.0723288622208971</v>
      </c>
      <c r="AQ89" s="91" t="str">
        <f t="shared" si="91"/>
        <v>40-44</v>
      </c>
      <c r="AR89" s="189">
        <v>128.51739089537415</v>
      </c>
      <c r="AS89" s="189">
        <v>144.36154535942319</v>
      </c>
      <c r="AT89" s="189">
        <v>158.66390237862072</v>
      </c>
      <c r="AU89" s="189">
        <v>166.99874947162044</v>
      </c>
      <c r="AV89" s="188">
        <v>185.07097520146974</v>
      </c>
      <c r="AW89" s="188"/>
      <c r="AX89" s="189">
        <v>126.94819387148412</v>
      </c>
      <c r="AY89" s="189">
        <v>142.59892905662338</v>
      </c>
      <c r="AZ89" s="189">
        <v>156.72664379404665</v>
      </c>
      <c r="BA89" s="189">
        <v>164.95975684612029</v>
      </c>
      <c r="BB89" s="188">
        <v>182.81128024141026</v>
      </c>
      <c r="BC89" s="188"/>
      <c r="BD89" s="189">
        <v>1.5691970238900339</v>
      </c>
      <c r="BE89" s="189">
        <v>1.7626163027998376</v>
      </c>
      <c r="BF89" s="189">
        <v>1.937258584574042</v>
      </c>
      <c r="BG89" s="189">
        <v>2.0389926255001587</v>
      </c>
      <c r="BH89" s="188">
        <v>2.2596949600594747</v>
      </c>
    </row>
    <row r="90" spans="1:60" x14ac:dyDescent="0.2">
      <c r="A90" s="91" t="str">
        <f t="shared" si="89"/>
        <v>45-49</v>
      </c>
      <c r="B90" s="189">
        <v>76.803506450596231</v>
      </c>
      <c r="C90" s="189">
        <v>72.369670614720619</v>
      </c>
      <c r="D90" s="189">
        <v>46.757578011014346</v>
      </c>
      <c r="E90" s="189">
        <v>32.914709981477799</v>
      </c>
      <c r="F90" s="188">
        <v>22.643570627464889</v>
      </c>
      <c r="G90" s="188"/>
      <c r="H90" s="189">
        <v>27.94396864638491</v>
      </c>
      <c r="I90" s="189">
        <v>26.330826958934129</v>
      </c>
      <c r="J90" s="189">
        <v>17.012164489510464</v>
      </c>
      <c r="K90" s="189">
        <v>11.975614453855373</v>
      </c>
      <c r="L90" s="188">
        <v>8.2386021908984706</v>
      </c>
      <c r="M90" s="188"/>
      <c r="N90" s="189">
        <v>48.859537804211321</v>
      </c>
      <c r="O90" s="189">
        <v>46.038843655786486</v>
      </c>
      <c r="P90" s="189">
        <v>29.745413521503881</v>
      </c>
      <c r="Q90" s="189">
        <v>20.939095527622428</v>
      </c>
      <c r="R90" s="188">
        <v>14.404968436566421</v>
      </c>
      <c r="S90" s="188"/>
      <c r="T90" s="189">
        <v>0</v>
      </c>
      <c r="U90" s="189">
        <v>0</v>
      </c>
      <c r="V90" s="189">
        <v>0</v>
      </c>
      <c r="W90" s="189">
        <v>0</v>
      </c>
      <c r="X90" s="188">
        <v>0</v>
      </c>
      <c r="Y90" s="91" t="str">
        <f t="shared" si="90"/>
        <v>45-49</v>
      </c>
      <c r="Z90" s="189">
        <v>119.91671183726781</v>
      </c>
      <c r="AA90" s="189">
        <v>117.54013515583459</v>
      </c>
      <c r="AB90" s="189">
        <v>126.00211978783305</v>
      </c>
      <c r="AC90" s="189">
        <v>129.89925725652535</v>
      </c>
      <c r="AD90" s="188">
        <v>132.56976051535059</v>
      </c>
      <c r="AE90" s="188"/>
      <c r="AF90" s="189">
        <v>113.53631898468487</v>
      </c>
      <c r="AG90" s="189">
        <v>111.28619702022586</v>
      </c>
      <c r="AH90" s="189">
        <v>119.29796634507618</v>
      </c>
      <c r="AI90" s="189">
        <v>122.98778022947444</v>
      </c>
      <c r="AJ90" s="188">
        <v>125.51614028502338</v>
      </c>
      <c r="AK90" s="188"/>
      <c r="AL90" s="189">
        <v>6.3803928525829319</v>
      </c>
      <c r="AM90" s="189">
        <v>6.2539381356087462</v>
      </c>
      <c r="AN90" s="189">
        <v>6.7041534427568807</v>
      </c>
      <c r="AO90" s="189">
        <v>6.9114770270509069</v>
      </c>
      <c r="AP90" s="188">
        <v>7.0536202303272111</v>
      </c>
      <c r="AQ90" s="91" t="str">
        <f t="shared" si="91"/>
        <v>45-49</v>
      </c>
      <c r="AR90" s="189">
        <v>113.07878171213598</v>
      </c>
      <c r="AS90" s="189">
        <v>125.98319422944476</v>
      </c>
      <c r="AT90" s="189">
        <v>142.77630220115262</v>
      </c>
      <c r="AU90" s="189">
        <v>151.84003276199684</v>
      </c>
      <c r="AV90" s="188">
        <v>159.15166885718455</v>
      </c>
      <c r="AW90" s="188"/>
      <c r="AX90" s="189">
        <v>111.76159647140302</v>
      </c>
      <c r="AY90" s="189">
        <v>124.51577593370071</v>
      </c>
      <c r="AZ90" s="189">
        <v>141.11320504624786</v>
      </c>
      <c r="BA90" s="189">
        <v>150.07143093938149</v>
      </c>
      <c r="BB90" s="188">
        <v>157.29788066457172</v>
      </c>
      <c r="BC90" s="188"/>
      <c r="BD90" s="189">
        <v>1.3171852407329641</v>
      </c>
      <c r="BE90" s="189">
        <v>1.4674182957440471</v>
      </c>
      <c r="BF90" s="189">
        <v>1.663097154904764</v>
      </c>
      <c r="BG90" s="189">
        <v>1.7686018226153735</v>
      </c>
      <c r="BH90" s="188">
        <v>1.8537881926128472</v>
      </c>
    </row>
    <row r="91" spans="1:60" x14ac:dyDescent="0.2">
      <c r="A91" s="91" t="str">
        <f t="shared" si="89"/>
        <v>50-54</v>
      </c>
      <c r="B91" s="189">
        <v>74.130845817172315</v>
      </c>
      <c r="C91" s="189">
        <v>76.292901659215687</v>
      </c>
      <c r="D91" s="189">
        <v>62.868745854171486</v>
      </c>
      <c r="E91" s="189">
        <v>48.927498060783627</v>
      </c>
      <c r="F91" s="188">
        <v>37.108932956215206</v>
      </c>
      <c r="G91" s="188"/>
      <c r="H91" s="189">
        <v>27.517951911427684</v>
      </c>
      <c r="I91" s="189">
        <v>28.320507284713951</v>
      </c>
      <c r="J91" s="189">
        <v>23.337364458948031</v>
      </c>
      <c r="K91" s="189">
        <v>18.162254416964728</v>
      </c>
      <c r="L91" s="188">
        <v>13.775148267079187</v>
      </c>
      <c r="M91" s="188"/>
      <c r="N91" s="189">
        <v>46.612893905744635</v>
      </c>
      <c r="O91" s="189">
        <v>47.972394374501732</v>
      </c>
      <c r="P91" s="189">
        <v>39.531381395223455</v>
      </c>
      <c r="Q91" s="189">
        <v>30.765243643818895</v>
      </c>
      <c r="R91" s="188">
        <v>23.333784689136024</v>
      </c>
      <c r="S91" s="188"/>
      <c r="T91" s="189">
        <v>0</v>
      </c>
      <c r="U91" s="189">
        <v>0</v>
      </c>
      <c r="V91" s="189">
        <v>0</v>
      </c>
      <c r="W91" s="189">
        <v>0</v>
      </c>
      <c r="X91" s="188">
        <v>0</v>
      </c>
      <c r="Y91" s="91" t="str">
        <f t="shared" si="90"/>
        <v>50-54</v>
      </c>
      <c r="Z91" s="189">
        <v>86.760993384439232</v>
      </c>
      <c r="AA91" s="189">
        <v>96.953240370929649</v>
      </c>
      <c r="AB91" s="189">
        <v>105.73855197584399</v>
      </c>
      <c r="AC91" s="189">
        <v>116.22864044167615</v>
      </c>
      <c r="AD91" s="188">
        <v>126.02469049917889</v>
      </c>
      <c r="AE91" s="188"/>
      <c r="AF91" s="189">
        <v>81.596570349738855</v>
      </c>
      <c r="AG91" s="189">
        <v>91.182181714094824</v>
      </c>
      <c r="AH91" s="189">
        <v>99.444551689154906</v>
      </c>
      <c r="AI91" s="189">
        <v>109.31026683421746</v>
      </c>
      <c r="AJ91" s="188">
        <v>118.52317446256983</v>
      </c>
      <c r="AK91" s="188"/>
      <c r="AL91" s="189">
        <v>5.1644230347003779</v>
      </c>
      <c r="AM91" s="189">
        <v>5.7710586568348159</v>
      </c>
      <c r="AN91" s="189">
        <v>6.2940002866890863</v>
      </c>
      <c r="AO91" s="189">
        <v>6.9183736074586868</v>
      </c>
      <c r="AP91" s="188">
        <v>7.5015160366090656</v>
      </c>
      <c r="AQ91" s="91" t="str">
        <f t="shared" si="91"/>
        <v>50-54</v>
      </c>
      <c r="AR91" s="189">
        <v>76.999160798388473</v>
      </c>
      <c r="AS91" s="189">
        <v>96.560857969854624</v>
      </c>
      <c r="AT91" s="189">
        <v>116.57270216998455</v>
      </c>
      <c r="AU91" s="189">
        <v>128.98986149754023</v>
      </c>
      <c r="AV91" s="188">
        <v>140.9583765446059</v>
      </c>
      <c r="AW91" s="188"/>
      <c r="AX91" s="189">
        <v>76.294968712849709</v>
      </c>
      <c r="AY91" s="189">
        <v>95.677849729956222</v>
      </c>
      <c r="AZ91" s="189">
        <v>115.50670905420014</v>
      </c>
      <c r="BA91" s="189">
        <v>127.81028960948962</v>
      </c>
      <c r="BB91" s="188">
        <v>139.6692906114707</v>
      </c>
      <c r="BC91" s="188"/>
      <c r="BD91" s="189">
        <v>0.70419208553877055</v>
      </c>
      <c r="BE91" s="189">
        <v>0.88300823989842003</v>
      </c>
      <c r="BF91" s="189">
        <v>1.0659931157844085</v>
      </c>
      <c r="BG91" s="189">
        <v>1.1795718880506243</v>
      </c>
      <c r="BH91" s="188">
        <v>1.2890859331351963</v>
      </c>
    </row>
    <row r="92" spans="1:60" x14ac:dyDescent="0.2">
      <c r="A92" s="91" t="str">
        <f t="shared" si="89"/>
        <v>55-59</v>
      </c>
      <c r="B92" s="189">
        <v>50.123111298551322</v>
      </c>
      <c r="C92" s="189">
        <v>49.323988494669976</v>
      </c>
      <c r="D92" s="189">
        <v>54.734368903773372</v>
      </c>
      <c r="E92" s="189">
        <v>46.878192366194043</v>
      </c>
      <c r="F92" s="188">
        <v>36.717928947865651</v>
      </c>
      <c r="G92" s="188"/>
      <c r="H92" s="189">
        <v>20.068212623946785</v>
      </c>
      <c r="I92" s="189">
        <v>19.748271942588062</v>
      </c>
      <c r="J92" s="189">
        <v>21.914478270879478</v>
      </c>
      <c r="K92" s="189">
        <v>18.76897099596793</v>
      </c>
      <c r="L92" s="188">
        <v>14.701046063760439</v>
      </c>
      <c r="M92" s="188"/>
      <c r="N92" s="189">
        <v>30.054898674604537</v>
      </c>
      <c r="O92" s="189">
        <v>29.575716552081918</v>
      </c>
      <c r="P92" s="189">
        <v>32.819890632893888</v>
      </c>
      <c r="Q92" s="189">
        <v>28.109221370226116</v>
      </c>
      <c r="R92" s="188">
        <v>22.016882884105211</v>
      </c>
      <c r="S92" s="188"/>
      <c r="T92" s="189">
        <v>0</v>
      </c>
      <c r="U92" s="189">
        <v>0</v>
      </c>
      <c r="V92" s="189">
        <v>0</v>
      </c>
      <c r="W92" s="189">
        <v>0</v>
      </c>
      <c r="X92" s="188">
        <v>0</v>
      </c>
      <c r="Y92" s="91" t="str">
        <f t="shared" si="90"/>
        <v>55-59</v>
      </c>
      <c r="Z92" s="189">
        <v>50.022718415568512</v>
      </c>
      <c r="AA92" s="189">
        <v>54.941387327680005</v>
      </c>
      <c r="AB92" s="189">
        <v>78.772938863638728</v>
      </c>
      <c r="AC92" s="189">
        <v>94.437586570976393</v>
      </c>
      <c r="AD92" s="188">
        <v>103.91445213238326</v>
      </c>
      <c r="AE92" s="188"/>
      <c r="AF92" s="189">
        <v>46.530169779779939</v>
      </c>
      <c r="AG92" s="189">
        <v>51.105378605023787</v>
      </c>
      <c r="AH92" s="189">
        <v>73.273049746677671</v>
      </c>
      <c r="AI92" s="189">
        <v>87.843993736619538</v>
      </c>
      <c r="AJ92" s="188">
        <v>96.659206845843883</v>
      </c>
      <c r="AK92" s="188"/>
      <c r="AL92" s="189">
        <v>3.4925486357885691</v>
      </c>
      <c r="AM92" s="189">
        <v>3.8360087226562167</v>
      </c>
      <c r="AN92" s="189">
        <v>5.4998891169610493</v>
      </c>
      <c r="AO92" s="189">
        <v>6.5935928343568344</v>
      </c>
      <c r="AP92" s="188">
        <v>7.2552452865393828</v>
      </c>
      <c r="AQ92" s="91" t="str">
        <f t="shared" si="91"/>
        <v>55-59</v>
      </c>
      <c r="AR92" s="189">
        <v>43.944170285880162</v>
      </c>
      <c r="AS92" s="189">
        <v>55.229624177650017</v>
      </c>
      <c r="AT92" s="189">
        <v>80.0286922325879</v>
      </c>
      <c r="AU92" s="189">
        <v>97.06122106282956</v>
      </c>
      <c r="AV92" s="188">
        <v>107.73061891975107</v>
      </c>
      <c r="AW92" s="188"/>
      <c r="AX92" s="189">
        <v>43.298834557519996</v>
      </c>
      <c r="AY92" s="189">
        <v>54.418522326695687</v>
      </c>
      <c r="AZ92" s="189">
        <v>78.853443932668</v>
      </c>
      <c r="BA92" s="189">
        <v>95.635738085376531</v>
      </c>
      <c r="BB92" s="188">
        <v>106.14856157242835</v>
      </c>
      <c r="BC92" s="188"/>
      <c r="BD92" s="189">
        <v>0.64533572836017361</v>
      </c>
      <c r="BE92" s="189">
        <v>0.81110185095432563</v>
      </c>
      <c r="BF92" s="189">
        <v>1.1752482999198919</v>
      </c>
      <c r="BG92" s="189">
        <v>1.4254829774530267</v>
      </c>
      <c r="BH92" s="188">
        <v>1.5820573473227093</v>
      </c>
    </row>
    <row r="93" spans="1:60" x14ac:dyDescent="0.2">
      <c r="A93" s="91" t="str">
        <f t="shared" si="89"/>
        <v>60-64</v>
      </c>
      <c r="B93" s="189">
        <v>13.764231925065078</v>
      </c>
      <c r="C93" s="189">
        <v>18.76836361753071</v>
      </c>
      <c r="D93" s="189">
        <v>18.508542780694757</v>
      </c>
      <c r="E93" s="189">
        <v>17.452835144978611</v>
      </c>
      <c r="F93" s="188">
        <v>14.804084816049919</v>
      </c>
      <c r="G93" s="188"/>
      <c r="H93" s="189">
        <v>6.6702307458031802</v>
      </c>
      <c r="I93" s="189">
        <v>9.0952856087735459</v>
      </c>
      <c r="J93" s="189">
        <v>8.9693500547268563</v>
      </c>
      <c r="K93" s="189">
        <v>8.4577572298816346</v>
      </c>
      <c r="L93" s="188">
        <v>7.1741516654067379</v>
      </c>
      <c r="M93" s="188"/>
      <c r="N93" s="189">
        <v>7.0940011792618973</v>
      </c>
      <c r="O93" s="189">
        <v>9.6730780087571677</v>
      </c>
      <c r="P93" s="189">
        <v>9.5391927259679008</v>
      </c>
      <c r="Q93" s="189">
        <v>8.9950779150969762</v>
      </c>
      <c r="R93" s="188">
        <v>7.62993315064318</v>
      </c>
      <c r="S93" s="188"/>
      <c r="T93" s="189">
        <v>0</v>
      </c>
      <c r="U93" s="189">
        <v>0</v>
      </c>
      <c r="V93" s="189">
        <v>0</v>
      </c>
      <c r="W93" s="189">
        <v>0</v>
      </c>
      <c r="X93" s="188">
        <v>0</v>
      </c>
      <c r="Y93" s="91" t="str">
        <f t="shared" si="90"/>
        <v>60-64</v>
      </c>
      <c r="Z93" s="189">
        <v>12.31020529409596</v>
      </c>
      <c r="AA93" s="189">
        <v>14.261344557443534</v>
      </c>
      <c r="AB93" s="189">
        <v>21.71515850756559</v>
      </c>
      <c r="AC93" s="189">
        <v>28.490108641285989</v>
      </c>
      <c r="AD93" s="188">
        <v>34.561262922202097</v>
      </c>
      <c r="AE93" s="188"/>
      <c r="AF93" s="189">
        <v>11.043928783107889</v>
      </c>
      <c r="AG93" s="189">
        <v>12.794409216272046</v>
      </c>
      <c r="AH93" s="189">
        <v>19.481518497742734</v>
      </c>
      <c r="AI93" s="189">
        <v>25.559606891725771</v>
      </c>
      <c r="AJ93" s="188">
        <v>31.006230901067084</v>
      </c>
      <c r="AK93" s="188"/>
      <c r="AL93" s="189">
        <v>1.2662765109880707</v>
      </c>
      <c r="AM93" s="189">
        <v>1.4669353411714883</v>
      </c>
      <c r="AN93" s="189">
        <v>2.233640009822857</v>
      </c>
      <c r="AO93" s="189">
        <v>2.9305017495602126</v>
      </c>
      <c r="AP93" s="188">
        <v>3.5550320211350139</v>
      </c>
      <c r="AQ93" s="91" t="str">
        <f t="shared" si="91"/>
        <v>60-64</v>
      </c>
      <c r="AR93" s="189">
        <v>10.014562780838963</v>
      </c>
      <c r="AS93" s="189">
        <v>15.861291825025759</v>
      </c>
      <c r="AT93" s="189">
        <v>24.782298711739656</v>
      </c>
      <c r="AU93" s="189">
        <v>32.955056213735411</v>
      </c>
      <c r="AV93" s="188">
        <v>41.965652261747991</v>
      </c>
      <c r="AW93" s="188"/>
      <c r="AX93" s="189">
        <v>9.3191096537115143</v>
      </c>
      <c r="AY93" s="189">
        <v>14.759802271763046</v>
      </c>
      <c r="AZ93" s="189">
        <v>23.061241083126763</v>
      </c>
      <c r="BA93" s="189">
        <v>30.666373272484456</v>
      </c>
      <c r="BB93" s="188">
        <v>39.05130130334193</v>
      </c>
      <c r="BC93" s="188"/>
      <c r="BD93" s="189">
        <v>0.69545312712745089</v>
      </c>
      <c r="BE93" s="189">
        <v>1.1014895532627123</v>
      </c>
      <c r="BF93" s="189">
        <v>1.721057628612892</v>
      </c>
      <c r="BG93" s="189">
        <v>2.2886829412509542</v>
      </c>
      <c r="BH93" s="188">
        <v>2.9143509584060596</v>
      </c>
    </row>
    <row r="94" spans="1:60" x14ac:dyDescent="0.2">
      <c r="A94" s="92" t="str">
        <f t="shared" si="89"/>
        <v>65+</v>
      </c>
      <c r="B94" s="189">
        <v>5.0275971766300218</v>
      </c>
      <c r="C94" s="189">
        <v>5.0571710967350976</v>
      </c>
      <c r="D94" s="189">
        <v>5.0002589845625298</v>
      </c>
      <c r="E94" s="189">
        <v>3.9459227571467377</v>
      </c>
      <c r="F94" s="188">
        <v>3.6918171007746805</v>
      </c>
      <c r="G94" s="190"/>
      <c r="H94" s="189">
        <v>2.987417610658246</v>
      </c>
      <c r="I94" s="189">
        <v>3.0049961668141885</v>
      </c>
      <c r="J94" s="189">
        <v>2.9711593642715379</v>
      </c>
      <c r="K94" s="189">
        <v>2.3446844102127109</v>
      </c>
      <c r="L94" s="188">
        <v>2.1936853336258615</v>
      </c>
      <c r="M94" s="190"/>
      <c r="N94" s="189">
        <v>2.0401795659717767</v>
      </c>
      <c r="O94" s="189">
        <v>2.0521749299209091</v>
      </c>
      <c r="P94" s="189">
        <v>2.0290996202909919</v>
      </c>
      <c r="Q94" s="189">
        <v>1.6012383469340266</v>
      </c>
      <c r="R94" s="188">
        <v>1.4981317671488188</v>
      </c>
      <c r="S94" s="190"/>
      <c r="T94" s="190">
        <v>0</v>
      </c>
      <c r="U94" s="190">
        <v>0</v>
      </c>
      <c r="V94" s="190">
        <v>0</v>
      </c>
      <c r="W94" s="190">
        <v>0</v>
      </c>
      <c r="X94" s="190">
        <v>0</v>
      </c>
      <c r="Y94" s="92" t="str">
        <f t="shared" si="90"/>
        <v>65+</v>
      </c>
      <c r="Z94" s="189">
        <v>2.7461652297525743</v>
      </c>
      <c r="AA94" s="189">
        <v>4.055911790969331</v>
      </c>
      <c r="AB94" s="189">
        <v>3.5612495126359529</v>
      </c>
      <c r="AC94" s="189">
        <v>3.9532933888693056</v>
      </c>
      <c r="AD94" s="188">
        <v>5.2021489926704287</v>
      </c>
      <c r="AE94" s="190"/>
      <c r="AF94" s="189">
        <v>2.4974123148764233</v>
      </c>
      <c r="AG94" s="189">
        <v>3.6885697608652581</v>
      </c>
      <c r="AH94" s="189">
        <v>3.2387036749219651</v>
      </c>
      <c r="AI94" s="189">
        <v>3.5952382484733798</v>
      </c>
      <c r="AJ94" s="188">
        <v>4.7309759551497086</v>
      </c>
      <c r="AK94" s="190"/>
      <c r="AL94" s="189">
        <v>0.24875291487615106</v>
      </c>
      <c r="AM94" s="189">
        <v>0.3673420301040734</v>
      </c>
      <c r="AN94" s="189">
        <v>0.32254583771398837</v>
      </c>
      <c r="AO94" s="189">
        <v>0.35805514039592606</v>
      </c>
      <c r="AP94" s="188">
        <v>0.47117303752072126</v>
      </c>
      <c r="AQ94" s="92" t="str">
        <f t="shared" si="91"/>
        <v>65+</v>
      </c>
      <c r="AR94" s="189">
        <v>2.4962375936174048</v>
      </c>
      <c r="AS94" s="189">
        <v>4.1209171122955697</v>
      </c>
      <c r="AT94" s="189">
        <v>4.3774915028015169</v>
      </c>
      <c r="AU94" s="189">
        <v>5.7297838539839567</v>
      </c>
      <c r="AV94" s="188">
        <v>8.4160339065548904</v>
      </c>
      <c r="AW94" s="190"/>
      <c r="AX94" s="189">
        <v>2.4393838610275034</v>
      </c>
      <c r="AY94" s="189">
        <v>4.0270912403022177</v>
      </c>
      <c r="AZ94" s="189">
        <v>4.2777979690182679</v>
      </c>
      <c r="BA94" s="189">
        <v>5.5993484434809799</v>
      </c>
      <c r="BB94" s="188">
        <v>8.2244038402405248</v>
      </c>
      <c r="BC94" s="190"/>
      <c r="BD94" s="189">
        <v>5.6853732589901257E-2</v>
      </c>
      <c r="BE94" s="189">
        <v>9.3825871993351684E-2</v>
      </c>
      <c r="BF94" s="189">
        <v>9.9693533783248439E-2</v>
      </c>
      <c r="BG94" s="189">
        <v>0.13043541050297702</v>
      </c>
      <c r="BH94" s="188">
        <v>0.19163006631436572</v>
      </c>
    </row>
    <row r="95" spans="1:60" x14ac:dyDescent="0.2">
      <c r="A95" s="96"/>
      <c r="B95" s="191"/>
      <c r="C95" s="191"/>
      <c r="D95" s="191"/>
      <c r="E95" s="191"/>
      <c r="F95" s="191"/>
      <c r="G95" s="191"/>
      <c r="H95" s="191"/>
      <c r="I95" s="191"/>
      <c r="J95" s="191"/>
      <c r="K95" s="191"/>
      <c r="L95" s="191"/>
      <c r="M95" s="191"/>
      <c r="N95" s="191"/>
      <c r="O95" s="191"/>
      <c r="P95" s="191"/>
      <c r="Q95" s="191"/>
      <c r="R95" s="191"/>
      <c r="S95" s="191"/>
      <c r="Y95" s="96"/>
      <c r="Z95" s="191"/>
      <c r="AA95" s="191"/>
      <c r="AB95" s="191"/>
      <c r="AC95" s="191"/>
      <c r="AD95" s="191"/>
      <c r="AE95" s="191"/>
      <c r="AF95" s="191"/>
      <c r="AG95" s="191"/>
      <c r="AH95" s="191"/>
      <c r="AI95" s="191"/>
      <c r="AJ95" s="191"/>
      <c r="AK95" s="191"/>
      <c r="AL95" s="191"/>
      <c r="AM95" s="191"/>
      <c r="AN95" s="191"/>
      <c r="AO95" s="191"/>
      <c r="AP95" s="191"/>
      <c r="AQ95" s="96"/>
      <c r="AR95" s="191"/>
      <c r="AS95" s="191"/>
      <c r="AT95" s="191"/>
      <c r="AU95" s="191"/>
      <c r="AV95" s="191"/>
      <c r="AW95" s="191"/>
      <c r="AX95" s="191"/>
      <c r="AY95" s="191"/>
      <c r="AZ95" s="191"/>
      <c r="BA95" s="191"/>
      <c r="BB95" s="191"/>
      <c r="BC95" s="191"/>
      <c r="BD95" s="191"/>
      <c r="BE95" s="191"/>
      <c r="BF95" s="191"/>
      <c r="BG95" s="191"/>
      <c r="BH95" s="191"/>
    </row>
    <row r="97" spans="1:1" x14ac:dyDescent="0.2">
      <c r="A97" s="91" t="s">
        <v>112</v>
      </c>
    </row>
  </sheetData>
  <mergeCells count="8">
    <mergeCell ref="BD3:BH3"/>
    <mergeCell ref="W50:X50"/>
    <mergeCell ref="T51:X51"/>
    <mergeCell ref="W2:X2"/>
    <mergeCell ref="T3:X3"/>
    <mergeCell ref="Z3:AD3"/>
    <mergeCell ref="AL3:AP3"/>
    <mergeCell ref="AR3:AV3"/>
  </mergeCells>
  <pageMargins left="0.35433070866141736" right="0.35433070866141736" top="0.74803149606299213" bottom="0.74803149606299213" header="0.31496062992125984" footer="0.31496062992125984"/>
  <pageSetup paperSize="9" scale="75" pageOrder="overThenDown" orientation="landscape" r:id="rId1"/>
  <rowBreaks count="1" manualBreakCount="1">
    <brk id="48" max="16383" man="1"/>
  </rowBreaks>
  <colBreaks count="2" manualBreakCount="2">
    <brk id="24" max="1048575" man="1"/>
    <brk id="42" max="1048575" man="1"/>
  </colBreaks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400-000000000000}">
  <sheetPr codeName="Sheet2"/>
  <dimension ref="A1:L143"/>
  <sheetViews>
    <sheetView zoomScale="85" zoomScaleNormal="85" workbookViewId="0">
      <pane ySplit="2" topLeftCell="A3" activePane="bottomLeft" state="frozen"/>
      <selection pane="bottomLeft"/>
    </sheetView>
  </sheetViews>
  <sheetFormatPr defaultRowHeight="12.75" x14ac:dyDescent="0.2"/>
  <cols>
    <col min="1" max="3" width="26.7109375" customWidth="1"/>
    <col min="4" max="4" width="46.5703125" customWidth="1"/>
    <col min="5" max="5" width="36.28515625" customWidth="1"/>
    <col min="6" max="7" width="34.7109375" customWidth="1"/>
    <col min="8" max="8" width="6.140625" customWidth="1"/>
    <col min="9" max="9" width="20.28515625" customWidth="1"/>
    <col min="10" max="10" width="4.85546875" customWidth="1"/>
    <col min="11" max="11" width="24.7109375" customWidth="1"/>
    <col min="12" max="12" width="9.140625" customWidth="1"/>
  </cols>
  <sheetData>
    <row r="1" spans="1:12" x14ac:dyDescent="0.2">
      <c r="A1" s="228" t="s">
        <v>252</v>
      </c>
      <c r="B1" s="228" t="s">
        <v>312</v>
      </c>
      <c r="C1" s="228" t="s">
        <v>4</v>
      </c>
      <c r="D1" s="228" t="s">
        <v>496</v>
      </c>
      <c r="E1" s="228" t="s">
        <v>326</v>
      </c>
      <c r="F1" s="230" t="s">
        <v>332</v>
      </c>
      <c r="G1" s="230" t="s">
        <v>351</v>
      </c>
      <c r="H1" s="230" t="s">
        <v>334</v>
      </c>
      <c r="I1" s="230"/>
      <c r="J1" s="230" t="s">
        <v>335</v>
      </c>
      <c r="K1" s="126"/>
      <c r="L1" s="1"/>
    </row>
    <row r="2" spans="1:12" s="13" customFormat="1" x14ac:dyDescent="0.2">
      <c r="A2" s="229" t="s">
        <v>353</v>
      </c>
      <c r="B2" s="229" t="s">
        <v>349</v>
      </c>
      <c r="C2" s="229" t="s">
        <v>350</v>
      </c>
      <c r="D2" s="126" t="s">
        <v>325</v>
      </c>
      <c r="E2" s="126" t="s">
        <v>327</v>
      </c>
      <c r="F2" s="229" t="s">
        <v>41</v>
      </c>
      <c r="G2" s="229" t="s">
        <v>352</v>
      </c>
      <c r="H2" s="126" t="s">
        <v>336</v>
      </c>
      <c r="I2" s="126" t="s">
        <v>106</v>
      </c>
      <c r="J2" s="126" t="s">
        <v>337</v>
      </c>
      <c r="K2" s="126" t="s">
        <v>338</v>
      </c>
      <c r="L2" s="83"/>
    </row>
    <row r="3" spans="1:12" x14ac:dyDescent="0.2">
      <c r="A3" s="10" t="s">
        <v>0</v>
      </c>
      <c r="B3" s="126" t="s">
        <v>0</v>
      </c>
      <c r="C3" s="10" t="s">
        <v>0</v>
      </c>
      <c r="D3" s="126" t="s">
        <v>10</v>
      </c>
      <c r="E3" s="126" t="s">
        <v>10</v>
      </c>
      <c r="F3" s="126" t="s">
        <v>40</v>
      </c>
      <c r="G3" s="126" t="s">
        <v>40</v>
      </c>
      <c r="H3" s="126" t="s">
        <v>339</v>
      </c>
      <c r="I3" s="126" t="s">
        <v>104</v>
      </c>
      <c r="J3" s="126" t="s">
        <v>340</v>
      </c>
      <c r="K3" s="126" t="s">
        <v>341</v>
      </c>
    </row>
    <row r="4" spans="1:12" x14ac:dyDescent="0.2">
      <c r="A4" s="10" t="s">
        <v>86</v>
      </c>
      <c r="B4" s="126" t="s">
        <v>313</v>
      </c>
      <c r="C4" s="10" t="s">
        <v>249</v>
      </c>
      <c r="D4" s="126" t="s">
        <v>470</v>
      </c>
      <c r="E4" s="126" t="s">
        <v>328</v>
      </c>
      <c r="F4" s="126" t="s">
        <v>442</v>
      </c>
      <c r="G4" s="126" t="s">
        <v>443</v>
      </c>
      <c r="H4" s="126" t="s">
        <v>342</v>
      </c>
      <c r="I4" s="126" t="s">
        <v>105</v>
      </c>
      <c r="J4" s="126" t="s">
        <v>343</v>
      </c>
      <c r="K4" s="126" t="s">
        <v>344</v>
      </c>
    </row>
    <row r="5" spans="1:12" x14ac:dyDescent="0.2">
      <c r="A5" s="10" t="s">
        <v>253</v>
      </c>
      <c r="B5" s="126" t="s">
        <v>87</v>
      </c>
      <c r="C5" s="10" t="s">
        <v>8</v>
      </c>
      <c r="D5" s="126" t="s">
        <v>471</v>
      </c>
      <c r="E5" s="126" t="s">
        <v>329</v>
      </c>
      <c r="F5" s="126" t="s">
        <v>444</v>
      </c>
      <c r="G5" s="126" t="s">
        <v>445</v>
      </c>
      <c r="H5" s="126"/>
      <c r="I5" s="126"/>
      <c r="J5" s="126" t="s">
        <v>345</v>
      </c>
      <c r="K5" s="126" t="s">
        <v>346</v>
      </c>
    </row>
    <row r="6" spans="1:12" x14ac:dyDescent="0.2">
      <c r="A6" s="10" t="s">
        <v>254</v>
      </c>
      <c r="B6" s="126" t="s">
        <v>314</v>
      </c>
      <c r="C6" s="10" t="s">
        <v>2</v>
      </c>
      <c r="D6" s="126" t="s">
        <v>472</v>
      </c>
      <c r="E6" s="126" t="s">
        <v>497</v>
      </c>
      <c r="F6" s="126" t="s">
        <v>446</v>
      </c>
      <c r="G6" s="126" t="s">
        <v>447</v>
      </c>
      <c r="H6" s="126"/>
      <c r="I6" s="126"/>
      <c r="J6" s="126" t="s">
        <v>347</v>
      </c>
      <c r="K6" s="126" t="s">
        <v>348</v>
      </c>
    </row>
    <row r="7" spans="1:12" x14ac:dyDescent="0.2">
      <c r="A7" s="10" t="s">
        <v>255</v>
      </c>
      <c r="B7" s="126" t="s">
        <v>5</v>
      </c>
      <c r="C7" s="10" t="s">
        <v>250</v>
      </c>
      <c r="D7" s="126" t="s">
        <v>473</v>
      </c>
      <c r="E7" s="126" t="s">
        <v>498</v>
      </c>
      <c r="F7" s="126" t="s">
        <v>448</v>
      </c>
      <c r="G7" s="126" t="s">
        <v>449</v>
      </c>
    </row>
    <row r="8" spans="1:12" x14ac:dyDescent="0.2">
      <c r="A8" s="10" t="s">
        <v>256</v>
      </c>
      <c r="B8" s="126" t="s">
        <v>6</v>
      </c>
      <c r="C8" s="10" t="s">
        <v>251</v>
      </c>
      <c r="D8" s="126" t="s">
        <v>474</v>
      </c>
      <c r="E8" s="126" t="s">
        <v>330</v>
      </c>
      <c r="F8" s="126" t="s">
        <v>450</v>
      </c>
      <c r="G8" s="126" t="s">
        <v>451</v>
      </c>
    </row>
    <row r="9" spans="1:12" x14ac:dyDescent="0.2">
      <c r="A9" s="10" t="s">
        <v>257</v>
      </c>
      <c r="B9" s="126" t="s">
        <v>315</v>
      </c>
      <c r="C9" s="10" t="s">
        <v>452</v>
      </c>
      <c r="D9" s="126" t="s">
        <v>475</v>
      </c>
      <c r="E9" s="126" t="s">
        <v>499</v>
      </c>
      <c r="F9" s="126" t="s">
        <v>447</v>
      </c>
      <c r="G9" s="126" t="s">
        <v>333</v>
      </c>
    </row>
    <row r="10" spans="1:12" x14ac:dyDescent="0.2">
      <c r="A10" s="10" t="s">
        <v>258</v>
      </c>
      <c r="B10" s="126" t="s">
        <v>316</v>
      </c>
      <c r="C10" t="s">
        <v>11</v>
      </c>
      <c r="D10" s="126" t="s">
        <v>476</v>
      </c>
      <c r="E10" s="126" t="s">
        <v>500</v>
      </c>
      <c r="F10" s="126" t="s">
        <v>449</v>
      </c>
      <c r="G10" s="126"/>
    </row>
    <row r="11" spans="1:12" x14ac:dyDescent="0.2">
      <c r="A11" s="10" t="s">
        <v>259</v>
      </c>
      <c r="B11" s="126" t="s">
        <v>2</v>
      </c>
      <c r="C11" t="s">
        <v>11</v>
      </c>
      <c r="D11" s="126" t="s">
        <v>477</v>
      </c>
      <c r="E11" s="126" t="s">
        <v>331</v>
      </c>
      <c r="F11" s="126" t="s">
        <v>451</v>
      </c>
      <c r="G11" s="126"/>
      <c r="I11" s="83"/>
    </row>
    <row r="12" spans="1:12" x14ac:dyDescent="0.2">
      <c r="A12" s="10" t="s">
        <v>260</v>
      </c>
      <c r="B12" s="126" t="s">
        <v>89</v>
      </c>
      <c r="C12" t="s">
        <v>11</v>
      </c>
      <c r="D12" s="126" t="s">
        <v>478</v>
      </c>
      <c r="E12" s="126" t="s">
        <v>9</v>
      </c>
      <c r="F12" s="126" t="s">
        <v>333</v>
      </c>
      <c r="G12" s="126"/>
    </row>
    <row r="13" spans="1:12" x14ac:dyDescent="0.2">
      <c r="A13" s="10" t="s">
        <v>261</v>
      </c>
      <c r="B13" s="126" t="s">
        <v>317</v>
      </c>
      <c r="C13" t="s">
        <v>11</v>
      </c>
      <c r="D13" s="126" t="s">
        <v>479</v>
      </c>
    </row>
    <row r="14" spans="1:12" x14ac:dyDescent="0.2">
      <c r="A14" s="10" t="s">
        <v>1</v>
      </c>
      <c r="B14" s="126" t="s">
        <v>318</v>
      </c>
      <c r="C14" t="s">
        <v>11</v>
      </c>
      <c r="D14" s="126" t="s">
        <v>480</v>
      </c>
      <c r="E14" t="s">
        <v>11</v>
      </c>
    </row>
    <row r="15" spans="1:12" x14ac:dyDescent="0.2">
      <c r="A15" s="10" t="s">
        <v>262</v>
      </c>
      <c r="B15" s="126" t="s">
        <v>90</v>
      </c>
      <c r="C15" t="s">
        <v>11</v>
      </c>
      <c r="D15" s="126" t="s">
        <v>481</v>
      </c>
      <c r="E15" t="s">
        <v>11</v>
      </c>
      <c r="I15" s="83"/>
    </row>
    <row r="16" spans="1:12" x14ac:dyDescent="0.2">
      <c r="A16" s="10" t="s">
        <v>263</v>
      </c>
      <c r="B16" s="126" t="s">
        <v>319</v>
      </c>
      <c r="C16" t="s">
        <v>11</v>
      </c>
      <c r="D16" s="126" t="s">
        <v>482</v>
      </c>
      <c r="E16" t="s">
        <v>11</v>
      </c>
    </row>
    <row r="17" spans="1:9" x14ac:dyDescent="0.2">
      <c r="A17" s="10" t="s">
        <v>264</v>
      </c>
      <c r="B17" s="126" t="s">
        <v>320</v>
      </c>
      <c r="C17" t="s">
        <v>11</v>
      </c>
      <c r="D17" s="126" t="s">
        <v>483</v>
      </c>
      <c r="E17" t="s">
        <v>11</v>
      </c>
      <c r="I17" s="83"/>
    </row>
    <row r="18" spans="1:9" x14ac:dyDescent="0.2">
      <c r="A18" s="10" t="s">
        <v>265</v>
      </c>
      <c r="B18" s="126" t="s">
        <v>290</v>
      </c>
      <c r="C18" t="s">
        <v>11</v>
      </c>
      <c r="D18" s="126" t="s">
        <v>484</v>
      </c>
      <c r="E18" t="s">
        <v>11</v>
      </c>
    </row>
    <row r="19" spans="1:9" x14ac:dyDescent="0.2">
      <c r="A19" s="10" t="s">
        <v>266</v>
      </c>
      <c r="B19" s="126" t="s">
        <v>321</v>
      </c>
      <c r="C19" t="s">
        <v>11</v>
      </c>
      <c r="D19" s="126" t="s">
        <v>485</v>
      </c>
      <c r="E19" t="s">
        <v>11</v>
      </c>
    </row>
    <row r="20" spans="1:9" x14ac:dyDescent="0.2">
      <c r="A20" s="10" t="s">
        <v>88</v>
      </c>
      <c r="B20" s="126" t="s">
        <v>322</v>
      </c>
      <c r="C20" t="s">
        <v>11</v>
      </c>
      <c r="D20" s="126" t="s">
        <v>486</v>
      </c>
      <c r="E20" t="s">
        <v>11</v>
      </c>
    </row>
    <row r="21" spans="1:9" x14ac:dyDescent="0.2">
      <c r="A21" s="10" t="s">
        <v>267</v>
      </c>
      <c r="B21" s="126" t="s">
        <v>323</v>
      </c>
      <c r="C21" t="s">
        <v>11</v>
      </c>
      <c r="D21" s="126" t="s">
        <v>487</v>
      </c>
    </row>
    <row r="22" spans="1:9" x14ac:dyDescent="0.2">
      <c r="A22" s="10" t="s">
        <v>268</v>
      </c>
      <c r="B22" s="126" t="s">
        <v>3</v>
      </c>
      <c r="C22" t="s">
        <v>11</v>
      </c>
      <c r="D22" s="126" t="s">
        <v>488</v>
      </c>
      <c r="E22" t="s">
        <v>11</v>
      </c>
      <c r="I22" s="83"/>
    </row>
    <row r="23" spans="1:9" x14ac:dyDescent="0.2">
      <c r="A23" s="10" t="s">
        <v>269</v>
      </c>
      <c r="B23" s="126" t="s">
        <v>7</v>
      </c>
      <c r="C23" t="s">
        <v>11</v>
      </c>
      <c r="D23" s="126" t="s">
        <v>489</v>
      </c>
      <c r="E23" t="s">
        <v>11</v>
      </c>
    </row>
    <row r="24" spans="1:9" x14ac:dyDescent="0.2">
      <c r="A24" s="10" t="s">
        <v>270</v>
      </c>
      <c r="B24" s="126" t="s">
        <v>93</v>
      </c>
      <c r="C24" t="s">
        <v>11</v>
      </c>
      <c r="D24" s="126" t="s">
        <v>490</v>
      </c>
      <c r="E24" t="s">
        <v>11</v>
      </c>
    </row>
    <row r="25" spans="1:9" x14ac:dyDescent="0.2">
      <c r="A25" s="10" t="s">
        <v>134</v>
      </c>
      <c r="B25" s="126" t="s">
        <v>324</v>
      </c>
      <c r="C25" t="s">
        <v>11</v>
      </c>
      <c r="D25" s="126" t="s">
        <v>491</v>
      </c>
      <c r="E25" t="s">
        <v>11</v>
      </c>
    </row>
    <row r="26" spans="1:9" x14ac:dyDescent="0.2">
      <c r="A26" s="10" t="s">
        <v>271</v>
      </c>
      <c r="C26" t="s">
        <v>11</v>
      </c>
      <c r="D26" s="126" t="s">
        <v>492</v>
      </c>
      <c r="E26" t="s">
        <v>11</v>
      </c>
      <c r="I26" s="83"/>
    </row>
    <row r="27" spans="1:9" x14ac:dyDescent="0.2">
      <c r="A27" s="10" t="s">
        <v>272</v>
      </c>
      <c r="C27" t="s">
        <v>11</v>
      </c>
      <c r="D27" s="126" t="s">
        <v>493</v>
      </c>
      <c r="E27" t="s">
        <v>11</v>
      </c>
    </row>
    <row r="28" spans="1:9" x14ac:dyDescent="0.2">
      <c r="A28" s="10" t="s">
        <v>273</v>
      </c>
      <c r="C28" t="s">
        <v>11</v>
      </c>
      <c r="D28" s="126" t="s">
        <v>494</v>
      </c>
      <c r="E28" t="s">
        <v>11</v>
      </c>
    </row>
    <row r="29" spans="1:9" x14ac:dyDescent="0.2">
      <c r="A29" s="10" t="s">
        <v>135</v>
      </c>
      <c r="C29" t="s">
        <v>11</v>
      </c>
      <c r="D29" t="s">
        <v>495</v>
      </c>
      <c r="E29" t="s">
        <v>11</v>
      </c>
    </row>
    <row r="30" spans="1:9" x14ac:dyDescent="0.2">
      <c r="A30" s="10" t="s">
        <v>274</v>
      </c>
      <c r="C30" t="s">
        <v>11</v>
      </c>
      <c r="E30" t="s">
        <v>11</v>
      </c>
    </row>
    <row r="31" spans="1:9" x14ac:dyDescent="0.2">
      <c r="A31" s="10" t="s">
        <v>2</v>
      </c>
      <c r="C31" t="s">
        <v>11</v>
      </c>
      <c r="D31" t="s">
        <v>11</v>
      </c>
      <c r="E31" t="s">
        <v>11</v>
      </c>
    </row>
    <row r="32" spans="1:9" x14ac:dyDescent="0.2">
      <c r="A32" s="10" t="s">
        <v>136</v>
      </c>
      <c r="C32" t="s">
        <v>11</v>
      </c>
      <c r="D32" t="s">
        <v>11</v>
      </c>
      <c r="E32" t="s">
        <v>11</v>
      </c>
      <c r="I32" s="83"/>
    </row>
    <row r="33" spans="1:9" x14ac:dyDescent="0.2">
      <c r="A33" s="10" t="s">
        <v>275</v>
      </c>
      <c r="C33" t="s">
        <v>11</v>
      </c>
      <c r="D33" t="s">
        <v>11</v>
      </c>
      <c r="E33" t="s">
        <v>11</v>
      </c>
    </row>
    <row r="34" spans="1:9" x14ac:dyDescent="0.2">
      <c r="A34" s="10" t="s">
        <v>276</v>
      </c>
      <c r="C34" t="s">
        <v>11</v>
      </c>
      <c r="D34" t="s">
        <v>11</v>
      </c>
      <c r="E34" t="s">
        <v>11</v>
      </c>
    </row>
    <row r="35" spans="1:9" x14ac:dyDescent="0.2">
      <c r="A35" s="10" t="s">
        <v>277</v>
      </c>
      <c r="C35" t="s">
        <v>11</v>
      </c>
      <c r="D35" t="s">
        <v>11</v>
      </c>
      <c r="E35" t="s">
        <v>11</v>
      </c>
    </row>
    <row r="36" spans="1:9" x14ac:dyDescent="0.2">
      <c r="A36" s="10" t="s">
        <v>278</v>
      </c>
      <c r="C36" t="s">
        <v>11</v>
      </c>
      <c r="D36" t="s">
        <v>11</v>
      </c>
      <c r="E36" t="s">
        <v>11</v>
      </c>
    </row>
    <row r="37" spans="1:9" x14ac:dyDescent="0.2">
      <c r="A37" s="10" t="s">
        <v>279</v>
      </c>
      <c r="C37" t="s">
        <v>11</v>
      </c>
      <c r="D37" t="s">
        <v>11</v>
      </c>
      <c r="E37" t="s">
        <v>11</v>
      </c>
    </row>
    <row r="38" spans="1:9" x14ac:dyDescent="0.2">
      <c r="A38" s="10" t="s">
        <v>137</v>
      </c>
      <c r="C38" t="s">
        <v>11</v>
      </c>
      <c r="D38" t="s">
        <v>11</v>
      </c>
      <c r="E38" t="s">
        <v>11</v>
      </c>
    </row>
    <row r="39" spans="1:9" x14ac:dyDescent="0.2">
      <c r="A39" s="10" t="s">
        <v>138</v>
      </c>
      <c r="C39" t="s">
        <v>11</v>
      </c>
      <c r="D39" t="s">
        <v>11</v>
      </c>
      <c r="E39" t="s">
        <v>11</v>
      </c>
      <c r="I39" s="124"/>
    </row>
    <row r="40" spans="1:9" x14ac:dyDescent="0.2">
      <c r="A40" s="10" t="s">
        <v>280</v>
      </c>
      <c r="C40" t="s">
        <v>11</v>
      </c>
      <c r="D40" t="s">
        <v>11</v>
      </c>
      <c r="E40" t="s">
        <v>11</v>
      </c>
      <c r="I40" s="83"/>
    </row>
    <row r="41" spans="1:9" x14ac:dyDescent="0.2">
      <c r="A41" s="10" t="s">
        <v>281</v>
      </c>
      <c r="C41" t="s">
        <v>11</v>
      </c>
      <c r="D41" t="s">
        <v>11</v>
      </c>
      <c r="E41" t="s">
        <v>11</v>
      </c>
    </row>
    <row r="42" spans="1:9" x14ac:dyDescent="0.2">
      <c r="A42" s="10" t="s">
        <v>139</v>
      </c>
      <c r="C42" t="s">
        <v>11</v>
      </c>
      <c r="D42" t="s">
        <v>11</v>
      </c>
      <c r="E42" t="s">
        <v>11</v>
      </c>
    </row>
    <row r="43" spans="1:9" x14ac:dyDescent="0.2">
      <c r="A43" s="10" t="s">
        <v>282</v>
      </c>
      <c r="C43" t="s">
        <v>11</v>
      </c>
      <c r="D43" t="s">
        <v>11</v>
      </c>
      <c r="E43" t="s">
        <v>11</v>
      </c>
    </row>
    <row r="44" spans="1:9" x14ac:dyDescent="0.2">
      <c r="A44" s="10" t="s">
        <v>140</v>
      </c>
      <c r="D44" t="s">
        <v>11</v>
      </c>
      <c r="E44" t="s">
        <v>11</v>
      </c>
    </row>
    <row r="45" spans="1:9" x14ac:dyDescent="0.2">
      <c r="A45" s="10" t="s">
        <v>283</v>
      </c>
    </row>
    <row r="46" spans="1:9" x14ac:dyDescent="0.2">
      <c r="A46" s="10" t="s">
        <v>284</v>
      </c>
      <c r="I46" s="83"/>
    </row>
    <row r="47" spans="1:9" x14ac:dyDescent="0.2">
      <c r="A47" s="10" t="s">
        <v>91</v>
      </c>
    </row>
    <row r="48" spans="1:9" x14ac:dyDescent="0.2">
      <c r="A48" s="10" t="s">
        <v>285</v>
      </c>
    </row>
    <row r="49" spans="1:9" x14ac:dyDescent="0.2">
      <c r="A49" s="10" t="s">
        <v>286</v>
      </c>
    </row>
    <row r="50" spans="1:9" x14ac:dyDescent="0.2">
      <c r="A50" s="10" t="s">
        <v>287</v>
      </c>
    </row>
    <row r="51" spans="1:9" x14ac:dyDescent="0.2">
      <c r="A51" s="10" t="s">
        <v>288</v>
      </c>
      <c r="I51" s="83"/>
    </row>
    <row r="52" spans="1:9" x14ac:dyDescent="0.2">
      <c r="A52" s="10" t="s">
        <v>289</v>
      </c>
    </row>
    <row r="53" spans="1:9" x14ac:dyDescent="0.2">
      <c r="A53" s="10" t="s">
        <v>290</v>
      </c>
    </row>
    <row r="54" spans="1:9" x14ac:dyDescent="0.2">
      <c r="A54" s="10" t="s">
        <v>291</v>
      </c>
    </row>
    <row r="55" spans="1:9" x14ac:dyDescent="0.2">
      <c r="A55" s="10" t="s">
        <v>292</v>
      </c>
    </row>
    <row r="56" spans="1:9" x14ac:dyDescent="0.2">
      <c r="A56" s="10" t="s">
        <v>293</v>
      </c>
      <c r="I56" s="83"/>
    </row>
    <row r="57" spans="1:9" x14ac:dyDescent="0.2">
      <c r="A57" s="10" t="s">
        <v>141</v>
      </c>
    </row>
    <row r="58" spans="1:9" x14ac:dyDescent="0.2">
      <c r="A58" s="10" t="s">
        <v>294</v>
      </c>
    </row>
    <row r="59" spans="1:9" x14ac:dyDescent="0.2">
      <c r="A59" s="10" t="s">
        <v>295</v>
      </c>
    </row>
    <row r="60" spans="1:9" x14ac:dyDescent="0.2">
      <c r="A60" s="10" t="s">
        <v>296</v>
      </c>
    </row>
    <row r="61" spans="1:9" x14ac:dyDescent="0.2">
      <c r="A61" s="10" t="s">
        <v>297</v>
      </c>
    </row>
    <row r="62" spans="1:9" x14ac:dyDescent="0.2">
      <c r="A62" s="10" t="s">
        <v>142</v>
      </c>
    </row>
    <row r="63" spans="1:9" x14ac:dyDescent="0.2">
      <c r="A63" s="10" t="s">
        <v>298</v>
      </c>
    </row>
    <row r="64" spans="1:9" x14ac:dyDescent="0.2">
      <c r="A64" s="10" t="s">
        <v>299</v>
      </c>
    </row>
    <row r="65" spans="1:9" x14ac:dyDescent="0.2">
      <c r="A65" s="10" t="s">
        <v>300</v>
      </c>
      <c r="I65" s="83"/>
    </row>
    <row r="66" spans="1:9" x14ac:dyDescent="0.2">
      <c r="A66" s="10" t="s">
        <v>301</v>
      </c>
    </row>
    <row r="67" spans="1:9" x14ac:dyDescent="0.2">
      <c r="A67" s="10" t="s">
        <v>302</v>
      </c>
    </row>
    <row r="68" spans="1:9" x14ac:dyDescent="0.2">
      <c r="A68" s="10" t="s">
        <v>303</v>
      </c>
    </row>
    <row r="69" spans="1:9" x14ac:dyDescent="0.2">
      <c r="A69" s="10" t="s">
        <v>92</v>
      </c>
    </row>
    <row r="70" spans="1:9" x14ac:dyDescent="0.2">
      <c r="A70" s="10" t="s">
        <v>304</v>
      </c>
    </row>
    <row r="71" spans="1:9" x14ac:dyDescent="0.2">
      <c r="A71" s="10" t="s">
        <v>305</v>
      </c>
      <c r="I71" s="83"/>
    </row>
    <row r="72" spans="1:9" x14ac:dyDescent="0.2">
      <c r="A72" s="10" t="s">
        <v>93</v>
      </c>
    </row>
    <row r="73" spans="1:9" x14ac:dyDescent="0.2">
      <c r="A73" s="10" t="s">
        <v>306</v>
      </c>
    </row>
    <row r="74" spans="1:9" x14ac:dyDescent="0.2">
      <c r="A74" s="10" t="s">
        <v>307</v>
      </c>
      <c r="I74" s="83"/>
    </row>
    <row r="75" spans="1:9" x14ac:dyDescent="0.2">
      <c r="A75" s="10" t="s">
        <v>308</v>
      </c>
    </row>
    <row r="76" spans="1:9" x14ac:dyDescent="0.2">
      <c r="A76" s="10" t="s">
        <v>309</v>
      </c>
    </row>
    <row r="77" spans="1:9" x14ac:dyDescent="0.2">
      <c r="A77" s="10" t="s">
        <v>310</v>
      </c>
    </row>
    <row r="78" spans="1:9" x14ac:dyDescent="0.2">
      <c r="A78" s="10" t="s">
        <v>311</v>
      </c>
    </row>
    <row r="81" spans="9:9" x14ac:dyDescent="0.2">
      <c r="I81" s="83"/>
    </row>
    <row r="85" spans="9:9" x14ac:dyDescent="0.2">
      <c r="I85" s="83"/>
    </row>
    <row r="91" spans="9:9" x14ac:dyDescent="0.2">
      <c r="I91" s="83"/>
    </row>
    <row r="96" spans="9:9" x14ac:dyDescent="0.2">
      <c r="I96" s="83"/>
    </row>
    <row r="101" spans="9:9" x14ac:dyDescent="0.2">
      <c r="I101" s="83"/>
    </row>
    <row r="106" spans="9:9" x14ac:dyDescent="0.2">
      <c r="I106" s="83"/>
    </row>
    <row r="111" spans="9:9" x14ac:dyDescent="0.2">
      <c r="I111" s="83"/>
    </row>
    <row r="119" spans="9:9" x14ac:dyDescent="0.2">
      <c r="I119" s="83"/>
    </row>
    <row r="129" spans="9:9" x14ac:dyDescent="0.2">
      <c r="I129" s="83"/>
    </row>
    <row r="134" spans="9:9" x14ac:dyDescent="0.2">
      <c r="I134" s="83"/>
    </row>
    <row r="141" spans="9:9" x14ac:dyDescent="0.2">
      <c r="I141" s="83"/>
    </row>
    <row r="143" spans="9:9" x14ac:dyDescent="0.2">
      <c r="I143" s="83"/>
    </row>
  </sheetData>
  <phoneticPr fontId="4" type="noConversion"/>
  <pageMargins left="0.55118110236220474" right="0.55118110236220474" top="0.98425196850393704" bottom="0.98425196850393704" header="0.51181102362204722" footer="0.51181102362204722"/>
  <pageSetup paperSize="9" scale="72" orientation="portrait" r:id="rId1"/>
  <headerFooter alignWithMargins="0"/>
  <colBreaks count="2" manualBreakCount="2">
    <brk id="3" max="1048575" man="1"/>
    <brk id="5" max="1048575" man="1"/>
  </colBreaks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500-000000000000}">
  <sheetPr codeName="Sheet3"/>
  <dimension ref="A1:CD34"/>
  <sheetViews>
    <sheetView topLeftCell="A9" zoomScale="85" zoomScaleNormal="85" workbookViewId="0"/>
  </sheetViews>
  <sheetFormatPr defaultRowHeight="12.75" x14ac:dyDescent="0.2"/>
  <cols>
    <col min="1" max="1" width="27.5703125" customWidth="1"/>
    <col min="2" max="145" width="3" customWidth="1"/>
  </cols>
  <sheetData>
    <row r="1" spans="1:82" x14ac:dyDescent="0.2">
      <c r="A1" s="1" t="str">
        <f>CONCATENATE("Aggregation 22 industry groups to 6 ",name!$C$2)</f>
        <v>Aggregation 22 industry groups to 6 Industry sectors</v>
      </c>
    </row>
    <row r="2" spans="1:82" ht="164.25" customHeight="1" thickBot="1" x14ac:dyDescent="0.25">
      <c r="B2" s="125" t="str">
        <f t="array" ref="B2:W2">TRANSPOSE(name!B4:B25)</f>
        <v>Agriculture</v>
      </c>
      <c r="C2" s="125" t="str">
        <v>Mining and quarrying</v>
      </c>
      <c r="D2" s="125" t="str">
        <v>Food drink and tobacco</v>
      </c>
      <c r="E2" s="125" t="str">
        <v>Engineering</v>
      </c>
      <c r="F2" s="125" t="str">
        <v>Rest of manufacturing</v>
      </c>
      <c r="G2" s="125" t="str">
        <v>Electricity and gas</v>
      </c>
      <c r="H2" s="125" t="str">
        <v>Water and sewerage</v>
      </c>
      <c r="I2" s="125" t="str">
        <v>Construction</v>
      </c>
      <c r="J2" s="125" t="str">
        <v>Wholesale and retail trade</v>
      </c>
      <c r="K2" s="125" t="str">
        <v>Transport and storage</v>
      </c>
      <c r="L2" s="125" t="str">
        <v>Accommodation and food</v>
      </c>
      <c r="M2" s="125" t="str">
        <v>Media</v>
      </c>
      <c r="N2" s="125" t="str">
        <v>Information technology</v>
      </c>
      <c r="O2" s="125" t="str">
        <v>Finance and insurance</v>
      </c>
      <c r="P2" s="125" t="str">
        <v>Real estate</v>
      </c>
      <c r="Q2" s="125" t="str">
        <v>Professional services</v>
      </c>
      <c r="R2" s="125" t="str">
        <v>Support services</v>
      </c>
      <c r="S2" s="125" t="str">
        <v>Public admin. and defence</v>
      </c>
      <c r="T2" s="125" t="str">
        <v>Education</v>
      </c>
      <c r="U2" s="125" t="str">
        <v>Health and social work</v>
      </c>
      <c r="V2" s="125" t="str">
        <v>Arts and entertainment</v>
      </c>
      <c r="W2" s="125" t="str">
        <v>Other services</v>
      </c>
      <c r="X2" s="125"/>
      <c r="Y2" s="125"/>
      <c r="Z2" s="125"/>
      <c r="AA2" s="125"/>
      <c r="AB2" s="125"/>
      <c r="AC2" s="125"/>
      <c r="AD2" s="125"/>
      <c r="AE2" s="125"/>
      <c r="AF2" s="125"/>
      <c r="AG2" s="125"/>
      <c r="AH2" s="125"/>
      <c r="AI2" s="125"/>
      <c r="AJ2" s="125"/>
      <c r="AK2" s="125"/>
      <c r="AL2" s="125"/>
      <c r="AM2" s="125"/>
      <c r="AN2" s="125"/>
      <c r="AO2" s="125"/>
      <c r="AP2" s="125"/>
      <c r="AQ2" s="125"/>
      <c r="AR2" s="125"/>
      <c r="AS2" s="125"/>
      <c r="AT2" s="125"/>
      <c r="AU2" s="125"/>
      <c r="AV2" s="125"/>
      <c r="AW2" s="125"/>
      <c r="AX2" s="125"/>
      <c r="AY2" s="125"/>
      <c r="AZ2" s="125"/>
      <c r="BA2" s="125"/>
      <c r="BB2" s="125"/>
      <c r="BC2" s="125"/>
      <c r="BD2" s="125"/>
      <c r="BE2" s="125"/>
      <c r="BF2" s="125"/>
      <c r="BG2" s="125"/>
      <c r="BH2" s="125"/>
      <c r="BI2" s="125"/>
      <c r="BJ2" s="125"/>
      <c r="BK2" s="125"/>
      <c r="BL2" s="125"/>
      <c r="BM2" s="125"/>
      <c r="BN2" s="125"/>
      <c r="BO2" s="125"/>
      <c r="BP2" s="125"/>
      <c r="BQ2" s="125"/>
      <c r="BR2" s="125"/>
      <c r="BS2" s="125"/>
      <c r="BT2" s="125"/>
      <c r="BU2" s="125"/>
      <c r="BV2" s="125"/>
      <c r="BW2" s="125"/>
      <c r="BX2" s="125"/>
      <c r="BY2" s="125"/>
      <c r="BZ2" s="125"/>
      <c r="CA2" s="125"/>
      <c r="CB2" s="125"/>
      <c r="CC2" s="125"/>
      <c r="CD2" s="125"/>
    </row>
    <row r="3" spans="1:82" x14ac:dyDescent="0.2">
      <c r="A3" s="10" t="str">
        <f>name!C4</f>
        <v>Primary sector and utilities</v>
      </c>
      <c r="B3" s="2">
        <v>1</v>
      </c>
      <c r="C3" s="3">
        <v>1</v>
      </c>
      <c r="D3" s="3">
        <v>0</v>
      </c>
      <c r="E3" s="3">
        <v>0</v>
      </c>
      <c r="F3" s="3">
        <v>0</v>
      </c>
      <c r="G3" s="3">
        <v>1</v>
      </c>
      <c r="H3" s="3">
        <v>1</v>
      </c>
      <c r="I3" s="3">
        <v>0</v>
      </c>
      <c r="J3" s="3">
        <v>0</v>
      </c>
      <c r="K3" s="3">
        <v>0</v>
      </c>
      <c r="L3" s="3">
        <v>0</v>
      </c>
      <c r="M3" s="3">
        <v>0</v>
      </c>
      <c r="N3" s="3">
        <v>0</v>
      </c>
      <c r="O3" s="3">
        <v>0</v>
      </c>
      <c r="P3" s="3">
        <v>0</v>
      </c>
      <c r="Q3" s="3">
        <v>0</v>
      </c>
      <c r="R3" s="3">
        <v>0</v>
      </c>
      <c r="S3" s="3">
        <v>0</v>
      </c>
      <c r="T3" s="3">
        <v>0</v>
      </c>
      <c r="U3" s="3">
        <v>0</v>
      </c>
      <c r="V3" s="3">
        <v>0</v>
      </c>
      <c r="W3" s="4">
        <v>0</v>
      </c>
      <c r="X3">
        <v>1</v>
      </c>
    </row>
    <row r="4" spans="1:82" x14ac:dyDescent="0.2">
      <c r="A4" s="10" t="str">
        <f>name!C5</f>
        <v>Manufacturing</v>
      </c>
      <c r="B4" s="5">
        <v>0</v>
      </c>
      <c r="C4">
        <v>0</v>
      </c>
      <c r="D4">
        <v>1</v>
      </c>
      <c r="E4">
        <v>1</v>
      </c>
      <c r="F4">
        <v>1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 s="6">
        <v>0</v>
      </c>
      <c r="X4">
        <v>2</v>
      </c>
    </row>
    <row r="5" spans="1:82" x14ac:dyDescent="0.2">
      <c r="A5" s="10" t="str">
        <f>name!C6</f>
        <v>Construction</v>
      </c>
      <c r="B5" s="5">
        <v>0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1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 s="6">
        <v>0</v>
      </c>
      <c r="X5">
        <v>3</v>
      </c>
    </row>
    <row r="6" spans="1:82" x14ac:dyDescent="0.2">
      <c r="A6" s="10" t="str">
        <f>name!C7</f>
        <v>Trade, accomod. and transport</v>
      </c>
      <c r="B6" s="5">
        <v>0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1</v>
      </c>
      <c r="K6">
        <v>1</v>
      </c>
      <c r="L6">
        <v>1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 s="6">
        <v>0</v>
      </c>
      <c r="X6">
        <v>4</v>
      </c>
    </row>
    <row r="7" spans="1:82" x14ac:dyDescent="0.2">
      <c r="A7" s="10" t="str">
        <f>name!C8</f>
        <v>Business and other services</v>
      </c>
      <c r="B7" s="5">
        <v>0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1</v>
      </c>
      <c r="N7">
        <v>1</v>
      </c>
      <c r="O7">
        <v>1</v>
      </c>
      <c r="P7">
        <v>1</v>
      </c>
      <c r="Q7">
        <v>1</v>
      </c>
      <c r="R7">
        <v>1</v>
      </c>
      <c r="S7">
        <v>0</v>
      </c>
      <c r="T7">
        <v>0</v>
      </c>
      <c r="U7">
        <v>0</v>
      </c>
      <c r="V7">
        <v>1</v>
      </c>
      <c r="W7" s="6">
        <v>1</v>
      </c>
      <c r="X7">
        <v>5</v>
      </c>
    </row>
    <row r="8" spans="1:82" ht="13.5" thickBot="1" x14ac:dyDescent="0.25">
      <c r="A8" s="10" t="str">
        <f>name!C9</f>
        <v>Non-marketed services</v>
      </c>
      <c r="B8" s="7">
        <v>0</v>
      </c>
      <c r="C8" s="8">
        <v>0</v>
      </c>
      <c r="D8" s="8">
        <v>0</v>
      </c>
      <c r="E8" s="8">
        <v>0</v>
      </c>
      <c r="F8" s="8">
        <v>0</v>
      </c>
      <c r="G8" s="8">
        <v>0</v>
      </c>
      <c r="H8" s="8">
        <v>0</v>
      </c>
      <c r="I8" s="8">
        <v>0</v>
      </c>
      <c r="J8" s="8">
        <v>0</v>
      </c>
      <c r="K8" s="8">
        <v>0</v>
      </c>
      <c r="L8" s="8">
        <v>0</v>
      </c>
      <c r="M8" s="8">
        <v>0</v>
      </c>
      <c r="N8" s="8">
        <v>0</v>
      </c>
      <c r="O8" s="8">
        <v>0</v>
      </c>
      <c r="P8" s="8">
        <v>0</v>
      </c>
      <c r="Q8" s="8">
        <v>0</v>
      </c>
      <c r="R8" s="8">
        <v>0</v>
      </c>
      <c r="S8" s="8">
        <v>1</v>
      </c>
      <c r="T8" s="8">
        <v>1</v>
      </c>
      <c r="U8" s="8">
        <v>1</v>
      </c>
      <c r="V8" s="8">
        <v>0</v>
      </c>
      <c r="W8" s="9">
        <v>0</v>
      </c>
      <c r="X8">
        <v>6</v>
      </c>
    </row>
    <row r="9" spans="1:82" x14ac:dyDescent="0.2">
      <c r="B9">
        <v>1</v>
      </c>
      <c r="C9">
        <v>2</v>
      </c>
      <c r="D9">
        <v>3</v>
      </c>
      <c r="E9">
        <v>4</v>
      </c>
      <c r="F9">
        <v>5</v>
      </c>
      <c r="G9">
        <v>6</v>
      </c>
      <c r="H9">
        <v>7</v>
      </c>
      <c r="I9">
        <v>8</v>
      </c>
      <c r="J9">
        <v>9</v>
      </c>
      <c r="K9">
        <v>10</v>
      </c>
      <c r="L9">
        <v>11</v>
      </c>
      <c r="M9">
        <v>12</v>
      </c>
      <c r="N9">
        <v>13</v>
      </c>
      <c r="O9">
        <v>14</v>
      </c>
      <c r="P9">
        <v>15</v>
      </c>
      <c r="Q9">
        <v>16</v>
      </c>
      <c r="R9">
        <v>17</v>
      </c>
      <c r="S9">
        <v>18</v>
      </c>
      <c r="T9">
        <v>19</v>
      </c>
      <c r="U9">
        <v>20</v>
      </c>
      <c r="V9">
        <v>21</v>
      </c>
      <c r="W9">
        <v>22</v>
      </c>
    </row>
    <row r="11" spans="1:82" x14ac:dyDescent="0.2">
      <c r="A11" s="1" t="str">
        <f>CONCATENATE("Aggregation 26 occupations to 9 ",name!$E$2)</f>
        <v>Aggregation 26 occupations to 9 Major group names:</v>
      </c>
    </row>
    <row r="12" spans="1:82" ht="120" customHeight="1" thickBot="1" x14ac:dyDescent="0.25">
      <c r="B12" s="358" t="s">
        <v>470</v>
      </c>
      <c r="C12" s="358" t="s">
        <v>471</v>
      </c>
      <c r="D12" s="358" t="s">
        <v>472</v>
      </c>
      <c r="E12" s="358" t="s">
        <v>473</v>
      </c>
      <c r="F12" s="358" t="s">
        <v>474</v>
      </c>
      <c r="G12" s="358" t="s">
        <v>475</v>
      </c>
      <c r="H12" s="358" t="s">
        <v>476</v>
      </c>
      <c r="I12" s="358" t="s">
        <v>477</v>
      </c>
      <c r="J12" s="358" t="s">
        <v>478</v>
      </c>
      <c r="K12" s="358" t="s">
        <v>479</v>
      </c>
      <c r="L12" s="358" t="s">
        <v>480</v>
      </c>
      <c r="M12" s="358" t="s">
        <v>481</v>
      </c>
      <c r="N12" s="358" t="s">
        <v>482</v>
      </c>
      <c r="O12" s="358" t="s">
        <v>483</v>
      </c>
      <c r="P12" s="358" t="s">
        <v>484</v>
      </c>
      <c r="Q12" s="358" t="s">
        <v>485</v>
      </c>
      <c r="R12" s="358" t="s">
        <v>486</v>
      </c>
      <c r="S12" s="358" t="s">
        <v>487</v>
      </c>
      <c r="T12" s="358" t="s">
        <v>488</v>
      </c>
      <c r="U12" s="358" t="s">
        <v>489</v>
      </c>
      <c r="V12" s="358" t="s">
        <v>490</v>
      </c>
      <c r="W12" s="358" t="s">
        <v>491</v>
      </c>
      <c r="X12" s="358" t="s">
        <v>492</v>
      </c>
      <c r="Y12" s="358" t="s">
        <v>493</v>
      </c>
      <c r="Z12" s="358" t="s">
        <v>494</v>
      </c>
      <c r="AA12" s="125" t="s">
        <v>495</v>
      </c>
      <c r="AB12" s="12"/>
    </row>
    <row r="13" spans="1:82" x14ac:dyDescent="0.2">
      <c r="A13" t="s">
        <v>328</v>
      </c>
      <c r="B13" s="2">
        <v>1</v>
      </c>
      <c r="C13" s="3">
        <v>1</v>
      </c>
      <c r="D13" s="3">
        <v>0</v>
      </c>
      <c r="E13" s="3">
        <v>0</v>
      </c>
      <c r="F13" s="3">
        <v>0</v>
      </c>
      <c r="G13" s="3">
        <v>0</v>
      </c>
      <c r="H13" s="3">
        <v>0</v>
      </c>
      <c r="I13" s="3">
        <v>0</v>
      </c>
      <c r="J13" s="3">
        <v>0</v>
      </c>
      <c r="K13" s="3">
        <v>0</v>
      </c>
      <c r="L13" s="3">
        <v>0</v>
      </c>
      <c r="M13" s="3">
        <v>0</v>
      </c>
      <c r="N13" s="3">
        <v>0</v>
      </c>
      <c r="O13" s="3">
        <v>0</v>
      </c>
      <c r="P13" s="3">
        <v>0</v>
      </c>
      <c r="Q13" s="3">
        <v>0</v>
      </c>
      <c r="R13" s="3">
        <v>0</v>
      </c>
      <c r="S13" s="3">
        <v>0</v>
      </c>
      <c r="T13" s="3">
        <v>0</v>
      </c>
      <c r="U13" s="3">
        <v>0</v>
      </c>
      <c r="V13" s="3">
        <v>0</v>
      </c>
      <c r="W13" s="3">
        <v>0</v>
      </c>
      <c r="X13" s="3">
        <v>0</v>
      </c>
      <c r="Y13" s="3">
        <v>0</v>
      </c>
      <c r="Z13" s="3">
        <v>0</v>
      </c>
      <c r="AA13" s="4">
        <v>0</v>
      </c>
      <c r="AB13">
        <v>1</v>
      </c>
    </row>
    <row r="14" spans="1:82" x14ac:dyDescent="0.2">
      <c r="A14" t="s">
        <v>329</v>
      </c>
      <c r="B14" s="5">
        <v>0</v>
      </c>
      <c r="C14">
        <v>0</v>
      </c>
      <c r="D14">
        <v>1</v>
      </c>
      <c r="E14">
        <v>1</v>
      </c>
      <c r="F14">
        <v>1</v>
      </c>
      <c r="G14">
        <v>1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0</v>
      </c>
      <c r="AA14" s="6">
        <v>0</v>
      </c>
      <c r="AB14">
        <v>2</v>
      </c>
    </row>
    <row r="15" spans="1:82" x14ac:dyDescent="0.2">
      <c r="A15" t="s">
        <v>497</v>
      </c>
      <c r="B15" s="5">
        <v>0</v>
      </c>
      <c r="C15">
        <v>0</v>
      </c>
      <c r="D15">
        <v>0</v>
      </c>
      <c r="E15">
        <v>0</v>
      </c>
      <c r="F15">
        <v>0</v>
      </c>
      <c r="G15">
        <v>0</v>
      </c>
      <c r="H15">
        <v>1</v>
      </c>
      <c r="I15">
        <v>1</v>
      </c>
      <c r="J15">
        <v>1</v>
      </c>
      <c r="K15">
        <v>1</v>
      </c>
      <c r="L15">
        <v>1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0</v>
      </c>
      <c r="AA15" s="6">
        <v>0</v>
      </c>
      <c r="AB15">
        <v>3</v>
      </c>
    </row>
    <row r="16" spans="1:82" x14ac:dyDescent="0.2">
      <c r="A16" t="s">
        <v>498</v>
      </c>
      <c r="B16" s="5">
        <v>0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1</v>
      </c>
      <c r="N16">
        <v>1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  <c r="AA16" s="6">
        <v>0</v>
      </c>
      <c r="AB16">
        <v>4</v>
      </c>
    </row>
    <row r="17" spans="1:28" x14ac:dyDescent="0.2">
      <c r="A17" t="s">
        <v>330</v>
      </c>
      <c r="B17" s="5">
        <v>0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1</v>
      </c>
      <c r="P17">
        <v>1</v>
      </c>
      <c r="Q17">
        <v>1</v>
      </c>
      <c r="R17">
        <v>1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 s="6">
        <v>0</v>
      </c>
      <c r="AB17">
        <v>5</v>
      </c>
    </row>
    <row r="18" spans="1:28" x14ac:dyDescent="0.2">
      <c r="A18" t="s">
        <v>499</v>
      </c>
      <c r="B18" s="5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1</v>
      </c>
      <c r="T18">
        <v>1</v>
      </c>
      <c r="U18">
        <v>1</v>
      </c>
      <c r="V18">
        <v>0</v>
      </c>
      <c r="W18">
        <v>0</v>
      </c>
      <c r="X18">
        <v>0</v>
      </c>
      <c r="Y18">
        <v>0</v>
      </c>
      <c r="Z18">
        <v>0</v>
      </c>
      <c r="AA18" s="6">
        <v>0</v>
      </c>
      <c r="AB18">
        <v>6</v>
      </c>
    </row>
    <row r="19" spans="1:28" x14ac:dyDescent="0.2">
      <c r="A19" t="s">
        <v>500</v>
      </c>
      <c r="B19" s="5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1</v>
      </c>
      <c r="W19">
        <v>1</v>
      </c>
      <c r="X19">
        <v>0</v>
      </c>
      <c r="Y19">
        <v>0</v>
      </c>
      <c r="Z19">
        <v>0</v>
      </c>
      <c r="AA19" s="6">
        <v>0</v>
      </c>
      <c r="AB19">
        <v>7</v>
      </c>
    </row>
    <row r="20" spans="1:28" x14ac:dyDescent="0.2">
      <c r="A20" t="s">
        <v>331</v>
      </c>
      <c r="B20" s="5">
        <v>0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1</v>
      </c>
      <c r="Y20">
        <v>1</v>
      </c>
      <c r="Z20">
        <v>0</v>
      </c>
      <c r="AA20" s="6">
        <v>0</v>
      </c>
      <c r="AB20">
        <v>8</v>
      </c>
    </row>
    <row r="21" spans="1:28" ht="13.5" thickBot="1" x14ac:dyDescent="0.25">
      <c r="A21" t="s">
        <v>9</v>
      </c>
      <c r="B21" s="7">
        <v>0</v>
      </c>
      <c r="C21" s="8">
        <v>0</v>
      </c>
      <c r="D21" s="8">
        <v>0</v>
      </c>
      <c r="E21" s="8">
        <v>0</v>
      </c>
      <c r="F21" s="8">
        <v>0</v>
      </c>
      <c r="G21" s="8">
        <v>0</v>
      </c>
      <c r="H21" s="8">
        <v>0</v>
      </c>
      <c r="I21" s="8">
        <v>0</v>
      </c>
      <c r="J21" s="8">
        <v>0</v>
      </c>
      <c r="K21" s="8">
        <v>0</v>
      </c>
      <c r="L21" s="8">
        <v>0</v>
      </c>
      <c r="M21" s="8">
        <v>0</v>
      </c>
      <c r="N21" s="8">
        <v>0</v>
      </c>
      <c r="O21" s="8">
        <v>0</v>
      </c>
      <c r="P21" s="8">
        <v>0</v>
      </c>
      <c r="Q21" s="8">
        <v>0</v>
      </c>
      <c r="R21" s="8">
        <v>0</v>
      </c>
      <c r="S21" s="8">
        <v>0</v>
      </c>
      <c r="T21" s="8">
        <v>0</v>
      </c>
      <c r="U21" s="8">
        <v>0</v>
      </c>
      <c r="V21" s="8">
        <v>0</v>
      </c>
      <c r="W21" s="8">
        <v>0</v>
      </c>
      <c r="X21" s="8">
        <v>0</v>
      </c>
      <c r="Y21" s="8">
        <v>0</v>
      </c>
      <c r="Z21" s="8">
        <v>1</v>
      </c>
      <c r="AA21" s="9">
        <v>1</v>
      </c>
      <c r="AB21">
        <v>9</v>
      </c>
    </row>
    <row r="22" spans="1:28" x14ac:dyDescent="0.2">
      <c r="B22">
        <v>1</v>
      </c>
      <c r="C22">
        <v>2</v>
      </c>
      <c r="D22">
        <v>3</v>
      </c>
      <c r="E22">
        <v>4</v>
      </c>
      <c r="F22">
        <v>5</v>
      </c>
      <c r="G22">
        <v>6</v>
      </c>
      <c r="H22">
        <v>7</v>
      </c>
      <c r="I22">
        <v>8</v>
      </c>
      <c r="J22">
        <v>9</v>
      </c>
      <c r="K22">
        <v>10</v>
      </c>
      <c r="L22">
        <v>11</v>
      </c>
      <c r="M22">
        <v>12</v>
      </c>
      <c r="N22">
        <v>13</v>
      </c>
      <c r="O22">
        <v>14</v>
      </c>
      <c r="P22">
        <v>15</v>
      </c>
      <c r="Q22">
        <v>16</v>
      </c>
      <c r="R22">
        <v>17</v>
      </c>
      <c r="S22">
        <v>18</v>
      </c>
      <c r="T22">
        <v>19</v>
      </c>
      <c r="U22">
        <v>20</v>
      </c>
      <c r="V22">
        <v>21</v>
      </c>
      <c r="W22">
        <v>22</v>
      </c>
      <c r="X22">
        <v>23</v>
      </c>
      <c r="Y22">
        <v>24</v>
      </c>
      <c r="Z22">
        <v>25</v>
      </c>
      <c r="AA22">
        <v>26</v>
      </c>
    </row>
    <row r="24" spans="1:28" x14ac:dyDescent="0.2">
      <c r="A24" s="1" t="str">
        <f>CONCATENATE("Aggregation 9 qualifications to 6 ",name!$G$2)</f>
        <v>Aggregation 9 qualifications to 6 Qualification groups</v>
      </c>
    </row>
    <row r="25" spans="1:28" ht="197.25" customHeight="1" thickBot="1" x14ac:dyDescent="0.25">
      <c r="B25" s="125" t="str">
        <f t="array" ref="B25:J25">TRANSPOSE(name!F4:F13)</f>
        <v>RQF8 Doctorate</v>
      </c>
      <c r="C25" s="125" t="str">
        <v>RQF7 Other higher degree</v>
      </c>
      <c r="D25" s="125" t="str">
        <v>RQF6 First degree</v>
      </c>
      <c r="E25" s="125" t="str">
        <v>RQF5 Foundation degree;Nursing;Teaching</v>
      </c>
      <c r="F25" s="125" t="str">
        <v>RQF4 HE below degree level</v>
      </c>
      <c r="G25" s="125" t="str">
        <v>RQF3 A level &amp; equivalent</v>
      </c>
      <c r="H25" s="125" t="str">
        <v>RQF2 GCSE(A-C) &amp; equivalent</v>
      </c>
      <c r="I25" s="125" t="str">
        <v>RQF1 GCSE(below grade C) &amp; equivalent</v>
      </c>
      <c r="J25" s="125" t="str">
        <v>No Qualification</v>
      </c>
    </row>
    <row r="26" spans="1:28" x14ac:dyDescent="0.2">
      <c r="A26" s="10" t="str">
        <f>name!G4</f>
        <v>RQF 7-8</v>
      </c>
      <c r="B26" s="2">
        <v>1</v>
      </c>
      <c r="C26" s="3">
        <v>1</v>
      </c>
      <c r="D26" s="3">
        <v>0</v>
      </c>
      <c r="E26" s="3">
        <v>0</v>
      </c>
      <c r="F26" s="3">
        <v>0</v>
      </c>
      <c r="G26" s="3">
        <v>0</v>
      </c>
      <c r="H26" s="3">
        <v>0</v>
      </c>
      <c r="I26" s="3">
        <v>0</v>
      </c>
      <c r="J26" s="4">
        <v>0</v>
      </c>
      <c r="K26">
        <v>1</v>
      </c>
    </row>
    <row r="27" spans="1:28" x14ac:dyDescent="0.2">
      <c r="A27" s="10" t="str">
        <f>name!G5</f>
        <v>RQF 4-6</v>
      </c>
      <c r="B27" s="5">
        <v>0</v>
      </c>
      <c r="C27">
        <v>0</v>
      </c>
      <c r="D27">
        <v>1</v>
      </c>
      <c r="E27">
        <v>1</v>
      </c>
      <c r="F27">
        <v>1</v>
      </c>
      <c r="G27">
        <v>0</v>
      </c>
      <c r="H27">
        <v>0</v>
      </c>
      <c r="I27">
        <v>0</v>
      </c>
      <c r="J27" s="6">
        <v>0</v>
      </c>
      <c r="K27">
        <v>2</v>
      </c>
    </row>
    <row r="28" spans="1:28" x14ac:dyDescent="0.2">
      <c r="A28" s="10" t="str">
        <f>name!G6</f>
        <v>RQF3 A level &amp; equivalent</v>
      </c>
      <c r="B28" s="5">
        <v>0</v>
      </c>
      <c r="C28">
        <v>0</v>
      </c>
      <c r="D28">
        <v>0</v>
      </c>
      <c r="E28">
        <v>0</v>
      </c>
      <c r="F28">
        <v>0</v>
      </c>
      <c r="G28">
        <v>1</v>
      </c>
      <c r="H28">
        <v>0</v>
      </c>
      <c r="I28">
        <v>0</v>
      </c>
      <c r="J28" s="6">
        <v>0</v>
      </c>
      <c r="K28">
        <v>3</v>
      </c>
    </row>
    <row r="29" spans="1:28" x14ac:dyDescent="0.2">
      <c r="A29" s="10" t="str">
        <f>name!G7</f>
        <v>RQF2 GCSE(A-C) &amp; equivalent</v>
      </c>
      <c r="B29" s="5">
        <v>0</v>
      </c>
      <c r="C29">
        <v>0</v>
      </c>
      <c r="D29">
        <v>0</v>
      </c>
      <c r="E29">
        <v>0</v>
      </c>
      <c r="F29">
        <v>0</v>
      </c>
      <c r="G29">
        <v>0</v>
      </c>
      <c r="H29">
        <v>1</v>
      </c>
      <c r="I29">
        <v>0</v>
      </c>
      <c r="J29" s="6">
        <v>0</v>
      </c>
      <c r="K29">
        <v>4</v>
      </c>
    </row>
    <row r="30" spans="1:28" x14ac:dyDescent="0.2">
      <c r="A30" s="10" t="str">
        <f>name!G8</f>
        <v>RQF1 GCSE(below grade C) &amp; equivalent</v>
      </c>
      <c r="B30" s="5">
        <v>0</v>
      </c>
      <c r="C30">
        <v>0</v>
      </c>
      <c r="D30">
        <v>0</v>
      </c>
      <c r="E30">
        <v>0</v>
      </c>
      <c r="F30">
        <v>0</v>
      </c>
      <c r="G30">
        <v>0</v>
      </c>
      <c r="H30">
        <v>0</v>
      </c>
      <c r="I30">
        <v>1</v>
      </c>
      <c r="J30" s="6">
        <v>0</v>
      </c>
      <c r="K30">
        <v>5</v>
      </c>
    </row>
    <row r="31" spans="1:28" ht="13.5" thickBot="1" x14ac:dyDescent="0.25">
      <c r="A31" s="10" t="str">
        <f>name!G9</f>
        <v>No Qualification</v>
      </c>
      <c r="B31" s="7">
        <v>0</v>
      </c>
      <c r="C31" s="8">
        <v>0</v>
      </c>
      <c r="D31" s="8">
        <v>0</v>
      </c>
      <c r="E31" s="8">
        <v>0</v>
      </c>
      <c r="F31" s="8">
        <v>0</v>
      </c>
      <c r="G31" s="8">
        <v>0</v>
      </c>
      <c r="H31" s="8">
        <v>0</v>
      </c>
      <c r="I31" s="8">
        <v>0</v>
      </c>
      <c r="J31" s="9">
        <v>1</v>
      </c>
      <c r="K31">
        <v>6</v>
      </c>
    </row>
    <row r="32" spans="1:28" x14ac:dyDescent="0.2">
      <c r="A32" s="10"/>
      <c r="B32">
        <v>1</v>
      </c>
      <c r="C32">
        <v>2</v>
      </c>
      <c r="D32">
        <v>3</v>
      </c>
      <c r="E32">
        <v>4</v>
      </c>
      <c r="F32">
        <v>5</v>
      </c>
      <c r="G32">
        <v>6</v>
      </c>
      <c r="H32">
        <v>7</v>
      </c>
      <c r="I32">
        <v>8</v>
      </c>
      <c r="J32">
        <v>9</v>
      </c>
    </row>
    <row r="33" spans="1:1" x14ac:dyDescent="0.2">
      <c r="A33" s="10"/>
    </row>
    <row r="34" spans="1:1" x14ac:dyDescent="0.2">
      <c r="A34" s="10"/>
    </row>
  </sheetData>
  <phoneticPr fontId="4" type="noConversion"/>
  <conditionalFormatting sqref="J27:J30">
    <cfRule type="cellIs" dxfId="5" priority="5" operator="equal">
      <formula>0</formula>
    </cfRule>
    <cfRule type="cellIs" dxfId="4" priority="6" stopIfTrue="1" operator="equal">
      <formula>1</formula>
    </cfRule>
  </conditionalFormatting>
  <conditionalFormatting sqref="B3:W8 B26:J31">
    <cfRule type="cellIs" dxfId="3" priority="17" operator="equal">
      <formula>0</formula>
    </cfRule>
    <cfRule type="cellIs" dxfId="2" priority="19" stopIfTrue="1" operator="equal">
      <formula>1</formula>
    </cfRule>
  </conditionalFormatting>
  <conditionalFormatting sqref="B13:AA21">
    <cfRule type="cellIs" dxfId="1" priority="1" operator="equal">
      <formula>0</formula>
    </cfRule>
    <cfRule type="cellIs" dxfId="0" priority="2" stopIfTrue="1" operator="equal">
      <formula>1</formula>
    </cfRule>
  </conditionalFormatting>
  <pageMargins left="0.55118110236220474" right="0.55118110236220474" top="0.98425196850393704" bottom="0.98425196850393704" header="0.51181102362204722" footer="0.51181102362204722"/>
  <pageSetup paperSize="9" scale="60" orientation="landscape" r:id="rId1"/>
  <headerFooter alignWithMargins="0"/>
  <rowBreaks count="1" manualBreakCount="1">
    <brk id="23" max="16383" man="1"/>
  </rowBreaks>
  <colBreaks count="1" manualBreakCount="1">
    <brk id="69" max="1048575" man="1"/>
  </colBreaks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600-000000000000}">
  <sheetPr codeName="Sheet19">
    <pageSetUpPr fitToPage="1"/>
  </sheetPr>
  <dimension ref="A1:F277"/>
  <sheetViews>
    <sheetView zoomScale="85" zoomScaleNormal="85" workbookViewId="0"/>
  </sheetViews>
  <sheetFormatPr defaultColWidth="10.28515625" defaultRowHeight="12.75" x14ac:dyDescent="0.2"/>
  <cols>
    <col min="1" max="1" width="4.140625" style="14" customWidth="1"/>
    <col min="2" max="2" width="55.7109375" style="14" customWidth="1"/>
    <col min="3" max="3" width="5.85546875" style="14" customWidth="1"/>
    <col min="4" max="4" width="65.7109375" style="14" customWidth="1"/>
    <col min="5" max="16384" width="10.28515625" style="14"/>
  </cols>
  <sheetData>
    <row r="1" spans="1:4" x14ac:dyDescent="0.2">
      <c r="A1" s="15" t="s">
        <v>166</v>
      </c>
    </row>
    <row r="3" spans="1:4" x14ac:dyDescent="0.2">
      <c r="A3" s="126"/>
      <c r="B3" s="126" t="s">
        <v>354</v>
      </c>
      <c r="C3" s="126"/>
      <c r="D3" s="126" t="s">
        <v>355</v>
      </c>
    </row>
    <row r="4" spans="1:4" x14ac:dyDescent="0.2">
      <c r="A4" s="126"/>
      <c r="B4" s="126"/>
      <c r="C4" s="126"/>
      <c r="D4" s="126"/>
    </row>
    <row r="5" spans="1:4" x14ac:dyDescent="0.2">
      <c r="A5" s="126">
        <v>1</v>
      </c>
      <c r="B5" s="126" t="s">
        <v>167</v>
      </c>
      <c r="C5" s="126">
        <v>1</v>
      </c>
      <c r="D5" s="126" t="s">
        <v>168</v>
      </c>
    </row>
    <row r="6" spans="1:4" x14ac:dyDescent="0.2">
      <c r="A6" s="126"/>
      <c r="B6" s="126"/>
      <c r="C6" s="126"/>
      <c r="D6" s="126"/>
    </row>
    <row r="7" spans="1:4" x14ac:dyDescent="0.2">
      <c r="A7" s="126">
        <v>2</v>
      </c>
      <c r="B7" s="126" t="s">
        <v>94</v>
      </c>
      <c r="C7" s="126">
        <v>2</v>
      </c>
      <c r="D7" s="126" t="s">
        <v>169</v>
      </c>
    </row>
    <row r="8" spans="1:4" x14ac:dyDescent="0.2">
      <c r="A8" s="126"/>
      <c r="B8" s="126"/>
      <c r="C8" s="126"/>
      <c r="D8" s="126"/>
    </row>
    <row r="9" spans="1:4" x14ac:dyDescent="0.2">
      <c r="A9" s="126">
        <v>3</v>
      </c>
      <c r="B9" s="126" t="s">
        <v>170</v>
      </c>
      <c r="C9" s="126">
        <v>3</v>
      </c>
      <c r="D9" s="126" t="s">
        <v>171</v>
      </c>
    </row>
    <row r="10" spans="1:4" x14ac:dyDescent="0.2">
      <c r="A10" s="126"/>
      <c r="B10" s="126"/>
      <c r="C10" s="126">
        <v>4</v>
      </c>
      <c r="D10" s="126" t="s">
        <v>172</v>
      </c>
    </row>
    <row r="11" spans="1:4" x14ac:dyDescent="0.2">
      <c r="A11" s="126"/>
      <c r="B11" s="126"/>
      <c r="C11" s="126"/>
      <c r="D11" s="126"/>
    </row>
    <row r="12" spans="1:4" x14ac:dyDescent="0.2">
      <c r="A12" s="126">
        <v>4</v>
      </c>
      <c r="B12" s="126" t="s">
        <v>69</v>
      </c>
      <c r="C12" s="126">
        <v>16</v>
      </c>
      <c r="D12" s="126" t="s">
        <v>173</v>
      </c>
    </row>
    <row r="13" spans="1:4" x14ac:dyDescent="0.2">
      <c r="A13" s="126"/>
      <c r="B13" s="126"/>
      <c r="C13" s="126">
        <v>17</v>
      </c>
      <c r="D13" s="126" t="s">
        <v>95</v>
      </c>
    </row>
    <row r="14" spans="1:4" x14ac:dyDescent="0.2">
      <c r="A14" s="126"/>
      <c r="B14" s="126"/>
      <c r="C14" s="126">
        <v>18</v>
      </c>
      <c r="D14" s="126" t="s">
        <v>174</v>
      </c>
    </row>
    <row r="15" spans="1:4" x14ac:dyDescent="0.2">
      <c r="A15" s="126"/>
      <c r="B15" s="126"/>
      <c r="C15" s="126"/>
      <c r="D15" s="126"/>
    </row>
    <row r="16" spans="1:4" x14ac:dyDescent="0.2">
      <c r="A16" s="126">
        <v>5</v>
      </c>
      <c r="B16" s="126" t="s">
        <v>96</v>
      </c>
      <c r="C16" s="126">
        <v>5</v>
      </c>
      <c r="D16" s="126" t="s">
        <v>175</v>
      </c>
    </row>
    <row r="17" spans="1:4" x14ac:dyDescent="0.2">
      <c r="A17" s="126"/>
      <c r="B17" s="126"/>
      <c r="C17" s="126">
        <v>6</v>
      </c>
      <c r="D17" s="126" t="s">
        <v>176</v>
      </c>
    </row>
    <row r="18" spans="1:4" x14ac:dyDescent="0.2">
      <c r="A18" s="126"/>
      <c r="B18" s="126"/>
      <c r="C18" s="126">
        <v>7</v>
      </c>
      <c r="D18" s="126" t="s">
        <v>177</v>
      </c>
    </row>
    <row r="19" spans="1:4" x14ac:dyDescent="0.2">
      <c r="A19" s="126"/>
      <c r="B19" s="126"/>
      <c r="C19" s="126">
        <v>8</v>
      </c>
      <c r="D19" s="126" t="s">
        <v>178</v>
      </c>
    </row>
    <row r="20" spans="1:4" x14ac:dyDescent="0.2">
      <c r="A20" s="126"/>
      <c r="B20" s="126"/>
      <c r="C20" s="126">
        <v>9</v>
      </c>
      <c r="D20" s="126" t="s">
        <v>179</v>
      </c>
    </row>
    <row r="21" spans="1:4" x14ac:dyDescent="0.2">
      <c r="A21" s="126"/>
      <c r="B21" s="126"/>
      <c r="C21" s="126">
        <v>10</v>
      </c>
      <c r="D21" s="126" t="s">
        <v>180</v>
      </c>
    </row>
    <row r="22" spans="1:4" x14ac:dyDescent="0.2">
      <c r="A22" s="126"/>
      <c r="B22" s="126"/>
      <c r="C22" s="126">
        <v>11</v>
      </c>
      <c r="D22" s="126" t="s">
        <v>70</v>
      </c>
    </row>
    <row r="23" spans="1:4" x14ac:dyDescent="0.2">
      <c r="A23" s="126"/>
      <c r="B23" s="126"/>
      <c r="C23" s="126">
        <v>12</v>
      </c>
      <c r="D23" s="126" t="s">
        <v>181</v>
      </c>
    </row>
    <row r="24" spans="1:4" x14ac:dyDescent="0.2">
      <c r="A24" s="126"/>
      <c r="B24" s="126"/>
      <c r="C24" s="126">
        <v>13</v>
      </c>
      <c r="D24" s="126" t="s">
        <v>182</v>
      </c>
    </row>
    <row r="25" spans="1:4" x14ac:dyDescent="0.2">
      <c r="A25" s="126"/>
      <c r="B25" s="126"/>
      <c r="C25" s="126">
        <v>14</v>
      </c>
      <c r="D25" s="126" t="s">
        <v>128</v>
      </c>
    </row>
    <row r="26" spans="1:4" x14ac:dyDescent="0.2">
      <c r="A26" s="126"/>
      <c r="B26" s="126"/>
      <c r="C26" s="126">
        <v>15</v>
      </c>
      <c r="D26" s="126" t="s">
        <v>129</v>
      </c>
    </row>
    <row r="27" spans="1:4" x14ac:dyDescent="0.2">
      <c r="A27" s="126"/>
      <c r="B27" s="126"/>
      <c r="C27" s="126">
        <v>19</v>
      </c>
      <c r="D27" s="126" t="s">
        <v>183</v>
      </c>
    </row>
    <row r="28" spans="1:4" x14ac:dyDescent="0.2">
      <c r="A28" s="126"/>
      <c r="B28" s="126"/>
      <c r="C28" s="126">
        <v>20</v>
      </c>
      <c r="D28" s="126" t="s">
        <v>184</v>
      </c>
    </row>
    <row r="29" spans="1:4" x14ac:dyDescent="0.2">
      <c r="A29" s="126"/>
      <c r="B29" s="126"/>
      <c r="C29" s="126">
        <v>21</v>
      </c>
      <c r="D29" s="126" t="s">
        <v>185</v>
      </c>
    </row>
    <row r="30" spans="1:4" x14ac:dyDescent="0.2">
      <c r="A30" s="126"/>
      <c r="B30" s="126"/>
      <c r="C30" s="126">
        <v>22</v>
      </c>
      <c r="D30" s="126" t="s">
        <v>186</v>
      </c>
    </row>
    <row r="31" spans="1:4" x14ac:dyDescent="0.2">
      <c r="A31" s="126"/>
      <c r="B31" s="126"/>
      <c r="C31" s="126">
        <v>23</v>
      </c>
      <c r="D31" s="126" t="s">
        <v>187</v>
      </c>
    </row>
    <row r="32" spans="1:4" x14ac:dyDescent="0.2">
      <c r="A32" s="126"/>
      <c r="B32" s="126"/>
      <c r="C32" s="126"/>
      <c r="D32" s="126"/>
    </row>
    <row r="33" spans="1:4" x14ac:dyDescent="0.2">
      <c r="A33" s="126">
        <v>6</v>
      </c>
      <c r="B33" s="126" t="s">
        <v>188</v>
      </c>
      <c r="C33" s="126">
        <v>24</v>
      </c>
      <c r="D33" s="126" t="s">
        <v>189</v>
      </c>
    </row>
    <row r="34" spans="1:4" x14ac:dyDescent="0.2">
      <c r="A34" s="126"/>
      <c r="B34" s="126"/>
      <c r="C34" s="126"/>
      <c r="D34" s="126"/>
    </row>
    <row r="35" spans="1:4" x14ac:dyDescent="0.2">
      <c r="A35" s="126">
        <v>7</v>
      </c>
      <c r="B35" s="126" t="s">
        <v>190</v>
      </c>
      <c r="C35" s="126">
        <v>25</v>
      </c>
      <c r="D35" s="126" t="s">
        <v>191</v>
      </c>
    </row>
    <row r="36" spans="1:4" x14ac:dyDescent="0.2">
      <c r="A36" s="126"/>
      <c r="B36" s="126"/>
      <c r="C36" s="126">
        <v>26</v>
      </c>
      <c r="D36" s="126" t="s">
        <v>192</v>
      </c>
    </row>
    <row r="37" spans="1:4" x14ac:dyDescent="0.2">
      <c r="A37" s="126"/>
      <c r="B37" s="126"/>
      <c r="C37" s="126">
        <v>27</v>
      </c>
      <c r="D37" s="126" t="s">
        <v>193</v>
      </c>
    </row>
    <row r="38" spans="1:4" x14ac:dyDescent="0.2">
      <c r="A38" s="126"/>
      <c r="B38" s="126"/>
      <c r="C38" s="126"/>
      <c r="D38" s="126"/>
    </row>
    <row r="39" spans="1:4" x14ac:dyDescent="0.2">
      <c r="A39" s="126">
        <v>8</v>
      </c>
      <c r="B39" s="126" t="s">
        <v>71</v>
      </c>
      <c r="C39" s="126">
        <v>28</v>
      </c>
      <c r="D39" s="126" t="s">
        <v>194</v>
      </c>
    </row>
    <row r="40" spans="1:4" x14ac:dyDescent="0.2">
      <c r="A40" s="126"/>
      <c r="B40" s="126"/>
      <c r="C40" s="126">
        <v>29</v>
      </c>
      <c r="D40" s="126" t="s">
        <v>195</v>
      </c>
    </row>
    <row r="41" spans="1:4" x14ac:dyDescent="0.2">
      <c r="A41" s="126"/>
      <c r="B41" s="126"/>
      <c r="C41" s="126">
        <v>30</v>
      </c>
      <c r="D41" s="126" t="s">
        <v>196</v>
      </c>
    </row>
    <row r="42" spans="1:4" x14ac:dyDescent="0.2">
      <c r="A42" s="126"/>
      <c r="B42" s="126"/>
      <c r="C42" s="126"/>
      <c r="D42" s="126"/>
    </row>
    <row r="43" spans="1:4" x14ac:dyDescent="0.2">
      <c r="A43" s="126">
        <v>9</v>
      </c>
      <c r="B43" s="126" t="s">
        <v>97</v>
      </c>
      <c r="C43" s="126">
        <v>31</v>
      </c>
      <c r="D43" s="126" t="s">
        <v>197</v>
      </c>
    </row>
    <row r="44" spans="1:4" x14ac:dyDescent="0.2">
      <c r="A44" s="126"/>
      <c r="B44" s="126"/>
      <c r="C44" s="126">
        <v>32</v>
      </c>
      <c r="D44" s="126" t="s">
        <v>198</v>
      </c>
    </row>
    <row r="45" spans="1:4" x14ac:dyDescent="0.2">
      <c r="A45" s="126"/>
      <c r="B45" s="126"/>
      <c r="C45" s="126">
        <v>33</v>
      </c>
      <c r="D45" s="126" t="s">
        <v>199</v>
      </c>
    </row>
    <row r="46" spans="1:4" x14ac:dyDescent="0.2">
      <c r="A46" s="126"/>
      <c r="B46" s="126"/>
      <c r="C46" s="126"/>
      <c r="D46" s="126"/>
    </row>
    <row r="47" spans="1:4" x14ac:dyDescent="0.2">
      <c r="A47" s="126">
        <v>10</v>
      </c>
      <c r="B47" s="126" t="s">
        <v>200</v>
      </c>
      <c r="C47" s="126">
        <v>34</v>
      </c>
      <c r="D47" s="126" t="s">
        <v>201</v>
      </c>
    </row>
    <row r="48" spans="1:4" x14ac:dyDescent="0.2">
      <c r="A48" s="126"/>
      <c r="B48" s="126"/>
      <c r="C48" s="126">
        <v>35</v>
      </c>
      <c r="D48" s="126" t="s">
        <v>202</v>
      </c>
    </row>
    <row r="49" spans="1:4" x14ac:dyDescent="0.2">
      <c r="A49" s="126"/>
      <c r="B49" s="126"/>
      <c r="C49" s="126">
        <v>36</v>
      </c>
      <c r="D49" s="126" t="s">
        <v>203</v>
      </c>
    </row>
    <row r="50" spans="1:4" x14ac:dyDescent="0.2">
      <c r="A50" s="126"/>
      <c r="B50" s="126"/>
      <c r="C50" s="126">
        <v>37</v>
      </c>
      <c r="D50" s="126" t="s">
        <v>204</v>
      </c>
    </row>
    <row r="51" spans="1:4" x14ac:dyDescent="0.2">
      <c r="A51" s="126"/>
      <c r="B51" s="126"/>
      <c r="C51" s="126">
        <v>38</v>
      </c>
      <c r="D51" s="126" t="s">
        <v>205</v>
      </c>
    </row>
    <row r="52" spans="1:4" x14ac:dyDescent="0.2">
      <c r="A52" s="126"/>
      <c r="B52" s="126"/>
      <c r="C52" s="126"/>
      <c r="D52" s="126"/>
    </row>
    <row r="53" spans="1:4" x14ac:dyDescent="0.2">
      <c r="A53" s="126">
        <v>11</v>
      </c>
      <c r="B53" s="126" t="s">
        <v>206</v>
      </c>
      <c r="C53" s="126">
        <v>39</v>
      </c>
      <c r="D53" s="126" t="s">
        <v>207</v>
      </c>
    </row>
    <row r="54" spans="1:4" x14ac:dyDescent="0.2">
      <c r="A54" s="126"/>
      <c r="B54" s="126"/>
      <c r="C54" s="126">
        <v>40</v>
      </c>
      <c r="D54" s="126" t="s">
        <v>208</v>
      </c>
    </row>
    <row r="55" spans="1:4" x14ac:dyDescent="0.2">
      <c r="A55" s="126"/>
      <c r="B55" s="126"/>
      <c r="C55" s="126"/>
      <c r="D55" s="126"/>
    </row>
    <row r="56" spans="1:4" x14ac:dyDescent="0.2">
      <c r="A56" s="126">
        <v>12</v>
      </c>
      <c r="B56" s="126" t="s">
        <v>100</v>
      </c>
      <c r="C56" s="126">
        <v>41</v>
      </c>
      <c r="D56" s="126" t="s">
        <v>130</v>
      </c>
    </row>
    <row r="57" spans="1:4" x14ac:dyDescent="0.2">
      <c r="A57" s="126"/>
      <c r="B57" s="126"/>
      <c r="C57" s="126">
        <v>42</v>
      </c>
      <c r="D57" s="126" t="s">
        <v>209</v>
      </c>
    </row>
    <row r="58" spans="1:4" x14ac:dyDescent="0.2">
      <c r="A58" s="126"/>
      <c r="B58" s="126"/>
      <c r="C58" s="126">
        <v>43</v>
      </c>
      <c r="D58" s="126" t="s">
        <v>210</v>
      </c>
    </row>
    <row r="59" spans="1:4" x14ac:dyDescent="0.2">
      <c r="A59" s="126"/>
      <c r="B59" s="126"/>
      <c r="C59" s="126"/>
      <c r="D59" s="126"/>
    </row>
    <row r="60" spans="1:4" x14ac:dyDescent="0.2">
      <c r="A60" s="126">
        <v>13</v>
      </c>
      <c r="B60" s="126" t="s">
        <v>211</v>
      </c>
      <c r="C60" s="126">
        <v>44</v>
      </c>
      <c r="D60" s="126" t="s">
        <v>98</v>
      </c>
    </row>
    <row r="61" spans="1:4" x14ac:dyDescent="0.2">
      <c r="A61" s="126"/>
      <c r="B61" s="126"/>
      <c r="C61" s="126">
        <v>45</v>
      </c>
      <c r="D61" s="126" t="s">
        <v>212</v>
      </c>
    </row>
    <row r="62" spans="1:4" x14ac:dyDescent="0.2">
      <c r="A62" s="126"/>
      <c r="B62" s="126"/>
      <c r="C62" s="126">
        <v>46</v>
      </c>
      <c r="D62" s="126" t="s">
        <v>213</v>
      </c>
    </row>
    <row r="63" spans="1:4" x14ac:dyDescent="0.2">
      <c r="A63" s="126"/>
      <c r="B63" s="126"/>
      <c r="C63" s="126"/>
      <c r="D63" s="126"/>
    </row>
    <row r="64" spans="1:4" x14ac:dyDescent="0.2">
      <c r="A64" s="126">
        <v>14</v>
      </c>
      <c r="B64" s="126" t="s">
        <v>214</v>
      </c>
      <c r="C64" s="126">
        <v>47</v>
      </c>
      <c r="D64" s="126" t="s">
        <v>131</v>
      </c>
    </row>
    <row r="65" spans="1:4" x14ac:dyDescent="0.2">
      <c r="A65" s="126"/>
      <c r="B65" s="126"/>
      <c r="C65" s="126">
        <v>48</v>
      </c>
      <c r="D65" s="126" t="s">
        <v>215</v>
      </c>
    </row>
    <row r="66" spans="1:4" x14ac:dyDescent="0.2">
      <c r="A66" s="126"/>
      <c r="B66" s="126"/>
      <c r="C66" s="126">
        <v>49</v>
      </c>
      <c r="D66" s="126" t="s">
        <v>216</v>
      </c>
    </row>
    <row r="67" spans="1:4" x14ac:dyDescent="0.2">
      <c r="A67" s="126"/>
      <c r="B67" s="126"/>
      <c r="C67" s="126"/>
      <c r="D67" s="126"/>
    </row>
    <row r="68" spans="1:4" x14ac:dyDescent="0.2">
      <c r="A68" s="126">
        <v>15</v>
      </c>
      <c r="B68" s="126" t="s">
        <v>217</v>
      </c>
      <c r="C68" s="126">
        <v>50</v>
      </c>
      <c r="D68" s="126" t="s">
        <v>217</v>
      </c>
    </row>
    <row r="69" spans="1:4" x14ac:dyDescent="0.2">
      <c r="A69" s="126"/>
      <c r="B69" s="126"/>
      <c r="C69" s="126"/>
      <c r="D69" s="126"/>
    </row>
    <row r="70" spans="1:4" x14ac:dyDescent="0.2">
      <c r="A70" s="126">
        <v>16</v>
      </c>
      <c r="B70" s="126" t="s">
        <v>218</v>
      </c>
      <c r="C70" s="126">
        <v>51</v>
      </c>
      <c r="D70" s="126" t="s">
        <v>219</v>
      </c>
    </row>
    <row r="71" spans="1:4" x14ac:dyDescent="0.2">
      <c r="A71" s="126"/>
      <c r="B71" s="126"/>
      <c r="C71" s="126">
        <v>52</v>
      </c>
      <c r="D71" s="126" t="s">
        <v>220</v>
      </c>
    </row>
    <row r="72" spans="1:4" x14ac:dyDescent="0.2">
      <c r="A72" s="126"/>
      <c r="B72" s="126"/>
      <c r="C72" s="126">
        <v>53</v>
      </c>
      <c r="D72" s="126" t="s">
        <v>221</v>
      </c>
    </row>
    <row r="73" spans="1:4" x14ac:dyDescent="0.2">
      <c r="A73" s="126"/>
      <c r="B73" s="126"/>
      <c r="C73" s="126">
        <v>54</v>
      </c>
      <c r="D73" s="126" t="s">
        <v>222</v>
      </c>
    </row>
    <row r="74" spans="1:4" x14ac:dyDescent="0.2">
      <c r="A74" s="126"/>
      <c r="B74" s="126"/>
      <c r="C74" s="126">
        <v>55</v>
      </c>
      <c r="D74" s="126" t="s">
        <v>223</v>
      </c>
    </row>
    <row r="75" spans="1:4" x14ac:dyDescent="0.2">
      <c r="A75" s="126"/>
      <c r="B75" s="126"/>
      <c r="C75" s="126">
        <v>56</v>
      </c>
      <c r="D75" s="126" t="s">
        <v>224</v>
      </c>
    </row>
    <row r="76" spans="1:4" x14ac:dyDescent="0.2">
      <c r="A76" s="126"/>
      <c r="B76" s="126"/>
      <c r="C76" s="126">
        <v>57</v>
      </c>
      <c r="D76" s="126" t="s">
        <v>225</v>
      </c>
    </row>
    <row r="77" spans="1:4" x14ac:dyDescent="0.2">
      <c r="A77" s="126"/>
      <c r="B77" s="126"/>
      <c r="C77" s="126"/>
      <c r="D77" s="126"/>
    </row>
    <row r="78" spans="1:4" x14ac:dyDescent="0.2">
      <c r="A78" s="126">
        <v>17</v>
      </c>
      <c r="B78" s="126" t="s">
        <v>226</v>
      </c>
      <c r="C78" s="126">
        <v>58</v>
      </c>
      <c r="D78" s="126" t="s">
        <v>227</v>
      </c>
    </row>
    <row r="79" spans="1:4" x14ac:dyDescent="0.2">
      <c r="A79" s="126"/>
      <c r="B79" s="126"/>
      <c r="C79" s="126">
        <v>59</v>
      </c>
      <c r="D79" s="126" t="s">
        <v>132</v>
      </c>
    </row>
    <row r="80" spans="1:4" x14ac:dyDescent="0.2">
      <c r="A80" s="126"/>
      <c r="B80" s="126"/>
      <c r="C80" s="126">
        <v>60</v>
      </c>
      <c r="D80" s="126" t="s">
        <v>228</v>
      </c>
    </row>
    <row r="81" spans="1:4" x14ac:dyDescent="0.2">
      <c r="A81" s="126"/>
      <c r="B81" s="126"/>
      <c r="C81" s="126">
        <v>61</v>
      </c>
      <c r="D81" s="126" t="s">
        <v>229</v>
      </c>
    </row>
    <row r="82" spans="1:4" x14ac:dyDescent="0.2">
      <c r="A82" s="126"/>
      <c r="B82" s="126"/>
      <c r="C82" s="126">
        <v>62</v>
      </c>
      <c r="D82" s="126" t="s">
        <v>230</v>
      </c>
    </row>
    <row r="83" spans="1:4" x14ac:dyDescent="0.2">
      <c r="A83" s="126"/>
      <c r="B83" s="126"/>
      <c r="C83" s="126">
        <v>63</v>
      </c>
      <c r="D83" s="126" t="s">
        <v>231</v>
      </c>
    </row>
    <row r="84" spans="1:4" x14ac:dyDescent="0.2">
      <c r="A84" s="126"/>
      <c r="B84" s="126"/>
      <c r="C84" s="126"/>
      <c r="D84" s="126"/>
    </row>
    <row r="85" spans="1:4" x14ac:dyDescent="0.2">
      <c r="A85" s="126">
        <v>18</v>
      </c>
      <c r="B85" s="126" t="s">
        <v>232</v>
      </c>
      <c r="C85" s="126">
        <v>64</v>
      </c>
      <c r="D85" s="126" t="s">
        <v>233</v>
      </c>
    </row>
    <row r="86" spans="1:4" x14ac:dyDescent="0.2">
      <c r="A86" s="126"/>
      <c r="B86" s="126"/>
      <c r="C86" s="126"/>
      <c r="D86" s="126"/>
    </row>
    <row r="87" spans="1:4" x14ac:dyDescent="0.2">
      <c r="A87" s="126">
        <v>19</v>
      </c>
      <c r="B87" s="126" t="s">
        <v>72</v>
      </c>
      <c r="C87" s="126">
        <v>65</v>
      </c>
      <c r="D87" s="126" t="s">
        <v>72</v>
      </c>
    </row>
    <row r="88" spans="1:4" x14ac:dyDescent="0.2">
      <c r="A88" s="126"/>
      <c r="B88" s="126"/>
      <c r="C88" s="126"/>
      <c r="D88" s="126"/>
    </row>
    <row r="89" spans="1:4" x14ac:dyDescent="0.2">
      <c r="A89" s="126">
        <v>20</v>
      </c>
      <c r="B89" s="126" t="s">
        <v>73</v>
      </c>
      <c r="C89" s="126">
        <v>66</v>
      </c>
      <c r="D89" s="126" t="s">
        <v>234</v>
      </c>
    </row>
    <row r="90" spans="1:4" x14ac:dyDescent="0.2">
      <c r="A90" s="126"/>
      <c r="B90" s="126"/>
      <c r="C90" s="126">
        <v>67</v>
      </c>
      <c r="D90" s="126" t="s">
        <v>235</v>
      </c>
    </row>
    <row r="91" spans="1:4" x14ac:dyDescent="0.2">
      <c r="A91" s="126"/>
      <c r="B91" s="126"/>
      <c r="C91" s="126">
        <v>68</v>
      </c>
      <c r="D91" s="126" t="s">
        <v>236</v>
      </c>
    </row>
    <row r="92" spans="1:4" x14ac:dyDescent="0.2">
      <c r="A92" s="126"/>
      <c r="B92" s="126"/>
      <c r="C92" s="126"/>
      <c r="D92" s="126"/>
    </row>
    <row r="93" spans="1:4" x14ac:dyDescent="0.2">
      <c r="A93" s="126">
        <v>21</v>
      </c>
      <c r="B93" s="126" t="s">
        <v>99</v>
      </c>
      <c r="C93" s="126">
        <v>69</v>
      </c>
      <c r="D93" s="126" t="s">
        <v>237</v>
      </c>
    </row>
    <row r="94" spans="1:4" x14ac:dyDescent="0.2">
      <c r="A94" s="126"/>
      <c r="B94" s="126"/>
      <c r="C94" s="126">
        <v>70</v>
      </c>
      <c r="D94" s="126" t="s">
        <v>238</v>
      </c>
    </row>
    <row r="95" spans="1:4" x14ac:dyDescent="0.2">
      <c r="A95" s="126"/>
      <c r="B95" s="126"/>
      <c r="C95" s="126">
        <v>71</v>
      </c>
      <c r="D95" s="126" t="s">
        <v>239</v>
      </c>
    </row>
    <row r="96" spans="1:4" x14ac:dyDescent="0.2">
      <c r="A96" s="126"/>
      <c r="B96" s="126"/>
      <c r="C96" s="126">
        <v>72</v>
      </c>
      <c r="D96" s="126" t="s">
        <v>240</v>
      </c>
    </row>
    <row r="97" spans="1:4" x14ac:dyDescent="0.2">
      <c r="A97" s="126"/>
      <c r="B97" s="126"/>
      <c r="C97" s="126"/>
      <c r="D97" s="126"/>
    </row>
    <row r="98" spans="1:4" x14ac:dyDescent="0.2">
      <c r="A98" s="126">
        <v>22</v>
      </c>
      <c r="B98" s="126" t="s">
        <v>241</v>
      </c>
      <c r="C98" s="126">
        <v>73</v>
      </c>
      <c r="D98" s="126" t="s">
        <v>133</v>
      </c>
    </row>
    <row r="99" spans="1:4" x14ac:dyDescent="0.2">
      <c r="A99" s="126"/>
      <c r="B99" s="126"/>
      <c r="C99" s="126">
        <v>74</v>
      </c>
      <c r="D99" s="126" t="s">
        <v>242</v>
      </c>
    </row>
    <row r="100" spans="1:4" x14ac:dyDescent="0.2">
      <c r="A100" s="126"/>
      <c r="B100" s="126"/>
      <c r="C100" s="126">
        <v>75</v>
      </c>
      <c r="D100" s="126" t="s">
        <v>243</v>
      </c>
    </row>
    <row r="101" spans="1:4" x14ac:dyDescent="0.2">
      <c r="A101"/>
      <c r="B101"/>
      <c r="C101" s="89"/>
      <c r="D101"/>
    </row>
    <row r="102" spans="1:4" x14ac:dyDescent="0.2">
      <c r="A102" s="17" t="s">
        <v>244</v>
      </c>
      <c r="B102" s="89"/>
      <c r="C102" s="89"/>
      <c r="D102"/>
    </row>
    <row r="103" spans="1:4" x14ac:dyDescent="0.2">
      <c r="A103" s="89"/>
      <c r="B103" s="89"/>
      <c r="C103" s="89"/>
      <c r="D103"/>
    </row>
    <row r="104" spans="1:4" x14ac:dyDescent="0.2">
      <c r="A104" s="10"/>
      <c r="B104" s="126" t="s">
        <v>356</v>
      </c>
      <c r="C104" s="10"/>
      <c r="D104" s="126" t="s">
        <v>355</v>
      </c>
    </row>
    <row r="105" spans="1:4" x14ac:dyDescent="0.2">
      <c r="A105" s="10"/>
      <c r="B105" s="10"/>
      <c r="C105" s="10"/>
      <c r="D105" s="10"/>
    </row>
    <row r="106" spans="1:4" x14ac:dyDescent="0.2">
      <c r="A106" s="10">
        <v>1</v>
      </c>
      <c r="B106" s="10" t="s">
        <v>245</v>
      </c>
      <c r="C106" s="10">
        <v>1</v>
      </c>
      <c r="D106" s="10" t="s">
        <v>168</v>
      </c>
    </row>
    <row r="107" spans="1:4" x14ac:dyDescent="0.2">
      <c r="A107" s="10"/>
      <c r="B107" s="10"/>
      <c r="C107" s="10">
        <v>2</v>
      </c>
      <c r="D107" s="10" t="s">
        <v>169</v>
      </c>
    </row>
    <row r="108" spans="1:4" x14ac:dyDescent="0.2">
      <c r="A108" s="10"/>
      <c r="B108" s="10"/>
      <c r="C108" s="10">
        <v>24</v>
      </c>
      <c r="D108" s="10" t="s">
        <v>189</v>
      </c>
    </row>
    <row r="109" spans="1:4" x14ac:dyDescent="0.2">
      <c r="A109" s="10"/>
      <c r="B109" s="10"/>
      <c r="C109" s="10">
        <v>25</v>
      </c>
      <c r="D109" s="10" t="s">
        <v>191</v>
      </c>
    </row>
    <row r="110" spans="1:4" x14ac:dyDescent="0.2">
      <c r="A110" s="10"/>
      <c r="B110" s="10"/>
      <c r="C110" s="10">
        <v>26</v>
      </c>
      <c r="D110" s="10" t="s">
        <v>192</v>
      </c>
    </row>
    <row r="111" spans="1:4" x14ac:dyDescent="0.2">
      <c r="A111" s="10"/>
      <c r="B111" s="10"/>
      <c r="C111" s="10">
        <v>27</v>
      </c>
      <c r="D111" s="10" t="s">
        <v>193</v>
      </c>
    </row>
    <row r="112" spans="1:4" x14ac:dyDescent="0.2">
      <c r="A112" s="10"/>
      <c r="B112" s="10"/>
      <c r="C112" s="10"/>
      <c r="D112" s="10"/>
    </row>
    <row r="113" spans="1:4" x14ac:dyDescent="0.2">
      <c r="A113" s="10">
        <v>2</v>
      </c>
      <c r="B113" s="10" t="s">
        <v>101</v>
      </c>
      <c r="C113" s="10">
        <v>3</v>
      </c>
      <c r="D113" s="10" t="s">
        <v>171</v>
      </c>
    </row>
    <row r="114" spans="1:4" x14ac:dyDescent="0.2">
      <c r="A114" s="10"/>
      <c r="B114" s="10"/>
      <c r="C114" s="10">
        <v>4</v>
      </c>
      <c r="D114" s="10" t="s">
        <v>172</v>
      </c>
    </row>
    <row r="115" spans="1:4" x14ac:dyDescent="0.2">
      <c r="A115" s="10"/>
      <c r="B115" s="10"/>
      <c r="C115" s="10">
        <v>5</v>
      </c>
      <c r="D115" s="10" t="s">
        <v>175</v>
      </c>
    </row>
    <row r="116" spans="1:4" x14ac:dyDescent="0.2">
      <c r="A116" s="10"/>
      <c r="B116" s="10"/>
      <c r="C116" s="10">
        <v>6</v>
      </c>
      <c r="D116" s="10" t="s">
        <v>176</v>
      </c>
    </row>
    <row r="117" spans="1:4" x14ac:dyDescent="0.2">
      <c r="A117" s="10"/>
      <c r="B117" s="10"/>
      <c r="C117" s="10">
        <v>7</v>
      </c>
      <c r="D117" s="10" t="s">
        <v>177</v>
      </c>
    </row>
    <row r="118" spans="1:4" x14ac:dyDescent="0.2">
      <c r="A118" s="10"/>
      <c r="B118" s="10"/>
      <c r="C118" s="10">
        <v>8</v>
      </c>
      <c r="D118" s="10" t="s">
        <v>178</v>
      </c>
    </row>
    <row r="119" spans="1:4" x14ac:dyDescent="0.2">
      <c r="A119" s="10"/>
      <c r="B119" s="10"/>
      <c r="C119" s="10">
        <v>9</v>
      </c>
      <c r="D119" s="10" t="s">
        <v>179</v>
      </c>
    </row>
    <row r="120" spans="1:4" x14ac:dyDescent="0.2">
      <c r="A120" s="10"/>
      <c r="B120" s="10"/>
      <c r="C120" s="10">
        <v>10</v>
      </c>
      <c r="D120" s="10" t="s">
        <v>180</v>
      </c>
    </row>
    <row r="121" spans="1:4" x14ac:dyDescent="0.2">
      <c r="A121" s="10"/>
      <c r="B121" s="10"/>
      <c r="C121" s="10">
        <v>11</v>
      </c>
      <c r="D121" s="10" t="s">
        <v>70</v>
      </c>
    </row>
    <row r="122" spans="1:4" x14ac:dyDescent="0.2">
      <c r="A122" s="10"/>
      <c r="B122" s="10"/>
      <c r="C122" s="10">
        <v>12</v>
      </c>
      <c r="D122" s="10" t="s">
        <v>181</v>
      </c>
    </row>
    <row r="123" spans="1:4" x14ac:dyDescent="0.2">
      <c r="A123" s="10"/>
      <c r="B123" s="10"/>
      <c r="C123" s="10">
        <v>13</v>
      </c>
      <c r="D123" s="10" t="s">
        <v>182</v>
      </c>
    </row>
    <row r="124" spans="1:4" x14ac:dyDescent="0.2">
      <c r="A124" s="10"/>
      <c r="B124" s="10"/>
      <c r="C124" s="10">
        <v>14</v>
      </c>
      <c r="D124" s="10" t="s">
        <v>128</v>
      </c>
    </row>
    <row r="125" spans="1:4" x14ac:dyDescent="0.2">
      <c r="A125" s="10"/>
      <c r="B125" s="10"/>
      <c r="C125" s="10">
        <v>15</v>
      </c>
      <c r="D125" s="10" t="s">
        <v>129</v>
      </c>
    </row>
    <row r="126" spans="1:4" x14ac:dyDescent="0.2">
      <c r="A126" s="10"/>
      <c r="B126" s="10"/>
      <c r="C126" s="10">
        <v>16</v>
      </c>
      <c r="D126" s="10" t="s">
        <v>173</v>
      </c>
    </row>
    <row r="127" spans="1:4" x14ac:dyDescent="0.2">
      <c r="A127" s="10"/>
      <c r="B127" s="10"/>
      <c r="C127" s="10">
        <v>17</v>
      </c>
      <c r="D127" s="10" t="s">
        <v>95</v>
      </c>
    </row>
    <row r="128" spans="1:4" x14ac:dyDescent="0.2">
      <c r="A128" s="10"/>
      <c r="B128" s="10"/>
      <c r="C128" s="10">
        <v>18</v>
      </c>
      <c r="D128" s="10" t="s">
        <v>174</v>
      </c>
    </row>
    <row r="129" spans="1:4" x14ac:dyDescent="0.2">
      <c r="A129" s="10"/>
      <c r="B129" s="10"/>
      <c r="C129" s="10">
        <v>19</v>
      </c>
      <c r="D129" s="10" t="s">
        <v>183</v>
      </c>
    </row>
    <row r="130" spans="1:4" x14ac:dyDescent="0.2">
      <c r="A130" s="10"/>
      <c r="B130" s="10"/>
      <c r="C130" s="10">
        <v>20</v>
      </c>
      <c r="D130" s="10" t="s">
        <v>184</v>
      </c>
    </row>
    <row r="131" spans="1:4" x14ac:dyDescent="0.2">
      <c r="A131" s="10"/>
      <c r="B131" s="10"/>
      <c r="C131" s="10">
        <v>21</v>
      </c>
      <c r="D131" s="10" t="s">
        <v>185</v>
      </c>
    </row>
    <row r="132" spans="1:4" x14ac:dyDescent="0.2">
      <c r="A132" s="10"/>
      <c r="B132" s="10"/>
      <c r="C132" s="10">
        <v>22</v>
      </c>
      <c r="D132" s="10" t="s">
        <v>186</v>
      </c>
    </row>
    <row r="133" spans="1:4" x14ac:dyDescent="0.2">
      <c r="A133" s="10"/>
      <c r="B133" s="10"/>
      <c r="C133" s="10">
        <v>23</v>
      </c>
      <c r="D133" s="10" t="s">
        <v>187</v>
      </c>
    </row>
    <row r="134" spans="1:4" x14ac:dyDescent="0.2">
      <c r="A134" s="10"/>
      <c r="B134" s="10"/>
      <c r="C134" s="10"/>
      <c r="D134" s="10"/>
    </row>
    <row r="135" spans="1:4" x14ac:dyDescent="0.2">
      <c r="A135" s="10">
        <v>3</v>
      </c>
      <c r="B135" s="10" t="s">
        <v>71</v>
      </c>
      <c r="C135" s="10">
        <v>28</v>
      </c>
      <c r="D135" s="10" t="s">
        <v>194</v>
      </c>
    </row>
    <row r="136" spans="1:4" x14ac:dyDescent="0.2">
      <c r="A136" s="10"/>
      <c r="B136" s="10"/>
      <c r="C136" s="10">
        <v>29</v>
      </c>
      <c r="D136" s="10" t="s">
        <v>195</v>
      </c>
    </row>
    <row r="137" spans="1:4" x14ac:dyDescent="0.2">
      <c r="A137" s="10"/>
      <c r="B137" s="10"/>
      <c r="C137" s="10">
        <v>30</v>
      </c>
      <c r="D137" s="10" t="s">
        <v>196</v>
      </c>
    </row>
    <row r="138" spans="1:4" x14ac:dyDescent="0.2">
      <c r="A138" s="10"/>
      <c r="B138" s="10"/>
      <c r="C138" s="10"/>
      <c r="D138" s="10"/>
    </row>
    <row r="139" spans="1:4" x14ac:dyDescent="0.2">
      <c r="A139" s="10">
        <v>4</v>
      </c>
      <c r="B139" s="10" t="s">
        <v>246</v>
      </c>
      <c r="C139" s="10">
        <v>31</v>
      </c>
      <c r="D139" s="10" t="s">
        <v>197</v>
      </c>
    </row>
    <row r="140" spans="1:4" x14ac:dyDescent="0.2">
      <c r="A140" s="10"/>
      <c r="B140" s="10"/>
      <c r="C140" s="10">
        <v>32</v>
      </c>
      <c r="D140" s="10" t="s">
        <v>198</v>
      </c>
    </row>
    <row r="141" spans="1:4" x14ac:dyDescent="0.2">
      <c r="A141" s="10"/>
      <c r="B141" s="10"/>
      <c r="C141" s="10">
        <v>33</v>
      </c>
      <c r="D141" s="10" t="s">
        <v>199</v>
      </c>
    </row>
    <row r="142" spans="1:4" x14ac:dyDescent="0.2">
      <c r="A142" s="10"/>
      <c r="B142" s="10"/>
      <c r="C142" s="10">
        <v>34</v>
      </c>
      <c r="D142" s="10" t="s">
        <v>201</v>
      </c>
    </row>
    <row r="143" spans="1:4" x14ac:dyDescent="0.2">
      <c r="A143" s="10"/>
      <c r="B143" s="10"/>
      <c r="C143" s="10">
        <v>35</v>
      </c>
      <c r="D143" s="10" t="s">
        <v>202</v>
      </c>
    </row>
    <row r="144" spans="1:4" x14ac:dyDescent="0.2">
      <c r="A144" s="10"/>
      <c r="B144" s="10"/>
      <c r="C144" s="10">
        <v>36</v>
      </c>
      <c r="D144" s="10" t="s">
        <v>203</v>
      </c>
    </row>
    <row r="145" spans="1:4" x14ac:dyDescent="0.2">
      <c r="A145" s="10"/>
      <c r="B145" s="10"/>
      <c r="C145" s="10">
        <v>37</v>
      </c>
      <c r="D145" s="10" t="s">
        <v>204</v>
      </c>
    </row>
    <row r="146" spans="1:4" x14ac:dyDescent="0.2">
      <c r="A146" s="10"/>
      <c r="B146" s="10"/>
      <c r="C146" s="10">
        <v>38</v>
      </c>
      <c r="D146" s="10" t="s">
        <v>205</v>
      </c>
    </row>
    <row r="147" spans="1:4" x14ac:dyDescent="0.2">
      <c r="A147" s="10"/>
      <c r="B147" s="10"/>
      <c r="C147" s="10">
        <v>39</v>
      </c>
      <c r="D147" s="10" t="s">
        <v>207</v>
      </c>
    </row>
    <row r="148" spans="1:4" x14ac:dyDescent="0.2">
      <c r="A148" s="10"/>
      <c r="B148" s="10"/>
      <c r="C148" s="10">
        <v>40</v>
      </c>
      <c r="D148" s="10" t="s">
        <v>208</v>
      </c>
    </row>
    <row r="149" spans="1:4" x14ac:dyDescent="0.2">
      <c r="A149" s="10"/>
      <c r="B149" s="10"/>
      <c r="C149" s="10"/>
      <c r="D149" s="10"/>
    </row>
    <row r="150" spans="1:4" x14ac:dyDescent="0.2">
      <c r="A150" s="10">
        <v>5</v>
      </c>
      <c r="B150" s="10" t="s">
        <v>247</v>
      </c>
      <c r="C150" s="10">
        <v>41</v>
      </c>
      <c r="D150" s="10" t="s">
        <v>130</v>
      </c>
    </row>
    <row r="151" spans="1:4" x14ac:dyDescent="0.2">
      <c r="A151" s="10"/>
      <c r="B151" s="10"/>
      <c r="C151" s="10">
        <v>42</v>
      </c>
      <c r="D151" s="10" t="s">
        <v>209</v>
      </c>
    </row>
    <row r="152" spans="1:4" x14ac:dyDescent="0.2">
      <c r="A152" s="10"/>
      <c r="B152" s="10"/>
      <c r="C152" s="10">
        <v>43</v>
      </c>
      <c r="D152" s="10" t="s">
        <v>210</v>
      </c>
    </row>
    <row r="153" spans="1:4" x14ac:dyDescent="0.2">
      <c r="A153" s="10"/>
      <c r="B153" s="10"/>
      <c r="C153" s="10">
        <v>44</v>
      </c>
      <c r="D153" s="10" t="s">
        <v>98</v>
      </c>
    </row>
    <row r="154" spans="1:4" x14ac:dyDescent="0.2">
      <c r="A154" s="10"/>
      <c r="B154" s="10"/>
      <c r="C154" s="10">
        <v>45</v>
      </c>
      <c r="D154" s="10" t="s">
        <v>212</v>
      </c>
    </row>
    <row r="155" spans="1:4" x14ac:dyDescent="0.2">
      <c r="A155" s="10"/>
      <c r="B155" s="10"/>
      <c r="C155" s="10">
        <v>46</v>
      </c>
      <c r="D155" s="10" t="s">
        <v>213</v>
      </c>
    </row>
    <row r="156" spans="1:4" x14ac:dyDescent="0.2">
      <c r="A156" s="10"/>
      <c r="B156" s="10"/>
      <c r="C156" s="10">
        <v>47</v>
      </c>
      <c r="D156" s="10" t="s">
        <v>131</v>
      </c>
    </row>
    <row r="157" spans="1:4" x14ac:dyDescent="0.2">
      <c r="A157" s="10"/>
      <c r="B157" s="10"/>
      <c r="C157" s="10">
        <v>48</v>
      </c>
      <c r="D157" s="10" t="s">
        <v>215</v>
      </c>
    </row>
    <row r="158" spans="1:4" x14ac:dyDescent="0.2">
      <c r="A158" s="10"/>
      <c r="B158" s="10"/>
      <c r="C158" s="10">
        <v>49</v>
      </c>
      <c r="D158" s="10" t="s">
        <v>216</v>
      </c>
    </row>
    <row r="159" spans="1:4" x14ac:dyDescent="0.2">
      <c r="A159" s="10"/>
      <c r="B159" s="10"/>
      <c r="C159" s="10">
        <v>50</v>
      </c>
      <c r="D159" s="10" t="s">
        <v>217</v>
      </c>
    </row>
    <row r="160" spans="1:4" x14ac:dyDescent="0.2">
      <c r="A160" s="10"/>
      <c r="B160" s="10"/>
      <c r="C160" s="10">
        <v>51</v>
      </c>
      <c r="D160" s="10" t="s">
        <v>219</v>
      </c>
    </row>
    <row r="161" spans="1:4" x14ac:dyDescent="0.2">
      <c r="A161" s="10"/>
      <c r="B161" s="10"/>
      <c r="C161" s="10">
        <v>52</v>
      </c>
      <c r="D161" s="10" t="s">
        <v>220</v>
      </c>
    </row>
    <row r="162" spans="1:4" x14ac:dyDescent="0.2">
      <c r="A162" s="10"/>
      <c r="B162" s="10"/>
      <c r="C162" s="10">
        <v>53</v>
      </c>
      <c r="D162" s="10" t="s">
        <v>221</v>
      </c>
    </row>
    <row r="163" spans="1:4" x14ac:dyDescent="0.2">
      <c r="A163" s="10"/>
      <c r="B163" s="10"/>
      <c r="C163" s="10">
        <v>54</v>
      </c>
      <c r="D163" s="10" t="s">
        <v>222</v>
      </c>
    </row>
    <row r="164" spans="1:4" x14ac:dyDescent="0.2">
      <c r="A164" s="10"/>
      <c r="B164" s="10"/>
      <c r="C164" s="10">
        <v>55</v>
      </c>
      <c r="D164" s="10" t="s">
        <v>223</v>
      </c>
    </row>
    <row r="165" spans="1:4" x14ac:dyDescent="0.2">
      <c r="A165" s="10"/>
      <c r="B165" s="10"/>
      <c r="C165" s="10">
        <v>56</v>
      </c>
      <c r="D165" s="10" t="s">
        <v>224</v>
      </c>
    </row>
    <row r="166" spans="1:4" x14ac:dyDescent="0.2">
      <c r="A166" s="10"/>
      <c r="B166" s="10"/>
      <c r="C166" s="10">
        <v>57</v>
      </c>
      <c r="D166" s="10" t="s">
        <v>225</v>
      </c>
    </row>
    <row r="167" spans="1:4" x14ac:dyDescent="0.2">
      <c r="A167" s="10"/>
      <c r="B167" s="10"/>
      <c r="C167" s="10">
        <v>58</v>
      </c>
      <c r="D167" s="10" t="s">
        <v>227</v>
      </c>
    </row>
    <row r="168" spans="1:4" x14ac:dyDescent="0.2">
      <c r="A168" s="10"/>
      <c r="B168" s="10"/>
      <c r="C168" s="10">
        <v>59</v>
      </c>
      <c r="D168" s="10" t="s">
        <v>132</v>
      </c>
    </row>
    <row r="169" spans="1:4" x14ac:dyDescent="0.2">
      <c r="A169" s="10"/>
      <c r="B169" s="10"/>
      <c r="C169" s="10">
        <v>60</v>
      </c>
      <c r="D169" s="10" t="s">
        <v>228</v>
      </c>
    </row>
    <row r="170" spans="1:4" x14ac:dyDescent="0.2">
      <c r="A170" s="10"/>
      <c r="B170" s="10"/>
      <c r="C170" s="10">
        <v>61</v>
      </c>
      <c r="D170" s="10" t="s">
        <v>229</v>
      </c>
    </row>
    <row r="171" spans="1:4" x14ac:dyDescent="0.2">
      <c r="A171" s="10"/>
      <c r="B171" s="10"/>
      <c r="C171" s="10">
        <v>62</v>
      </c>
      <c r="D171" s="10" t="s">
        <v>230</v>
      </c>
    </row>
    <row r="172" spans="1:4" x14ac:dyDescent="0.2">
      <c r="A172" s="10"/>
      <c r="B172" s="10"/>
      <c r="C172" s="10">
        <v>63</v>
      </c>
      <c r="D172" s="10" t="s">
        <v>231</v>
      </c>
    </row>
    <row r="173" spans="1:4" x14ac:dyDescent="0.2">
      <c r="A173" s="10"/>
      <c r="B173" s="10"/>
      <c r="C173" s="10">
        <v>69</v>
      </c>
      <c r="D173" s="10" t="s">
        <v>237</v>
      </c>
    </row>
    <row r="174" spans="1:4" x14ac:dyDescent="0.2">
      <c r="A174" s="10"/>
      <c r="B174" s="10"/>
      <c r="C174" s="10">
        <v>70</v>
      </c>
      <c r="D174" s="10" t="s">
        <v>238</v>
      </c>
    </row>
    <row r="175" spans="1:4" x14ac:dyDescent="0.2">
      <c r="A175" s="10"/>
      <c r="B175" s="10"/>
      <c r="C175" s="10">
        <v>71</v>
      </c>
      <c r="D175" s="10" t="s">
        <v>239</v>
      </c>
    </row>
    <row r="176" spans="1:4" x14ac:dyDescent="0.2">
      <c r="A176" s="10"/>
      <c r="B176" s="10"/>
      <c r="C176" s="10">
        <v>72</v>
      </c>
      <c r="D176" s="10" t="s">
        <v>240</v>
      </c>
    </row>
    <row r="177" spans="1:6" x14ac:dyDescent="0.2">
      <c r="A177" s="10"/>
      <c r="B177" s="10"/>
      <c r="C177" s="10">
        <v>73</v>
      </c>
      <c r="D177" s="10" t="s">
        <v>133</v>
      </c>
    </row>
    <row r="178" spans="1:6" x14ac:dyDescent="0.2">
      <c r="A178" s="10"/>
      <c r="B178" s="10"/>
      <c r="C178" s="10">
        <v>74</v>
      </c>
      <c r="D178" s="10" t="s">
        <v>242</v>
      </c>
    </row>
    <row r="179" spans="1:6" x14ac:dyDescent="0.2">
      <c r="A179" s="10"/>
      <c r="B179" s="10"/>
      <c r="C179" s="10">
        <v>75</v>
      </c>
      <c r="D179" s="10" t="s">
        <v>243</v>
      </c>
    </row>
    <row r="180" spans="1:6" x14ac:dyDescent="0.2">
      <c r="A180" s="10"/>
      <c r="B180" s="10"/>
      <c r="C180" s="10"/>
      <c r="D180" s="10"/>
    </row>
    <row r="181" spans="1:6" x14ac:dyDescent="0.2">
      <c r="A181" s="10">
        <v>6</v>
      </c>
      <c r="B181" s="10" t="s">
        <v>248</v>
      </c>
      <c r="C181" s="10">
        <v>64</v>
      </c>
      <c r="D181" s="10" t="s">
        <v>233</v>
      </c>
    </row>
    <row r="182" spans="1:6" x14ac:dyDescent="0.2">
      <c r="A182" s="10"/>
      <c r="B182" s="10"/>
      <c r="C182" s="10">
        <v>65</v>
      </c>
      <c r="D182" s="10" t="s">
        <v>72</v>
      </c>
    </row>
    <row r="183" spans="1:6" x14ac:dyDescent="0.2">
      <c r="A183" s="10"/>
      <c r="B183" s="10"/>
      <c r="C183" s="10">
        <v>66</v>
      </c>
      <c r="D183" s="10" t="s">
        <v>234</v>
      </c>
    </row>
    <row r="184" spans="1:6" x14ac:dyDescent="0.2">
      <c r="A184" s="10"/>
      <c r="B184" s="10"/>
      <c r="C184" s="10">
        <v>67</v>
      </c>
      <c r="D184" s="10" t="s">
        <v>235</v>
      </c>
    </row>
    <row r="185" spans="1:6" x14ac:dyDescent="0.2">
      <c r="A185" s="10"/>
      <c r="B185" s="10"/>
      <c r="C185" s="10">
        <v>68</v>
      </c>
      <c r="D185" s="10" t="s">
        <v>236</v>
      </c>
    </row>
    <row r="186" spans="1:6" x14ac:dyDescent="0.2">
      <c r="A186"/>
      <c r="B186"/>
      <c r="C186" s="89"/>
      <c r="D186"/>
    </row>
    <row r="187" spans="1:6" x14ac:dyDescent="0.2">
      <c r="A187" s="17" t="s">
        <v>429</v>
      </c>
      <c r="B187"/>
      <c r="C187" s="89"/>
      <c r="D187"/>
    </row>
    <row r="188" spans="1:6" x14ac:dyDescent="0.2">
      <c r="A188"/>
      <c r="B188"/>
    </row>
    <row r="189" spans="1:6" x14ac:dyDescent="0.2">
      <c r="A189"/>
      <c r="B189" s="126" t="s">
        <v>356</v>
      </c>
      <c r="C189" s="126"/>
      <c r="D189" s="126" t="s">
        <v>354</v>
      </c>
    </row>
    <row r="190" spans="1:6" x14ac:dyDescent="0.2">
      <c r="A190"/>
      <c r="B190"/>
      <c r="C190" s="126"/>
      <c r="D190" s="126"/>
      <c r="E190" s="126"/>
      <c r="F190" s="126"/>
    </row>
    <row r="191" spans="1:6" x14ac:dyDescent="0.2">
      <c r="A191" s="10">
        <v>1</v>
      </c>
      <c r="B191" s="10" t="s">
        <v>245</v>
      </c>
      <c r="C191" s="126">
        <v>1</v>
      </c>
      <c r="D191" s="126" t="s">
        <v>167</v>
      </c>
    </row>
    <row r="192" spans="1:6" x14ac:dyDescent="0.2">
      <c r="A192"/>
      <c r="B192"/>
      <c r="C192" s="126">
        <v>2</v>
      </c>
      <c r="D192" s="126" t="s">
        <v>94</v>
      </c>
      <c r="E192" s="126"/>
      <c r="F192" s="126"/>
    </row>
    <row r="193" spans="1:6" x14ac:dyDescent="0.2">
      <c r="A193"/>
      <c r="B193"/>
      <c r="C193" s="126">
        <v>6</v>
      </c>
      <c r="D193" s="126" t="s">
        <v>188</v>
      </c>
    </row>
    <row r="194" spans="1:6" x14ac:dyDescent="0.2">
      <c r="A194"/>
      <c r="B194"/>
      <c r="C194" s="126">
        <v>7</v>
      </c>
      <c r="D194" s="126" t="s">
        <v>190</v>
      </c>
      <c r="E194" s="126"/>
      <c r="F194" s="126"/>
    </row>
    <row r="195" spans="1:6" x14ac:dyDescent="0.2">
      <c r="A195"/>
      <c r="B195"/>
      <c r="C195" s="89"/>
      <c r="D195"/>
      <c r="E195" s="126"/>
      <c r="F195" s="126"/>
    </row>
    <row r="196" spans="1:6" x14ac:dyDescent="0.2">
      <c r="A196" s="10">
        <v>2</v>
      </c>
      <c r="B196" s="10" t="s">
        <v>101</v>
      </c>
      <c r="C196" s="126">
        <v>3</v>
      </c>
      <c r="D196" s="126" t="s">
        <v>170</v>
      </c>
    </row>
    <row r="197" spans="1:6" x14ac:dyDescent="0.2">
      <c r="A197"/>
      <c r="B197"/>
      <c r="C197" s="126">
        <v>4</v>
      </c>
      <c r="D197" s="126" t="s">
        <v>69</v>
      </c>
      <c r="E197" s="126"/>
      <c r="F197" s="126"/>
    </row>
    <row r="198" spans="1:6" x14ac:dyDescent="0.2">
      <c r="A198"/>
      <c r="B198"/>
      <c r="C198" s="126">
        <v>5</v>
      </c>
      <c r="D198" s="126" t="s">
        <v>96</v>
      </c>
      <c r="E198" s="126"/>
      <c r="F198" s="126"/>
    </row>
    <row r="199" spans="1:6" x14ac:dyDescent="0.2">
      <c r="A199"/>
      <c r="B199"/>
      <c r="C199" s="89"/>
      <c r="D199"/>
      <c r="E199" s="126"/>
      <c r="F199" s="126"/>
    </row>
    <row r="200" spans="1:6" x14ac:dyDescent="0.2">
      <c r="A200" s="10">
        <v>3</v>
      </c>
      <c r="B200" s="10" t="s">
        <v>71</v>
      </c>
      <c r="C200" s="126">
        <v>8</v>
      </c>
      <c r="D200" s="126" t="s">
        <v>71</v>
      </c>
    </row>
    <row r="201" spans="1:6" x14ac:dyDescent="0.2">
      <c r="A201"/>
      <c r="B201"/>
      <c r="C201" s="89"/>
      <c r="D201"/>
      <c r="E201" s="126"/>
      <c r="F201" s="126"/>
    </row>
    <row r="202" spans="1:6" x14ac:dyDescent="0.2">
      <c r="A202" s="10">
        <v>4</v>
      </c>
      <c r="B202" s="10" t="s">
        <v>246</v>
      </c>
      <c r="C202" s="126">
        <v>9</v>
      </c>
      <c r="D202" s="126" t="s">
        <v>97</v>
      </c>
      <c r="E202" s="126"/>
      <c r="F202" s="126"/>
    </row>
    <row r="203" spans="1:6" x14ac:dyDescent="0.2">
      <c r="A203"/>
      <c r="B203"/>
      <c r="C203" s="126">
        <v>10</v>
      </c>
      <c r="D203" s="126" t="s">
        <v>200</v>
      </c>
      <c r="E203" s="126"/>
      <c r="F203" s="126"/>
    </row>
    <row r="204" spans="1:6" x14ac:dyDescent="0.2">
      <c r="A204"/>
      <c r="B204"/>
      <c r="C204" s="126">
        <v>11</v>
      </c>
      <c r="D204" s="126" t="s">
        <v>206</v>
      </c>
      <c r="E204" s="126"/>
      <c r="F204" s="126"/>
    </row>
    <row r="205" spans="1:6" x14ac:dyDescent="0.2">
      <c r="A205"/>
      <c r="B205"/>
      <c r="C205" s="89"/>
      <c r="D205"/>
      <c r="E205" s="126"/>
      <c r="F205" s="126"/>
    </row>
    <row r="206" spans="1:6" x14ac:dyDescent="0.2">
      <c r="A206" s="10">
        <v>5</v>
      </c>
      <c r="B206" s="10" t="s">
        <v>247</v>
      </c>
      <c r="C206" s="126">
        <v>12</v>
      </c>
      <c r="D206" s="126" t="s">
        <v>100</v>
      </c>
      <c r="E206" s="126"/>
      <c r="F206" s="126"/>
    </row>
    <row r="207" spans="1:6" x14ac:dyDescent="0.2">
      <c r="A207"/>
      <c r="B207"/>
      <c r="C207" s="126">
        <v>13</v>
      </c>
      <c r="D207" s="126" t="s">
        <v>211</v>
      </c>
      <c r="E207" s="126"/>
      <c r="F207" s="126"/>
    </row>
    <row r="208" spans="1:6" x14ac:dyDescent="0.2">
      <c r="A208"/>
      <c r="B208"/>
      <c r="C208" s="126">
        <v>14</v>
      </c>
      <c r="D208" s="126" t="s">
        <v>214</v>
      </c>
      <c r="E208" s="126"/>
      <c r="F208" s="126"/>
    </row>
    <row r="209" spans="1:6" x14ac:dyDescent="0.2">
      <c r="A209"/>
      <c r="B209"/>
      <c r="C209" s="126">
        <v>15</v>
      </c>
      <c r="D209" s="126" t="s">
        <v>217</v>
      </c>
      <c r="E209" s="126"/>
      <c r="F209" s="126"/>
    </row>
    <row r="210" spans="1:6" x14ac:dyDescent="0.2">
      <c r="A210"/>
      <c r="B210"/>
      <c r="C210" s="126">
        <v>16</v>
      </c>
      <c r="D210" s="126" t="s">
        <v>218</v>
      </c>
      <c r="E210" s="126"/>
      <c r="F210" s="126"/>
    </row>
    <row r="211" spans="1:6" x14ac:dyDescent="0.2">
      <c r="A211"/>
      <c r="B211"/>
      <c r="C211" s="126">
        <v>17</v>
      </c>
      <c r="D211" s="126" t="s">
        <v>226</v>
      </c>
      <c r="E211" s="126"/>
      <c r="F211" s="126"/>
    </row>
    <row r="212" spans="1:6" x14ac:dyDescent="0.2">
      <c r="A212"/>
      <c r="B212"/>
      <c r="C212" s="126">
        <v>21</v>
      </c>
      <c r="D212" s="126" t="s">
        <v>99</v>
      </c>
      <c r="E212" s="126"/>
      <c r="F212" s="126"/>
    </row>
    <row r="213" spans="1:6" x14ac:dyDescent="0.2">
      <c r="A213"/>
      <c r="B213"/>
      <c r="C213" s="126">
        <v>22</v>
      </c>
      <c r="D213" s="126" t="s">
        <v>241</v>
      </c>
      <c r="E213" s="126"/>
      <c r="F213" s="126"/>
    </row>
    <row r="214" spans="1:6" x14ac:dyDescent="0.2">
      <c r="A214"/>
      <c r="B214"/>
      <c r="C214" s="126"/>
      <c r="D214" s="126"/>
      <c r="E214" s="126"/>
      <c r="F214" s="126"/>
    </row>
    <row r="215" spans="1:6" x14ac:dyDescent="0.2">
      <c r="A215" s="10">
        <v>6</v>
      </c>
      <c r="B215" s="10" t="s">
        <v>248</v>
      </c>
      <c r="C215" s="126">
        <v>18</v>
      </c>
      <c r="D215" s="126" t="s">
        <v>232</v>
      </c>
      <c r="E215" s="126"/>
      <c r="F215" s="126"/>
    </row>
    <row r="216" spans="1:6" x14ac:dyDescent="0.2">
      <c r="A216"/>
      <c r="B216"/>
      <c r="C216" s="126">
        <v>19</v>
      </c>
      <c r="D216" s="126" t="s">
        <v>72</v>
      </c>
      <c r="E216" s="126"/>
      <c r="F216" s="126"/>
    </row>
    <row r="217" spans="1:6" x14ac:dyDescent="0.2">
      <c r="A217"/>
      <c r="B217"/>
      <c r="C217" s="126">
        <v>20</v>
      </c>
      <c r="D217" s="126" t="s">
        <v>73</v>
      </c>
    </row>
    <row r="218" spans="1:6" x14ac:dyDescent="0.2">
      <c r="A218"/>
      <c r="B218"/>
      <c r="C218" s="126"/>
      <c r="D218" s="126"/>
      <c r="E218" s="126"/>
      <c r="F218" s="126"/>
    </row>
    <row r="219" spans="1:6" x14ac:dyDescent="0.2">
      <c r="A219"/>
      <c r="B219"/>
      <c r="C219" s="89"/>
      <c r="D219"/>
      <c r="E219" s="126"/>
      <c r="F219" s="126"/>
    </row>
    <row r="220" spans="1:6" x14ac:dyDescent="0.2">
      <c r="A220" s="15" t="s">
        <v>501</v>
      </c>
      <c r="B220" s="89"/>
      <c r="C220" s="126"/>
      <c r="D220" s="126"/>
      <c r="E220" s="126"/>
      <c r="F220" s="126"/>
    </row>
    <row r="221" spans="1:6" x14ac:dyDescent="0.2">
      <c r="A221" s="89" t="s">
        <v>11</v>
      </c>
      <c r="B221" s="89"/>
      <c r="C221" s="126"/>
      <c r="D221" s="126"/>
    </row>
    <row r="222" spans="1:6" x14ac:dyDescent="0.2">
      <c r="A222" s="89" t="s">
        <v>11</v>
      </c>
      <c r="B222" s="89"/>
      <c r="C222" s="126"/>
      <c r="D222" s="126"/>
      <c r="E222" s="126"/>
      <c r="F222" s="126"/>
    </row>
    <row r="223" spans="1:6" x14ac:dyDescent="0.2">
      <c r="A223" s="89"/>
      <c r="B223" s="89" t="s">
        <v>357</v>
      </c>
      <c r="C223" s="89"/>
      <c r="D223" s="89" t="s">
        <v>502</v>
      </c>
      <c r="E223" s="126"/>
      <c r="F223" s="126"/>
    </row>
    <row r="224" spans="1:6" x14ac:dyDescent="0.2">
      <c r="A224" s="89" t="s">
        <v>11</v>
      </c>
      <c r="B224" s="89"/>
      <c r="C224" s="89"/>
      <c r="D224" s="89"/>
      <c r="E224" s="126"/>
      <c r="F224" s="126"/>
    </row>
    <row r="225" spans="1:6" x14ac:dyDescent="0.2">
      <c r="A225" s="89">
        <v>1</v>
      </c>
      <c r="B225" s="126" t="s">
        <v>328</v>
      </c>
      <c r="C225" s="89">
        <v>1</v>
      </c>
      <c r="D225" s="126" t="s">
        <v>470</v>
      </c>
      <c r="E225" s="126"/>
      <c r="F225" s="126"/>
    </row>
    <row r="226" spans="1:6" x14ac:dyDescent="0.2">
      <c r="A226" s="89"/>
      <c r="B226" s="89"/>
      <c r="C226" s="89">
        <v>2</v>
      </c>
      <c r="D226" s="126" t="s">
        <v>471</v>
      </c>
      <c r="E226" s="126"/>
      <c r="F226" s="126"/>
    </row>
    <row r="227" spans="1:6" x14ac:dyDescent="0.2">
      <c r="A227" s="89"/>
      <c r="B227" s="89"/>
      <c r="C227" s="89"/>
      <c r="D227" s="126"/>
    </row>
    <row r="228" spans="1:6" x14ac:dyDescent="0.2">
      <c r="A228" s="89">
        <v>2</v>
      </c>
      <c r="B228" s="126" t="s">
        <v>329</v>
      </c>
      <c r="C228" s="89">
        <v>3</v>
      </c>
      <c r="D228" s="126" t="s">
        <v>472</v>
      </c>
      <c r="E228" s="126"/>
      <c r="F228" s="126"/>
    </row>
    <row r="229" spans="1:6" x14ac:dyDescent="0.2">
      <c r="A229" s="89"/>
      <c r="B229" s="89"/>
      <c r="C229" s="89">
        <v>4</v>
      </c>
      <c r="D229" s="126" t="s">
        <v>473</v>
      </c>
      <c r="E229" s="126"/>
      <c r="F229" s="126"/>
    </row>
    <row r="230" spans="1:6" x14ac:dyDescent="0.2">
      <c r="A230" s="89"/>
      <c r="B230" s="89"/>
      <c r="C230" s="89">
        <v>5</v>
      </c>
      <c r="D230" s="126" t="s">
        <v>474</v>
      </c>
    </row>
    <row r="231" spans="1:6" x14ac:dyDescent="0.2">
      <c r="A231" s="89"/>
      <c r="B231" s="89"/>
      <c r="C231" s="89">
        <v>6</v>
      </c>
      <c r="D231" s="126" t="s">
        <v>475</v>
      </c>
      <c r="E231" s="126"/>
      <c r="F231" s="126"/>
    </row>
    <row r="232" spans="1:6" x14ac:dyDescent="0.2">
      <c r="A232" s="89"/>
      <c r="B232" s="126"/>
      <c r="C232" s="89"/>
      <c r="D232" s="126"/>
      <c r="E232" s="126"/>
      <c r="F232" s="126"/>
    </row>
    <row r="233" spans="1:6" x14ac:dyDescent="0.2">
      <c r="A233" s="89">
        <v>3</v>
      </c>
      <c r="B233" s="126" t="s">
        <v>497</v>
      </c>
      <c r="C233" s="89">
        <v>7</v>
      </c>
      <c r="D233" s="126" t="s">
        <v>476</v>
      </c>
      <c r="E233" s="126"/>
      <c r="F233" s="126"/>
    </row>
    <row r="234" spans="1:6" x14ac:dyDescent="0.2">
      <c r="A234" s="89"/>
      <c r="B234" s="89"/>
      <c r="C234" s="89">
        <v>8</v>
      </c>
      <c r="D234" s="126" t="s">
        <v>477</v>
      </c>
    </row>
    <row r="235" spans="1:6" x14ac:dyDescent="0.2">
      <c r="A235" s="89"/>
      <c r="B235" s="89"/>
      <c r="C235" s="89">
        <v>9</v>
      </c>
      <c r="D235" s="126" t="s">
        <v>478</v>
      </c>
      <c r="E235" s="126"/>
      <c r="F235" s="126"/>
    </row>
    <row r="236" spans="1:6" x14ac:dyDescent="0.2">
      <c r="A236" s="89"/>
      <c r="B236" s="89"/>
      <c r="C236" s="89">
        <v>10</v>
      </c>
      <c r="D236" s="126" t="s">
        <v>479</v>
      </c>
      <c r="E236" s="126"/>
      <c r="F236" s="126"/>
    </row>
    <row r="237" spans="1:6" x14ac:dyDescent="0.2">
      <c r="A237" s="89"/>
      <c r="B237" s="89"/>
      <c r="C237" s="89">
        <v>11</v>
      </c>
      <c r="D237" s="126" t="s">
        <v>480</v>
      </c>
      <c r="E237" s="126"/>
      <c r="F237" s="126"/>
    </row>
    <row r="238" spans="1:6" x14ac:dyDescent="0.2">
      <c r="A238" s="89"/>
      <c r="B238" s="89"/>
      <c r="C238" s="89"/>
      <c r="D238" s="126"/>
    </row>
    <row r="239" spans="1:6" x14ac:dyDescent="0.2">
      <c r="A239" s="89">
        <v>4</v>
      </c>
      <c r="B239" s="126" t="s">
        <v>498</v>
      </c>
      <c r="C239" s="89">
        <v>12</v>
      </c>
      <c r="D239" s="126" t="s">
        <v>481</v>
      </c>
      <c r="E239" s="126"/>
      <c r="F239" s="126"/>
    </row>
    <row r="240" spans="1:6" x14ac:dyDescent="0.2">
      <c r="A240" s="89"/>
      <c r="B240" s="89"/>
      <c r="C240" s="89">
        <v>13</v>
      </c>
      <c r="D240" s="126" t="s">
        <v>482</v>
      </c>
      <c r="E240" s="126"/>
      <c r="F240" s="126"/>
    </row>
    <row r="241" spans="1:6" x14ac:dyDescent="0.2">
      <c r="A241" s="89"/>
      <c r="B241" s="89"/>
      <c r="C241" s="89"/>
      <c r="D241"/>
      <c r="E241" s="126"/>
      <c r="F241" s="126"/>
    </row>
    <row r="242" spans="1:6" x14ac:dyDescent="0.2">
      <c r="A242" s="89">
        <v>5</v>
      </c>
      <c r="B242" s="126" t="s">
        <v>330</v>
      </c>
      <c r="C242" s="89">
        <v>14</v>
      </c>
      <c r="D242" s="126" t="s">
        <v>483</v>
      </c>
    </row>
    <row r="243" spans="1:6" x14ac:dyDescent="0.2">
      <c r="A243" s="89"/>
      <c r="B243" s="89"/>
      <c r="C243" s="89">
        <v>15</v>
      </c>
      <c r="D243" s="126" t="s">
        <v>484</v>
      </c>
      <c r="E243" s="126"/>
      <c r="F243" s="126"/>
    </row>
    <row r="244" spans="1:6" x14ac:dyDescent="0.2">
      <c r="A244" s="89"/>
      <c r="B244" s="89"/>
      <c r="C244" s="89">
        <v>16</v>
      </c>
      <c r="D244" s="126" t="s">
        <v>485</v>
      </c>
    </row>
    <row r="245" spans="1:6" x14ac:dyDescent="0.2">
      <c r="A245" s="89"/>
      <c r="B245" s="89"/>
      <c r="C245" s="89">
        <v>17</v>
      </c>
      <c r="D245" s="126" t="s">
        <v>486</v>
      </c>
      <c r="E245" s="126"/>
      <c r="F245" s="126"/>
    </row>
    <row r="246" spans="1:6" x14ac:dyDescent="0.2">
      <c r="A246" s="89"/>
      <c r="B246" s="89"/>
      <c r="C246" s="89"/>
      <c r="D246"/>
      <c r="E246" s="126"/>
      <c r="F246" s="126"/>
    </row>
    <row r="247" spans="1:6" x14ac:dyDescent="0.2">
      <c r="A247" s="89">
        <v>6</v>
      </c>
      <c r="B247" s="126" t="s">
        <v>499</v>
      </c>
      <c r="C247" s="89">
        <v>18</v>
      </c>
      <c r="D247" s="126" t="s">
        <v>487</v>
      </c>
      <c r="E247" s="126"/>
      <c r="F247" s="126"/>
    </row>
    <row r="248" spans="1:6" x14ac:dyDescent="0.2">
      <c r="A248" s="89"/>
      <c r="B248" s="89"/>
      <c r="C248" s="89">
        <v>19</v>
      </c>
      <c r="D248" s="126" t="s">
        <v>488</v>
      </c>
      <c r="E248" s="126"/>
      <c r="F248" s="126"/>
    </row>
    <row r="249" spans="1:6" x14ac:dyDescent="0.2">
      <c r="A249" s="89"/>
      <c r="B249" s="89"/>
      <c r="C249" s="89">
        <v>20</v>
      </c>
      <c r="D249" s="126" t="s">
        <v>489</v>
      </c>
      <c r="E249" s="126"/>
      <c r="F249" s="126"/>
    </row>
    <row r="250" spans="1:6" x14ac:dyDescent="0.2">
      <c r="A250" s="89"/>
      <c r="B250" s="89"/>
      <c r="C250" s="89"/>
      <c r="D250" s="89"/>
      <c r="E250" s="126"/>
      <c r="F250" s="126"/>
    </row>
    <row r="251" spans="1:6" x14ac:dyDescent="0.2">
      <c r="A251" s="89">
        <v>7</v>
      </c>
      <c r="B251" s="126" t="s">
        <v>500</v>
      </c>
      <c r="C251" s="89">
        <v>21</v>
      </c>
      <c r="D251" s="126" t="s">
        <v>490</v>
      </c>
      <c r="E251" s="126"/>
      <c r="F251" s="126"/>
    </row>
    <row r="252" spans="1:6" x14ac:dyDescent="0.2">
      <c r="A252" s="89"/>
      <c r="B252" s="89"/>
      <c r="C252" s="89">
        <v>22</v>
      </c>
      <c r="D252" s="126" t="s">
        <v>491</v>
      </c>
    </row>
    <row r="253" spans="1:6" x14ac:dyDescent="0.2">
      <c r="A253" s="89"/>
      <c r="B253" s="89"/>
      <c r="C253" s="89"/>
      <c r="D253" s="126"/>
      <c r="E253" s="126"/>
      <c r="F253" s="126"/>
    </row>
    <row r="254" spans="1:6" x14ac:dyDescent="0.2">
      <c r="A254" s="89">
        <v>8</v>
      </c>
      <c r="B254" s="126" t="s">
        <v>331</v>
      </c>
      <c r="C254" s="89">
        <v>23</v>
      </c>
      <c r="D254" s="126" t="s">
        <v>492</v>
      </c>
      <c r="E254" s="126"/>
      <c r="F254" s="126"/>
    </row>
    <row r="255" spans="1:6" ht="12" customHeight="1" x14ac:dyDescent="0.2">
      <c r="A255" s="89"/>
      <c r="B255" s="89"/>
      <c r="C255" s="89">
        <v>24</v>
      </c>
      <c r="D255" s="126" t="s">
        <v>493</v>
      </c>
      <c r="E255" s="126"/>
      <c r="F255" s="126"/>
    </row>
    <row r="256" spans="1:6" x14ac:dyDescent="0.2">
      <c r="A256" s="89"/>
      <c r="B256" s="89"/>
      <c r="C256" s="89"/>
      <c r="D256" s="89"/>
      <c r="E256" s="126"/>
      <c r="F256" s="126"/>
    </row>
    <row r="257" spans="1:6" x14ac:dyDescent="0.2">
      <c r="A257" s="89">
        <v>9</v>
      </c>
      <c r="B257" s="126" t="s">
        <v>9</v>
      </c>
      <c r="C257" s="89">
        <v>25</v>
      </c>
      <c r="D257" s="126" t="s">
        <v>494</v>
      </c>
      <c r="E257" s="126"/>
      <c r="F257" s="126"/>
    </row>
    <row r="258" spans="1:6" x14ac:dyDescent="0.2">
      <c r="A258" s="89"/>
      <c r="B258" s="89"/>
      <c r="C258" s="89">
        <v>26</v>
      </c>
      <c r="D258" t="s">
        <v>495</v>
      </c>
      <c r="E258" s="126"/>
      <c r="F258" s="126"/>
    </row>
    <row r="259" spans="1:6" x14ac:dyDescent="0.2">
      <c r="A259" s="89"/>
      <c r="B259"/>
      <c r="C259" s="89"/>
      <c r="D259"/>
      <c r="E259" s="126"/>
      <c r="F259" s="126"/>
    </row>
    <row r="260" spans="1:6" x14ac:dyDescent="0.2">
      <c r="A260" s="15" t="s">
        <v>358</v>
      </c>
      <c r="B260" s="89"/>
      <c r="C260" s="89"/>
      <c r="D260"/>
    </row>
    <row r="261" spans="1:6" x14ac:dyDescent="0.2">
      <c r="A261" s="89"/>
      <c r="B261" s="89"/>
      <c r="C261" s="89"/>
      <c r="D261"/>
    </row>
    <row r="262" spans="1:6" x14ac:dyDescent="0.2">
      <c r="B262" s="89" t="s">
        <v>360</v>
      </c>
      <c r="D262" s="89" t="s">
        <v>359</v>
      </c>
    </row>
    <row r="264" spans="1:6" x14ac:dyDescent="0.2">
      <c r="A264" s="14">
        <v>1</v>
      </c>
      <c r="B264" s="126" t="s">
        <v>443</v>
      </c>
      <c r="C264" s="14">
        <v>1</v>
      </c>
      <c r="D264" s="126" t="s">
        <v>442</v>
      </c>
    </row>
    <row r="265" spans="1:6" x14ac:dyDescent="0.2">
      <c r="C265" s="14">
        <v>2</v>
      </c>
      <c r="D265" s="126" t="s">
        <v>444</v>
      </c>
      <c r="E265" s="126"/>
      <c r="F265" s="126"/>
    </row>
    <row r="266" spans="1:6" x14ac:dyDescent="0.2">
      <c r="E266" s="126"/>
      <c r="F266" s="126"/>
    </row>
    <row r="267" spans="1:6" x14ac:dyDescent="0.2">
      <c r="A267" s="14">
        <v>2</v>
      </c>
      <c r="B267" s="126" t="s">
        <v>445</v>
      </c>
      <c r="C267" s="14">
        <v>3</v>
      </c>
      <c r="D267" s="126" t="s">
        <v>446</v>
      </c>
      <c r="E267" s="126"/>
      <c r="F267" s="126"/>
    </row>
    <row r="268" spans="1:6" x14ac:dyDescent="0.2">
      <c r="C268" s="14">
        <v>4</v>
      </c>
      <c r="D268" s="126" t="s">
        <v>448</v>
      </c>
    </row>
    <row r="269" spans="1:6" x14ac:dyDescent="0.2">
      <c r="C269" s="14">
        <v>5</v>
      </c>
      <c r="D269" s="126" t="s">
        <v>450</v>
      </c>
    </row>
    <row r="271" spans="1:6" x14ac:dyDescent="0.2">
      <c r="A271" s="14">
        <v>3</v>
      </c>
      <c r="B271" s="126" t="s">
        <v>447</v>
      </c>
      <c r="C271" s="14">
        <v>6</v>
      </c>
      <c r="D271" s="126" t="s">
        <v>447</v>
      </c>
    </row>
    <row r="273" spans="1:4" x14ac:dyDescent="0.2">
      <c r="A273" s="14">
        <v>4</v>
      </c>
      <c r="B273" s="126" t="s">
        <v>449</v>
      </c>
      <c r="C273" s="14">
        <v>7</v>
      </c>
      <c r="D273" s="126" t="s">
        <v>449</v>
      </c>
    </row>
    <row r="275" spans="1:4" x14ac:dyDescent="0.2">
      <c r="A275" s="14">
        <v>5</v>
      </c>
      <c r="B275" s="126" t="s">
        <v>451</v>
      </c>
      <c r="C275" s="14">
        <v>8</v>
      </c>
      <c r="D275" s="126" t="s">
        <v>451</v>
      </c>
    </row>
    <row r="277" spans="1:4" x14ac:dyDescent="0.2">
      <c r="A277" s="14">
        <v>6</v>
      </c>
      <c r="B277" s="126" t="s">
        <v>333</v>
      </c>
      <c r="C277" s="14">
        <v>9</v>
      </c>
      <c r="D277" s="126" t="s">
        <v>333</v>
      </c>
    </row>
  </sheetData>
  <phoneticPr fontId="4" type="noConversion"/>
  <pageMargins left="0.35433070866141736" right="0.35433070866141736" top="0.78740157480314965" bottom="0.59055118110236227" header="0.51181102362204722" footer="0.51181102362204722"/>
  <pageSetup paperSize="9" scale="74" fitToHeight="0" orientation="portrait" r:id="rId1"/>
  <headerFooter alignWithMargins="0"/>
  <rowBreaks count="5" manualBreakCount="5">
    <brk id="45" max="16383" man="1"/>
    <brk id="100" max="16383" man="1"/>
    <brk id="138" max="16383" man="1"/>
    <brk id="185" max="16383" man="1"/>
    <brk id="258" max="16383" man="1"/>
  </rowBreak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61ED900E45533240984673D798A9AA08" ma:contentTypeVersion="18" ma:contentTypeDescription="Create a new document." ma:contentTypeScope="" ma:versionID="15f0d26db7c1564040d7f5be0145604e">
  <xsd:schema xmlns:xsd="http://www.w3.org/2001/XMLSchema" xmlns:xs="http://www.w3.org/2001/XMLSchema" xmlns:p="http://schemas.microsoft.com/office/2006/metadata/properties" xmlns:ns2="591b7eeb-5105-4999-94f6-a746eb4c6310" xmlns:ns3="22f0be0a-36a8-4d1a-945f-e8a2e9519595" xmlns:ns4="8c566321-f672-4e06-a901-b5e72b4c4357" targetNamespace="http://schemas.microsoft.com/office/2006/metadata/properties" ma:root="true" ma:fieldsID="b17cfbfa745902b07c223910e92a04e6" ns2:_="" ns3:_="" ns4:_="">
    <xsd:import namespace="591b7eeb-5105-4999-94f6-a746eb4c6310"/>
    <xsd:import namespace="22f0be0a-36a8-4d1a-945f-e8a2e9519595"/>
    <xsd:import namespace="8c566321-f672-4e06-a901-b5e72b4c435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  <xsd:element ref="ns2:MediaServiceAutoKeyPoints" minOccurs="0"/>
                <xsd:element ref="ns2:MediaServiceKeyPoints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lcf76f155ced4ddcb4097134ff3c332f" minOccurs="0"/>
                <xsd:element ref="ns4:TaxCatchAll" minOccurs="0"/>
                <xsd:element ref="ns2:MediaServiceDateTaken" minOccurs="0"/>
                <xsd:element ref="ns2:MediaLengthInSeconds" minOccurs="0"/>
                <xsd:element ref="ns2:MediaServiceLocation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91b7eeb-5105-4999-94f6-a746eb4c6310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2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3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AutoTags" ma:index="14" nillable="true" ma:displayName="Tags" ma:internalName="MediaServiceAutoTags" ma:readOnly="true">
      <xsd:simpleType>
        <xsd:restriction base="dms:Text"/>
      </xsd:simple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lcf76f155ced4ddcb4097134ff3c332f" ma:index="19" nillable="true" ma:taxonomy="true" ma:internalName="lcf76f155ced4ddcb4097134ff3c332f" ma:taxonomyFieldName="MediaServiceImageTags" ma:displayName="Image Tags" ma:readOnly="false" ma:fieldId="{5cf76f15-5ced-4ddc-b409-7134ff3c332f}" ma:taxonomyMulti="true" ma:sspId="ec07c698-60f5-424f-b9af-f4c59398b511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21" nillable="true" ma:displayName="MediaServiceDateTaken" ma:hidden="true" ma:internalName="MediaServiceDateTaken" ma:readOnly="true">
      <xsd:simpleType>
        <xsd:restriction base="dms:Text"/>
      </xsd:simpleType>
    </xsd:element>
    <xsd:element name="MediaLengthInSeconds" ma:index="22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23" nillable="true" ma:displayName="Location" ma:indexed="true" ma:internalName="MediaServiceLocation" ma:readOnly="true">
      <xsd:simpleType>
        <xsd:restriction base="dms:Text"/>
      </xsd:simple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2f0be0a-36a8-4d1a-945f-e8a2e9519595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c566321-f672-4e06-a901-b5e72b4c4357" elementFormDefault="qualified">
    <xsd:import namespace="http://schemas.microsoft.com/office/2006/documentManagement/types"/>
    <xsd:import namespace="http://schemas.microsoft.com/office/infopath/2007/PartnerControls"/>
    <xsd:element name="TaxCatchAll" ma:index="20" nillable="true" ma:displayName="Taxonomy Catch All Column" ma:hidden="true" ma:list="{a6fc1f59-704c-443d-8adf-ed44e3904037}" ma:internalName="TaxCatchAll" ma:showField="CatchAllData" ma:web="22f0be0a-36a8-4d1a-945f-e8a2e951959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30BDA9E9-D132-45A3-B235-581439E92AB1}"/>
</file>

<file path=customXml/itemProps2.xml><?xml version="1.0" encoding="utf-8"?>
<ds:datastoreItem xmlns:ds="http://schemas.openxmlformats.org/officeDocument/2006/customXml" ds:itemID="{B372E7C9-BE3E-4D29-B596-C6C95BB93187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35</vt:i4>
      </vt:variant>
      <vt:variant>
        <vt:lpstr>Named Ranges</vt:lpstr>
      </vt:variant>
      <vt:variant>
        <vt:i4>31</vt:i4>
      </vt:variant>
    </vt:vector>
  </HeadingPairs>
  <TitlesOfParts>
    <vt:vector size="66" baseType="lpstr">
      <vt:lpstr>Stored</vt:lpstr>
      <vt:lpstr>Warning</vt:lpstr>
      <vt:lpstr>Info</vt:lpstr>
      <vt:lpstr>Manager</vt:lpstr>
      <vt:lpstr>Contents</vt:lpstr>
      <vt:lpstr>Ind T1</vt:lpstr>
      <vt:lpstr>Ind T2</vt:lpstr>
      <vt:lpstr>Ind T4</vt:lpstr>
      <vt:lpstr>Ind T5</vt:lpstr>
      <vt:lpstr>Ind T6</vt:lpstr>
      <vt:lpstr>Ind F1</vt:lpstr>
      <vt:lpstr>Ind F2</vt:lpstr>
      <vt:lpstr>Ind Occ T1</vt:lpstr>
      <vt:lpstr>Ind Occ T2</vt:lpstr>
      <vt:lpstr>Occ T1</vt:lpstr>
      <vt:lpstr>Occ T2</vt:lpstr>
      <vt:lpstr>Occ T3</vt:lpstr>
      <vt:lpstr>Occ T4</vt:lpstr>
      <vt:lpstr>Occ T5</vt:lpstr>
      <vt:lpstr>Occ F1</vt:lpstr>
      <vt:lpstr>Occ F2</vt:lpstr>
      <vt:lpstr>Occ F3</vt:lpstr>
      <vt:lpstr>Occ F4</vt:lpstr>
      <vt:lpstr>Occ F5</vt:lpstr>
      <vt:lpstr>Qual T1</vt:lpstr>
      <vt:lpstr>Qual F1</vt:lpstr>
      <vt:lpstr>ShiftShare T1</vt:lpstr>
      <vt:lpstr>RD T1</vt:lpstr>
      <vt:lpstr>RD F1</vt:lpstr>
      <vt:lpstr>Basic T1</vt:lpstr>
      <vt:lpstr>Basic T2</vt:lpstr>
      <vt:lpstr>Basic T3</vt:lpstr>
      <vt:lpstr>name</vt:lpstr>
      <vt:lpstr>aggregation</vt:lpstr>
      <vt:lpstr>AggregationTables</vt:lpstr>
      <vt:lpstr>'Basic T1'!Print_Area</vt:lpstr>
      <vt:lpstr>'Basic T2'!Print_Area</vt:lpstr>
      <vt:lpstr>'Basic T3'!Print_Area</vt:lpstr>
      <vt:lpstr>BasicTable5!Print_Area</vt:lpstr>
      <vt:lpstr>'Ind F1'!Print_Area</vt:lpstr>
      <vt:lpstr>'Ind F2'!Print_Area</vt:lpstr>
      <vt:lpstr>'Ind Occ T1'!Print_Area</vt:lpstr>
      <vt:lpstr>'Ind Occ T2'!Print_Area</vt:lpstr>
      <vt:lpstr>'Ind T1'!Print_Area</vt:lpstr>
      <vt:lpstr>'Ind T2'!Print_Area</vt:lpstr>
      <vt:lpstr>'Ind T4'!Print_Area</vt:lpstr>
      <vt:lpstr>'Ind T5'!Print_Area</vt:lpstr>
      <vt:lpstr>'Ind T6'!Print_Area</vt:lpstr>
      <vt:lpstr>Manager!Print_Area</vt:lpstr>
      <vt:lpstr>'Occ F1'!Print_Area</vt:lpstr>
      <vt:lpstr>'Occ F2'!Print_Area</vt:lpstr>
      <vt:lpstr>'Occ F3'!Print_Area</vt:lpstr>
      <vt:lpstr>'Occ F4'!Print_Area</vt:lpstr>
      <vt:lpstr>'Occ F5'!Print_Area</vt:lpstr>
      <vt:lpstr>'Occ T1'!Print_Area</vt:lpstr>
      <vt:lpstr>'Occ T2'!Print_Area</vt:lpstr>
      <vt:lpstr>'Occ T3'!Print_Area</vt:lpstr>
      <vt:lpstr>'Occ T4'!Print_Area</vt:lpstr>
      <vt:lpstr>'Occ T5'!Print_Area</vt:lpstr>
      <vt:lpstr>'Qual F1'!Print_Area</vt:lpstr>
      <vt:lpstr>'Qual T1'!Print_Area</vt:lpstr>
      <vt:lpstr>'RD F1'!Print_Area</vt:lpstr>
      <vt:lpstr>'RD T1'!Print_Area</vt:lpstr>
      <vt:lpstr>'ShiftShare T1'!Print_Area</vt:lpstr>
      <vt:lpstr>'Basic T3'!Print_Titles</vt:lpstr>
      <vt:lpstr>SummaryTable12!Print_Titles</vt:lpstr>
    </vt:vector>
  </TitlesOfParts>
  <Company>University of Warwick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IT Services</dc:creator>
  <cp:lastModifiedBy>Day, Rosie</cp:lastModifiedBy>
  <cp:lastPrinted>2022-11-08T11:16:28Z</cp:lastPrinted>
  <dcterms:created xsi:type="dcterms:W3CDTF">2006-08-30T09:48:05Z</dcterms:created>
  <dcterms:modified xsi:type="dcterms:W3CDTF">2024-02-29T16:29:01Z</dcterms:modified>
</cp:coreProperties>
</file>