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373890\Daniele_Repo\15N_experiment\"/>
    </mc:Choice>
  </mc:AlternateContent>
  <bookViews>
    <workbookView xWindow="0" yWindow="0" windowWidth="28800" windowHeight="12435"/>
  </bookViews>
  <sheets>
    <sheet name="stocazzo" sheetId="3" r:id="rId1"/>
    <sheet name="winter_rec" sheetId="4" r:id="rId2"/>
    <sheet name="Error_propagation" sheetId="1" r:id="rId3"/>
  </sheets>
  <externalReferences>
    <externalReference r:id="rId4"/>
  </externalReferences>
  <definedNames>
    <definedName name="_15N_air">'[1]d15N calculations'!$B$2</definedName>
    <definedName name="Molar_mass_15N_NH4NO3">'[1]d15N calculations'!$F$2</definedName>
    <definedName name="Molar_mass_NH4NO3">'[1]d15N calculations'!$F$3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J2" i="4"/>
  <c r="K3" i="4"/>
  <c r="K4" i="4"/>
  <c r="K5" i="4"/>
  <c r="K6" i="4"/>
  <c r="K7" i="4"/>
  <c r="J3" i="4"/>
  <c r="J4" i="4"/>
  <c r="J5" i="4"/>
  <c r="J6" i="4"/>
  <c r="J7" i="4"/>
  <c r="K2" i="4"/>
  <c r="D3" i="4"/>
  <c r="D4" i="4"/>
  <c r="D2" i="4"/>
  <c r="O6" i="4"/>
  <c r="O7" i="4"/>
  <c r="O5" i="4"/>
  <c r="I7" i="4" l="1"/>
  <c r="I3" i="4"/>
  <c r="I4" i="4"/>
  <c r="I5" i="4"/>
  <c r="I6" i="4"/>
  <c r="I2" i="4"/>
  <c r="H5" i="4"/>
  <c r="H3" i="4"/>
  <c r="H4" i="4"/>
  <c r="H6" i="4"/>
  <c r="H7" i="4"/>
  <c r="D52" i="3"/>
  <c r="D51" i="3"/>
  <c r="D50" i="3"/>
  <c r="D49" i="3"/>
  <c r="D48" i="3"/>
  <c r="D47" i="3"/>
  <c r="D46" i="3"/>
  <c r="D45" i="3"/>
  <c r="D44" i="3"/>
  <c r="D43" i="3"/>
  <c r="Q43" i="3" s="1"/>
  <c r="E43" i="3" s="1"/>
  <c r="D42" i="3"/>
  <c r="D41" i="3"/>
  <c r="Q41" i="3" s="1"/>
  <c r="E41" i="3" s="1"/>
  <c r="N36" i="3"/>
  <c r="I36" i="3"/>
  <c r="F36" i="3"/>
  <c r="O36" i="3" s="1"/>
  <c r="E36" i="3"/>
  <c r="M36" i="3" s="1"/>
  <c r="N35" i="3"/>
  <c r="M35" i="3"/>
  <c r="I35" i="3"/>
  <c r="F35" i="3"/>
  <c r="E35" i="3"/>
  <c r="O35" i="3" s="1"/>
  <c r="N34" i="3"/>
  <c r="I34" i="3"/>
  <c r="F34" i="3"/>
  <c r="O34" i="3" s="1"/>
  <c r="E34" i="3"/>
  <c r="M34" i="3" s="1"/>
  <c r="N33" i="3"/>
  <c r="M33" i="3"/>
  <c r="I33" i="3"/>
  <c r="F33" i="3"/>
  <c r="E33" i="3"/>
  <c r="O33" i="3" s="1"/>
  <c r="N32" i="3"/>
  <c r="I32" i="3"/>
  <c r="F32" i="3"/>
  <c r="E32" i="3"/>
  <c r="M32" i="3" s="1"/>
  <c r="N31" i="3"/>
  <c r="M31" i="3"/>
  <c r="I31" i="3"/>
  <c r="F31" i="3"/>
  <c r="E31" i="3"/>
  <c r="O31" i="3" s="1"/>
  <c r="N30" i="3"/>
  <c r="I30" i="3"/>
  <c r="F30" i="3"/>
  <c r="E30" i="3"/>
  <c r="M30" i="3" s="1"/>
  <c r="N29" i="3"/>
  <c r="M29" i="3"/>
  <c r="I29" i="3"/>
  <c r="F29" i="3"/>
  <c r="E29" i="3"/>
  <c r="O29" i="3" s="1"/>
  <c r="N28" i="3"/>
  <c r="L28" i="3"/>
  <c r="I28" i="3"/>
  <c r="F28" i="3"/>
  <c r="D28" i="3"/>
  <c r="E28" i="3" s="1"/>
  <c r="N27" i="3"/>
  <c r="L27" i="3"/>
  <c r="I27" i="3"/>
  <c r="F27" i="3"/>
  <c r="D27" i="3"/>
  <c r="E27" i="3" s="1"/>
  <c r="N26" i="3"/>
  <c r="L26" i="3"/>
  <c r="I26" i="3"/>
  <c r="F26" i="3"/>
  <c r="D26" i="3"/>
  <c r="E26" i="3" s="1"/>
  <c r="N25" i="3"/>
  <c r="L25" i="3"/>
  <c r="F25" i="3"/>
  <c r="D25" i="3"/>
  <c r="E25" i="3" s="1"/>
  <c r="E17" i="3"/>
  <c r="E16" i="3"/>
  <c r="E15" i="3"/>
  <c r="G13" i="3"/>
  <c r="H12" i="3"/>
  <c r="I12" i="3" s="1"/>
  <c r="G12" i="3"/>
  <c r="G11" i="3"/>
  <c r="H13" i="3" s="1"/>
  <c r="I13" i="3" s="1"/>
  <c r="G10" i="3"/>
  <c r="S9" i="3"/>
  <c r="G9" i="3"/>
  <c r="S8" i="3"/>
  <c r="G8" i="3"/>
  <c r="S7" i="3"/>
  <c r="H25" i="3" s="1"/>
  <c r="I25" i="3" s="1"/>
  <c r="G7" i="3"/>
  <c r="H9" i="3" s="1"/>
  <c r="I9" i="3" s="1"/>
  <c r="G6" i="3"/>
  <c r="H8" i="3" s="1"/>
  <c r="I8" i="3" s="1"/>
  <c r="H5" i="3"/>
  <c r="I5" i="3" s="1"/>
  <c r="G5" i="3"/>
  <c r="G4" i="3"/>
  <c r="H4" i="3" s="1"/>
  <c r="I4" i="3" s="1"/>
  <c r="G3" i="3"/>
  <c r="G2" i="3"/>
  <c r="M27" i="3" l="1"/>
  <c r="M25" i="3"/>
  <c r="O27" i="3" s="1"/>
  <c r="O25" i="3"/>
  <c r="M26" i="3"/>
  <c r="O26" i="3"/>
  <c r="O30" i="3"/>
  <c r="M28" i="3"/>
  <c r="O28" i="3" s="1"/>
  <c r="O32" i="3"/>
  <c r="D41" i="1"/>
  <c r="D25" i="1" l="1"/>
  <c r="O27" i="1"/>
  <c r="F25" i="1"/>
  <c r="E43" i="1"/>
  <c r="E41" i="1"/>
  <c r="Q43" i="1"/>
  <c r="Q41" i="1"/>
  <c r="E25" i="1"/>
  <c r="D52" i="1"/>
  <c r="D51" i="1"/>
  <c r="D48" i="1"/>
  <c r="D47" i="1"/>
  <c r="D44" i="1"/>
  <c r="D43" i="1"/>
  <c r="D50" i="1"/>
  <c r="D49" i="1"/>
  <c r="D46" i="1"/>
  <c r="D45" i="1"/>
  <c r="D42" i="1"/>
  <c r="L25" i="1" l="1"/>
  <c r="L28" i="1"/>
  <c r="L27" i="1"/>
  <c r="L26" i="1"/>
  <c r="M25" i="1"/>
  <c r="N26" i="1"/>
  <c r="N27" i="1"/>
  <c r="N28" i="1"/>
  <c r="N29" i="1"/>
  <c r="N30" i="1"/>
  <c r="N31" i="1"/>
  <c r="N32" i="1"/>
  <c r="N33" i="1"/>
  <c r="N34" i="1"/>
  <c r="N35" i="1"/>
  <c r="N36" i="1"/>
  <c r="N25" i="1"/>
  <c r="I26" i="1"/>
  <c r="I27" i="1"/>
  <c r="I28" i="1"/>
  <c r="I29" i="1"/>
  <c r="I30" i="1"/>
  <c r="I31" i="1"/>
  <c r="I32" i="1"/>
  <c r="I33" i="1"/>
  <c r="I34" i="1"/>
  <c r="I35" i="1"/>
  <c r="I36" i="1"/>
  <c r="S8" i="1"/>
  <c r="S9" i="1"/>
  <c r="S7" i="1"/>
  <c r="H25" i="1" l="1"/>
  <c r="I25" i="1" s="1"/>
  <c r="F26" i="1"/>
  <c r="F27" i="1"/>
  <c r="F28" i="1"/>
  <c r="F29" i="1"/>
  <c r="F30" i="1"/>
  <c r="F31" i="1"/>
  <c r="F32" i="1"/>
  <c r="F33" i="1"/>
  <c r="F34" i="1"/>
  <c r="F35" i="1"/>
  <c r="F36" i="1"/>
  <c r="E36" i="1"/>
  <c r="E29" i="1"/>
  <c r="E30" i="1"/>
  <c r="E31" i="1"/>
  <c r="E32" i="1"/>
  <c r="E33" i="1"/>
  <c r="E34" i="1"/>
  <c r="E35" i="1"/>
  <c r="D27" i="1"/>
  <c r="E27" i="1" s="1"/>
  <c r="D28" i="1"/>
  <c r="E28" i="1" s="1"/>
  <c r="D26" i="1"/>
  <c r="E26" i="1" s="1"/>
  <c r="O25" i="1" l="1"/>
  <c r="M27" i="1"/>
  <c r="M26" i="1"/>
  <c r="O26" i="1" s="1"/>
  <c r="M35" i="1"/>
  <c r="M31" i="1"/>
  <c r="M28" i="1"/>
  <c r="M34" i="1"/>
  <c r="O34" i="1" s="1"/>
  <c r="M30" i="1"/>
  <c r="O30" i="1"/>
  <c r="M33" i="1"/>
  <c r="O35" i="1" s="1"/>
  <c r="M29" i="1"/>
  <c r="O31" i="1" s="1"/>
  <c r="M32" i="1"/>
  <c r="O32" i="1" s="1"/>
  <c r="M36" i="1"/>
  <c r="E16" i="1"/>
  <c r="E17" i="1"/>
  <c r="E15" i="1"/>
  <c r="G3" i="1"/>
  <c r="G4" i="1"/>
  <c r="G5" i="1"/>
  <c r="G6" i="1"/>
  <c r="G7" i="1"/>
  <c r="G8" i="1"/>
  <c r="G9" i="1"/>
  <c r="G10" i="1"/>
  <c r="G11" i="1"/>
  <c r="G12" i="1"/>
  <c r="G13" i="1"/>
  <c r="G2" i="1"/>
  <c r="O36" i="1" l="1"/>
  <c r="O28" i="1"/>
  <c r="O29" i="1"/>
  <c r="O33" i="1"/>
  <c r="H4" i="1"/>
  <c r="I4" i="1" s="1"/>
  <c r="H12" i="1"/>
  <c r="I12" i="1" s="1"/>
  <c r="H8" i="1"/>
  <c r="I8" i="1" s="1"/>
  <c r="H13" i="1"/>
  <c r="I13" i="1" s="1"/>
  <c r="H5" i="1"/>
  <c r="I5" i="1" s="1"/>
  <c r="H9" i="1"/>
  <c r="I9" i="1" s="1"/>
</calcChain>
</file>

<file path=xl/sharedStrings.xml><?xml version="1.0" encoding="utf-8"?>
<sst xmlns="http://schemas.openxmlformats.org/spreadsheetml/2006/main" count="283" uniqueCount="74">
  <si>
    <t>a</t>
  </si>
  <si>
    <t>b</t>
  </si>
  <si>
    <t>c</t>
  </si>
  <si>
    <t>d</t>
  </si>
  <si>
    <t>Date</t>
  </si>
  <si>
    <t>%N recovered</t>
  </si>
  <si>
    <t>Sample</t>
  </si>
  <si>
    <t>T1 NH4</t>
  </si>
  <si>
    <t>T1 NO3</t>
  </si>
  <si>
    <t>T2 NH4</t>
  </si>
  <si>
    <t>T2 NO3</t>
  </si>
  <si>
    <t>T3 NH4</t>
  </si>
  <si>
    <t>T3 NO3</t>
  </si>
  <si>
    <t>total % cumulated</t>
  </si>
  <si>
    <t>Scaled to the sampled tree</t>
  </si>
  <si>
    <t xml:space="preserve">T1canopy_area/T1collectors_area = </t>
  </si>
  <si>
    <t xml:space="preserve">T2canopy_area/T2collectors_area = </t>
  </si>
  <si>
    <t xml:space="preserve">T3canopy_area/T3collectors_area  = </t>
  </si>
  <si>
    <t>mean</t>
  </si>
  <si>
    <t>δb</t>
  </si>
  <si>
    <t>δc</t>
  </si>
  <si>
    <r>
      <t>%</t>
    </r>
    <r>
      <rPr>
        <b/>
        <vertAlign val="super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N recov.</t>
    </r>
  </si>
  <si>
    <r>
      <rPr>
        <b/>
        <vertAlign val="super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N added</t>
    </r>
  </si>
  <si>
    <t>15N T1</t>
  </si>
  <si>
    <t>15N T2</t>
  </si>
  <si>
    <t>15N T3</t>
  </si>
  <si>
    <t>NH4-N</t>
  </si>
  <si>
    <t>NO3-N</t>
  </si>
  <si>
    <t>ERROR PROPAGATION</t>
  </si>
  <si>
    <r>
      <t>NH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-N recov.</t>
    </r>
  </si>
  <si>
    <r>
      <t>Note: T2 shows a high</t>
    </r>
    <r>
      <rPr>
        <b/>
        <vertAlign val="superscript"/>
        <sz val="11"/>
        <color theme="1"/>
        <rFont val="Calibri"/>
        <family val="2"/>
        <scheme val="minor"/>
      </rPr>
      <t xml:space="preserve"> 15</t>
    </r>
    <r>
      <rPr>
        <b/>
        <sz val="11"/>
        <color theme="1"/>
        <rFont val="Calibri"/>
        <family val="2"/>
        <scheme val="minor"/>
      </rPr>
      <t>N-NH</t>
    </r>
    <r>
      <rPr>
        <b/>
        <vertAlign val="subscript"/>
        <sz val="11"/>
        <color theme="1"/>
        <rFont val="Calibri"/>
        <family val="2"/>
        <scheme val="minor"/>
      </rPr>
      <t xml:space="preserve">4 </t>
    </r>
    <r>
      <rPr>
        <b/>
        <sz val="11"/>
        <color theme="1"/>
        <rFont val="Calibri"/>
        <family val="2"/>
        <scheme val="minor"/>
      </rPr>
      <t xml:space="preserve">value even on the 3rd collection date (20-08-2016 - </t>
    </r>
    <r>
      <rPr>
        <b/>
        <sz val="11"/>
        <color theme="1"/>
        <rFont val="Times New Roman"/>
        <family val="1"/>
      </rPr>
      <t>δ</t>
    </r>
    <r>
      <rPr>
        <b/>
        <sz val="11"/>
        <color theme="1"/>
        <rFont val="Calibri"/>
        <family val="2"/>
        <scheme val="minor"/>
      </rPr>
      <t>15N = +68 per mil)</t>
    </r>
  </si>
  <si>
    <r>
      <t>Note: 15N</t>
    </r>
    <r>
      <rPr>
        <vertAlign val="subscript"/>
        <sz val="11"/>
        <color theme="1"/>
        <rFont val="Calibri"/>
        <family val="2"/>
        <scheme val="minor"/>
      </rPr>
      <t>excess</t>
    </r>
    <r>
      <rPr>
        <sz val="11"/>
        <color theme="1"/>
        <rFont val="Calibri"/>
        <family val="2"/>
        <scheme val="minor"/>
      </rPr>
      <t xml:space="preserve"> has been aproximated to N</t>
    </r>
    <r>
      <rPr>
        <vertAlign val="subscript"/>
        <sz val="11"/>
        <color theme="1"/>
        <rFont val="Calibri"/>
        <family val="2"/>
        <scheme val="minor"/>
      </rPr>
      <t>recovered</t>
    </r>
    <r>
      <rPr>
        <sz val="11"/>
        <color theme="1"/>
        <rFont val="Calibri"/>
        <family val="2"/>
        <scheme val="minor"/>
      </rPr>
      <t xml:space="preserve"> as in the first two dates N</t>
    </r>
    <r>
      <rPr>
        <vertAlign val="subscript"/>
        <sz val="11"/>
        <color theme="1"/>
        <rFont val="Calibri"/>
        <family val="2"/>
        <scheme val="minor"/>
      </rPr>
      <t>recovered</t>
    </r>
    <r>
      <rPr>
        <sz val="11"/>
        <color theme="1"/>
        <rFont val="Calibri"/>
        <family val="2"/>
        <scheme val="minor"/>
      </rPr>
      <t xml:space="preserve"> &gt;&gt; N</t>
    </r>
    <r>
      <rPr>
        <vertAlign val="subscript"/>
        <sz val="11"/>
        <color theme="1"/>
        <rFont val="Calibri"/>
        <family val="2"/>
        <scheme val="minor"/>
      </rPr>
      <t xml:space="preserve">control, </t>
    </r>
    <r>
      <rPr>
        <sz val="11"/>
        <color theme="1"/>
        <rFont val="Calibri"/>
        <family val="2"/>
        <scheme val="minor"/>
      </rPr>
      <t>from which:</t>
    </r>
  </si>
  <si>
    <r>
      <t>15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recovery</t>
    </r>
    <r>
      <rPr>
        <sz val="11"/>
        <color theme="1"/>
        <rFont val="Calibri"/>
        <family val="2"/>
        <scheme val="minor"/>
      </rPr>
      <t xml:space="preserve"> (%) = </t>
    </r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</si>
  <si>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</si>
  <si>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</si>
  <si>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</si>
  <si>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</si>
  <si>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</si>
  <si>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</si>
  <si>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</si>
  <si>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</si>
  <si>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</si>
  <si>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</si>
  <si>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</si>
  <si>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</si>
  <si>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</si>
  <si>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</si>
  <si>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</si>
  <si>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(mg)</t>
  </si>
  <si>
    <t>%</t>
  </si>
  <si>
    <r>
      <t>Error propagation on</t>
    </r>
    <r>
      <rPr>
        <b/>
        <vertAlign val="superscript"/>
        <sz val="11"/>
        <rFont val="Calibri"/>
        <family val="2"/>
        <scheme val="minor"/>
      </rPr>
      <t xml:space="preserve"> 15</t>
    </r>
    <r>
      <rPr>
        <b/>
        <sz val="11"/>
        <rFont val="Calibri"/>
        <family val="2"/>
        <scheme val="minor"/>
      </rPr>
      <t>NH</t>
    </r>
    <r>
      <rPr>
        <b/>
        <vertAlign val="subscript"/>
        <sz val="11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>-N and</t>
    </r>
    <r>
      <rPr>
        <b/>
        <vertAlign val="superscript"/>
        <sz val="11"/>
        <rFont val="Calibri"/>
        <family val="2"/>
        <scheme val="minor"/>
      </rPr>
      <t xml:space="preserve"> 15</t>
    </r>
    <r>
      <rPr>
        <b/>
        <sz val="11"/>
        <rFont val="Calibri"/>
        <family val="2"/>
        <scheme val="minor"/>
      </rPr>
      <t>NO</t>
    </r>
    <r>
      <rPr>
        <b/>
        <vertAlign val="sub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-N recovered after the WINTER application</t>
    </r>
  </si>
  <si>
    <r>
      <t>Error propagation on</t>
    </r>
    <r>
      <rPr>
        <b/>
        <vertAlign val="superscript"/>
        <sz val="11"/>
        <rFont val="Calibri"/>
        <family val="2"/>
        <scheme val="minor"/>
      </rPr>
      <t xml:space="preserve"> 15</t>
    </r>
    <r>
      <rPr>
        <b/>
        <sz val="11"/>
        <rFont val="Calibri"/>
        <family val="2"/>
        <scheme val="minor"/>
      </rPr>
      <t>NH</t>
    </r>
    <r>
      <rPr>
        <b/>
        <vertAlign val="subscript"/>
        <sz val="11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>-N and</t>
    </r>
    <r>
      <rPr>
        <b/>
        <vertAlign val="superscript"/>
        <sz val="11"/>
        <rFont val="Calibri"/>
        <family val="2"/>
        <scheme val="minor"/>
      </rPr>
      <t xml:space="preserve"> 15</t>
    </r>
    <r>
      <rPr>
        <b/>
        <sz val="11"/>
        <rFont val="Calibri"/>
        <family val="2"/>
        <scheme val="minor"/>
      </rPr>
      <t>NO</t>
    </r>
    <r>
      <rPr>
        <b/>
        <vertAlign val="sub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-N recovered after the SUMMER application</t>
    </r>
  </si>
  <si>
    <t>15N added</t>
  </si>
  <si>
    <t>Tree</t>
  </si>
  <si>
    <t>N_form</t>
  </si>
  <si>
    <t>c1</t>
  </si>
  <si>
    <t>c2</t>
  </si>
  <si>
    <t>T1</t>
  </si>
  <si>
    <t>T2</t>
  </si>
  <si>
    <t>T3</t>
  </si>
  <si>
    <r>
      <rPr>
        <b/>
        <sz val="11"/>
        <color theme="1"/>
        <rFont val="Times New Roman"/>
        <family val="1"/>
      </rPr>
      <t>δ</t>
    </r>
    <r>
      <rPr>
        <b/>
        <sz val="11"/>
        <color theme="1"/>
        <rFont val="Calibri"/>
        <family val="2"/>
      </rPr>
      <t>a*</t>
    </r>
  </si>
  <si>
    <r>
      <rPr>
        <b/>
        <sz val="11"/>
        <color theme="1"/>
        <rFont val="Times New Roman"/>
        <family val="1"/>
      </rPr>
      <t>* δ</t>
    </r>
    <r>
      <rPr>
        <b/>
        <sz val="11"/>
        <color theme="1"/>
        <rFont val="Calibri"/>
        <family val="2"/>
      </rPr>
      <t xml:space="preserve">a = </t>
    </r>
  </si>
  <si>
    <r>
      <rPr>
        <b/>
        <sz val="11"/>
        <color theme="1"/>
        <rFont val="Times New Roman"/>
        <family val="1"/>
      </rPr>
      <t>δ</t>
    </r>
    <r>
      <rPr>
        <b/>
        <sz val="11"/>
        <color theme="1"/>
        <rFont val="Calibri"/>
        <family val="2"/>
      </rPr>
      <t>a = 2SD</t>
    </r>
  </si>
  <si>
    <t>SD(a)</t>
  </si>
  <si>
    <t>SD(NH4)</t>
  </si>
  <si>
    <t>SD(NO3)</t>
  </si>
  <si>
    <t>standard deviation*2, where SD = see calculations on the right</t>
  </si>
  <si>
    <t>SD(b)</t>
  </si>
  <si>
    <t>SD©</t>
  </si>
  <si>
    <t>R standard</t>
  </si>
  <si>
    <t>recovered 15N mass</t>
  </si>
  <si>
    <t>15N rec %</t>
  </si>
  <si>
    <t>Total 15N applied (g)</t>
  </si>
  <si>
    <t>per form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</si>
</sst>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Times New Roman"/>
      <family val="1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</font>
    <font>
      <b/>
      <sz val="11"/>
      <color theme="6" tint="-0.249977111117893"/>
      <name val="Times New Roman"/>
      <family val="1"/>
    </font>
    <font>
      <sz val="11"/>
      <color theme="6" tint="-0.249977111117893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6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19" fillId="4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164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right" indent="1"/>
    </xf>
    <xf numFmtId="2" fontId="0" fillId="0" borderId="0" xfId="0" applyNumberFormat="1" applyAlignment="1">
      <alignment horizontal="right" indent="2"/>
    </xf>
    <xf numFmtId="164" fontId="3" fillId="2" borderId="1" xfId="1" applyNumberFormat="1" applyBorder="1"/>
    <xf numFmtId="2" fontId="2" fillId="0" borderId="0" xfId="0" applyNumberFormat="1" applyFont="1"/>
    <xf numFmtId="0" fontId="8" fillId="0" borderId="0" xfId="0" applyFont="1" applyAlignment="1">
      <alignment vertical="center"/>
    </xf>
    <xf numFmtId="0" fontId="10" fillId="3" borderId="0" xfId="0" applyFont="1" applyFill="1"/>
    <xf numFmtId="2" fontId="1" fillId="0" borderId="0" xfId="0" applyNumberFormat="1" applyFont="1" applyAlignment="1">
      <alignment horizontal="right" indent="2"/>
    </xf>
    <xf numFmtId="2" fontId="1" fillId="0" borderId="0" xfId="0" applyNumberFormat="1" applyFont="1" applyAlignment="1">
      <alignment horizontal="center"/>
    </xf>
    <xf numFmtId="14" fontId="13" fillId="0" borderId="0" xfId="0" applyNumberFormat="1" applyFont="1"/>
    <xf numFmtId="0" fontId="13" fillId="0" borderId="0" xfId="0" applyFont="1" applyAlignment="1">
      <alignment horizontal="center"/>
    </xf>
    <xf numFmtId="2" fontId="13" fillId="0" borderId="0" xfId="0" applyNumberFormat="1" applyFont="1" applyAlignment="1">
      <alignment horizontal="right" indent="2"/>
    </xf>
    <xf numFmtId="2" fontId="14" fillId="0" borderId="0" xfId="0" applyNumberFormat="1" applyFont="1" applyAlignment="1">
      <alignment horizontal="right" indent="2"/>
    </xf>
    <xf numFmtId="2" fontId="13" fillId="0" borderId="0" xfId="0" applyNumberFormat="1" applyFont="1" applyAlignment="1">
      <alignment horizontal="right" indent="1"/>
    </xf>
    <xf numFmtId="2" fontId="13" fillId="0" borderId="0" xfId="0" applyNumberFormat="1" applyFont="1" applyAlignment="1">
      <alignment horizontal="right" indent="6"/>
    </xf>
    <xf numFmtId="2" fontId="10" fillId="0" borderId="0" xfId="0" applyNumberFormat="1" applyFont="1" applyAlignment="1">
      <alignment horizontal="right" indent="6"/>
    </xf>
    <xf numFmtId="0" fontId="15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14" fontId="18" fillId="0" borderId="0" xfId="0" applyNumberFormat="1" applyFont="1"/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right" indent="2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right" indent="2"/>
    </xf>
    <xf numFmtId="0" fontId="17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right" indent="1"/>
    </xf>
    <xf numFmtId="0" fontId="15" fillId="0" borderId="0" xfId="0" applyFont="1"/>
    <xf numFmtId="14" fontId="13" fillId="3" borderId="0" xfId="0" applyNumberFormat="1" applyFont="1" applyFill="1"/>
    <xf numFmtId="0" fontId="13" fillId="3" borderId="0" xfId="0" applyFont="1" applyFill="1" applyAlignment="1">
      <alignment horizontal="center"/>
    </xf>
    <xf numFmtId="2" fontId="13" fillId="3" borderId="0" xfId="0" applyNumberFormat="1" applyFont="1" applyFill="1" applyAlignment="1">
      <alignment horizontal="right" indent="2"/>
    </xf>
    <xf numFmtId="2" fontId="14" fillId="3" borderId="0" xfId="0" applyNumberFormat="1" applyFont="1" applyFill="1" applyAlignment="1">
      <alignment horizontal="right" indent="2"/>
    </xf>
    <xf numFmtId="2" fontId="13" fillId="3" borderId="0" xfId="0" applyNumberFormat="1" applyFont="1" applyFill="1" applyAlignment="1">
      <alignment horizontal="right" indent="1"/>
    </xf>
    <xf numFmtId="2" fontId="13" fillId="3" borderId="0" xfId="0" applyNumberFormat="1" applyFont="1" applyFill="1" applyAlignment="1">
      <alignment horizontal="right" indent="6"/>
    </xf>
    <xf numFmtId="2" fontId="10" fillId="3" borderId="0" xfId="0" applyNumberFormat="1" applyFont="1" applyFill="1" applyAlignment="1">
      <alignment horizontal="right" indent="6"/>
    </xf>
    <xf numFmtId="2" fontId="13" fillId="0" borderId="2" xfId="0" applyNumberFormat="1" applyFont="1" applyBorder="1" applyAlignment="1">
      <alignment horizontal="right" indent="2"/>
    </xf>
    <xf numFmtId="2" fontId="14" fillId="0" borderId="2" xfId="0" applyNumberFormat="1" applyFont="1" applyBorder="1" applyAlignment="1">
      <alignment horizontal="right" indent="2"/>
    </xf>
    <xf numFmtId="2" fontId="13" fillId="0" borderId="2" xfId="0" applyNumberFormat="1" applyFont="1" applyBorder="1" applyAlignment="1">
      <alignment horizontal="right" indent="1"/>
    </xf>
    <xf numFmtId="2" fontId="10" fillId="0" borderId="2" xfId="0" applyNumberFormat="1" applyFont="1" applyBorder="1" applyAlignment="1">
      <alignment horizontal="right" indent="6"/>
    </xf>
    <xf numFmtId="0" fontId="2" fillId="0" borderId="0" xfId="0" applyFont="1"/>
    <xf numFmtId="0" fontId="4" fillId="3" borderId="0" xfId="0" applyFont="1" applyFill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3" borderId="3" xfId="0" applyFont="1" applyFill="1" applyBorder="1" applyAlignment="1">
      <alignment horizontal="center"/>
    </xf>
    <xf numFmtId="0" fontId="19" fillId="4" borderId="0" xfId="2"/>
  </cellXfs>
  <cellStyles count="3">
    <cellStyle name="Input" xfId="1" builtinId="20"/>
    <cellStyle name="Neutral" xfId="2" builtinId="28"/>
    <cellStyle name="Normal" xfId="0" builtinId="0"/>
  </cellStyles>
  <dxfs count="3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right" vertical="bottom" textRotation="0" wrapText="0" indent="1" justifyLastLine="0" shrinkToFit="0" readingOrder="0"/>
    </dxf>
    <dxf>
      <numFmt numFmtId="2" formatCode="0.00"/>
      <alignment horizontal="right" vertical="bottom" textRotation="0" wrapText="0" indent="1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right" vertical="bottom" textRotation="0" wrapText="0" indent="2" justifyLastLine="0" shrinkToFit="0" readingOrder="0"/>
    </dxf>
    <dxf>
      <numFmt numFmtId="2" formatCode="0.00"/>
      <alignment horizontal="right" vertical="bottom" textRotation="0" wrapText="0" indent="1" justifyLastLine="0" shrinkToFit="0" readingOrder="0"/>
    </dxf>
    <dxf>
      <numFmt numFmtId="2" formatCode="0.00"/>
      <alignment horizontal="right" vertical="bottom" textRotation="0" wrapText="0" indent="1" justifyLastLine="0" shrinkToFit="0" readingOrder="0"/>
    </dxf>
    <dxf>
      <numFmt numFmtId="2" formatCode="0.00"/>
      <alignment horizontal="right" vertical="bottom" textRotation="0" wrapText="0" indent="1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right" vertical="bottom" textRotation="0" wrapText="0" indent="2" justifyLastLine="0" shrinkToFit="0" readingOrder="0"/>
    </dxf>
    <dxf>
      <numFmt numFmtId="2" formatCode="0.00"/>
      <alignment horizontal="right" vertical="bottom" textRotation="0" wrapText="0" indent="2" justifyLastLine="0" shrinkToFit="0" readingOrder="0"/>
    </dxf>
    <dxf>
      <numFmt numFmtId="2" formatCode="0.00"/>
      <alignment horizontal="right" vertical="bottom" textRotation="0" wrapText="0" indent="2" justifyLastLine="0" shrinkToFit="0" readingOrder="0"/>
    </dxf>
    <dxf>
      <numFmt numFmtId="2" formatCode="0.00"/>
      <alignment horizontal="right" vertical="bottom" textRotation="0" wrapText="0" indent="1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right" vertical="bottom" textRotation="0" wrapText="0" indent="2" justifyLastLine="0" shrinkToFit="0" readingOrder="0"/>
    </dxf>
    <dxf>
      <numFmt numFmtId="2" formatCode="0.00"/>
      <alignment horizontal="right" vertical="bottom" textRotation="0" wrapText="0" indent="2" justifyLastLine="0" shrinkToFit="0" readingOrder="0"/>
    </dxf>
    <dxf>
      <numFmt numFmtId="2" formatCode="0.00"/>
      <alignment horizontal="right" vertical="bottom" textRotation="0" wrapText="0" indent="2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right" vertical="bottom" textRotation="0" wrapText="0" indent="1" justifyLastLine="0" shrinkToFit="0" readingOrder="0"/>
    </dxf>
    <dxf>
      <numFmt numFmtId="2" formatCode="0.00"/>
      <alignment horizontal="right" vertical="bottom" textRotation="0" wrapText="0" indent="1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right" vertical="bottom" textRotation="0" wrapText="0" indent="2" justifyLastLine="0" shrinkToFit="0" readingOrder="0"/>
    </dxf>
    <dxf>
      <numFmt numFmtId="2" formatCode="0.00"/>
      <alignment horizontal="right" vertical="bottom" textRotation="0" wrapText="0" indent="1" justifyLastLine="0" shrinkToFit="0" readingOrder="0"/>
    </dxf>
    <dxf>
      <numFmt numFmtId="2" formatCode="0.00"/>
      <alignment horizontal="right" vertical="bottom" textRotation="0" wrapText="0" indent="1" justifyLastLine="0" shrinkToFit="0" readingOrder="0"/>
    </dxf>
    <dxf>
      <numFmt numFmtId="2" formatCode="0.00"/>
      <alignment horizontal="right" vertical="bottom" textRotation="0" wrapText="0" indent="1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right" vertical="bottom" textRotation="0" wrapText="0" indent="2" justifyLastLine="0" shrinkToFit="0" readingOrder="0"/>
    </dxf>
    <dxf>
      <numFmt numFmtId="2" formatCode="0.00"/>
      <alignment horizontal="right" vertical="bottom" textRotation="0" wrapText="0" indent="2" justifyLastLine="0" shrinkToFit="0" readingOrder="0"/>
    </dxf>
    <dxf>
      <numFmt numFmtId="2" formatCode="0.00"/>
      <alignment horizontal="right" vertical="bottom" textRotation="0" wrapText="0" indent="2" justifyLastLine="0" shrinkToFit="0" readingOrder="0"/>
    </dxf>
    <dxf>
      <numFmt numFmtId="2" formatCode="0.00"/>
      <alignment horizontal="right" vertical="bottom" textRotation="0" wrapText="0" indent="1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right" vertical="bottom" textRotation="0" wrapText="0" indent="2" justifyLastLine="0" shrinkToFit="0" readingOrder="0"/>
    </dxf>
    <dxf>
      <numFmt numFmtId="2" formatCode="0.00"/>
      <alignment horizontal="right" vertical="bottom" textRotation="0" wrapText="0" indent="2" justifyLastLine="0" shrinkToFit="0" readingOrder="0"/>
    </dxf>
    <dxf>
      <numFmt numFmtId="2" formatCode="0.00"/>
      <alignment horizontal="right" vertical="bottom" textRotation="0" wrapText="0" indent="2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right" vertical="bottom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17</xdr:row>
      <xdr:rowOff>28575</xdr:rowOff>
    </xdr:from>
    <xdr:to>
      <xdr:col>12</xdr:col>
      <xdr:colOff>142875</xdr:colOff>
      <xdr:row>18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7650" y="28575"/>
          <a:ext cx="13811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17</xdr:row>
          <xdr:rowOff>38100</xdr:rowOff>
        </xdr:from>
        <xdr:to>
          <xdr:col>12</xdr:col>
          <xdr:colOff>152400</xdr:colOff>
          <xdr:row>19</xdr:row>
          <xdr:rowOff>123825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17</xdr:row>
      <xdr:rowOff>28575</xdr:rowOff>
    </xdr:from>
    <xdr:to>
      <xdr:col>12</xdr:col>
      <xdr:colOff>142875</xdr:colOff>
      <xdr:row>18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28575"/>
          <a:ext cx="11620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17</xdr:row>
          <xdr:rowOff>38100</xdr:rowOff>
        </xdr:from>
        <xdr:to>
          <xdr:col>12</xdr:col>
          <xdr:colOff>142875</xdr:colOff>
          <xdr:row>19</xdr:row>
          <xdr:rowOff>123825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y%20PhD\WP3%20-%2015N%20over%20canopy\d15N%20calculations_and_di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5N calculations"/>
      <sheetName val="verifying"/>
      <sheetName val="verifying_winter"/>
      <sheetName val="Collection diary"/>
      <sheetName val="Sheet2"/>
      <sheetName val="2nd application"/>
    </sheetNames>
    <sheetDataSet>
      <sheetData sheetId="0">
        <row r="2">
          <cell r="B2">
            <v>0.36630000000000001</v>
          </cell>
          <cell r="F2">
            <v>82.043000000000006</v>
          </cell>
        </row>
        <row r="3">
          <cell r="F3">
            <v>80.043000000000006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id="2" name="Table13" displayName="Table13" ref="A22:O36" totalsRowShown="0" dataDxfId="31">
  <autoFilter ref="A22:O36"/>
  <tableColumns count="15">
    <tableColumn id="1" name="Column1" dataDxfId="30"/>
    <tableColumn id="2" name="Column2" dataDxfId="29"/>
    <tableColumn id="3" name="Column3" dataDxfId="28"/>
    <tableColumn id="4" name="Column4" dataDxfId="27"/>
    <tableColumn id="5" name="Column5" dataDxfId="26">
      <calculatedColumnFormula>(#REF!-#REF!)^2/3</calculatedColumnFormula>
    </tableColumn>
    <tableColumn id="6" name="Column6" dataDxfId="25">
      <calculatedColumnFormula>#REF!</calculatedColumnFormula>
    </tableColumn>
    <tableColumn id="7" name="Column7" dataDxfId="24"/>
    <tableColumn id="8" name="Column8" dataDxfId="23"/>
    <tableColumn id="9" name="Column9" dataDxfId="22">
      <calculatedColumnFormula>(#REF!-#REF!)^2/3</calculatedColumnFormula>
    </tableColumn>
    <tableColumn id="10" name="Column10" dataDxfId="21"/>
    <tableColumn id="11" name="Column11" dataDxfId="20"/>
    <tableColumn id="12" name="Column12" dataDxfId="19"/>
    <tableColumn id="13" name="Column13" dataDxfId="18">
      <calculatedColumnFormula>E23</calculatedColumnFormula>
    </tableColumn>
    <tableColumn id="14" name="Column14" dataDxfId="17">
      <calculatedColumnFormula>#REF!</calculatedColumnFormula>
    </tableColumn>
    <tableColumn id="15" name="Column15" dataDxfId="16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2:O36" totalsRowShown="0" dataDxfId="15">
  <autoFilter ref="A22:O36"/>
  <tableColumns count="15">
    <tableColumn id="1" name="Column1" dataDxfId="14"/>
    <tableColumn id="2" name="Column2" dataDxfId="13"/>
    <tableColumn id="3" name="Column3" dataDxfId="12"/>
    <tableColumn id="4" name="Column4" dataDxfId="11"/>
    <tableColumn id="5" name="Column5" dataDxfId="10">
      <calculatedColumnFormula>(#REF!-#REF!)^2/3</calculatedColumnFormula>
    </tableColumn>
    <tableColumn id="6" name="Column6" dataDxfId="9">
      <calculatedColumnFormula>#REF!</calculatedColumnFormula>
    </tableColumn>
    <tableColumn id="7" name="Column7" dataDxfId="8"/>
    <tableColumn id="8" name="Column8" dataDxfId="7"/>
    <tableColumn id="9" name="Column9" dataDxfId="6">
      <calculatedColumnFormula>(#REF!-#REF!)^2/3</calculatedColumnFormula>
    </tableColumn>
    <tableColumn id="10" name="Column10" dataDxfId="5"/>
    <tableColumn id="11" name="Column11" dataDxfId="4"/>
    <tableColumn id="12" name="Column12" dataDxfId="3"/>
    <tableColumn id="13" name="Column13" dataDxfId="2">
      <calculatedColumnFormula>E23</calculatedColumnFormula>
    </tableColumn>
    <tableColumn id="14" name="Column14" dataDxfId="1">
      <calculatedColumnFormula>#REF!</calculatedColumnFormula>
    </tableColumn>
    <tableColumn id="15" name="Column15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2.xml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2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4"/>
  <sheetViews>
    <sheetView tabSelected="1" topLeftCell="A24" workbookViewId="0">
      <selection activeCell="A35" sqref="A35"/>
    </sheetView>
  </sheetViews>
  <sheetFormatPr defaultRowHeight="15" x14ac:dyDescent="0.25"/>
  <cols>
    <col min="1" max="2" width="11" customWidth="1"/>
    <col min="3" max="3" width="11.5703125" customWidth="1"/>
    <col min="4" max="8" width="11" customWidth="1"/>
    <col min="9" max="9" width="12" bestFit="1" customWidth="1"/>
    <col min="10" max="12" width="12" customWidth="1"/>
    <col min="13" max="13" width="12.7109375" customWidth="1"/>
    <col min="14" max="14" width="12" customWidth="1"/>
    <col min="15" max="15" width="20" customWidth="1"/>
  </cols>
  <sheetData>
    <row r="1" spans="1:20" hidden="1" x14ac:dyDescent="0.25">
      <c r="A1" t="s">
        <v>4</v>
      </c>
      <c r="B1" t="s">
        <v>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4" t="s">
        <v>13</v>
      </c>
      <c r="I1" s="2" t="s">
        <v>14</v>
      </c>
    </row>
    <row r="2" spans="1:20" hidden="1" x14ac:dyDescent="0.25">
      <c r="A2" s="3">
        <v>42592</v>
      </c>
      <c r="B2" s="1" t="s">
        <v>7</v>
      </c>
      <c r="C2">
        <v>25.29</v>
      </c>
      <c r="D2">
        <v>151.44999999999999</v>
      </c>
      <c r="E2">
        <v>660.95</v>
      </c>
      <c r="F2">
        <v>3.6765000000000001E-3</v>
      </c>
      <c r="G2" s="6">
        <f>(D2/C2)*((E2*F2+F2)/1000)/(1+((E2*F2+F2)/1000))*100</f>
        <v>1.4538666163318594</v>
      </c>
    </row>
    <row r="3" spans="1:20" hidden="1" x14ac:dyDescent="0.25">
      <c r="A3" s="3">
        <v>42592</v>
      </c>
      <c r="B3" s="1" t="s">
        <v>8</v>
      </c>
      <c r="C3">
        <v>25.29</v>
      </c>
      <c r="D3" s="12">
        <v>137.706312</v>
      </c>
      <c r="E3">
        <v>30.09</v>
      </c>
      <c r="F3">
        <v>3.6765000000000001E-3</v>
      </c>
      <c r="G3" s="6">
        <f t="shared" ref="G3:G13" si="0">(D3/C3)*((E3*F3+F3)/1000)/(1+((E3*F3+F3)/1000))*100</f>
        <v>6.2231557765759268E-2</v>
      </c>
    </row>
    <row r="4" spans="1:20" hidden="1" x14ac:dyDescent="0.25">
      <c r="A4" s="3">
        <v>42594</v>
      </c>
      <c r="B4" s="1" t="s">
        <v>7</v>
      </c>
      <c r="C4">
        <v>25.29</v>
      </c>
      <c r="D4" s="12">
        <v>299.828078</v>
      </c>
      <c r="E4">
        <v>37.22</v>
      </c>
      <c r="F4">
        <v>3.6765000000000001E-3</v>
      </c>
      <c r="G4" s="6">
        <f t="shared" si="0"/>
        <v>0.16656651662403152</v>
      </c>
      <c r="H4" s="6">
        <f>G2+G4</f>
        <v>1.620433132955891</v>
      </c>
      <c r="I4" s="6">
        <f>H4*$E$15</f>
        <v>20.186983708698811</v>
      </c>
    </row>
    <row r="5" spans="1:20" hidden="1" x14ac:dyDescent="0.25">
      <c r="A5" s="3">
        <v>42594</v>
      </c>
      <c r="B5" s="1" t="s">
        <v>8</v>
      </c>
      <c r="C5">
        <v>25.29</v>
      </c>
      <c r="D5" s="12">
        <v>272.23523299999999</v>
      </c>
      <c r="E5">
        <v>23.41</v>
      </c>
      <c r="F5">
        <v>3.6765000000000001E-3</v>
      </c>
      <c r="G5" s="6">
        <f t="shared" si="0"/>
        <v>9.6595941202557864E-2</v>
      </c>
      <c r="H5" s="6">
        <f>G3+G5</f>
        <v>0.15882749896831713</v>
      </c>
      <c r="I5" s="6">
        <f>H5*$E$15</f>
        <v>1.9786364947488833</v>
      </c>
    </row>
    <row r="6" spans="1:20" hidden="1" x14ac:dyDescent="0.25">
      <c r="A6" s="3">
        <v>42592</v>
      </c>
      <c r="B6" s="1" t="s">
        <v>9</v>
      </c>
      <c r="C6">
        <v>26.513000000000002</v>
      </c>
      <c r="D6" s="12">
        <v>177.965408</v>
      </c>
      <c r="E6">
        <v>584.42999999999995</v>
      </c>
      <c r="F6">
        <v>3.6765000000000001E-3</v>
      </c>
      <c r="G6" s="6">
        <f t="shared" si="0"/>
        <v>1.4416257297671617</v>
      </c>
      <c r="S6" t="s">
        <v>26</v>
      </c>
      <c r="T6" t="s">
        <v>27</v>
      </c>
    </row>
    <row r="7" spans="1:20" hidden="1" x14ac:dyDescent="0.25">
      <c r="A7" s="3">
        <v>42592</v>
      </c>
      <c r="B7" s="1" t="s">
        <v>10</v>
      </c>
      <c r="C7">
        <v>26.513000000000002</v>
      </c>
      <c r="D7" s="12">
        <v>155.96725000000001</v>
      </c>
      <c r="E7">
        <v>30.31</v>
      </c>
      <c r="F7">
        <v>3.6765000000000001E-3</v>
      </c>
      <c r="G7" s="6">
        <f t="shared" si="0"/>
        <v>6.7708343933957221E-2</v>
      </c>
      <c r="Q7" t="s">
        <v>23</v>
      </c>
      <c r="R7" s="11">
        <v>25.175934654665262</v>
      </c>
      <c r="S7">
        <f>R7/82*15</f>
        <v>4.605353900243645</v>
      </c>
    </row>
    <row r="8" spans="1:20" hidden="1" x14ac:dyDescent="0.25">
      <c r="A8" s="3">
        <v>42594</v>
      </c>
      <c r="B8" s="1" t="s">
        <v>9</v>
      </c>
      <c r="C8">
        <v>26.513000000000002</v>
      </c>
      <c r="D8" s="12">
        <v>35.127065999999999</v>
      </c>
      <c r="E8">
        <v>425.38</v>
      </c>
      <c r="F8">
        <v>3.6765000000000001E-3</v>
      </c>
      <c r="G8" s="6">
        <f t="shared" si="0"/>
        <v>0.20736437138790439</v>
      </c>
      <c r="H8" s="6">
        <f>G6+G8</f>
        <v>1.6489901011550661</v>
      </c>
      <c r="I8" s="6">
        <f>H8*$E$16</f>
        <v>20.05222180742652</v>
      </c>
      <c r="Q8" t="s">
        <v>24</v>
      </c>
      <c r="R8" s="11">
        <v>26.546161587168413</v>
      </c>
      <c r="S8">
        <f t="shared" ref="S8:S9" si="1">R8/82*15</f>
        <v>4.8560051683844661</v>
      </c>
    </row>
    <row r="9" spans="1:20" hidden="1" x14ac:dyDescent="0.25">
      <c r="A9" s="3">
        <v>42594</v>
      </c>
      <c r="B9" s="1" t="s">
        <v>10</v>
      </c>
      <c r="C9">
        <v>26.513000000000002</v>
      </c>
      <c r="D9" s="12">
        <v>76.922948000000005</v>
      </c>
      <c r="E9">
        <v>40.64</v>
      </c>
      <c r="F9">
        <v>3.6765000000000001E-3</v>
      </c>
      <c r="G9" s="6">
        <f t="shared" si="0"/>
        <v>4.4409497420971812E-2</v>
      </c>
      <c r="H9" s="6">
        <f>G7+G9</f>
        <v>0.11211784135492903</v>
      </c>
      <c r="I9" s="6">
        <f>H9*$E$16</f>
        <v>1.3633870948310074</v>
      </c>
      <c r="Q9" t="s">
        <v>25</v>
      </c>
      <c r="R9">
        <v>23.622256599913154</v>
      </c>
      <c r="S9">
        <f t="shared" si="1"/>
        <v>4.321144499984114</v>
      </c>
    </row>
    <row r="10" spans="1:20" hidden="1" x14ac:dyDescent="0.25">
      <c r="A10" s="3">
        <v>42592</v>
      </c>
      <c r="B10" s="1" t="s">
        <v>11</v>
      </c>
      <c r="C10">
        <v>23.542000000000002</v>
      </c>
      <c r="D10" s="12">
        <v>208.632453</v>
      </c>
      <c r="E10">
        <v>585.73</v>
      </c>
      <c r="F10">
        <v>3.6765000000000001E-3</v>
      </c>
      <c r="G10" s="6">
        <f t="shared" si="0"/>
        <v>1.9075483761608027</v>
      </c>
    </row>
    <row r="11" spans="1:20" hidden="1" x14ac:dyDescent="0.25">
      <c r="A11" s="3">
        <v>42592</v>
      </c>
      <c r="B11" s="1" t="s">
        <v>12</v>
      </c>
      <c r="C11">
        <v>23.542000000000002</v>
      </c>
      <c r="D11" s="12">
        <v>212.642123</v>
      </c>
      <c r="E11">
        <v>27.67</v>
      </c>
      <c r="F11">
        <v>3.6765000000000001E-3</v>
      </c>
      <c r="G11" s="6">
        <f t="shared" si="0"/>
        <v>9.5196818182919904E-2</v>
      </c>
    </row>
    <row r="12" spans="1:20" hidden="1" x14ac:dyDescent="0.25">
      <c r="A12" s="3">
        <v>42594</v>
      </c>
      <c r="B12" s="1" t="s">
        <v>11</v>
      </c>
      <c r="C12">
        <v>23.542000000000002</v>
      </c>
      <c r="D12" s="12">
        <v>14.356833999999999</v>
      </c>
      <c r="E12">
        <v>180.75</v>
      </c>
      <c r="F12">
        <v>3.6765000000000001E-3</v>
      </c>
      <c r="G12" s="6">
        <f t="shared" si="0"/>
        <v>4.0722479471069287E-2</v>
      </c>
      <c r="H12" s="6">
        <f>G10+G12</f>
        <v>1.948270855631872</v>
      </c>
      <c r="I12" s="6">
        <f>H12*$E$16</f>
        <v>23.691566923724782</v>
      </c>
    </row>
    <row r="13" spans="1:20" hidden="1" x14ac:dyDescent="0.25">
      <c r="A13" s="3">
        <v>42594</v>
      </c>
      <c r="B13" s="1" t="s">
        <v>12</v>
      </c>
      <c r="C13">
        <v>23.542000000000002</v>
      </c>
      <c r="D13" s="12">
        <v>3.4778519999999999</v>
      </c>
      <c r="E13">
        <v>15.59</v>
      </c>
      <c r="F13">
        <v>3.6765000000000001E-3</v>
      </c>
      <c r="G13" s="6">
        <f t="shared" si="0"/>
        <v>9.0099464429726096E-4</v>
      </c>
      <c r="H13" s="6">
        <f>G11+G13</f>
        <v>9.6097812827217161E-2</v>
      </c>
      <c r="I13" s="6">
        <f>H13*$E$16</f>
        <v>1.1685786692534601</v>
      </c>
    </row>
    <row r="14" spans="1:20" hidden="1" x14ac:dyDescent="0.25"/>
    <row r="15" spans="1:20" hidden="1" x14ac:dyDescent="0.25">
      <c r="A15" t="s">
        <v>15</v>
      </c>
      <c r="E15">
        <f>11.8/0.9472</f>
        <v>12.45777027027027</v>
      </c>
    </row>
    <row r="16" spans="1:20" hidden="1" x14ac:dyDescent="0.25">
      <c r="A16" t="s">
        <v>16</v>
      </c>
      <c r="E16">
        <f>11.5/0.9457</f>
        <v>12.1603045363223</v>
      </c>
    </row>
    <row r="17" spans="1:19" hidden="1" x14ac:dyDescent="0.25">
      <c r="A17" t="s">
        <v>17</v>
      </c>
      <c r="E17">
        <f>13.8/0.939</f>
        <v>14.696485623003197</v>
      </c>
    </row>
    <row r="18" spans="1:19" ht="18" x14ac:dyDescent="0.35">
      <c r="A18" t="s">
        <v>31</v>
      </c>
      <c r="J18" s="13" t="s">
        <v>32</v>
      </c>
    </row>
    <row r="19" spans="1:19" ht="18.75" x14ac:dyDescent="0.35">
      <c r="A19" s="4" t="s">
        <v>30</v>
      </c>
    </row>
    <row r="20" spans="1:19" x14ac:dyDescent="0.25">
      <c r="A20" s="4"/>
    </row>
    <row r="21" spans="1:19" ht="18.75" x14ac:dyDescent="0.35">
      <c r="A21" s="14" t="s">
        <v>51</v>
      </c>
    </row>
    <row r="22" spans="1:19" x14ac:dyDescent="0.25">
      <c r="A22" s="5" t="s">
        <v>33</v>
      </c>
      <c r="B22" t="s">
        <v>34</v>
      </c>
      <c r="C22" t="s">
        <v>35</v>
      </c>
      <c r="D22" t="s">
        <v>36</v>
      </c>
      <c r="E22" s="7" t="s">
        <v>37</v>
      </c>
      <c r="F22" s="2" t="s">
        <v>38</v>
      </c>
      <c r="G22" t="s">
        <v>39</v>
      </c>
      <c r="H22" t="s">
        <v>40</v>
      </c>
      <c r="I22" s="8" t="s">
        <v>41</v>
      </c>
      <c r="J22" s="2" t="s">
        <v>42</v>
      </c>
      <c r="K22" t="s">
        <v>43</v>
      </c>
      <c r="L22" t="s">
        <v>44</v>
      </c>
      <c r="M22" s="8" t="s">
        <v>45</v>
      </c>
      <c r="N22" s="2" t="s">
        <v>46</v>
      </c>
      <c r="O22" s="5" t="s">
        <v>47</v>
      </c>
      <c r="Q22" t="s">
        <v>63</v>
      </c>
      <c r="R22" t="s">
        <v>67</v>
      </c>
      <c r="S22" t="s">
        <v>68</v>
      </c>
    </row>
    <row r="23" spans="1:19" ht="18.75" x14ac:dyDescent="0.35">
      <c r="A23" s="2" t="s">
        <v>4</v>
      </c>
      <c r="B23" s="1" t="s">
        <v>6</v>
      </c>
      <c r="C23" s="1" t="s">
        <v>21</v>
      </c>
      <c r="D23" s="1" t="s">
        <v>18</v>
      </c>
      <c r="E23" s="7" t="s">
        <v>60</v>
      </c>
      <c r="F23" s="2" t="s">
        <v>0</v>
      </c>
      <c r="G23" s="1" t="s">
        <v>22</v>
      </c>
      <c r="H23" s="1" t="s">
        <v>18</v>
      </c>
      <c r="I23" s="8" t="s">
        <v>19</v>
      </c>
      <c r="J23" s="2" t="s">
        <v>1</v>
      </c>
      <c r="K23" s="2" t="s">
        <v>29</v>
      </c>
      <c r="L23" s="1" t="s">
        <v>18</v>
      </c>
      <c r="M23" s="8" t="s">
        <v>20</v>
      </c>
      <c r="N23" s="2" t="s">
        <v>2</v>
      </c>
      <c r="O23" s="2" t="s">
        <v>28</v>
      </c>
    </row>
    <row r="24" spans="1:19" x14ac:dyDescent="0.25">
      <c r="A24" s="3"/>
      <c r="B24" s="1"/>
      <c r="C24" s="10"/>
      <c r="D24" s="10"/>
      <c r="E24" s="7"/>
      <c r="F24" s="2" t="s">
        <v>49</v>
      </c>
      <c r="G24" s="15" t="s">
        <v>48</v>
      </c>
      <c r="H24" s="10"/>
      <c r="I24" s="8"/>
      <c r="J24" s="15" t="s">
        <v>48</v>
      </c>
      <c r="K24" s="16" t="s">
        <v>48</v>
      </c>
      <c r="L24" s="9"/>
      <c r="M24" s="8"/>
      <c r="N24" s="2" t="s">
        <v>48</v>
      </c>
      <c r="O24" s="5"/>
    </row>
    <row r="25" spans="1:19" x14ac:dyDescent="0.25">
      <c r="A25" s="17">
        <v>42592</v>
      </c>
      <c r="B25" s="18" t="s">
        <v>7</v>
      </c>
      <c r="C25" s="19">
        <v>18.111936309877471</v>
      </c>
      <c r="D25" s="19">
        <f>AVERAGE(C25,C29,C33)</f>
        <v>21.225600498891456</v>
      </c>
      <c r="E25" s="20">
        <f>(C25-D25)^2/3</f>
        <v>3.2316348939827058</v>
      </c>
      <c r="F25" s="21">
        <f>C25</f>
        <v>18.111936309877471</v>
      </c>
      <c r="G25" s="19">
        <v>4.605353900243645</v>
      </c>
      <c r="H25" s="19">
        <f>AVERAGE(S7:S9)</f>
        <v>4.5941678562040744</v>
      </c>
      <c r="I25" s="20">
        <f>(G25-H25)^2/3</f>
        <v>4.1709193751737463E-5</v>
      </c>
      <c r="J25" s="21">
        <v>4.605353900243645</v>
      </c>
      <c r="K25" s="21">
        <v>151.44999999999999</v>
      </c>
      <c r="L25" s="21">
        <f>AVERAGE(K25,K29,K33)</f>
        <v>179.349287</v>
      </c>
      <c r="M25" s="20">
        <f>E25</f>
        <v>3.2316348939827058</v>
      </c>
      <c r="N25" s="21">
        <f>K25</f>
        <v>151.44999999999999</v>
      </c>
      <c r="O25" s="22">
        <f>((E25/F25)^2+(I25/J25)^2+(M25/N25)^2)^0.5</f>
        <v>0.17969707531393805</v>
      </c>
    </row>
    <row r="26" spans="1:19" x14ac:dyDescent="0.25">
      <c r="A26" s="17">
        <v>42592</v>
      </c>
      <c r="B26" s="18" t="s">
        <v>8</v>
      </c>
      <c r="C26" s="19">
        <v>0.77526645020688278</v>
      </c>
      <c r="D26" s="19">
        <f>AVERAGE(C26,C30,C34)</f>
        <v>0.9992264006249284</v>
      </c>
      <c r="E26" s="20">
        <f t="shared" ref="E26:E35" si="2">(C26-D26)^2/3</f>
        <v>1.6719353130417818E-2</v>
      </c>
      <c r="F26" s="21">
        <f t="shared" ref="F26:F36" si="3">C26</f>
        <v>0.77526645020688278</v>
      </c>
      <c r="G26" s="19">
        <v>4.605353900243645</v>
      </c>
      <c r="H26" s="19">
        <v>4.5941678562040744</v>
      </c>
      <c r="I26" s="20">
        <f t="shared" ref="I26:I36" si="4">(G26-H26)^2/3</f>
        <v>4.1709193751737463E-5</v>
      </c>
      <c r="J26" s="21">
        <v>4.605353900243645</v>
      </c>
      <c r="K26" s="21">
        <v>137.706312</v>
      </c>
      <c r="L26" s="21">
        <f>AVERAGE(K26,K30,K34)</f>
        <v>168.771895</v>
      </c>
      <c r="M26" s="20">
        <f t="shared" ref="M26:M36" si="5">E26</f>
        <v>1.6719353130417818E-2</v>
      </c>
      <c r="N26" s="21">
        <f t="shared" ref="N26:N36" si="6">K26</f>
        <v>137.706312</v>
      </c>
      <c r="O26" s="22">
        <f t="shared" ref="O26:O34" si="7">((E26/F26)^2+(I26/J26)^2+(M26/N26)^2)^0.5</f>
        <v>2.1566288029424847E-2</v>
      </c>
    </row>
    <row r="27" spans="1:19" x14ac:dyDescent="0.25">
      <c r="A27" s="17">
        <v>42592</v>
      </c>
      <c r="B27" s="18" t="s">
        <v>7</v>
      </c>
      <c r="C27" s="19">
        <v>2.0750473988213387</v>
      </c>
      <c r="D27" s="19">
        <f t="shared" ref="D27:D28" si="8">AVERAGE(C27,C31,C35)</f>
        <v>1.7317128796536359</v>
      </c>
      <c r="E27" s="20">
        <f t="shared" si="2"/>
        <v>3.9292864017372572E-2</v>
      </c>
      <c r="F27" s="21">
        <f t="shared" si="3"/>
        <v>2.0750473988213387</v>
      </c>
      <c r="G27" s="19">
        <v>4.605353900243645</v>
      </c>
      <c r="H27" s="19">
        <v>4.5941678562040744</v>
      </c>
      <c r="I27" s="20">
        <f t="shared" si="4"/>
        <v>4.1709193751737463E-5</v>
      </c>
      <c r="J27" s="21">
        <v>4.605353900243645</v>
      </c>
      <c r="K27" s="21">
        <v>299.828078</v>
      </c>
      <c r="L27" s="21">
        <f t="shared" ref="L27:L28" si="9">AVERAGE(K27,K31,K35)</f>
        <v>116.437326</v>
      </c>
      <c r="M27" s="20">
        <f t="shared" si="5"/>
        <v>3.9292864017372572E-2</v>
      </c>
      <c r="N27" s="21">
        <f t="shared" si="6"/>
        <v>299.828078</v>
      </c>
      <c r="O27" s="23">
        <f>((E27/F27)^2+(I27/J27)^2+(M27/N27)^2+(E25/F25)^2+(I25/J25)^2+(M25/N25)^2)^0.5</f>
        <v>0.18069206946276195</v>
      </c>
    </row>
    <row r="28" spans="1:19" x14ac:dyDescent="0.25">
      <c r="A28" s="17">
        <v>42592</v>
      </c>
      <c r="B28" s="18" t="s">
        <v>8</v>
      </c>
      <c r="C28" s="19">
        <v>1.2033700445420004</v>
      </c>
      <c r="D28" s="19">
        <f t="shared" si="8"/>
        <v>0.58554817077411836</v>
      </c>
      <c r="E28" s="20">
        <f t="shared" si="2"/>
        <v>0.12723462256868559</v>
      </c>
      <c r="F28" s="21">
        <f t="shared" si="3"/>
        <v>1.2033700445420004</v>
      </c>
      <c r="G28" s="19">
        <v>4.605353900243645</v>
      </c>
      <c r="H28" s="19">
        <v>4.5941678562040744</v>
      </c>
      <c r="I28" s="20">
        <f t="shared" si="4"/>
        <v>4.1709193751737463E-5</v>
      </c>
      <c r="J28" s="21">
        <v>4.605353900243645</v>
      </c>
      <c r="K28" s="21">
        <v>272.23523299999999</v>
      </c>
      <c r="L28" s="21">
        <f t="shared" si="9"/>
        <v>117.54534433333333</v>
      </c>
      <c r="M28" s="20">
        <f t="shared" si="5"/>
        <v>0.12723462256868559</v>
      </c>
      <c r="N28" s="21">
        <f t="shared" si="6"/>
        <v>272.23523299999999</v>
      </c>
      <c r="O28" s="23">
        <f>((E28/F28)^2+(I28/J28)^2+(M28/N28)^2+(E26/F26)^2+(I26/J26)^2+(M26/N26)^2)^0.5</f>
        <v>0.10790997046938813</v>
      </c>
    </row>
    <row r="29" spans="1:19" x14ac:dyDescent="0.25">
      <c r="A29" s="17">
        <v>42592</v>
      </c>
      <c r="B29" s="18" t="s">
        <v>9</v>
      </c>
      <c r="C29" s="19">
        <v>17.530607901366565</v>
      </c>
      <c r="D29" s="19">
        <v>21.225600498891456</v>
      </c>
      <c r="E29" s="20">
        <f t="shared" si="2"/>
        <v>4.5509900985879135</v>
      </c>
      <c r="F29" s="21">
        <f t="shared" si="3"/>
        <v>17.530607901366565</v>
      </c>
      <c r="G29" s="19">
        <v>4.8560051683844661</v>
      </c>
      <c r="H29" s="19">
        <v>4.5941678562040744</v>
      </c>
      <c r="I29" s="20">
        <f t="shared" si="4"/>
        <v>2.2852926016617287E-2</v>
      </c>
      <c r="J29" s="21">
        <v>4.8560051683844661</v>
      </c>
      <c r="K29" s="21">
        <v>177.965408</v>
      </c>
      <c r="L29" s="21">
        <v>21.225600498891456</v>
      </c>
      <c r="M29" s="20">
        <f t="shared" si="5"/>
        <v>4.5509900985879135</v>
      </c>
      <c r="N29" s="21">
        <f t="shared" si="6"/>
        <v>177.965408</v>
      </c>
      <c r="O29" s="22">
        <f t="shared" si="7"/>
        <v>0.26090144353295741</v>
      </c>
    </row>
    <row r="30" spans="1:19" x14ac:dyDescent="0.25">
      <c r="A30" s="17">
        <v>42592</v>
      </c>
      <c r="B30" s="18" t="s">
        <v>10</v>
      </c>
      <c r="C30" s="19">
        <v>0.82335408188697046</v>
      </c>
      <c r="D30" s="19">
        <v>0.9992264006249284</v>
      </c>
      <c r="E30" s="20">
        <f t="shared" si="2"/>
        <v>1.0310357499421958E-2</v>
      </c>
      <c r="F30" s="21">
        <f t="shared" si="3"/>
        <v>0.82335408188697046</v>
      </c>
      <c r="G30" s="19">
        <v>4.8560051683844661</v>
      </c>
      <c r="H30" s="19">
        <v>4.5941678562040744</v>
      </c>
      <c r="I30" s="20">
        <f t="shared" si="4"/>
        <v>2.2852926016617287E-2</v>
      </c>
      <c r="J30" s="21">
        <v>4.8560051683844661</v>
      </c>
      <c r="K30" s="21">
        <v>155.96725000000001</v>
      </c>
      <c r="L30" s="21">
        <v>0.9992264006249284</v>
      </c>
      <c r="M30" s="20">
        <f t="shared" si="5"/>
        <v>1.0310357499421958E-2</v>
      </c>
      <c r="N30" s="21">
        <f t="shared" si="6"/>
        <v>155.96725000000001</v>
      </c>
      <c r="O30" s="22">
        <f t="shared" si="7"/>
        <v>1.3377669814447097E-2</v>
      </c>
    </row>
    <row r="31" spans="1:19" x14ac:dyDescent="0.25">
      <c r="A31" s="17">
        <v>42594</v>
      </c>
      <c r="B31" s="18" t="s">
        <v>9</v>
      </c>
      <c r="C31" s="19">
        <v>2.5216139060599558</v>
      </c>
      <c r="D31" s="19">
        <v>1.7317128796536359</v>
      </c>
      <c r="E31" s="20">
        <f t="shared" si="2"/>
        <v>0.20798121050591925</v>
      </c>
      <c r="F31" s="21">
        <f t="shared" si="3"/>
        <v>2.5216139060599558</v>
      </c>
      <c r="G31" s="19">
        <v>4.8560051683844661</v>
      </c>
      <c r="H31" s="19">
        <v>4.5941678562040744</v>
      </c>
      <c r="I31" s="20">
        <f t="shared" si="4"/>
        <v>2.2852926016617287E-2</v>
      </c>
      <c r="J31" s="21">
        <v>4.8560051683844661</v>
      </c>
      <c r="K31" s="21">
        <v>35.127065999999999</v>
      </c>
      <c r="L31" s="21">
        <v>1.7317128796536359</v>
      </c>
      <c r="M31" s="20">
        <f t="shared" si="5"/>
        <v>0.20798121050591925</v>
      </c>
      <c r="N31" s="21">
        <f t="shared" si="6"/>
        <v>35.127065999999999</v>
      </c>
      <c r="O31" s="23">
        <f>((E31/F31)^2+(I31/J31)^2+(M31/N31)^2+(E29/F29)^2+(I29/J29)^2+(M29/N29)^2)^0.5</f>
        <v>0.27373275090728832</v>
      </c>
    </row>
    <row r="32" spans="1:19" x14ac:dyDescent="0.25">
      <c r="A32" s="17">
        <v>42594</v>
      </c>
      <c r="B32" s="18" t="s">
        <v>10</v>
      </c>
      <c r="C32" s="19">
        <v>0.54003301294403705</v>
      </c>
      <c r="D32" s="19">
        <v>0.58554817077411836</v>
      </c>
      <c r="E32" s="20">
        <f t="shared" si="2"/>
        <v>6.9054319743240393E-4</v>
      </c>
      <c r="F32" s="21">
        <f t="shared" si="3"/>
        <v>0.54003301294403705</v>
      </c>
      <c r="G32" s="19">
        <v>4.8560051683844661</v>
      </c>
      <c r="H32" s="19">
        <v>4.5941678562040744</v>
      </c>
      <c r="I32" s="20">
        <f t="shared" si="4"/>
        <v>2.2852926016617287E-2</v>
      </c>
      <c r="J32" s="21">
        <v>4.8560051683844661</v>
      </c>
      <c r="K32" s="21">
        <v>76.922948000000005</v>
      </c>
      <c r="L32" s="21">
        <v>0.58554817077411836</v>
      </c>
      <c r="M32" s="20">
        <f t="shared" si="5"/>
        <v>6.9054319743240393E-4</v>
      </c>
      <c r="N32" s="21">
        <f t="shared" si="6"/>
        <v>76.922948000000005</v>
      </c>
      <c r="O32" s="23">
        <f>((E32/F32)^2+(I32/J32)^2+(M32/N32)^2+(E30/F30)^2+(I30/J30)^2+(M30/N30)^2)^0.5</f>
        <v>1.4238846530707823E-2</v>
      </c>
    </row>
    <row r="33" spans="1:18" x14ac:dyDescent="0.25">
      <c r="A33" s="17">
        <v>42594</v>
      </c>
      <c r="B33" s="18" t="s">
        <v>11</v>
      </c>
      <c r="C33" s="19">
        <v>28.034257285430332</v>
      </c>
      <c r="D33" s="19">
        <v>21.225600498891456</v>
      </c>
      <c r="E33" s="20">
        <f t="shared" si="2"/>
        <v>15.452602412293963</v>
      </c>
      <c r="F33" s="21">
        <f t="shared" si="3"/>
        <v>28.034257285430332</v>
      </c>
      <c r="G33" s="19">
        <v>4.321144499984114</v>
      </c>
      <c r="H33" s="19">
        <v>4.5941678562040744</v>
      </c>
      <c r="I33" s="20">
        <f t="shared" si="4"/>
        <v>2.4847251013870471E-2</v>
      </c>
      <c r="J33" s="21">
        <v>4.321144499984114</v>
      </c>
      <c r="K33" s="21">
        <v>208.632453</v>
      </c>
      <c r="L33" s="21">
        <v>21.225600498891456</v>
      </c>
      <c r="M33" s="20">
        <f t="shared" si="5"/>
        <v>15.452602412293963</v>
      </c>
      <c r="N33" s="21">
        <f t="shared" si="6"/>
        <v>208.632453</v>
      </c>
      <c r="O33" s="22">
        <f t="shared" si="7"/>
        <v>0.55618792648881099</v>
      </c>
    </row>
    <row r="34" spans="1:18" x14ac:dyDescent="0.25">
      <c r="A34" s="17">
        <v>42594</v>
      </c>
      <c r="B34" s="18" t="s">
        <v>12</v>
      </c>
      <c r="C34" s="19">
        <v>1.3990586697809317</v>
      </c>
      <c r="D34" s="19">
        <v>0.9992264006249284</v>
      </c>
      <c r="E34" s="20">
        <f t="shared" si="2"/>
        <v>5.3288614486146239E-2</v>
      </c>
      <c r="F34" s="21">
        <f t="shared" si="3"/>
        <v>1.3990586697809317</v>
      </c>
      <c r="G34" s="19">
        <v>4.321144499984114</v>
      </c>
      <c r="H34" s="19">
        <v>4.5941678562040744</v>
      </c>
      <c r="I34" s="20">
        <f t="shared" si="4"/>
        <v>2.4847251013870471E-2</v>
      </c>
      <c r="J34" s="21">
        <v>4.321144499984114</v>
      </c>
      <c r="K34" s="21">
        <v>212.642123</v>
      </c>
      <c r="L34" s="21">
        <v>0.9992264006249284</v>
      </c>
      <c r="M34" s="20">
        <f t="shared" si="5"/>
        <v>5.3288614486146239E-2</v>
      </c>
      <c r="N34" s="21">
        <f t="shared" si="6"/>
        <v>212.642123</v>
      </c>
      <c r="O34" s="22">
        <f t="shared" si="7"/>
        <v>3.8521316994101266E-2</v>
      </c>
    </row>
    <row r="35" spans="1:18" x14ac:dyDescent="0.25">
      <c r="A35" s="17">
        <v>42594</v>
      </c>
      <c r="B35" s="18" t="s">
        <v>11</v>
      </c>
      <c r="C35" s="19">
        <v>0.59847733407961257</v>
      </c>
      <c r="D35" s="19">
        <v>1.7317128796536359</v>
      </c>
      <c r="E35" s="20">
        <f t="shared" si="2"/>
        <v>0.42807426725081804</v>
      </c>
      <c r="F35" s="21">
        <f t="shared" si="3"/>
        <v>0.59847733407961257</v>
      </c>
      <c r="G35" s="19">
        <v>4.321144499984114</v>
      </c>
      <c r="H35" s="19">
        <v>4.5941678562040744</v>
      </c>
      <c r="I35" s="20">
        <f t="shared" si="4"/>
        <v>2.4847251013870471E-2</v>
      </c>
      <c r="J35" s="21">
        <v>4.321144499984114</v>
      </c>
      <c r="K35" s="21">
        <v>14.356833999999999</v>
      </c>
      <c r="L35" s="21">
        <v>1.7317128796536359</v>
      </c>
      <c r="M35" s="20">
        <f t="shared" si="5"/>
        <v>0.42807426725081804</v>
      </c>
      <c r="N35" s="21">
        <f t="shared" si="6"/>
        <v>14.356833999999999</v>
      </c>
      <c r="O35" s="23">
        <f>((E35/F35)^2+(I35/J35)^2+(M35/N35)^2+(E33/F33)^2+(I33/J33)^2+(M33/N33)^2)^0.5</f>
        <v>0.90657685569897073</v>
      </c>
    </row>
    <row r="36" spans="1:18" x14ac:dyDescent="0.25">
      <c r="A36" s="17">
        <v>42594</v>
      </c>
      <c r="B36" s="18" t="s">
        <v>12</v>
      </c>
      <c r="C36" s="19">
        <v>1.3241454836317574E-2</v>
      </c>
      <c r="D36" s="19">
        <v>0.58554817077411836</v>
      </c>
      <c r="E36" s="20">
        <f>(C36-D36)^2/3</f>
        <v>0.10917832570250353</v>
      </c>
      <c r="F36" s="21">
        <f t="shared" si="3"/>
        <v>1.3241454836317574E-2</v>
      </c>
      <c r="G36" s="19">
        <v>4.321144499984114</v>
      </c>
      <c r="H36" s="19">
        <v>4.5941678562040744</v>
      </c>
      <c r="I36" s="20">
        <f t="shared" si="4"/>
        <v>2.4847251013870471E-2</v>
      </c>
      <c r="J36" s="21">
        <v>4.321144499984114</v>
      </c>
      <c r="K36" s="21">
        <v>3.4778519999999999</v>
      </c>
      <c r="L36" s="21">
        <v>0.58554817077411836</v>
      </c>
      <c r="M36" s="20">
        <f t="shared" si="5"/>
        <v>0.10917832570250353</v>
      </c>
      <c r="N36" s="21">
        <f t="shared" si="6"/>
        <v>3.4778519999999999</v>
      </c>
      <c r="O36" s="23">
        <f>((E36/F36)^2+(I36/J36)^2+(M36/N36)^2+(E34/F34)^2+(I34/J34)^2+(M34/N34)^2)^0.5</f>
        <v>8.2453428604465824</v>
      </c>
    </row>
    <row r="38" spans="1:18" ht="19.5" thickBot="1" x14ac:dyDescent="0.4">
      <c r="A38" s="14" t="s">
        <v>50</v>
      </c>
      <c r="Q38" s="50"/>
      <c r="R38" s="50"/>
    </row>
    <row r="39" spans="1:18" ht="18.75" x14ac:dyDescent="0.35">
      <c r="A39" s="24" t="s">
        <v>4</v>
      </c>
      <c r="B39" s="25" t="s">
        <v>6</v>
      </c>
      <c r="C39" s="25" t="s">
        <v>21</v>
      </c>
      <c r="D39" s="25" t="s">
        <v>18</v>
      </c>
      <c r="E39" s="49" t="s">
        <v>62</v>
      </c>
      <c r="F39" s="24" t="s">
        <v>0</v>
      </c>
      <c r="G39" s="25" t="s">
        <v>22</v>
      </c>
      <c r="H39" s="25" t="s">
        <v>18</v>
      </c>
      <c r="I39" s="26" t="s">
        <v>19</v>
      </c>
      <c r="J39" s="24" t="s">
        <v>1</v>
      </c>
      <c r="K39" s="24" t="s">
        <v>29</v>
      </c>
      <c r="L39" s="25" t="s">
        <v>18</v>
      </c>
      <c r="M39" s="26" t="s">
        <v>20</v>
      </c>
      <c r="N39" s="24" t="s">
        <v>2</v>
      </c>
      <c r="O39" s="24" t="s">
        <v>28</v>
      </c>
      <c r="Q39" s="57" t="s">
        <v>63</v>
      </c>
      <c r="R39" s="52"/>
    </row>
    <row r="40" spans="1:18" x14ac:dyDescent="0.25">
      <c r="A40" s="27"/>
      <c r="B40" s="28"/>
      <c r="C40" s="29"/>
      <c r="D40" s="29"/>
      <c r="E40" s="30"/>
      <c r="F40" s="31" t="s">
        <v>49</v>
      </c>
      <c r="G40" s="32" t="s">
        <v>48</v>
      </c>
      <c r="H40" s="29"/>
      <c r="I40" s="33"/>
      <c r="J40" s="32" t="s">
        <v>48</v>
      </c>
      <c r="K40" s="34" t="s">
        <v>48</v>
      </c>
      <c r="L40" s="35"/>
      <c r="M40" s="33"/>
      <c r="N40" s="31" t="s">
        <v>48</v>
      </c>
      <c r="O40" s="36"/>
      <c r="Q40" s="53"/>
      <c r="R40" s="54"/>
    </row>
    <row r="41" spans="1:18" x14ac:dyDescent="0.25">
      <c r="A41" s="37">
        <v>42800</v>
      </c>
      <c r="B41" s="38" t="s">
        <v>7</v>
      </c>
      <c r="C41" s="39">
        <v>8.2072629999999994E-2</v>
      </c>
      <c r="D41" s="39">
        <f>AVERAGE($C$41,$C$42,$C$45,$C$46,$C$49,$C$50)</f>
        <v>8.5207541666666678E-2</v>
      </c>
      <c r="E41" s="40">
        <f>2*$Q$41</f>
        <v>3.8963828406538115E-2</v>
      </c>
      <c r="F41" s="41"/>
      <c r="G41" s="39"/>
      <c r="H41" s="39"/>
      <c r="I41" s="40"/>
      <c r="J41" s="41"/>
      <c r="K41" s="41"/>
      <c r="L41" s="41"/>
      <c r="M41" s="40"/>
      <c r="N41" s="41"/>
      <c r="O41" s="42"/>
      <c r="Q41" s="53">
        <f>(((C41-D41)^2+(C42-D42)^2+(C45-D45)^2+(C46-D46)^2+(C49-D49)^2+(C50-D50)^2)/5)^0.5</f>
        <v>1.9481914203269057E-2</v>
      </c>
      <c r="R41" s="54" t="s">
        <v>64</v>
      </c>
    </row>
    <row r="42" spans="1:18" x14ac:dyDescent="0.25">
      <c r="A42" s="17">
        <v>42800</v>
      </c>
      <c r="B42" s="18" t="s">
        <v>7</v>
      </c>
      <c r="C42" s="19">
        <v>8.2284830000000003E-2</v>
      </c>
      <c r="D42" s="19">
        <f>AVERAGE($C$41,$C$42,$C$45,$C$46,$C$49,$C$50)</f>
        <v>8.5207541666666678E-2</v>
      </c>
      <c r="E42" s="20">
        <v>3.8963828406538115E-2</v>
      </c>
      <c r="F42" s="21"/>
      <c r="G42" s="19"/>
      <c r="H42" s="19"/>
      <c r="I42" s="20"/>
      <c r="J42" s="21"/>
      <c r="K42" s="21"/>
      <c r="L42" s="21"/>
      <c r="M42" s="20"/>
      <c r="N42" s="21"/>
      <c r="O42" s="22"/>
      <c r="Q42" s="53"/>
      <c r="R42" s="54"/>
    </row>
    <row r="43" spans="1:18" ht="15.75" thickBot="1" x14ac:dyDescent="0.3">
      <c r="A43" s="37">
        <v>42800</v>
      </c>
      <c r="B43" s="38" t="s">
        <v>8</v>
      </c>
      <c r="C43" s="39">
        <v>8.8840639999999998E-2</v>
      </c>
      <c r="D43" s="39">
        <f>AVERAGE($C$43,$C$44,$C$47,$C$48,$C$51,$C$52)</f>
        <v>0.103801745</v>
      </c>
      <c r="E43" s="40">
        <f>2*Q43</f>
        <v>5.9079542939641287E-2</v>
      </c>
      <c r="F43" s="41"/>
      <c r="G43" s="39"/>
      <c r="H43" s="39"/>
      <c r="I43" s="40"/>
      <c r="J43" s="41"/>
      <c r="K43" s="41"/>
      <c r="L43" s="41"/>
      <c r="M43" s="40"/>
      <c r="N43" s="41"/>
      <c r="O43" s="43"/>
      <c r="Q43" s="55">
        <f>(((C43-D43)^2+(C44-D44)^2+(C47-D47)^2+(C48-D48)^2+(C51-D51)^2+(C52-D52)^2)/5)^0.5</f>
        <v>2.9539771469820644E-2</v>
      </c>
      <c r="R43" s="56" t="s">
        <v>65</v>
      </c>
    </row>
    <row r="44" spans="1:18" x14ac:dyDescent="0.25">
      <c r="A44" s="17">
        <v>42800</v>
      </c>
      <c r="B44" s="18" t="s">
        <v>8</v>
      </c>
      <c r="C44" s="19">
        <v>8.4645780000000004E-2</v>
      </c>
      <c r="D44" s="19">
        <f>AVERAGE($C$43,$C$44,$C$47,$C$48,$C$51,$C$52)</f>
        <v>0.103801745</v>
      </c>
      <c r="E44" s="20">
        <v>5.9079542939641287E-2</v>
      </c>
      <c r="F44" s="21"/>
      <c r="G44" s="19"/>
      <c r="H44" s="19"/>
      <c r="I44" s="20"/>
      <c r="J44" s="21"/>
      <c r="K44" s="21"/>
      <c r="L44" s="21"/>
      <c r="M44" s="20"/>
      <c r="N44" s="21"/>
      <c r="O44" s="23"/>
    </row>
    <row r="45" spans="1:18" x14ac:dyDescent="0.25">
      <c r="A45" s="37">
        <v>42800</v>
      </c>
      <c r="B45" s="38" t="s">
        <v>9</v>
      </c>
      <c r="C45" s="39">
        <v>7.3615650000000005E-2</v>
      </c>
      <c r="D45" s="39">
        <f>AVERAGE($C$41,$C$42,$C$45,$C$46,$C$49,$C$50)</f>
        <v>8.5207541666666678E-2</v>
      </c>
      <c r="E45" s="40">
        <v>3.8963828406538115E-2</v>
      </c>
      <c r="F45" s="41"/>
      <c r="G45" s="39"/>
      <c r="H45" s="39"/>
      <c r="I45" s="40"/>
      <c r="J45" s="41"/>
      <c r="K45" s="41"/>
      <c r="L45" s="41"/>
      <c r="M45" s="40"/>
      <c r="N45" s="41"/>
      <c r="O45" s="42"/>
    </row>
    <row r="46" spans="1:18" x14ac:dyDescent="0.25">
      <c r="A46" s="17">
        <v>42800</v>
      </c>
      <c r="B46" s="18" t="s">
        <v>9</v>
      </c>
      <c r="C46" s="19">
        <v>6.0410039999999998E-2</v>
      </c>
      <c r="D46" s="19">
        <f>AVERAGE($C$41,$C$42,$C$45,$C$46,$C$49,$C$50)</f>
        <v>8.5207541666666678E-2</v>
      </c>
      <c r="E46" s="20">
        <v>3.8963828406538115E-2</v>
      </c>
      <c r="F46" s="21"/>
      <c r="G46" s="19"/>
      <c r="H46" s="19"/>
      <c r="I46" s="20"/>
      <c r="J46" s="21"/>
      <c r="K46" s="21"/>
      <c r="L46" s="21"/>
      <c r="M46" s="20"/>
      <c r="N46" s="21"/>
      <c r="O46" s="22"/>
    </row>
    <row r="47" spans="1:18" x14ac:dyDescent="0.25">
      <c r="A47" s="37">
        <v>42800</v>
      </c>
      <c r="B47" s="38" t="s">
        <v>10</v>
      </c>
      <c r="C47" s="39">
        <v>8.2638669999999997E-2</v>
      </c>
      <c r="D47" s="39">
        <f>AVERAGE($C$43,$C$44,$C$47,$C$48,$C$51,$C$52)</f>
        <v>0.103801745</v>
      </c>
      <c r="E47" s="40">
        <v>5.9079542939641287E-2</v>
      </c>
      <c r="F47" s="41"/>
      <c r="G47" s="39"/>
      <c r="H47" s="39"/>
      <c r="I47" s="40"/>
      <c r="J47" s="41"/>
      <c r="K47" s="41"/>
      <c r="L47" s="41"/>
      <c r="M47" s="40"/>
      <c r="N47" s="41"/>
      <c r="O47" s="43"/>
    </row>
    <row r="48" spans="1:18" x14ac:dyDescent="0.25">
      <c r="A48" s="17">
        <v>42800</v>
      </c>
      <c r="B48" s="18" t="s">
        <v>10</v>
      </c>
      <c r="C48" s="19">
        <v>8.313885E-2</v>
      </c>
      <c r="D48" s="19">
        <f>AVERAGE($C$43,$C$44,$C$47,$C$48,$C$51,$C$52)</f>
        <v>0.103801745</v>
      </c>
      <c r="E48" s="20">
        <v>5.9079542939641287E-2</v>
      </c>
      <c r="F48" s="21"/>
      <c r="G48" s="19"/>
      <c r="H48" s="19"/>
      <c r="I48" s="20"/>
      <c r="J48" s="21"/>
      <c r="K48" s="21"/>
      <c r="L48" s="21"/>
      <c r="M48" s="20"/>
      <c r="N48" s="21"/>
      <c r="O48" s="23"/>
    </row>
    <row r="49" spans="1:15" x14ac:dyDescent="0.25">
      <c r="A49" s="37">
        <v>42800</v>
      </c>
      <c r="B49" s="38" t="s">
        <v>11</v>
      </c>
      <c r="C49" s="39">
        <v>0.11713601</v>
      </c>
      <c r="D49" s="39">
        <f>AVERAGE($C$41,$C$42,$C$45,$C$46,$C$49,$C$50)</f>
        <v>8.5207541666666678E-2</v>
      </c>
      <c r="E49" s="40">
        <v>3.8963828406538115E-2</v>
      </c>
      <c r="F49" s="41"/>
      <c r="G49" s="39"/>
      <c r="H49" s="39"/>
      <c r="I49" s="40"/>
      <c r="J49" s="41"/>
      <c r="K49" s="41"/>
      <c r="L49" s="41"/>
      <c r="M49" s="40"/>
      <c r="N49" s="41"/>
      <c r="O49" s="42"/>
    </row>
    <row r="50" spans="1:15" x14ac:dyDescent="0.25">
      <c r="A50" s="17">
        <v>42800</v>
      </c>
      <c r="B50" s="18" t="s">
        <v>11</v>
      </c>
      <c r="C50" s="19">
        <v>9.572609E-2</v>
      </c>
      <c r="D50" s="19">
        <f>AVERAGE($C$41,$C$42,$C$45,$C$46,$C$49,$C$50)</f>
        <v>8.5207541666666678E-2</v>
      </c>
      <c r="E50" s="20">
        <v>3.8963828406538115E-2</v>
      </c>
      <c r="F50" s="21"/>
      <c r="G50" s="19"/>
      <c r="H50" s="19"/>
      <c r="I50" s="20"/>
      <c r="J50" s="21"/>
      <c r="K50" s="21"/>
      <c r="L50" s="21"/>
      <c r="M50" s="20"/>
      <c r="N50" s="21"/>
      <c r="O50" s="22"/>
    </row>
    <row r="51" spans="1:15" x14ac:dyDescent="0.25">
      <c r="A51" s="37">
        <v>42800</v>
      </c>
      <c r="B51" s="38" t="s">
        <v>12</v>
      </c>
      <c r="C51" s="39">
        <v>0.1391559</v>
      </c>
      <c r="D51" s="39">
        <f>AVERAGE($C$43,$C$44,$C$47,$C$48,$C$51,$C$52)</f>
        <v>0.103801745</v>
      </c>
      <c r="E51" s="40">
        <v>5.9079542939641287E-2</v>
      </c>
      <c r="F51" s="41"/>
      <c r="G51" s="39"/>
      <c r="H51" s="39"/>
      <c r="I51" s="40"/>
      <c r="J51" s="41"/>
      <c r="K51" s="41"/>
      <c r="L51" s="41"/>
      <c r="M51" s="40"/>
      <c r="N51" s="41"/>
      <c r="O51" s="43"/>
    </row>
    <row r="52" spans="1:15" x14ac:dyDescent="0.25">
      <c r="A52" s="17">
        <v>42800</v>
      </c>
      <c r="B52" s="18" t="s">
        <v>12</v>
      </c>
      <c r="C52" s="44">
        <v>0.14439062999999999</v>
      </c>
      <c r="D52" s="44">
        <f>AVERAGE($C$43,$C$44,$C$47,$C$48,$C$51,$C$52)</f>
        <v>0.103801745</v>
      </c>
      <c r="E52" s="45">
        <v>5.9079542939641287E-2</v>
      </c>
      <c r="F52" s="46"/>
      <c r="G52" s="44"/>
      <c r="H52" s="44"/>
      <c r="I52" s="45"/>
      <c r="J52" s="46"/>
      <c r="K52" s="46"/>
      <c r="L52" s="46"/>
      <c r="M52" s="45"/>
      <c r="N52" s="46"/>
      <c r="O52" s="47"/>
    </row>
    <row r="53" spans="1:15" ht="15.75" thickBot="1" x14ac:dyDescent="0.3"/>
    <row r="54" spans="1:15" ht="15.75" thickBot="1" x14ac:dyDescent="0.3">
      <c r="A54" s="58" t="s">
        <v>61</v>
      </c>
      <c r="B54" t="s">
        <v>66</v>
      </c>
      <c r="G54" s="5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>
              <from>
                <xdr:col>10</xdr:col>
                <xdr:colOff>190500</xdr:colOff>
                <xdr:row>17</xdr:row>
                <xdr:rowOff>38100</xdr:rowOff>
              </from>
              <to>
                <xdr:col>12</xdr:col>
                <xdr:colOff>152400</xdr:colOff>
                <xdr:row>19</xdr:row>
                <xdr:rowOff>123825</xdr:rowOff>
              </to>
            </anchor>
          </objectPr>
        </oleObject>
      </mc:Choice>
      <mc:Fallback>
        <oleObject progId="Word.Document.12" shapeId="3073" r:id="rId4"/>
      </mc:Fallback>
    </mc:AlternateContent>
  </oleObject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H2" sqref="H2"/>
    </sheetView>
  </sheetViews>
  <sheetFormatPr defaultRowHeight="15" x14ac:dyDescent="0.25"/>
  <cols>
    <col min="1" max="1" width="10.7109375" bestFit="1" customWidth="1"/>
    <col min="8" max="8" width="19" bestFit="1" customWidth="1"/>
    <col min="11" max="11" width="10.28515625" bestFit="1" customWidth="1"/>
  </cols>
  <sheetData>
    <row r="1" spans="1:15" x14ac:dyDescent="0.25">
      <c r="A1" t="s">
        <v>4</v>
      </c>
      <c r="B1" s="1" t="s">
        <v>53</v>
      </c>
      <c r="C1" s="1" t="s">
        <v>54</v>
      </c>
      <c r="D1" s="1" t="s">
        <v>52</v>
      </c>
      <c r="E1" s="1" t="s">
        <v>1</v>
      </c>
      <c r="F1" s="1" t="s">
        <v>55</v>
      </c>
      <c r="G1" s="1" t="s">
        <v>56</v>
      </c>
      <c r="H1" s="1" t="s">
        <v>70</v>
      </c>
      <c r="I1" s="1" t="s">
        <v>70</v>
      </c>
      <c r="J1" s="1" t="s">
        <v>71</v>
      </c>
      <c r="K1" s="1" t="s">
        <v>71</v>
      </c>
      <c r="M1" t="s">
        <v>69</v>
      </c>
      <c r="N1" s="59">
        <v>3.6765000000000001E-3</v>
      </c>
    </row>
    <row r="2" spans="1:15" x14ac:dyDescent="0.25">
      <c r="A2" s="3">
        <v>42800</v>
      </c>
      <c r="B2" s="1" t="s">
        <v>57</v>
      </c>
      <c r="C2" s="1" t="s">
        <v>26</v>
      </c>
      <c r="D2" s="59">
        <f>O5</f>
        <v>9.7496090055366675</v>
      </c>
      <c r="E2" s="48">
        <v>461.41234200000002</v>
      </c>
      <c r="F2" s="48">
        <v>724.17</v>
      </c>
      <c r="G2" s="48">
        <v>726.05</v>
      </c>
      <c r="H2">
        <f>((F2*$N$1+$N$1)/1000)*$E$2</f>
        <v>1.2301656796589868</v>
      </c>
      <c r="I2">
        <f t="shared" ref="I2:I7" si="0">((G2*$N$1+$N$1)/1000)*E2</f>
        <v>1.2333548787126694</v>
      </c>
      <c r="J2">
        <f>H2/$D2*100</f>
        <v>12.61758988448042</v>
      </c>
      <c r="K2">
        <f>I2/$D2*100</f>
        <v>12.650300930142574</v>
      </c>
    </row>
    <row r="3" spans="1:15" x14ac:dyDescent="0.25">
      <c r="A3" s="3">
        <v>42800</v>
      </c>
      <c r="B3" s="1" t="s">
        <v>58</v>
      </c>
      <c r="C3" s="1" t="s">
        <v>26</v>
      </c>
      <c r="D3" s="59">
        <f t="shared" ref="D3:D4" si="1">O6</f>
        <v>10.228056083320132</v>
      </c>
      <c r="E3" s="48">
        <v>429.78084799999999</v>
      </c>
      <c r="F3" s="48">
        <v>697.25</v>
      </c>
      <c r="G3" s="48">
        <v>571.73</v>
      </c>
      <c r="H3">
        <f>((F3*$N$1+$N$1)/1000)*E3</f>
        <v>1.1032973451169741</v>
      </c>
      <c r="I3">
        <f t="shared" si="0"/>
        <v>0.90496453772838459</v>
      </c>
      <c r="J3">
        <f t="shared" ref="J3:J7" si="2">H3/$D3*100</f>
        <v>10.786970037407464</v>
      </c>
      <c r="K3">
        <f t="shared" ref="K3:K7" si="3">I3/$D3*100</f>
        <v>8.8478644461502007</v>
      </c>
    </row>
    <row r="4" spans="1:15" x14ac:dyDescent="0.25">
      <c r="A4" s="3">
        <v>42800</v>
      </c>
      <c r="B4" s="1" t="s">
        <v>59</v>
      </c>
      <c r="C4" s="1" t="s">
        <v>26</v>
      </c>
      <c r="D4" s="59">
        <f t="shared" si="1"/>
        <v>9.0807126274997447</v>
      </c>
      <c r="E4" s="48">
        <v>676.65921500000002</v>
      </c>
      <c r="F4" s="48">
        <v>704.7</v>
      </c>
      <c r="G4" s="48">
        <v>575.44000000000005</v>
      </c>
      <c r="H4">
        <f>((F4*$N$1+$N$1)/1000)*E4</f>
        <v>1.7555964271057509</v>
      </c>
      <c r="I4">
        <f t="shared" si="0"/>
        <v>1.4340314644194974</v>
      </c>
      <c r="J4">
        <f t="shared" si="2"/>
        <v>19.333245078025683</v>
      </c>
      <c r="K4">
        <f t="shared" si="3"/>
        <v>15.792058654920115</v>
      </c>
      <c r="N4" t="s">
        <v>72</v>
      </c>
      <c r="O4" t="s">
        <v>73</v>
      </c>
    </row>
    <row r="5" spans="1:15" x14ac:dyDescent="0.25">
      <c r="A5" s="3">
        <v>42800</v>
      </c>
      <c r="B5" s="1" t="s">
        <v>57</v>
      </c>
      <c r="C5" s="1" t="s">
        <v>27</v>
      </c>
      <c r="D5" s="59">
        <v>9.7496090055366675</v>
      </c>
      <c r="E5" s="48">
        <v>461.41234200000002</v>
      </c>
      <c r="F5" s="48">
        <v>782.57</v>
      </c>
      <c r="G5" s="48">
        <v>745.47</v>
      </c>
      <c r="H5">
        <f>((F5*$N$1+$N$1)/1000)*E5</f>
        <v>1.3292344162201861</v>
      </c>
      <c r="I5">
        <f t="shared" si="0"/>
        <v>1.2662986263842186</v>
      </c>
      <c r="J5">
        <f t="shared" si="2"/>
        <v>13.63372023909197</v>
      </c>
      <c r="K5">
        <f t="shared" si="3"/>
        <v>12.988199072035661</v>
      </c>
      <c r="M5" t="s">
        <v>57</v>
      </c>
      <c r="N5" s="50">
        <v>1.9499218011073335E-2</v>
      </c>
      <c r="O5">
        <f>N5*1000/2</f>
        <v>9.7496090055366675</v>
      </c>
    </row>
    <row r="6" spans="1:15" x14ac:dyDescent="0.25">
      <c r="A6" s="3">
        <v>42800</v>
      </c>
      <c r="B6" s="1" t="s">
        <v>58</v>
      </c>
      <c r="C6" s="1" t="s">
        <v>27</v>
      </c>
      <c r="D6" s="59">
        <v>10.228056083320132</v>
      </c>
      <c r="E6" s="48">
        <v>429.78084799999999</v>
      </c>
      <c r="F6" s="48">
        <v>781.51</v>
      </c>
      <c r="G6" s="48">
        <v>786.26</v>
      </c>
      <c r="H6">
        <f>((F6*$N$1+$N$1)/1000)*E6</f>
        <v>1.2364356684962168</v>
      </c>
      <c r="I6">
        <f t="shared" si="0"/>
        <v>1.2439410926126588</v>
      </c>
      <c r="J6">
        <f t="shared" si="2"/>
        <v>12.088667273858524</v>
      </c>
      <c r="K6">
        <f t="shared" si="3"/>
        <v>12.162048022412318</v>
      </c>
      <c r="M6" t="s">
        <v>58</v>
      </c>
      <c r="N6">
        <v>2.0456112166640263E-2</v>
      </c>
      <c r="O6">
        <f t="shared" ref="O6:O7" si="4">N6*1000/2</f>
        <v>10.228056083320132</v>
      </c>
    </row>
    <row r="7" spans="1:15" x14ac:dyDescent="0.25">
      <c r="A7" s="3">
        <v>42800</v>
      </c>
      <c r="B7" s="1" t="s">
        <v>59</v>
      </c>
      <c r="C7" s="1" t="s">
        <v>27</v>
      </c>
      <c r="D7" s="59">
        <v>9.0807126274997447</v>
      </c>
      <c r="E7" s="48">
        <v>676.65921500000002</v>
      </c>
      <c r="F7" s="48">
        <v>836.09</v>
      </c>
      <c r="G7" s="48">
        <v>867.68</v>
      </c>
      <c r="H7">
        <f>((F7*$N$1+$N$1)/1000)*E7</f>
        <v>2.0824602708884128</v>
      </c>
      <c r="I7">
        <f t="shared" si="0"/>
        <v>2.1610479017971143</v>
      </c>
      <c r="J7">
        <f t="shared" si="2"/>
        <v>22.932784642715767</v>
      </c>
      <c r="K7">
        <f t="shared" si="3"/>
        <v>23.798219263680526</v>
      </c>
      <c r="M7" t="s">
        <v>59</v>
      </c>
      <c r="N7">
        <v>1.8161425254999489E-2</v>
      </c>
      <c r="O7">
        <f t="shared" si="4"/>
        <v>9.0807126274997447</v>
      </c>
    </row>
    <row r="8" spans="1:15" x14ac:dyDescent="0.25">
      <c r="A8" s="3">
        <v>42807</v>
      </c>
      <c r="B8" s="1" t="s">
        <v>57</v>
      </c>
      <c r="C8" s="1" t="s">
        <v>26</v>
      </c>
      <c r="D8" s="59">
        <v>9.7496090055366675</v>
      </c>
      <c r="E8" s="48"/>
    </row>
    <row r="9" spans="1:15" x14ac:dyDescent="0.25">
      <c r="A9" s="3">
        <v>42807</v>
      </c>
      <c r="B9" s="1" t="s">
        <v>58</v>
      </c>
      <c r="C9" s="1" t="s">
        <v>26</v>
      </c>
      <c r="D9" s="59">
        <v>10.228056083320132</v>
      </c>
      <c r="E9" s="48"/>
    </row>
    <row r="10" spans="1:15" x14ac:dyDescent="0.25">
      <c r="A10" s="3">
        <v>42807</v>
      </c>
      <c r="B10" s="1" t="s">
        <v>59</v>
      </c>
      <c r="C10" s="1" t="s">
        <v>26</v>
      </c>
      <c r="D10" s="59">
        <v>9.0807126274997447</v>
      </c>
      <c r="E10" s="48"/>
    </row>
    <row r="11" spans="1:15" x14ac:dyDescent="0.25">
      <c r="A11" s="3">
        <v>42807</v>
      </c>
      <c r="B11" s="1" t="s">
        <v>57</v>
      </c>
      <c r="C11" s="1" t="s">
        <v>27</v>
      </c>
      <c r="D11" s="59">
        <v>9.7496090055366675</v>
      </c>
      <c r="E11" s="48"/>
    </row>
    <row r="12" spans="1:15" x14ac:dyDescent="0.25">
      <c r="A12" s="3">
        <v>42807</v>
      </c>
      <c r="B12" s="1" t="s">
        <v>58</v>
      </c>
      <c r="C12" s="1" t="s">
        <v>27</v>
      </c>
      <c r="D12" s="59">
        <v>10.228056083320132</v>
      </c>
      <c r="E12" s="48"/>
    </row>
    <row r="13" spans="1:15" x14ac:dyDescent="0.25">
      <c r="A13" s="3">
        <v>42807</v>
      </c>
      <c r="B13" s="1" t="s">
        <v>59</v>
      </c>
      <c r="C13" s="1" t="s">
        <v>27</v>
      </c>
      <c r="D13" s="59">
        <v>9.0807126274997447</v>
      </c>
      <c r="E13" s="4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4"/>
  <sheetViews>
    <sheetView topLeftCell="A18" workbookViewId="0">
      <selection activeCell="D42" sqref="D42"/>
    </sheetView>
  </sheetViews>
  <sheetFormatPr defaultRowHeight="15" x14ac:dyDescent="0.25"/>
  <cols>
    <col min="1" max="2" width="11" customWidth="1"/>
    <col min="3" max="3" width="11.5703125" customWidth="1"/>
    <col min="4" max="8" width="11" customWidth="1"/>
    <col min="9" max="9" width="12" bestFit="1" customWidth="1"/>
    <col min="10" max="12" width="12" customWidth="1"/>
    <col min="13" max="13" width="12.7109375" customWidth="1"/>
    <col min="14" max="14" width="12" customWidth="1"/>
    <col min="15" max="15" width="20" customWidth="1"/>
  </cols>
  <sheetData>
    <row r="1" spans="1:20" hidden="1" x14ac:dyDescent="0.25">
      <c r="A1" t="s">
        <v>4</v>
      </c>
      <c r="B1" t="s">
        <v>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4" t="s">
        <v>13</v>
      </c>
      <c r="I1" s="2" t="s">
        <v>14</v>
      </c>
    </row>
    <row r="2" spans="1:20" hidden="1" x14ac:dyDescent="0.25">
      <c r="A2" s="3">
        <v>42592</v>
      </c>
      <c r="B2" s="1" t="s">
        <v>7</v>
      </c>
      <c r="C2">
        <v>25.29</v>
      </c>
      <c r="D2">
        <v>151.44999999999999</v>
      </c>
      <c r="E2">
        <v>660.95</v>
      </c>
      <c r="F2">
        <v>3.6765000000000001E-3</v>
      </c>
      <c r="G2" s="6">
        <f>(D2/C2)*((E2*F2+F2)/1000)/(1+((E2*F2+F2)/1000))*100</f>
        <v>1.4538666163318594</v>
      </c>
    </row>
    <row r="3" spans="1:20" hidden="1" x14ac:dyDescent="0.25">
      <c r="A3" s="3">
        <v>42592</v>
      </c>
      <c r="B3" s="1" t="s">
        <v>8</v>
      </c>
      <c r="C3">
        <v>25.29</v>
      </c>
      <c r="D3" s="12">
        <v>137.706312</v>
      </c>
      <c r="E3">
        <v>30.09</v>
      </c>
      <c r="F3">
        <v>3.6765000000000001E-3</v>
      </c>
      <c r="G3" s="6">
        <f t="shared" ref="G3:G13" si="0">(D3/C3)*((E3*F3+F3)/1000)/(1+((E3*F3+F3)/1000))*100</f>
        <v>6.2231557765759268E-2</v>
      </c>
    </row>
    <row r="4" spans="1:20" hidden="1" x14ac:dyDescent="0.25">
      <c r="A4" s="3">
        <v>42594</v>
      </c>
      <c r="B4" s="1" t="s">
        <v>7</v>
      </c>
      <c r="C4">
        <v>25.29</v>
      </c>
      <c r="D4" s="12">
        <v>299.828078</v>
      </c>
      <c r="E4">
        <v>37.22</v>
      </c>
      <c r="F4">
        <v>3.6765000000000001E-3</v>
      </c>
      <c r="G4" s="6">
        <f t="shared" si="0"/>
        <v>0.16656651662403152</v>
      </c>
      <c r="H4" s="6">
        <f>G2+G4</f>
        <v>1.620433132955891</v>
      </c>
      <c r="I4" s="6">
        <f>H4*$E$15</f>
        <v>20.186983708698811</v>
      </c>
    </row>
    <row r="5" spans="1:20" hidden="1" x14ac:dyDescent="0.25">
      <c r="A5" s="3">
        <v>42594</v>
      </c>
      <c r="B5" s="1" t="s">
        <v>8</v>
      </c>
      <c r="C5">
        <v>25.29</v>
      </c>
      <c r="D5" s="12">
        <v>272.23523299999999</v>
      </c>
      <c r="E5">
        <v>23.41</v>
      </c>
      <c r="F5">
        <v>3.6765000000000001E-3</v>
      </c>
      <c r="G5" s="6">
        <f t="shared" si="0"/>
        <v>9.6595941202557864E-2</v>
      </c>
      <c r="H5" s="6">
        <f>G3+G5</f>
        <v>0.15882749896831713</v>
      </c>
      <c r="I5" s="6">
        <f>H5*$E$15</f>
        <v>1.9786364947488833</v>
      </c>
    </row>
    <row r="6" spans="1:20" hidden="1" x14ac:dyDescent="0.25">
      <c r="A6" s="3">
        <v>42592</v>
      </c>
      <c r="B6" s="1" t="s">
        <v>9</v>
      </c>
      <c r="C6">
        <v>26.513000000000002</v>
      </c>
      <c r="D6" s="12">
        <v>177.965408</v>
      </c>
      <c r="E6">
        <v>584.42999999999995</v>
      </c>
      <c r="F6">
        <v>3.6765000000000001E-3</v>
      </c>
      <c r="G6" s="6">
        <f t="shared" si="0"/>
        <v>1.4416257297671617</v>
      </c>
      <c r="S6" t="s">
        <v>26</v>
      </c>
      <c r="T6" t="s">
        <v>27</v>
      </c>
    </row>
    <row r="7" spans="1:20" hidden="1" x14ac:dyDescent="0.25">
      <c r="A7" s="3">
        <v>42592</v>
      </c>
      <c r="B7" s="1" t="s">
        <v>10</v>
      </c>
      <c r="C7">
        <v>26.513000000000002</v>
      </c>
      <c r="D7" s="12">
        <v>155.96725000000001</v>
      </c>
      <c r="E7">
        <v>30.31</v>
      </c>
      <c r="F7">
        <v>3.6765000000000001E-3</v>
      </c>
      <c r="G7" s="6">
        <f t="shared" si="0"/>
        <v>6.7708343933957221E-2</v>
      </c>
      <c r="Q7" t="s">
        <v>23</v>
      </c>
      <c r="R7" s="11">
        <v>25.175934654665262</v>
      </c>
      <c r="S7">
        <f>R7/82*15</f>
        <v>4.605353900243645</v>
      </c>
    </row>
    <row r="8" spans="1:20" hidden="1" x14ac:dyDescent="0.25">
      <c r="A8" s="3">
        <v>42594</v>
      </c>
      <c r="B8" s="1" t="s">
        <v>9</v>
      </c>
      <c r="C8">
        <v>26.513000000000002</v>
      </c>
      <c r="D8" s="12">
        <v>35.127065999999999</v>
      </c>
      <c r="E8">
        <v>425.38</v>
      </c>
      <c r="F8">
        <v>3.6765000000000001E-3</v>
      </c>
      <c r="G8" s="6">
        <f t="shared" si="0"/>
        <v>0.20736437138790439</v>
      </c>
      <c r="H8" s="6">
        <f>G6+G8</f>
        <v>1.6489901011550661</v>
      </c>
      <c r="I8" s="6">
        <f>H8*$E$16</f>
        <v>20.05222180742652</v>
      </c>
      <c r="Q8" t="s">
        <v>24</v>
      </c>
      <c r="R8" s="11">
        <v>26.546161587168413</v>
      </c>
      <c r="S8">
        <f t="shared" ref="S8:S9" si="1">R8/82*15</f>
        <v>4.8560051683844661</v>
      </c>
    </row>
    <row r="9" spans="1:20" hidden="1" x14ac:dyDescent="0.25">
      <c r="A9" s="3">
        <v>42594</v>
      </c>
      <c r="B9" s="1" t="s">
        <v>10</v>
      </c>
      <c r="C9">
        <v>26.513000000000002</v>
      </c>
      <c r="D9" s="12">
        <v>76.922948000000005</v>
      </c>
      <c r="E9">
        <v>40.64</v>
      </c>
      <c r="F9">
        <v>3.6765000000000001E-3</v>
      </c>
      <c r="G9" s="6">
        <f t="shared" si="0"/>
        <v>4.4409497420971812E-2</v>
      </c>
      <c r="H9" s="6">
        <f>G7+G9</f>
        <v>0.11211784135492903</v>
      </c>
      <c r="I9" s="6">
        <f>H9*$E$16</f>
        <v>1.3633870948310074</v>
      </c>
      <c r="Q9" t="s">
        <v>25</v>
      </c>
      <c r="R9">
        <v>23.622256599913154</v>
      </c>
      <c r="S9">
        <f t="shared" si="1"/>
        <v>4.321144499984114</v>
      </c>
    </row>
    <row r="10" spans="1:20" hidden="1" x14ac:dyDescent="0.25">
      <c r="A10" s="3">
        <v>42592</v>
      </c>
      <c r="B10" s="1" t="s">
        <v>11</v>
      </c>
      <c r="C10">
        <v>23.542000000000002</v>
      </c>
      <c r="D10" s="12">
        <v>208.632453</v>
      </c>
      <c r="E10">
        <v>585.73</v>
      </c>
      <c r="F10">
        <v>3.6765000000000001E-3</v>
      </c>
      <c r="G10" s="6">
        <f t="shared" si="0"/>
        <v>1.9075483761608027</v>
      </c>
    </row>
    <row r="11" spans="1:20" hidden="1" x14ac:dyDescent="0.25">
      <c r="A11" s="3">
        <v>42592</v>
      </c>
      <c r="B11" s="1" t="s">
        <v>12</v>
      </c>
      <c r="C11">
        <v>23.542000000000002</v>
      </c>
      <c r="D11" s="12">
        <v>212.642123</v>
      </c>
      <c r="E11">
        <v>27.67</v>
      </c>
      <c r="F11">
        <v>3.6765000000000001E-3</v>
      </c>
      <c r="G11" s="6">
        <f t="shared" si="0"/>
        <v>9.5196818182919904E-2</v>
      </c>
    </row>
    <row r="12" spans="1:20" hidden="1" x14ac:dyDescent="0.25">
      <c r="A12" s="3">
        <v>42594</v>
      </c>
      <c r="B12" s="1" t="s">
        <v>11</v>
      </c>
      <c r="C12">
        <v>23.542000000000002</v>
      </c>
      <c r="D12" s="12">
        <v>14.356833999999999</v>
      </c>
      <c r="E12">
        <v>180.75</v>
      </c>
      <c r="F12">
        <v>3.6765000000000001E-3</v>
      </c>
      <c r="G12" s="6">
        <f t="shared" si="0"/>
        <v>4.0722479471069287E-2</v>
      </c>
      <c r="H12" s="6">
        <f>G10+G12</f>
        <v>1.948270855631872</v>
      </c>
      <c r="I12" s="6">
        <f>H12*$E$16</f>
        <v>23.691566923724782</v>
      </c>
    </row>
    <row r="13" spans="1:20" hidden="1" x14ac:dyDescent="0.25">
      <c r="A13" s="3">
        <v>42594</v>
      </c>
      <c r="B13" s="1" t="s">
        <v>12</v>
      </c>
      <c r="C13">
        <v>23.542000000000002</v>
      </c>
      <c r="D13" s="12">
        <v>3.4778519999999999</v>
      </c>
      <c r="E13">
        <v>15.59</v>
      </c>
      <c r="F13">
        <v>3.6765000000000001E-3</v>
      </c>
      <c r="G13" s="6">
        <f t="shared" si="0"/>
        <v>9.0099464429726096E-4</v>
      </c>
      <c r="H13" s="6">
        <f>G11+G13</f>
        <v>9.6097812827217161E-2</v>
      </c>
      <c r="I13" s="6">
        <f>H13*$E$16</f>
        <v>1.1685786692534601</v>
      </c>
    </row>
    <row r="14" spans="1:20" hidden="1" x14ac:dyDescent="0.25"/>
    <row r="15" spans="1:20" hidden="1" x14ac:dyDescent="0.25">
      <c r="A15" t="s">
        <v>15</v>
      </c>
      <c r="E15">
        <f>11.8/0.9472</f>
        <v>12.45777027027027</v>
      </c>
    </row>
    <row r="16" spans="1:20" hidden="1" x14ac:dyDescent="0.25">
      <c r="A16" t="s">
        <v>16</v>
      </c>
      <c r="E16">
        <f>11.5/0.9457</f>
        <v>12.1603045363223</v>
      </c>
    </row>
    <row r="17" spans="1:19" hidden="1" x14ac:dyDescent="0.25">
      <c r="A17" t="s">
        <v>17</v>
      </c>
      <c r="E17">
        <f>13.8/0.939</f>
        <v>14.696485623003197</v>
      </c>
    </row>
    <row r="18" spans="1:19" ht="18" x14ac:dyDescent="0.35">
      <c r="A18" t="s">
        <v>31</v>
      </c>
      <c r="J18" s="13" t="s">
        <v>32</v>
      </c>
    </row>
    <row r="19" spans="1:19" ht="18.75" x14ac:dyDescent="0.35">
      <c r="A19" s="4" t="s">
        <v>30</v>
      </c>
    </row>
    <row r="20" spans="1:19" x14ac:dyDescent="0.25">
      <c r="A20" s="4"/>
    </row>
    <row r="21" spans="1:19" ht="18.75" x14ac:dyDescent="0.35">
      <c r="A21" s="14" t="s">
        <v>51</v>
      </c>
    </row>
    <row r="22" spans="1:19" x14ac:dyDescent="0.25">
      <c r="A22" s="5" t="s">
        <v>33</v>
      </c>
      <c r="B22" t="s">
        <v>34</v>
      </c>
      <c r="C22" t="s">
        <v>35</v>
      </c>
      <c r="D22" t="s">
        <v>36</v>
      </c>
      <c r="E22" s="7" t="s">
        <v>37</v>
      </c>
      <c r="F22" s="2" t="s">
        <v>38</v>
      </c>
      <c r="G22" t="s">
        <v>39</v>
      </c>
      <c r="H22" t="s">
        <v>40</v>
      </c>
      <c r="I22" s="8" t="s">
        <v>41</v>
      </c>
      <c r="J22" s="2" t="s">
        <v>42</v>
      </c>
      <c r="K22" t="s">
        <v>43</v>
      </c>
      <c r="L22" t="s">
        <v>44</v>
      </c>
      <c r="M22" s="8" t="s">
        <v>45</v>
      </c>
      <c r="N22" s="2" t="s">
        <v>46</v>
      </c>
      <c r="O22" s="5" t="s">
        <v>47</v>
      </c>
      <c r="Q22" t="s">
        <v>63</v>
      </c>
      <c r="R22" t="s">
        <v>67</v>
      </c>
      <c r="S22" t="s">
        <v>68</v>
      </c>
    </row>
    <row r="23" spans="1:19" ht="18.75" x14ac:dyDescent="0.35">
      <c r="A23" s="2" t="s">
        <v>4</v>
      </c>
      <c r="B23" s="1" t="s">
        <v>6</v>
      </c>
      <c r="C23" s="1" t="s">
        <v>21</v>
      </c>
      <c r="D23" s="1" t="s">
        <v>18</v>
      </c>
      <c r="E23" s="7" t="s">
        <v>60</v>
      </c>
      <c r="F23" s="2" t="s">
        <v>0</v>
      </c>
      <c r="G23" s="1" t="s">
        <v>22</v>
      </c>
      <c r="H23" s="1" t="s">
        <v>18</v>
      </c>
      <c r="I23" s="8" t="s">
        <v>19</v>
      </c>
      <c r="J23" s="2" t="s">
        <v>1</v>
      </c>
      <c r="K23" s="2" t="s">
        <v>29</v>
      </c>
      <c r="L23" s="1" t="s">
        <v>18</v>
      </c>
      <c r="M23" s="8" t="s">
        <v>20</v>
      </c>
      <c r="N23" s="2" t="s">
        <v>2</v>
      </c>
      <c r="O23" s="2" t="s">
        <v>28</v>
      </c>
    </row>
    <row r="24" spans="1:19" x14ac:dyDescent="0.25">
      <c r="A24" s="3"/>
      <c r="B24" s="1"/>
      <c r="C24" s="10"/>
      <c r="D24" s="10"/>
      <c r="E24" s="7"/>
      <c r="F24" s="2" t="s">
        <v>49</v>
      </c>
      <c r="G24" s="15" t="s">
        <v>48</v>
      </c>
      <c r="H24" s="10"/>
      <c r="I24" s="8"/>
      <c r="J24" s="15" t="s">
        <v>48</v>
      </c>
      <c r="K24" s="16" t="s">
        <v>48</v>
      </c>
      <c r="L24" s="9"/>
      <c r="M24" s="8"/>
      <c r="N24" s="2" t="s">
        <v>48</v>
      </c>
      <c r="O24" s="5"/>
    </row>
    <row r="25" spans="1:19" x14ac:dyDescent="0.25">
      <c r="A25" s="17">
        <v>42592</v>
      </c>
      <c r="B25" s="18" t="s">
        <v>7</v>
      </c>
      <c r="C25" s="19">
        <v>18.111936309877471</v>
      </c>
      <c r="D25" s="19">
        <f>AVERAGE(C25,C29,C33)</f>
        <v>21.225600498891456</v>
      </c>
      <c r="E25" s="20">
        <f>(C25-D25)^2/3</f>
        <v>3.2316348939827058</v>
      </c>
      <c r="F25" s="21">
        <f>C25</f>
        <v>18.111936309877471</v>
      </c>
      <c r="G25" s="19">
        <v>4.605353900243645</v>
      </c>
      <c r="H25" s="19">
        <f>AVERAGE(S7:S9)</f>
        <v>4.5941678562040744</v>
      </c>
      <c r="I25" s="20">
        <f>(G25-H25)^2/3</f>
        <v>4.1709193751737463E-5</v>
      </c>
      <c r="J25" s="21">
        <v>4.605353900243645</v>
      </c>
      <c r="K25" s="21">
        <v>151.44999999999999</v>
      </c>
      <c r="L25" s="21">
        <f>AVERAGE(K25,K29,K33)</f>
        <v>179.349287</v>
      </c>
      <c r="M25" s="20">
        <f>E25</f>
        <v>3.2316348939827058</v>
      </c>
      <c r="N25" s="21">
        <f>K25</f>
        <v>151.44999999999999</v>
      </c>
      <c r="O25" s="22">
        <f>((E25/F25)^2+(I25/J25)^2+(M25/N25)^2)^0.5</f>
        <v>0.17969707531393805</v>
      </c>
    </row>
    <row r="26" spans="1:19" x14ac:dyDescent="0.25">
      <c r="A26" s="17">
        <v>42592</v>
      </c>
      <c r="B26" s="18" t="s">
        <v>8</v>
      </c>
      <c r="C26" s="19">
        <v>0.77526645020688278</v>
      </c>
      <c r="D26" s="19">
        <f>AVERAGE(C26,C30,C34)</f>
        <v>0.9992264006249284</v>
      </c>
      <c r="E26" s="20">
        <f t="shared" ref="E26:E35" si="2">(C26-D26)^2/3</f>
        <v>1.6719353130417818E-2</v>
      </c>
      <c r="F26" s="21">
        <f t="shared" ref="F26:F36" si="3">C26</f>
        <v>0.77526645020688278</v>
      </c>
      <c r="G26" s="19">
        <v>4.605353900243645</v>
      </c>
      <c r="H26" s="19">
        <v>4.5941678562040744</v>
      </c>
      <c r="I26" s="20">
        <f t="shared" ref="I26:I36" si="4">(G26-H26)^2/3</f>
        <v>4.1709193751737463E-5</v>
      </c>
      <c r="J26" s="21">
        <v>4.605353900243645</v>
      </c>
      <c r="K26" s="21">
        <v>137.706312</v>
      </c>
      <c r="L26" s="21">
        <f>AVERAGE(K26,K30,K34)</f>
        <v>168.771895</v>
      </c>
      <c r="M26" s="20">
        <f t="shared" ref="M26:M36" si="5">E26</f>
        <v>1.6719353130417818E-2</v>
      </c>
      <c r="N26" s="21">
        <f t="shared" ref="N26:N36" si="6">K26</f>
        <v>137.706312</v>
      </c>
      <c r="O26" s="22">
        <f t="shared" ref="O26:O34" si="7">((E26/F26)^2+(I26/J26)^2+(M26/N26)^2)^0.5</f>
        <v>2.1566288029424847E-2</v>
      </c>
    </row>
    <row r="27" spans="1:19" x14ac:dyDescent="0.25">
      <c r="A27" s="17">
        <v>42594</v>
      </c>
      <c r="B27" s="18" t="s">
        <v>7</v>
      </c>
      <c r="C27" s="19">
        <v>2.0750473988213387</v>
      </c>
      <c r="D27" s="19">
        <f t="shared" ref="D27:D28" si="8">AVERAGE(C27,C31,C35)</f>
        <v>1.7317128796536359</v>
      </c>
      <c r="E27" s="20">
        <f t="shared" si="2"/>
        <v>3.9292864017372572E-2</v>
      </c>
      <c r="F27" s="21">
        <f t="shared" si="3"/>
        <v>2.0750473988213387</v>
      </c>
      <c r="G27" s="19">
        <v>4.605353900243645</v>
      </c>
      <c r="H27" s="19">
        <v>4.5941678562040744</v>
      </c>
      <c r="I27" s="20">
        <f t="shared" si="4"/>
        <v>4.1709193751737463E-5</v>
      </c>
      <c r="J27" s="21">
        <v>4.605353900243645</v>
      </c>
      <c r="K27" s="21">
        <v>299.828078</v>
      </c>
      <c r="L27" s="21">
        <f t="shared" ref="L27:L28" si="9">AVERAGE(K27,K31,K35)</f>
        <v>116.437326</v>
      </c>
      <c r="M27" s="20">
        <f t="shared" si="5"/>
        <v>3.9292864017372572E-2</v>
      </c>
      <c r="N27" s="21">
        <f t="shared" si="6"/>
        <v>299.828078</v>
      </c>
      <c r="O27" s="23">
        <f>((E27/F27)^2+(I27/J27)^2+(M27/N27)^2+(E25/F25)^2+(I25/J25)^2+(M25/N25)^2)^0.5</f>
        <v>0.18069206946276195</v>
      </c>
    </row>
    <row r="28" spans="1:19" x14ac:dyDescent="0.25">
      <c r="A28" s="17">
        <v>42594</v>
      </c>
      <c r="B28" s="18" t="s">
        <v>8</v>
      </c>
      <c r="C28" s="19">
        <v>1.2033700445420004</v>
      </c>
      <c r="D28" s="19">
        <f t="shared" si="8"/>
        <v>0.58554817077411836</v>
      </c>
      <c r="E28" s="20">
        <f t="shared" si="2"/>
        <v>0.12723462256868559</v>
      </c>
      <c r="F28" s="21">
        <f t="shared" si="3"/>
        <v>1.2033700445420004</v>
      </c>
      <c r="G28" s="19">
        <v>4.605353900243645</v>
      </c>
      <c r="H28" s="19">
        <v>4.5941678562040744</v>
      </c>
      <c r="I28" s="20">
        <f t="shared" si="4"/>
        <v>4.1709193751737463E-5</v>
      </c>
      <c r="J28" s="21">
        <v>4.605353900243645</v>
      </c>
      <c r="K28" s="21">
        <v>272.23523299999999</v>
      </c>
      <c r="L28" s="21">
        <f t="shared" si="9"/>
        <v>117.54534433333333</v>
      </c>
      <c r="M28" s="20">
        <f t="shared" si="5"/>
        <v>0.12723462256868559</v>
      </c>
      <c r="N28" s="21">
        <f t="shared" si="6"/>
        <v>272.23523299999999</v>
      </c>
      <c r="O28" s="23">
        <f>((E28/F28)^2+(I28/J28)^2+(M28/N28)^2+(E26/F26)^2+(I26/J26)^2+(M26/N26)^2)^0.5</f>
        <v>0.10790997046938813</v>
      </c>
    </row>
    <row r="29" spans="1:19" x14ac:dyDescent="0.25">
      <c r="A29" s="17">
        <v>42592</v>
      </c>
      <c r="B29" s="18" t="s">
        <v>9</v>
      </c>
      <c r="C29" s="19">
        <v>17.530607901366565</v>
      </c>
      <c r="D29" s="19">
        <v>21.225600498891456</v>
      </c>
      <c r="E29" s="20">
        <f t="shared" si="2"/>
        <v>4.5509900985879135</v>
      </c>
      <c r="F29" s="21">
        <f t="shared" si="3"/>
        <v>17.530607901366565</v>
      </c>
      <c r="G29" s="19">
        <v>4.8560051683844661</v>
      </c>
      <c r="H29" s="19">
        <v>4.5941678562040744</v>
      </c>
      <c r="I29" s="20">
        <f t="shared" si="4"/>
        <v>2.2852926016617287E-2</v>
      </c>
      <c r="J29" s="21">
        <v>4.8560051683844661</v>
      </c>
      <c r="K29" s="21">
        <v>177.965408</v>
      </c>
      <c r="L29" s="21">
        <v>21.225600498891456</v>
      </c>
      <c r="M29" s="20">
        <f t="shared" si="5"/>
        <v>4.5509900985879135</v>
      </c>
      <c r="N29" s="21">
        <f t="shared" si="6"/>
        <v>177.965408</v>
      </c>
      <c r="O29" s="22">
        <f t="shared" si="7"/>
        <v>0.26090144353295741</v>
      </c>
    </row>
    <row r="30" spans="1:19" x14ac:dyDescent="0.25">
      <c r="A30" s="17">
        <v>42592</v>
      </c>
      <c r="B30" s="18" t="s">
        <v>10</v>
      </c>
      <c r="C30" s="19">
        <v>0.82335408188697046</v>
      </c>
      <c r="D30" s="19">
        <v>0.9992264006249284</v>
      </c>
      <c r="E30" s="20">
        <f t="shared" si="2"/>
        <v>1.0310357499421958E-2</v>
      </c>
      <c r="F30" s="21">
        <f t="shared" si="3"/>
        <v>0.82335408188697046</v>
      </c>
      <c r="G30" s="19">
        <v>4.8560051683844661</v>
      </c>
      <c r="H30" s="19">
        <v>4.5941678562040744</v>
      </c>
      <c r="I30" s="20">
        <f t="shared" si="4"/>
        <v>2.2852926016617287E-2</v>
      </c>
      <c r="J30" s="21">
        <v>4.8560051683844661</v>
      </c>
      <c r="K30" s="21">
        <v>155.96725000000001</v>
      </c>
      <c r="L30" s="21">
        <v>0.9992264006249284</v>
      </c>
      <c r="M30" s="20">
        <f t="shared" si="5"/>
        <v>1.0310357499421958E-2</v>
      </c>
      <c r="N30" s="21">
        <f t="shared" si="6"/>
        <v>155.96725000000001</v>
      </c>
      <c r="O30" s="22">
        <f t="shared" si="7"/>
        <v>1.3377669814447097E-2</v>
      </c>
    </row>
    <row r="31" spans="1:19" x14ac:dyDescent="0.25">
      <c r="A31" s="17">
        <v>42594</v>
      </c>
      <c r="B31" s="18" t="s">
        <v>9</v>
      </c>
      <c r="C31" s="19">
        <v>2.5216139060599558</v>
      </c>
      <c r="D31" s="19">
        <v>1.7317128796536359</v>
      </c>
      <c r="E31" s="20">
        <f t="shared" si="2"/>
        <v>0.20798121050591925</v>
      </c>
      <c r="F31" s="21">
        <f t="shared" si="3"/>
        <v>2.5216139060599558</v>
      </c>
      <c r="G31" s="19">
        <v>4.8560051683844661</v>
      </c>
      <c r="H31" s="19">
        <v>4.5941678562040744</v>
      </c>
      <c r="I31" s="20">
        <f t="shared" si="4"/>
        <v>2.2852926016617287E-2</v>
      </c>
      <c r="J31" s="21">
        <v>4.8560051683844661</v>
      </c>
      <c r="K31" s="21">
        <v>35.127065999999999</v>
      </c>
      <c r="L31" s="21">
        <v>1.7317128796536359</v>
      </c>
      <c r="M31" s="20">
        <f t="shared" si="5"/>
        <v>0.20798121050591925</v>
      </c>
      <c r="N31" s="21">
        <f t="shared" si="6"/>
        <v>35.127065999999999</v>
      </c>
      <c r="O31" s="23">
        <f>((E31/F31)^2+(I31/J31)^2+(M31/N31)^2+(E29/F29)^2+(I29/J29)^2+(M29/N29)^2)^0.5</f>
        <v>0.27373275090728832</v>
      </c>
    </row>
    <row r="32" spans="1:19" x14ac:dyDescent="0.25">
      <c r="A32" s="17">
        <v>42594</v>
      </c>
      <c r="B32" s="18" t="s">
        <v>10</v>
      </c>
      <c r="C32" s="19">
        <v>0.54003301294403705</v>
      </c>
      <c r="D32" s="19">
        <v>0.58554817077411836</v>
      </c>
      <c r="E32" s="20">
        <f t="shared" si="2"/>
        <v>6.9054319743240393E-4</v>
      </c>
      <c r="F32" s="21">
        <f t="shared" si="3"/>
        <v>0.54003301294403705</v>
      </c>
      <c r="G32" s="19">
        <v>4.8560051683844661</v>
      </c>
      <c r="H32" s="19">
        <v>4.5941678562040744</v>
      </c>
      <c r="I32" s="20">
        <f t="shared" si="4"/>
        <v>2.2852926016617287E-2</v>
      </c>
      <c r="J32" s="21">
        <v>4.8560051683844661</v>
      </c>
      <c r="K32" s="21">
        <v>76.922948000000005</v>
      </c>
      <c r="L32" s="21">
        <v>0.58554817077411836</v>
      </c>
      <c r="M32" s="20">
        <f t="shared" si="5"/>
        <v>6.9054319743240393E-4</v>
      </c>
      <c r="N32" s="21">
        <f t="shared" si="6"/>
        <v>76.922948000000005</v>
      </c>
      <c r="O32" s="23">
        <f>((E32/F32)^2+(I32/J32)^2+(M32/N32)^2+(E30/F30)^2+(I30/J30)^2+(M30/N30)^2)^0.5</f>
        <v>1.4238846530707823E-2</v>
      </c>
    </row>
    <row r="33" spans="1:18" x14ac:dyDescent="0.25">
      <c r="A33" s="17">
        <v>42592</v>
      </c>
      <c r="B33" s="18" t="s">
        <v>11</v>
      </c>
      <c r="C33" s="19">
        <v>28.034257285430332</v>
      </c>
      <c r="D33" s="19">
        <v>21.225600498891456</v>
      </c>
      <c r="E33" s="20">
        <f t="shared" si="2"/>
        <v>15.452602412293963</v>
      </c>
      <c r="F33" s="21">
        <f t="shared" si="3"/>
        <v>28.034257285430332</v>
      </c>
      <c r="G33" s="19">
        <v>4.321144499984114</v>
      </c>
      <c r="H33" s="19">
        <v>4.5941678562040744</v>
      </c>
      <c r="I33" s="20">
        <f t="shared" si="4"/>
        <v>2.4847251013870471E-2</v>
      </c>
      <c r="J33" s="21">
        <v>4.321144499984114</v>
      </c>
      <c r="K33" s="21">
        <v>208.632453</v>
      </c>
      <c r="L33" s="21">
        <v>21.225600498891456</v>
      </c>
      <c r="M33" s="20">
        <f t="shared" si="5"/>
        <v>15.452602412293963</v>
      </c>
      <c r="N33" s="21">
        <f t="shared" si="6"/>
        <v>208.632453</v>
      </c>
      <c r="O33" s="22">
        <f t="shared" si="7"/>
        <v>0.55618792648881099</v>
      </c>
    </row>
    <row r="34" spans="1:18" x14ac:dyDescent="0.25">
      <c r="A34" s="17">
        <v>42592</v>
      </c>
      <c r="B34" s="18" t="s">
        <v>12</v>
      </c>
      <c r="C34" s="19">
        <v>1.3990586697809317</v>
      </c>
      <c r="D34" s="19">
        <v>0.9992264006249284</v>
      </c>
      <c r="E34" s="20">
        <f t="shared" si="2"/>
        <v>5.3288614486146239E-2</v>
      </c>
      <c r="F34" s="21">
        <f t="shared" si="3"/>
        <v>1.3990586697809317</v>
      </c>
      <c r="G34" s="19">
        <v>4.321144499984114</v>
      </c>
      <c r="H34" s="19">
        <v>4.5941678562040744</v>
      </c>
      <c r="I34" s="20">
        <f t="shared" si="4"/>
        <v>2.4847251013870471E-2</v>
      </c>
      <c r="J34" s="21">
        <v>4.321144499984114</v>
      </c>
      <c r="K34" s="21">
        <v>212.642123</v>
      </c>
      <c r="L34" s="21">
        <v>0.9992264006249284</v>
      </c>
      <c r="M34" s="20">
        <f t="shared" si="5"/>
        <v>5.3288614486146239E-2</v>
      </c>
      <c r="N34" s="21">
        <f t="shared" si="6"/>
        <v>212.642123</v>
      </c>
      <c r="O34" s="22">
        <f t="shared" si="7"/>
        <v>3.8521316994101266E-2</v>
      </c>
    </row>
    <row r="35" spans="1:18" x14ac:dyDescent="0.25">
      <c r="A35" s="17">
        <v>42594</v>
      </c>
      <c r="B35" s="18" t="s">
        <v>11</v>
      </c>
      <c r="C35" s="19">
        <v>0.59847733407961257</v>
      </c>
      <c r="D35" s="19">
        <v>1.7317128796536359</v>
      </c>
      <c r="E35" s="20">
        <f t="shared" si="2"/>
        <v>0.42807426725081804</v>
      </c>
      <c r="F35" s="21">
        <f t="shared" si="3"/>
        <v>0.59847733407961257</v>
      </c>
      <c r="G35" s="19">
        <v>4.321144499984114</v>
      </c>
      <c r="H35" s="19">
        <v>4.5941678562040744</v>
      </c>
      <c r="I35" s="20">
        <f t="shared" si="4"/>
        <v>2.4847251013870471E-2</v>
      </c>
      <c r="J35" s="21">
        <v>4.321144499984114</v>
      </c>
      <c r="K35" s="21">
        <v>14.356833999999999</v>
      </c>
      <c r="L35" s="21">
        <v>1.7317128796536359</v>
      </c>
      <c r="M35" s="20">
        <f t="shared" si="5"/>
        <v>0.42807426725081804</v>
      </c>
      <c r="N35" s="21">
        <f t="shared" si="6"/>
        <v>14.356833999999999</v>
      </c>
      <c r="O35" s="23">
        <f>((E35/F35)^2+(I35/J35)^2+(M35/N35)^2+(E33/F33)^2+(I33/J33)^2+(M33/N33)^2)^0.5</f>
        <v>0.90657685569897073</v>
      </c>
    </row>
    <row r="36" spans="1:18" x14ac:dyDescent="0.25">
      <c r="A36" s="17">
        <v>42594</v>
      </c>
      <c r="B36" s="18" t="s">
        <v>12</v>
      </c>
      <c r="C36" s="19">
        <v>1.3241454836317574E-2</v>
      </c>
      <c r="D36" s="19">
        <v>0.58554817077411836</v>
      </c>
      <c r="E36" s="20">
        <f>(C36-D36)^2/3</f>
        <v>0.10917832570250353</v>
      </c>
      <c r="F36" s="21">
        <f t="shared" si="3"/>
        <v>1.3241454836317574E-2</v>
      </c>
      <c r="G36" s="19">
        <v>4.321144499984114</v>
      </c>
      <c r="H36" s="19">
        <v>4.5941678562040744</v>
      </c>
      <c r="I36" s="20">
        <f t="shared" si="4"/>
        <v>2.4847251013870471E-2</v>
      </c>
      <c r="J36" s="21">
        <v>4.321144499984114</v>
      </c>
      <c r="K36" s="21">
        <v>3.4778519999999999</v>
      </c>
      <c r="L36" s="21">
        <v>0.58554817077411836</v>
      </c>
      <c r="M36" s="20">
        <f t="shared" si="5"/>
        <v>0.10917832570250353</v>
      </c>
      <c r="N36" s="21">
        <f t="shared" si="6"/>
        <v>3.4778519999999999</v>
      </c>
      <c r="O36" s="23">
        <f>((E36/F36)^2+(I36/J36)^2+(M36/N36)^2+(E34/F34)^2+(I34/J34)^2+(M34/N34)^2)^0.5</f>
        <v>8.2453428604465824</v>
      </c>
    </row>
    <row r="38" spans="1:18" ht="19.5" thickBot="1" x14ac:dyDescent="0.4">
      <c r="A38" s="14" t="s">
        <v>50</v>
      </c>
      <c r="Q38" s="50"/>
      <c r="R38" s="50"/>
    </row>
    <row r="39" spans="1:18" ht="18.75" x14ac:dyDescent="0.35">
      <c r="A39" s="24" t="s">
        <v>4</v>
      </c>
      <c r="B39" s="25" t="s">
        <v>6</v>
      </c>
      <c r="C39" s="25" t="s">
        <v>21</v>
      </c>
      <c r="D39" s="25" t="s">
        <v>18</v>
      </c>
      <c r="E39" s="49" t="s">
        <v>62</v>
      </c>
      <c r="F39" s="24" t="s">
        <v>0</v>
      </c>
      <c r="G39" s="25" t="s">
        <v>22</v>
      </c>
      <c r="H39" s="25" t="s">
        <v>18</v>
      </c>
      <c r="I39" s="26" t="s">
        <v>19</v>
      </c>
      <c r="J39" s="24" t="s">
        <v>1</v>
      </c>
      <c r="K39" s="24" t="s">
        <v>29</v>
      </c>
      <c r="L39" s="25" t="s">
        <v>18</v>
      </c>
      <c r="M39" s="26" t="s">
        <v>20</v>
      </c>
      <c r="N39" s="24" t="s">
        <v>2</v>
      </c>
      <c r="O39" s="24" t="s">
        <v>28</v>
      </c>
      <c r="Q39" s="57" t="s">
        <v>63</v>
      </c>
      <c r="R39" s="52"/>
    </row>
    <row r="40" spans="1:18" x14ac:dyDescent="0.25">
      <c r="A40" s="27"/>
      <c r="B40" s="28"/>
      <c r="C40" s="29"/>
      <c r="D40" s="29"/>
      <c r="E40" s="30"/>
      <c r="F40" s="31" t="s">
        <v>49</v>
      </c>
      <c r="G40" s="32" t="s">
        <v>48</v>
      </c>
      <c r="H40" s="29"/>
      <c r="I40" s="33"/>
      <c r="J40" s="32" t="s">
        <v>48</v>
      </c>
      <c r="K40" s="34" t="s">
        <v>48</v>
      </c>
      <c r="L40" s="35"/>
      <c r="M40" s="33"/>
      <c r="N40" s="31" t="s">
        <v>48</v>
      </c>
      <c r="O40" s="36"/>
      <c r="Q40" s="53"/>
      <c r="R40" s="54"/>
    </row>
    <row r="41" spans="1:18" x14ac:dyDescent="0.25">
      <c r="A41" s="37">
        <v>42800</v>
      </c>
      <c r="B41" s="38" t="s">
        <v>7</v>
      </c>
      <c r="C41" s="39">
        <v>8.2072629999999994E-2</v>
      </c>
      <c r="D41" s="39">
        <f>AVERAGE($C$41,$C$42,$C$45,$C$46,$C$49,$C$50)</f>
        <v>8.5207541666666678E-2</v>
      </c>
      <c r="E41" s="40">
        <f>2*$Q$41</f>
        <v>3.8963828406538115E-2</v>
      </c>
      <c r="F41" s="41"/>
      <c r="G41" s="39"/>
      <c r="H41" s="39"/>
      <c r="I41" s="40"/>
      <c r="J41" s="41"/>
      <c r="K41" s="41"/>
      <c r="L41" s="41"/>
      <c r="M41" s="40"/>
      <c r="N41" s="41"/>
      <c r="O41" s="42"/>
      <c r="Q41" s="53">
        <f>(((C41-D41)^2+(C42-D42)^2+(C45-D45)^2+(C46-D46)^2+(C49-D49)^2+(C50-D50)^2)/5)^0.5</f>
        <v>1.9481914203269057E-2</v>
      </c>
      <c r="R41" s="54" t="s">
        <v>64</v>
      </c>
    </row>
    <row r="42" spans="1:18" x14ac:dyDescent="0.25">
      <c r="A42" s="17">
        <v>42800</v>
      </c>
      <c r="B42" s="18" t="s">
        <v>7</v>
      </c>
      <c r="C42" s="19">
        <v>8.2284830000000003E-2</v>
      </c>
      <c r="D42" s="19">
        <f>AVERAGE($C$41,$C$42,$C$45,$C$46,$C$49,$C$50)</f>
        <v>8.5207541666666678E-2</v>
      </c>
      <c r="E42" s="20">
        <v>3.8963828406538115E-2</v>
      </c>
      <c r="F42" s="21"/>
      <c r="G42" s="19"/>
      <c r="H42" s="19"/>
      <c r="I42" s="20"/>
      <c r="J42" s="21"/>
      <c r="K42" s="21"/>
      <c r="L42" s="21"/>
      <c r="M42" s="20"/>
      <c r="N42" s="21"/>
      <c r="O42" s="22"/>
      <c r="Q42" s="53"/>
      <c r="R42" s="54"/>
    </row>
    <row r="43" spans="1:18" ht="15.75" thickBot="1" x14ac:dyDescent="0.3">
      <c r="A43" s="37">
        <v>42800</v>
      </c>
      <c r="B43" s="38" t="s">
        <v>8</v>
      </c>
      <c r="C43" s="39">
        <v>8.8840639999999998E-2</v>
      </c>
      <c r="D43" s="39">
        <f>AVERAGE($C$43,$C$44,$C$47,$C$48,$C$51,$C$52)</f>
        <v>0.103801745</v>
      </c>
      <c r="E43" s="40">
        <f>2*Q43</f>
        <v>5.9079542939641287E-2</v>
      </c>
      <c r="F43" s="41"/>
      <c r="G43" s="39"/>
      <c r="H43" s="39"/>
      <c r="I43" s="40"/>
      <c r="J43" s="41"/>
      <c r="K43" s="41"/>
      <c r="L43" s="41"/>
      <c r="M43" s="40"/>
      <c r="N43" s="41"/>
      <c r="O43" s="43"/>
      <c r="Q43" s="55">
        <f>(((C43-D43)^2+(C44-D44)^2+(C47-D47)^2+(C48-D48)^2+(C51-D51)^2+(C52-D52)^2)/5)^0.5</f>
        <v>2.9539771469820644E-2</v>
      </c>
      <c r="R43" s="56" t="s">
        <v>65</v>
      </c>
    </row>
    <row r="44" spans="1:18" x14ac:dyDescent="0.25">
      <c r="A44" s="17">
        <v>42800</v>
      </c>
      <c r="B44" s="18" t="s">
        <v>8</v>
      </c>
      <c r="C44" s="19">
        <v>8.4645780000000004E-2</v>
      </c>
      <c r="D44" s="19">
        <f>AVERAGE($C$43,$C$44,$C$47,$C$48,$C$51,$C$52)</f>
        <v>0.103801745</v>
      </c>
      <c r="E44" s="20">
        <v>5.9079542939641287E-2</v>
      </c>
      <c r="F44" s="21"/>
      <c r="G44" s="19"/>
      <c r="H44" s="19"/>
      <c r="I44" s="20"/>
      <c r="J44" s="21"/>
      <c r="K44" s="21"/>
      <c r="L44" s="21"/>
      <c r="M44" s="20"/>
      <c r="N44" s="21"/>
      <c r="O44" s="23"/>
    </row>
    <row r="45" spans="1:18" x14ac:dyDescent="0.25">
      <c r="A45" s="37">
        <v>42800</v>
      </c>
      <c r="B45" s="38" t="s">
        <v>9</v>
      </c>
      <c r="C45" s="39">
        <v>7.3615650000000005E-2</v>
      </c>
      <c r="D45" s="39">
        <f>AVERAGE($C$41,$C$42,$C$45,$C$46,$C$49,$C$50)</f>
        <v>8.5207541666666678E-2</v>
      </c>
      <c r="E45" s="40">
        <v>3.8963828406538115E-2</v>
      </c>
      <c r="F45" s="41"/>
      <c r="G45" s="39"/>
      <c r="H45" s="39"/>
      <c r="I45" s="40"/>
      <c r="J45" s="41"/>
      <c r="K45" s="41"/>
      <c r="L45" s="41"/>
      <c r="M45" s="40"/>
      <c r="N45" s="41"/>
      <c r="O45" s="42"/>
    </row>
    <row r="46" spans="1:18" x14ac:dyDescent="0.25">
      <c r="A46" s="17">
        <v>42800</v>
      </c>
      <c r="B46" s="18" t="s">
        <v>9</v>
      </c>
      <c r="C46" s="19">
        <v>6.0410039999999998E-2</v>
      </c>
      <c r="D46" s="19">
        <f>AVERAGE($C$41,$C$42,$C$45,$C$46,$C$49,$C$50)</f>
        <v>8.5207541666666678E-2</v>
      </c>
      <c r="E46" s="20">
        <v>3.8963828406538115E-2</v>
      </c>
      <c r="F46" s="21"/>
      <c r="G46" s="19"/>
      <c r="H46" s="19"/>
      <c r="I46" s="20"/>
      <c r="J46" s="21"/>
      <c r="K46" s="21"/>
      <c r="L46" s="21"/>
      <c r="M46" s="20"/>
      <c r="N46" s="21"/>
      <c r="O46" s="22"/>
    </row>
    <row r="47" spans="1:18" x14ac:dyDescent="0.25">
      <c r="A47" s="37">
        <v>42800</v>
      </c>
      <c r="B47" s="38" t="s">
        <v>10</v>
      </c>
      <c r="C47" s="39">
        <v>8.2638669999999997E-2</v>
      </c>
      <c r="D47" s="39">
        <f>AVERAGE($C$43,$C$44,$C$47,$C$48,$C$51,$C$52)</f>
        <v>0.103801745</v>
      </c>
      <c r="E47" s="40">
        <v>5.9079542939641287E-2</v>
      </c>
      <c r="F47" s="41"/>
      <c r="G47" s="39"/>
      <c r="H47" s="39"/>
      <c r="I47" s="40"/>
      <c r="J47" s="41"/>
      <c r="K47" s="41"/>
      <c r="L47" s="41"/>
      <c r="M47" s="40"/>
      <c r="N47" s="41"/>
      <c r="O47" s="43"/>
    </row>
    <row r="48" spans="1:18" x14ac:dyDescent="0.25">
      <c r="A48" s="17">
        <v>42800</v>
      </c>
      <c r="B48" s="18" t="s">
        <v>10</v>
      </c>
      <c r="C48" s="19">
        <v>8.313885E-2</v>
      </c>
      <c r="D48" s="19">
        <f>AVERAGE($C$43,$C$44,$C$47,$C$48,$C$51,$C$52)</f>
        <v>0.103801745</v>
      </c>
      <c r="E48" s="20">
        <v>5.9079542939641287E-2</v>
      </c>
      <c r="F48" s="21"/>
      <c r="G48" s="19"/>
      <c r="H48" s="19"/>
      <c r="I48" s="20"/>
      <c r="J48" s="21"/>
      <c r="K48" s="21"/>
      <c r="L48" s="21"/>
      <c r="M48" s="20"/>
      <c r="N48" s="21"/>
      <c r="O48" s="23"/>
    </row>
    <row r="49" spans="1:15" x14ac:dyDescent="0.25">
      <c r="A49" s="37">
        <v>42800</v>
      </c>
      <c r="B49" s="38" t="s">
        <v>11</v>
      </c>
      <c r="C49" s="39">
        <v>0.11713601</v>
      </c>
      <c r="D49" s="39">
        <f>AVERAGE($C$41,$C$42,$C$45,$C$46,$C$49,$C$50)</f>
        <v>8.5207541666666678E-2</v>
      </c>
      <c r="E49" s="40">
        <v>3.8963828406538115E-2</v>
      </c>
      <c r="F49" s="41"/>
      <c r="G49" s="39"/>
      <c r="H49" s="39"/>
      <c r="I49" s="40"/>
      <c r="J49" s="41"/>
      <c r="K49" s="41"/>
      <c r="L49" s="41"/>
      <c r="M49" s="40"/>
      <c r="N49" s="41"/>
      <c r="O49" s="42"/>
    </row>
    <row r="50" spans="1:15" x14ac:dyDescent="0.25">
      <c r="A50" s="17">
        <v>42800</v>
      </c>
      <c r="B50" s="18" t="s">
        <v>11</v>
      </c>
      <c r="C50" s="19">
        <v>9.572609E-2</v>
      </c>
      <c r="D50" s="19">
        <f>AVERAGE($C$41,$C$42,$C$45,$C$46,$C$49,$C$50)</f>
        <v>8.5207541666666678E-2</v>
      </c>
      <c r="E50" s="20">
        <v>3.8963828406538115E-2</v>
      </c>
      <c r="F50" s="21"/>
      <c r="G50" s="19"/>
      <c r="H50" s="19"/>
      <c r="I50" s="20"/>
      <c r="J50" s="21"/>
      <c r="K50" s="21"/>
      <c r="L50" s="21"/>
      <c r="M50" s="20"/>
      <c r="N50" s="21"/>
      <c r="O50" s="22"/>
    </row>
    <row r="51" spans="1:15" x14ac:dyDescent="0.25">
      <c r="A51" s="37">
        <v>42800</v>
      </c>
      <c r="B51" s="38" t="s">
        <v>12</v>
      </c>
      <c r="C51" s="39">
        <v>0.1391559</v>
      </c>
      <c r="D51" s="39">
        <f>AVERAGE($C$43,$C$44,$C$47,$C$48,$C$51,$C$52)</f>
        <v>0.103801745</v>
      </c>
      <c r="E51" s="40">
        <v>5.9079542939641287E-2</v>
      </c>
      <c r="F51" s="41"/>
      <c r="G51" s="39"/>
      <c r="H51" s="39"/>
      <c r="I51" s="40"/>
      <c r="J51" s="41"/>
      <c r="K51" s="41"/>
      <c r="L51" s="41"/>
      <c r="M51" s="40"/>
      <c r="N51" s="41"/>
      <c r="O51" s="43"/>
    </row>
    <row r="52" spans="1:15" x14ac:dyDescent="0.25">
      <c r="A52" s="17">
        <v>42800</v>
      </c>
      <c r="B52" s="18" t="s">
        <v>12</v>
      </c>
      <c r="C52" s="44">
        <v>0.14439062999999999</v>
      </c>
      <c r="D52" s="44">
        <f>AVERAGE($C$43,$C$44,$C$47,$C$48,$C$51,$C$52)</f>
        <v>0.103801745</v>
      </c>
      <c r="E52" s="45">
        <v>5.9079542939641287E-2</v>
      </c>
      <c r="F52" s="46"/>
      <c r="G52" s="44"/>
      <c r="H52" s="44"/>
      <c r="I52" s="45"/>
      <c r="J52" s="46"/>
      <c r="K52" s="46"/>
      <c r="L52" s="46"/>
      <c r="M52" s="45"/>
      <c r="N52" s="46"/>
      <c r="O52" s="47"/>
    </row>
    <row r="53" spans="1:15" ht="15.75" thickBot="1" x14ac:dyDescent="0.3"/>
    <row r="54" spans="1:15" ht="15.75" thickBot="1" x14ac:dyDescent="0.3">
      <c r="A54" s="58" t="s">
        <v>61</v>
      </c>
      <c r="B54" t="s">
        <v>66</v>
      </c>
      <c r="G54" s="5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autoPict="0" r:id="rId5">
            <anchor moveWithCells="1">
              <from>
                <xdr:col>10</xdr:col>
                <xdr:colOff>190500</xdr:colOff>
                <xdr:row>17</xdr:row>
                <xdr:rowOff>38100</xdr:rowOff>
              </from>
              <to>
                <xdr:col>12</xdr:col>
                <xdr:colOff>142875</xdr:colOff>
                <xdr:row>19</xdr:row>
                <xdr:rowOff>123825</xdr:rowOff>
              </to>
            </anchor>
          </objectPr>
        </oleObject>
      </mc:Choice>
      <mc:Fallback>
        <oleObject progId="Word.Document.12" shapeId="2049" r:id="rId4"/>
      </mc:Fallback>
    </mc:AlternateContent>
  </oleObjects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stocazzo</vt:lpstr>
      <vt:lpstr>winter_rec</vt:lpstr>
      <vt:lpstr>Error_propagation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2017-06-26T07:36:04Z</dcterms:created>
  <dcterms:modified xsi:type="dcterms:W3CDTF">2017-08-14T10:51:15Z</dcterms:modified>
</cp:coreProperties>
</file>