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9CD8DE25-3AD3-4940-88A4-0E138389A245}" xr6:coauthVersionLast="43" xr6:coauthVersionMax="43" xr10:uidLastSave="{00000000-0000-0000-0000-000000000000}"/>
  <bookViews>
    <workbookView xWindow="0" yWindow="0" windowWidth="25600" windowHeight="16000" activeTab="3" xr2:uid="{392C2453-E47A-3548-8320-C75D9244874E}"/>
  </bookViews>
  <sheets>
    <sheet name="Summary" sheetId="10" r:id="rId1"/>
    <sheet name="Summary (2)" sheetId="43" r:id="rId2"/>
    <sheet name="Master" sheetId="38" r:id="rId3"/>
    <sheet name="GasProd" sheetId="22" r:id="rId4"/>
    <sheet name="Imports" sheetId="23" r:id="rId5"/>
    <sheet name="0 -0.1" sheetId="24" r:id="rId6"/>
    <sheet name="0 -0.3" sheetId="14" r:id="rId7"/>
    <sheet name="0 -0.5" sheetId="2" r:id="rId8"/>
    <sheet name="0 -1" sheetId="15" r:id="rId9"/>
    <sheet name="-0.1 -0.1" sheetId="21" r:id="rId10"/>
    <sheet name="-0.1 -0.3" sheetId="26" r:id="rId11"/>
    <sheet name="-0.1 -0.5" sheetId="27" r:id="rId12"/>
    <sheet name="-0.1 -1" sheetId="28" r:id="rId13"/>
    <sheet name="-0.3 -0.1" sheetId="29" r:id="rId14"/>
    <sheet name="-0.3 -0.3" sheetId="30" r:id="rId15"/>
    <sheet name="-0.3 -0.5" sheetId="31" r:id="rId16"/>
    <sheet name="-0.3 -1" sheetId="32" r:id="rId17"/>
    <sheet name="-0.5 -0.1" sheetId="33" r:id="rId18"/>
    <sheet name="-0.5 -0.3" sheetId="34" r:id="rId19"/>
    <sheet name="-0.5 -0.5" sheetId="35" r:id="rId20"/>
    <sheet name="-0.5 -1" sheetId="36" r:id="rId21"/>
    <sheet name="Parameters" sheetId="5" r:id="rId22"/>
    <sheet name="NYCA" sheetId="3" r:id="rId23"/>
    <sheet name="Gas Gen" sheetId="4" r:id="rId24"/>
    <sheet name="Supply Curves" sheetId="6" r:id="rId25"/>
    <sheet name="SupplyCurvesAux" sheetId="7" r:id="rId26"/>
    <sheet name="LoadProf" sheetId="8" r:id="rId27"/>
    <sheet name="DescPricLoad" sheetId="9" r:id="rId28"/>
    <sheet name="DescImports" sheetId="40" r:id="rId29"/>
    <sheet name="DescNGPri" sheetId="42" r:id="rId30"/>
  </sheets>
  <externalReferences>
    <externalReference r:id="rId31"/>
  </externalReferences>
  <definedNames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3">#REF!</definedName>
    <definedName name="_2014_eGRID_Subregion_File" localSheetId="14">#REF!</definedName>
    <definedName name="_2014_eGRID_Subregion_File" localSheetId="15">#REF!</definedName>
    <definedName name="_2014_eGRID_Subregion_File" localSheetId="16">#REF!</definedName>
    <definedName name="_2014_eGRID_Subregion_File" localSheetId="17">#REF!</definedName>
    <definedName name="_2014_eGRID_Subregion_File" localSheetId="18">#REF!</definedName>
    <definedName name="_2014_eGRID_Subregion_File" localSheetId="19">#REF!</definedName>
    <definedName name="_2014_eGRID_Subregion_File" localSheetId="20">#REF!</definedName>
    <definedName name="_2014_eGRID_Subregion_File" localSheetId="5">#REF!</definedName>
    <definedName name="_2014_eGRID_Subregion_File" localSheetId="6">#REF!</definedName>
    <definedName name="_2014_eGRID_Subregion_File" localSheetId="8">#REF!</definedName>
    <definedName name="_2014_eGRID_Subregion_File" localSheetId="28">#REF!</definedName>
    <definedName name="_2014_eGRID_Subregion_File" localSheetId="29">#REF!</definedName>
    <definedName name="_2014_eGRID_Subregion_File" localSheetId="1">#REF!</definedName>
    <definedName name="_2014_eGRID_Subregion_File" localSheetId="25">#REF!</definedName>
    <definedName name="_2014_eGRID_Subregion_File">#REF!</definedName>
    <definedName name="_xlnm._FilterDatabase" localSheetId="24" hidden="1">'Supply Curves'!$D$1:$I$1</definedName>
    <definedName name="_xlchart.v1.0" hidden="1">LoadProf!$A$1:$A$168</definedName>
    <definedName name="_xlchart.v1.1" hidden="1">LoadProf!$D$1:$D$168</definedName>
    <definedName name="_xlchart.v1.2" hidden="1">LoadProf!$A$1:$A$168</definedName>
    <definedName name="_xlchart.v1.3" hidden="1">LoadProf!$D$1:$D$168</definedName>
    <definedName name="_xlchart.v1.4" hidden="1">LoadProf!$A$1:$A$168</definedName>
    <definedName name="_xlchart.v1.5" hidden="1">LoadProf!$D$1:$D$168</definedName>
    <definedName name="_xlchart.v1.6" hidden="1">LoadProf!$A$1:$A$168</definedName>
    <definedName name="_xlchart.v1.7" hidden="1">LoadProf!$D$1:$D$168</definedName>
    <definedName name="_xlchart.v1.8" hidden="1">LoadProf!$A$1:$A$168</definedName>
    <definedName name="_xlchart.v1.9" hidden="1">LoadProf!$D$1:$D$168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3">#REF!</definedName>
    <definedName name="plant_final" localSheetId="14">#REF!</definedName>
    <definedName name="plant_final" localSheetId="15">#REF!</definedName>
    <definedName name="plant_final" localSheetId="16">#REF!</definedName>
    <definedName name="plant_final" localSheetId="17">#REF!</definedName>
    <definedName name="plant_final" localSheetId="18">#REF!</definedName>
    <definedName name="plant_final" localSheetId="19">#REF!</definedName>
    <definedName name="plant_final" localSheetId="20">#REF!</definedName>
    <definedName name="plant_final" localSheetId="5">#REF!</definedName>
    <definedName name="plant_final" localSheetId="6">#REF!</definedName>
    <definedName name="plant_final" localSheetId="8">#REF!</definedName>
    <definedName name="plant_final" localSheetId="28">#REF!</definedName>
    <definedName name="plant_final" localSheetId="29">#REF!</definedName>
    <definedName name="plant_final" localSheetId="1">#REF!</definedName>
    <definedName name="plant_final" localSheetId="25">#REF!</definedName>
    <definedName name="plant_final">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3">[1]Contents!#REF!</definedName>
    <definedName name="Renewable_and_Non_Renewable_Generation" localSheetId="14">[1]Contents!#REF!</definedName>
    <definedName name="Renewable_and_Non_Renewable_Generation" localSheetId="15">[1]Contents!#REF!</definedName>
    <definedName name="Renewable_and_Non_Renewable_Generation" localSheetId="16">[1]Contents!#REF!</definedName>
    <definedName name="Renewable_and_Non_Renewable_Generation" localSheetId="17">[1]Contents!#REF!</definedName>
    <definedName name="Renewable_and_Non_Renewable_Generation" localSheetId="18">[1]Contents!#REF!</definedName>
    <definedName name="Renewable_and_Non_Renewable_Generation" localSheetId="19">[1]Contents!#REF!</definedName>
    <definedName name="Renewable_and_Non_Renewable_Generation" localSheetId="20">[1]Contents!#REF!</definedName>
    <definedName name="Renewable_and_Non_Renewable_Generation" localSheetId="5">[1]Contents!#REF!</definedName>
    <definedName name="Renewable_and_Non_Renewable_Generation" localSheetId="6">[1]Contents!#REF!</definedName>
    <definedName name="Renewable_and_Non_Renewable_Generation" localSheetId="8">[1]Contents!#REF!</definedName>
    <definedName name="Renewable_and_Non_Renewable_Generation" localSheetId="28">[1]Contents!#REF!</definedName>
    <definedName name="Renewable_and_Non_Renewable_Generation" localSheetId="29">[1]Contents!#REF!</definedName>
    <definedName name="Renewable_and_Non_Renewable_Generation" localSheetId="1">[1]Contents!#REF!</definedName>
    <definedName name="Renewable_and_Non_Renewable_Generation" localSheetId="25">[1]Contents!#REF!</definedName>
    <definedName name="Renewable_and_Non_Renewable_Generation">[1]Contents!#REF!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 localSheetId="13">#REF!</definedName>
    <definedName name="What" localSheetId="14">#REF!</definedName>
    <definedName name="What" localSheetId="15">#REF!</definedName>
    <definedName name="What" localSheetId="16">#REF!</definedName>
    <definedName name="What" localSheetId="17">#REF!</definedName>
    <definedName name="What" localSheetId="18">#REF!</definedName>
    <definedName name="What" localSheetId="19">#REF!</definedName>
    <definedName name="What" localSheetId="20">#REF!</definedName>
    <definedName name="What" localSheetId="5">#REF!</definedName>
    <definedName name="What" localSheetId="28">#REF!</definedName>
    <definedName name="What" localSheetId="29">#REF!</definedName>
    <definedName name="What" localSheetId="1">#REF!</definedName>
    <definedName name="What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 localSheetId="13">#REF!</definedName>
    <definedName name="what2" localSheetId="14">#REF!</definedName>
    <definedName name="what2" localSheetId="15">#REF!</definedName>
    <definedName name="what2" localSheetId="16">#REF!</definedName>
    <definedName name="what2" localSheetId="17">#REF!</definedName>
    <definedName name="what2" localSheetId="18">#REF!</definedName>
    <definedName name="what2" localSheetId="19">#REF!</definedName>
    <definedName name="what2" localSheetId="20">#REF!</definedName>
    <definedName name="what2" localSheetId="5">#REF!</definedName>
    <definedName name="what2" localSheetId="28">#REF!</definedName>
    <definedName name="what2" localSheetId="29">#REF!</definedName>
    <definedName name="what2" localSheetId="1">#REF!</definedName>
    <definedName name="what2">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 localSheetId="13">[1]Contents!#REF!</definedName>
    <definedName name="What3" localSheetId="14">[1]Contents!#REF!</definedName>
    <definedName name="What3" localSheetId="15">[1]Contents!#REF!</definedName>
    <definedName name="What3" localSheetId="16">[1]Contents!#REF!</definedName>
    <definedName name="What3" localSheetId="17">[1]Contents!#REF!</definedName>
    <definedName name="What3" localSheetId="18">[1]Contents!#REF!</definedName>
    <definedName name="What3" localSheetId="19">[1]Contents!#REF!</definedName>
    <definedName name="What3" localSheetId="20">[1]Contents!#REF!</definedName>
    <definedName name="What3" localSheetId="5">[1]Contents!#REF!</definedName>
    <definedName name="What3" localSheetId="28">[1]Contents!#REF!</definedName>
    <definedName name="What3" localSheetId="29">[1]Contents!#REF!</definedName>
    <definedName name="What3" localSheetId="1">[1]Contents!#REF!</definedName>
    <definedName name="What3">[1]Contents!#REF!</definedName>
    <definedName name="what5" localSheetId="9">#REF!</definedName>
    <definedName name="what5" localSheetId="10">#REF!</definedName>
    <definedName name="what5" localSheetId="11">#REF!</definedName>
    <definedName name="what5" localSheetId="12">#REF!</definedName>
    <definedName name="what5" localSheetId="13">#REF!</definedName>
    <definedName name="what5" localSheetId="14">#REF!</definedName>
    <definedName name="what5" localSheetId="15">#REF!</definedName>
    <definedName name="what5" localSheetId="16">#REF!</definedName>
    <definedName name="what5" localSheetId="17">#REF!</definedName>
    <definedName name="what5" localSheetId="18">#REF!</definedName>
    <definedName name="what5" localSheetId="19">#REF!</definedName>
    <definedName name="what5" localSheetId="20">#REF!</definedName>
    <definedName name="what5" localSheetId="5">#REF!</definedName>
    <definedName name="what5" localSheetId="28">#REF!</definedName>
    <definedName name="what5" localSheetId="29">#REF!</definedName>
    <definedName name="what5" localSheetId="1">#REF!</definedName>
    <definedName name="what5">#REF!</definedName>
    <definedName name="what6" localSheetId="9">#REF!</definedName>
    <definedName name="what6" localSheetId="10">#REF!</definedName>
    <definedName name="what6" localSheetId="11">#REF!</definedName>
    <definedName name="what6" localSheetId="12">#REF!</definedName>
    <definedName name="what6" localSheetId="13">#REF!</definedName>
    <definedName name="what6" localSheetId="14">#REF!</definedName>
    <definedName name="what6" localSheetId="15">#REF!</definedName>
    <definedName name="what6" localSheetId="16">#REF!</definedName>
    <definedName name="what6" localSheetId="17">#REF!</definedName>
    <definedName name="what6" localSheetId="18">#REF!</definedName>
    <definedName name="what6" localSheetId="19">#REF!</definedName>
    <definedName name="what6" localSheetId="20">#REF!</definedName>
    <definedName name="what6" localSheetId="5">#REF!</definedName>
    <definedName name="what6" localSheetId="28">#REF!</definedName>
    <definedName name="what6" localSheetId="29">#REF!</definedName>
    <definedName name="what6" localSheetId="1">#REF!</definedName>
    <definedName name="what6">#REF!</definedName>
    <definedName name="what7" localSheetId="9">[1]Contents!#REF!</definedName>
    <definedName name="what7" localSheetId="10">[1]Contents!#REF!</definedName>
    <definedName name="what7" localSheetId="11">[1]Contents!#REF!</definedName>
    <definedName name="what7" localSheetId="12">[1]Contents!#REF!</definedName>
    <definedName name="what7" localSheetId="13">[1]Contents!#REF!</definedName>
    <definedName name="what7" localSheetId="14">[1]Contents!#REF!</definedName>
    <definedName name="what7" localSheetId="15">[1]Contents!#REF!</definedName>
    <definedName name="what7" localSheetId="16">[1]Contents!#REF!</definedName>
    <definedName name="what7" localSheetId="17">[1]Contents!#REF!</definedName>
    <definedName name="what7" localSheetId="18">[1]Contents!#REF!</definedName>
    <definedName name="what7" localSheetId="19">[1]Contents!#REF!</definedName>
    <definedName name="what7" localSheetId="20">[1]Contents!#REF!</definedName>
    <definedName name="what7" localSheetId="5">[1]Contents!#REF!</definedName>
    <definedName name="what7" localSheetId="28">[1]Contents!#REF!</definedName>
    <definedName name="what7" localSheetId="29">[1]Contents!#REF!</definedName>
    <definedName name="what7" localSheetId="1">[1]Contents!#REF!</definedName>
    <definedName name="what7">[1]Contents!#REF!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4" l="1"/>
  <c r="H12" i="4"/>
  <c r="G37" i="24"/>
  <c r="G37" i="14"/>
  <c r="G37" i="2"/>
  <c r="G37" i="15"/>
  <c r="G37" i="21"/>
  <c r="G37" i="26"/>
  <c r="G37" i="27"/>
  <c r="G37" i="28"/>
  <c r="M25" i="10"/>
  <c r="N25" i="10"/>
  <c r="O25" i="10"/>
  <c r="P25" i="10"/>
  <c r="Q25" i="10"/>
  <c r="R25" i="10"/>
  <c r="S25" i="10"/>
  <c r="T25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E24" i="10"/>
  <c r="M23" i="10"/>
  <c r="N23" i="10"/>
  <c r="O23" i="10"/>
  <c r="P23" i="10"/>
  <c r="Q23" i="10"/>
  <c r="R23" i="10"/>
  <c r="S23" i="10"/>
  <c r="T23" i="10"/>
  <c r="G37" i="36"/>
  <c r="G37" i="35"/>
  <c r="G37" i="34"/>
  <c r="G34" i="34"/>
  <c r="G37" i="33"/>
  <c r="G37" i="32"/>
  <c r="G37" i="31"/>
  <c r="G37" i="30"/>
  <c r="G37" i="29"/>
  <c r="G28" i="15" l="1"/>
  <c r="E8" i="43"/>
  <c r="N28" i="15"/>
  <c r="N27" i="15" s="1"/>
  <c r="N28" i="24"/>
  <c r="N27" i="24" s="1"/>
  <c r="N28" i="2"/>
  <c r="N27" i="2" s="1"/>
  <c r="N27" i="14"/>
  <c r="N28" i="14"/>
  <c r="N30" i="14"/>
  <c r="G28" i="2"/>
  <c r="G6" i="43" s="1"/>
  <c r="G28" i="24"/>
  <c r="F37" i="24"/>
  <c r="G23" i="24"/>
  <c r="F37" i="15"/>
  <c r="F37" i="2"/>
  <c r="D8" i="43" s="1"/>
  <c r="G45" i="15"/>
  <c r="G42" i="15"/>
  <c r="H14" i="43" s="1"/>
  <c r="G39" i="15"/>
  <c r="G34" i="15"/>
  <c r="G33" i="15"/>
  <c r="G30" i="15" s="1"/>
  <c r="H9" i="43" s="1"/>
  <c r="G32" i="15"/>
  <c r="G31" i="15"/>
  <c r="G24" i="15"/>
  <c r="G22" i="15"/>
  <c r="G23" i="15" s="1"/>
  <c r="G45" i="2"/>
  <c r="G42" i="2"/>
  <c r="G43" i="2" s="1"/>
  <c r="G15" i="43" s="1"/>
  <c r="G39" i="2"/>
  <c r="G34" i="2"/>
  <c r="G33" i="2"/>
  <c r="G30" i="2" s="1"/>
  <c r="G9" i="43" s="1"/>
  <c r="G32" i="2"/>
  <c r="G31" i="2"/>
  <c r="G24" i="2"/>
  <c r="G22" i="2"/>
  <c r="G23" i="2" s="1"/>
  <c r="G8" i="43" s="1"/>
  <c r="M55" i="43"/>
  <c r="M54" i="43"/>
  <c r="M53" i="43"/>
  <c r="M52" i="43"/>
  <c r="P44" i="43"/>
  <c r="P51" i="43" s="1"/>
  <c r="O44" i="43"/>
  <c r="O51" i="43" s="1"/>
  <c r="G42" i="43"/>
  <c r="F42" i="43"/>
  <c r="C42" i="43"/>
  <c r="F38" i="43"/>
  <c r="E38" i="43"/>
  <c r="P37" i="43"/>
  <c r="H37" i="43"/>
  <c r="E37" i="43"/>
  <c r="D37" i="43"/>
  <c r="G35" i="43"/>
  <c r="F35" i="43"/>
  <c r="D35" i="43"/>
  <c r="P34" i="43"/>
  <c r="D34" i="43"/>
  <c r="F32" i="43"/>
  <c r="E32" i="43"/>
  <c r="C31" i="43"/>
  <c r="C38" i="43" s="1"/>
  <c r="M30" i="43"/>
  <c r="M29" i="43"/>
  <c r="F29" i="43"/>
  <c r="L28" i="43"/>
  <c r="H27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T19" i="43"/>
  <c r="S19" i="43"/>
  <c r="R19" i="43"/>
  <c r="Q19" i="43"/>
  <c r="P19" i="43"/>
  <c r="O19" i="43"/>
  <c r="N19" i="43"/>
  <c r="M19" i="43"/>
  <c r="L19" i="43"/>
  <c r="H42" i="43" s="1"/>
  <c r="K19" i="43"/>
  <c r="J19" i="43"/>
  <c r="I19" i="43"/>
  <c r="E42" i="43" s="1"/>
  <c r="H19" i="43"/>
  <c r="G19" i="43"/>
  <c r="E19" i="43"/>
  <c r="D19" i="43"/>
  <c r="D42" i="43" s="1"/>
  <c r="C19" i="43"/>
  <c r="T15" i="43"/>
  <c r="S15" i="43"/>
  <c r="R15" i="43"/>
  <c r="Q15" i="43"/>
  <c r="P15" i="43"/>
  <c r="O15" i="43"/>
  <c r="N15" i="43"/>
  <c r="M15" i="43"/>
  <c r="L15" i="43"/>
  <c r="H38" i="43" s="1"/>
  <c r="K15" i="43"/>
  <c r="G38" i="43" s="1"/>
  <c r="J15" i="43"/>
  <c r="I15" i="43"/>
  <c r="E15" i="43"/>
  <c r="D15" i="43"/>
  <c r="D38" i="43" s="1"/>
  <c r="T14" i="43"/>
  <c r="S14" i="43"/>
  <c r="R14" i="43"/>
  <c r="Q14" i="43"/>
  <c r="P14" i="43"/>
  <c r="O14" i="43"/>
  <c r="N14" i="43"/>
  <c r="M14" i="43"/>
  <c r="L14" i="43"/>
  <c r="K14" i="43"/>
  <c r="G37" i="43" s="1"/>
  <c r="J14" i="43"/>
  <c r="F37" i="43" s="1"/>
  <c r="I14" i="43"/>
  <c r="E14" i="43"/>
  <c r="D14" i="43"/>
  <c r="C14" i="43"/>
  <c r="C37" i="43" s="1"/>
  <c r="T12" i="43"/>
  <c r="S12" i="43"/>
  <c r="R12" i="43"/>
  <c r="Q12" i="43"/>
  <c r="P12" i="43"/>
  <c r="O12" i="43"/>
  <c r="N12" i="43"/>
  <c r="M12" i="43"/>
  <c r="L12" i="43"/>
  <c r="H35" i="43" s="1"/>
  <c r="K12" i="43"/>
  <c r="J12" i="43"/>
  <c r="I12" i="43"/>
  <c r="E35" i="43" s="1"/>
  <c r="T11" i="43"/>
  <c r="S11" i="43"/>
  <c r="R11" i="43"/>
  <c r="Q11" i="43"/>
  <c r="P11" i="43"/>
  <c r="O11" i="43"/>
  <c r="N11" i="43"/>
  <c r="M11" i="43"/>
  <c r="L11" i="43"/>
  <c r="H34" i="43" s="1"/>
  <c r="K11" i="43"/>
  <c r="G34" i="43" s="1"/>
  <c r="J11" i="43"/>
  <c r="F34" i="43" s="1"/>
  <c r="I11" i="43"/>
  <c r="E34" i="43" s="1"/>
  <c r="H11" i="43"/>
  <c r="G11" i="43"/>
  <c r="E11" i="43"/>
  <c r="T9" i="43"/>
  <c r="S9" i="43"/>
  <c r="Q9" i="43"/>
  <c r="P9" i="43"/>
  <c r="O9" i="43"/>
  <c r="N9" i="43"/>
  <c r="M9" i="43"/>
  <c r="L9" i="43"/>
  <c r="H32" i="43" s="1"/>
  <c r="K9" i="43"/>
  <c r="G32" i="43" s="1"/>
  <c r="J9" i="43"/>
  <c r="I9" i="43"/>
  <c r="E9" i="43"/>
  <c r="D9" i="43"/>
  <c r="D32" i="43" s="1"/>
  <c r="T8" i="43"/>
  <c r="T17" i="43" s="1"/>
  <c r="S8" i="43"/>
  <c r="R8" i="43"/>
  <c r="Q8" i="43"/>
  <c r="P8" i="43"/>
  <c r="O8" i="43"/>
  <c r="N8" i="43"/>
  <c r="M8" i="43"/>
  <c r="L8" i="43"/>
  <c r="H31" i="43" s="1"/>
  <c r="K8" i="43"/>
  <c r="G31" i="43" s="1"/>
  <c r="J8" i="43"/>
  <c r="F31" i="43" s="1"/>
  <c r="I8" i="43"/>
  <c r="E31" i="43" s="1"/>
  <c r="C8" i="43"/>
  <c r="C15" i="43" s="1"/>
  <c r="T6" i="43"/>
  <c r="S6" i="43"/>
  <c r="R6" i="43"/>
  <c r="Q6" i="43"/>
  <c r="P6" i="43"/>
  <c r="O6" i="43"/>
  <c r="N6" i="43"/>
  <c r="M6" i="43"/>
  <c r="L6" i="43"/>
  <c r="H29" i="43" s="1"/>
  <c r="K6" i="43"/>
  <c r="G29" i="43" s="1"/>
  <c r="J6" i="43"/>
  <c r="I6" i="43"/>
  <c r="E29" i="43" s="1"/>
  <c r="E6" i="43"/>
  <c r="C6" i="43"/>
  <c r="C29" i="43" s="1"/>
  <c r="L4" i="43"/>
  <c r="P4" i="43" s="1"/>
  <c r="T4" i="43" s="1"/>
  <c r="K4" i="43"/>
  <c r="K28" i="43" s="1"/>
  <c r="J4" i="43"/>
  <c r="J28" i="43" s="1"/>
  <c r="I4" i="43"/>
  <c r="N44" i="43" s="1"/>
  <c r="N51" i="43" s="1"/>
  <c r="J34" i="36"/>
  <c r="J33" i="36"/>
  <c r="J32" i="36"/>
  <c r="J31" i="36"/>
  <c r="J30" i="36"/>
  <c r="J34" i="35"/>
  <c r="J33" i="35"/>
  <c r="J32" i="35"/>
  <c r="J31" i="35"/>
  <c r="J30" i="35"/>
  <c r="J34" i="34"/>
  <c r="J33" i="34"/>
  <c r="J32" i="34"/>
  <c r="J31" i="34"/>
  <c r="J30" i="34"/>
  <c r="J34" i="33"/>
  <c r="J33" i="33"/>
  <c r="J32" i="33"/>
  <c r="J31" i="33"/>
  <c r="J30" i="33"/>
  <c r="J34" i="32"/>
  <c r="J33" i="32"/>
  <c r="J32" i="32"/>
  <c r="J31" i="32"/>
  <c r="J30" i="32"/>
  <c r="J34" i="31"/>
  <c r="J33" i="31"/>
  <c r="J32" i="31"/>
  <c r="J31" i="31"/>
  <c r="J30" i="31"/>
  <c r="J34" i="30"/>
  <c r="J33" i="30"/>
  <c r="J32" i="30"/>
  <c r="J31" i="30"/>
  <c r="J30" i="30"/>
  <c r="J34" i="29"/>
  <c r="J33" i="29"/>
  <c r="J32" i="29"/>
  <c r="J31" i="29"/>
  <c r="J30" i="29"/>
  <c r="J34" i="28"/>
  <c r="J33" i="28"/>
  <c r="J32" i="28"/>
  <c r="J31" i="28"/>
  <c r="J30" i="28"/>
  <c r="J34" i="27"/>
  <c r="J33" i="27"/>
  <c r="J32" i="27"/>
  <c r="J31" i="27"/>
  <c r="J30" i="27"/>
  <c r="J34" i="26"/>
  <c r="J33" i="26"/>
  <c r="J32" i="26"/>
  <c r="J31" i="26"/>
  <c r="J30" i="26"/>
  <c r="J34" i="21"/>
  <c r="J33" i="21"/>
  <c r="J32" i="21"/>
  <c r="J31" i="21"/>
  <c r="J30" i="21"/>
  <c r="J34" i="15"/>
  <c r="J33" i="15"/>
  <c r="J32" i="15"/>
  <c r="J31" i="15"/>
  <c r="J30" i="15"/>
  <c r="J34" i="2"/>
  <c r="J33" i="2"/>
  <c r="J32" i="2"/>
  <c r="J31" i="2"/>
  <c r="J30" i="2"/>
  <c r="J34" i="24"/>
  <c r="J33" i="24"/>
  <c r="J32" i="24"/>
  <c r="J31" i="24"/>
  <c r="J30" i="24"/>
  <c r="I2" i="7"/>
  <c r="C8" i="42"/>
  <c r="H8" i="43" l="1"/>
  <c r="H6" i="43"/>
  <c r="G43" i="15"/>
  <c r="H15" i="43" s="1"/>
  <c r="G14" i="43"/>
  <c r="C17" i="43"/>
  <c r="C40" i="43" s="1"/>
  <c r="C21" i="43"/>
  <c r="M4" i="43"/>
  <c r="Q4" i="43" s="1"/>
  <c r="K17" i="43"/>
  <c r="O17" i="43"/>
  <c r="S17" i="43"/>
  <c r="N4" i="43"/>
  <c r="R4" i="43" s="1"/>
  <c r="I28" i="43"/>
  <c r="O4" i="43"/>
  <c r="S4" i="43" s="1"/>
  <c r="I17" i="43"/>
  <c r="M17" i="43"/>
  <c r="Q17" i="43"/>
  <c r="F27" i="43"/>
  <c r="D31" i="43"/>
  <c r="Q44" i="43"/>
  <c r="Q51" i="43" s="1"/>
  <c r="L17" i="43"/>
  <c r="P17" i="43"/>
  <c r="E27" i="43"/>
  <c r="J17" i="43"/>
  <c r="N17" i="43"/>
  <c r="G27" i="43"/>
  <c r="Q55" i="43" l="1"/>
  <c r="Q48" i="43"/>
  <c r="O47" i="43"/>
  <c r="O54" i="43"/>
  <c r="Q47" i="43"/>
  <c r="Q54" i="43"/>
  <c r="G40" i="43"/>
  <c r="P46" i="43"/>
  <c r="K30" i="43"/>
  <c r="P53" i="43"/>
  <c r="O53" i="43"/>
  <c r="O46" i="43"/>
  <c r="F40" i="43"/>
  <c r="J30" i="43"/>
  <c r="N55" i="43"/>
  <c r="N48" i="43"/>
  <c r="N53" i="43"/>
  <c r="E40" i="43"/>
  <c r="N46" i="43"/>
  <c r="I30" i="43"/>
  <c r="P54" i="43"/>
  <c r="P47" i="43"/>
  <c r="Q46" i="43"/>
  <c r="L30" i="43"/>
  <c r="Q53" i="43"/>
  <c r="H40" i="43"/>
  <c r="N54" i="43"/>
  <c r="N47" i="43"/>
  <c r="P55" i="43"/>
  <c r="P48" i="43"/>
  <c r="C8" i="40" l="1"/>
  <c r="C41" i="36"/>
  <c r="C42" i="36"/>
  <c r="C41" i="35"/>
  <c r="C42" i="35"/>
  <c r="C41" i="34"/>
  <c r="C42" i="34"/>
  <c r="C41" i="33"/>
  <c r="C42" i="33"/>
  <c r="C41" i="32"/>
  <c r="C42" i="32"/>
  <c r="C41" i="31"/>
  <c r="C42" i="31"/>
  <c r="C41" i="30"/>
  <c r="C42" i="30"/>
  <c r="C42" i="29"/>
  <c r="C41" i="29"/>
  <c r="C41" i="28"/>
  <c r="C42" i="28"/>
  <c r="C41" i="27"/>
  <c r="C42" i="27"/>
  <c r="C41" i="26"/>
  <c r="C42" i="26"/>
  <c r="C41" i="21"/>
  <c r="C42" i="21"/>
  <c r="C39" i="2"/>
  <c r="C41" i="15"/>
  <c r="C42" i="15"/>
  <c r="C41" i="2"/>
  <c r="C42" i="2"/>
  <c r="C41" i="14"/>
  <c r="C42" i="14"/>
  <c r="C41" i="24"/>
  <c r="C42" i="24"/>
  <c r="H47" i="36"/>
  <c r="G47" i="36"/>
  <c r="T21" i="10" s="1"/>
  <c r="N36" i="36"/>
  <c r="M36" i="36"/>
  <c r="G33" i="36"/>
  <c r="H47" i="35"/>
  <c r="F37" i="35"/>
  <c r="M36" i="35"/>
  <c r="F34" i="35"/>
  <c r="H47" i="34"/>
  <c r="F37" i="34"/>
  <c r="M36" i="34"/>
  <c r="F34" i="34"/>
  <c r="G32" i="34"/>
  <c r="F31" i="34"/>
  <c r="F30" i="34" s="1"/>
  <c r="H47" i="33"/>
  <c r="F37" i="33"/>
  <c r="M36" i="33"/>
  <c r="G32" i="33"/>
  <c r="H47" i="32"/>
  <c r="F37" i="32"/>
  <c r="M36" i="32"/>
  <c r="F34" i="32"/>
  <c r="G32" i="32"/>
  <c r="F31" i="32"/>
  <c r="F30" i="32" s="1"/>
  <c r="H47" i="31"/>
  <c r="G39" i="31"/>
  <c r="M36" i="31"/>
  <c r="G34" i="31"/>
  <c r="N32" i="31"/>
  <c r="G31" i="31"/>
  <c r="H47" i="30"/>
  <c r="G47" i="30"/>
  <c r="N21" i="10" s="1"/>
  <c r="M36" i="30"/>
  <c r="G33" i="30"/>
  <c r="H47" i="29"/>
  <c r="G39" i="29"/>
  <c r="N32" i="29" s="1"/>
  <c r="M36" i="29"/>
  <c r="H47" i="28"/>
  <c r="G47" i="28"/>
  <c r="N36" i="28" s="1"/>
  <c r="M36" i="28"/>
  <c r="H47" i="27"/>
  <c r="F37" i="27"/>
  <c r="F28" i="27" s="1"/>
  <c r="M36" i="27"/>
  <c r="G34" i="27"/>
  <c r="F33" i="27"/>
  <c r="F32" i="27"/>
  <c r="F31" i="27"/>
  <c r="F30" i="27" s="1"/>
  <c r="G28" i="27"/>
  <c r="H47" i="26"/>
  <c r="G47" i="26"/>
  <c r="J21" i="10" s="1"/>
  <c r="M36" i="26"/>
  <c r="G33" i="26"/>
  <c r="M36" i="21"/>
  <c r="H47" i="21"/>
  <c r="G22" i="24"/>
  <c r="C27" i="36"/>
  <c r="C28" i="36"/>
  <c r="C29" i="36"/>
  <c r="C30" i="36"/>
  <c r="C32" i="36"/>
  <c r="C33" i="36"/>
  <c r="C34" i="36"/>
  <c r="C35" i="36"/>
  <c r="C36" i="36"/>
  <c r="C37" i="36"/>
  <c r="C38" i="36"/>
  <c r="C39" i="36"/>
  <c r="C4" i="36"/>
  <c r="F33" i="36" s="1"/>
  <c r="C5" i="36"/>
  <c r="C6" i="36"/>
  <c r="C7" i="36"/>
  <c r="C8" i="36"/>
  <c r="F31" i="36" s="1"/>
  <c r="C9" i="36"/>
  <c r="C10" i="36"/>
  <c r="G31" i="36" s="1"/>
  <c r="C11" i="36"/>
  <c r="C12" i="36"/>
  <c r="F32" i="36" s="1"/>
  <c r="C13" i="36"/>
  <c r="C14" i="36"/>
  <c r="G32" i="36" s="1"/>
  <c r="C15" i="36"/>
  <c r="C16" i="36"/>
  <c r="F34" i="36" s="1"/>
  <c r="C17" i="36"/>
  <c r="C18" i="36"/>
  <c r="G34" i="36" s="1"/>
  <c r="C19" i="36"/>
  <c r="F42" i="36" s="1"/>
  <c r="F43" i="36" s="1"/>
  <c r="C20" i="36"/>
  <c r="G42" i="36" s="1"/>
  <c r="G43" i="36" s="1"/>
  <c r="N35" i="36" s="1"/>
  <c r="C21" i="36"/>
  <c r="F37" i="36" s="1"/>
  <c r="C22" i="36"/>
  <c r="C23" i="36"/>
  <c r="G39" i="36" s="1"/>
  <c r="N32" i="36" s="1"/>
  <c r="C24" i="36"/>
  <c r="C25" i="36"/>
  <c r="C26" i="36"/>
  <c r="C27" i="35"/>
  <c r="C28" i="35"/>
  <c r="C29" i="35"/>
  <c r="C30" i="35"/>
  <c r="G47" i="35" s="1"/>
  <c r="C32" i="35"/>
  <c r="C33" i="35"/>
  <c r="C34" i="35"/>
  <c r="C35" i="35"/>
  <c r="C36" i="35"/>
  <c r="C37" i="35"/>
  <c r="C38" i="35"/>
  <c r="C39" i="35"/>
  <c r="C4" i="35"/>
  <c r="F33" i="35" s="1"/>
  <c r="C5" i="35"/>
  <c r="C6" i="35"/>
  <c r="G33" i="35" s="1"/>
  <c r="C7" i="35"/>
  <c r="C8" i="35"/>
  <c r="F31" i="35" s="1"/>
  <c r="C9" i="35"/>
  <c r="C10" i="35"/>
  <c r="G31" i="35" s="1"/>
  <c r="C11" i="35"/>
  <c r="C12" i="35"/>
  <c r="F32" i="35" s="1"/>
  <c r="C13" i="35"/>
  <c r="C14" i="35"/>
  <c r="G32" i="35" s="1"/>
  <c r="C15" i="35"/>
  <c r="C16" i="35"/>
  <c r="C17" i="35"/>
  <c r="C18" i="35"/>
  <c r="G34" i="35" s="1"/>
  <c r="C19" i="35"/>
  <c r="F42" i="35" s="1"/>
  <c r="F43" i="35" s="1"/>
  <c r="C20" i="35"/>
  <c r="G42" i="35" s="1"/>
  <c r="G43" i="35" s="1"/>
  <c r="C21" i="35"/>
  <c r="C22" i="35"/>
  <c r="C23" i="35"/>
  <c r="G39" i="35" s="1"/>
  <c r="N32" i="35" s="1"/>
  <c r="C24" i="35"/>
  <c r="C25" i="35"/>
  <c r="C26" i="35"/>
  <c r="C27" i="34"/>
  <c r="C28" i="34"/>
  <c r="C29" i="34"/>
  <c r="C30" i="34"/>
  <c r="G47" i="34" s="1"/>
  <c r="C32" i="34"/>
  <c r="C33" i="34"/>
  <c r="C34" i="34"/>
  <c r="C35" i="34"/>
  <c r="C36" i="34"/>
  <c r="C37" i="34"/>
  <c r="C38" i="34"/>
  <c r="C39" i="34"/>
  <c r="C4" i="34"/>
  <c r="F33" i="34" s="1"/>
  <c r="C5" i="34"/>
  <c r="C6" i="34"/>
  <c r="G33" i="34" s="1"/>
  <c r="C7" i="34"/>
  <c r="C8" i="34"/>
  <c r="C9" i="34"/>
  <c r="C10" i="34"/>
  <c r="G31" i="34" s="1"/>
  <c r="C11" i="34"/>
  <c r="C12" i="34"/>
  <c r="F32" i="34" s="1"/>
  <c r="C13" i="34"/>
  <c r="C14" i="34"/>
  <c r="C15" i="34"/>
  <c r="C16" i="34"/>
  <c r="C17" i="34"/>
  <c r="C18" i="34"/>
  <c r="C19" i="34"/>
  <c r="F42" i="34" s="1"/>
  <c r="F43" i="34" s="1"/>
  <c r="C20" i="34"/>
  <c r="G42" i="34" s="1"/>
  <c r="G43" i="34" s="1"/>
  <c r="C21" i="34"/>
  <c r="C22" i="34"/>
  <c r="C23" i="34"/>
  <c r="G39" i="34" s="1"/>
  <c r="N32" i="34" s="1"/>
  <c r="C24" i="34"/>
  <c r="C25" i="34"/>
  <c r="C26" i="34"/>
  <c r="C27" i="33"/>
  <c r="C28" i="33"/>
  <c r="C29" i="33"/>
  <c r="C30" i="33"/>
  <c r="G47" i="33" s="1"/>
  <c r="C32" i="33"/>
  <c r="C33" i="33"/>
  <c r="C34" i="33"/>
  <c r="C35" i="33"/>
  <c r="C36" i="33"/>
  <c r="C37" i="33"/>
  <c r="C38" i="33"/>
  <c r="C39" i="33"/>
  <c r="C4" i="33"/>
  <c r="F33" i="33" s="1"/>
  <c r="C5" i="33"/>
  <c r="C6" i="33"/>
  <c r="G33" i="33" s="1"/>
  <c r="C7" i="33"/>
  <c r="C8" i="33"/>
  <c r="F31" i="33" s="1"/>
  <c r="C9" i="33"/>
  <c r="C10" i="33"/>
  <c r="G31" i="33" s="1"/>
  <c r="C11" i="33"/>
  <c r="C12" i="33"/>
  <c r="F32" i="33" s="1"/>
  <c r="C13" i="33"/>
  <c r="C14" i="33"/>
  <c r="C15" i="33"/>
  <c r="C16" i="33"/>
  <c r="F34" i="33" s="1"/>
  <c r="C17" i="33"/>
  <c r="C18" i="33"/>
  <c r="G34" i="33" s="1"/>
  <c r="C19" i="33"/>
  <c r="F42" i="33" s="1"/>
  <c r="F43" i="33" s="1"/>
  <c r="C20" i="33"/>
  <c r="G42" i="33" s="1"/>
  <c r="G43" i="33" s="1"/>
  <c r="N35" i="33" s="1"/>
  <c r="C21" i="33"/>
  <c r="C22" i="33"/>
  <c r="C23" i="33"/>
  <c r="G39" i="33" s="1"/>
  <c r="N32" i="33" s="1"/>
  <c r="C24" i="33"/>
  <c r="C25" i="33"/>
  <c r="C26" i="33"/>
  <c r="C27" i="32"/>
  <c r="C28" i="32"/>
  <c r="C29" i="32"/>
  <c r="C30" i="32"/>
  <c r="G47" i="32" s="1"/>
  <c r="C32" i="32"/>
  <c r="C33" i="32"/>
  <c r="C34" i="32"/>
  <c r="C35" i="32"/>
  <c r="C36" i="32"/>
  <c r="C37" i="32"/>
  <c r="C38" i="32"/>
  <c r="C39" i="32"/>
  <c r="C4" i="32"/>
  <c r="F33" i="32" s="1"/>
  <c r="C5" i="32"/>
  <c r="C6" i="32"/>
  <c r="G33" i="32" s="1"/>
  <c r="C7" i="32"/>
  <c r="C8" i="32"/>
  <c r="C9" i="32"/>
  <c r="C10" i="32"/>
  <c r="G31" i="32" s="1"/>
  <c r="C11" i="32"/>
  <c r="C12" i="32"/>
  <c r="F32" i="32" s="1"/>
  <c r="C13" i="32"/>
  <c r="C14" i="32"/>
  <c r="C15" i="32"/>
  <c r="C16" i="32"/>
  <c r="C17" i="32"/>
  <c r="C18" i="32"/>
  <c r="G34" i="32" s="1"/>
  <c r="C19" i="32"/>
  <c r="F42" i="32" s="1"/>
  <c r="F43" i="32" s="1"/>
  <c r="C20" i="32"/>
  <c r="G42" i="32" s="1"/>
  <c r="G43" i="32" s="1"/>
  <c r="C21" i="32"/>
  <c r="C22" i="32"/>
  <c r="C23" i="32"/>
  <c r="G39" i="32" s="1"/>
  <c r="N32" i="32" s="1"/>
  <c r="C24" i="32"/>
  <c r="C25" i="32"/>
  <c r="C26" i="32"/>
  <c r="C27" i="31"/>
  <c r="C28" i="31"/>
  <c r="C29" i="31"/>
  <c r="C30" i="31"/>
  <c r="G47" i="31" s="1"/>
  <c r="C32" i="31"/>
  <c r="C33" i="31"/>
  <c r="C34" i="31"/>
  <c r="C35" i="31"/>
  <c r="C36" i="31"/>
  <c r="C37" i="31"/>
  <c r="C38" i="31"/>
  <c r="C39" i="31"/>
  <c r="C4" i="31"/>
  <c r="F33" i="31" s="1"/>
  <c r="C5" i="31"/>
  <c r="C6" i="31"/>
  <c r="G33" i="31" s="1"/>
  <c r="C7" i="31"/>
  <c r="C8" i="31"/>
  <c r="F31" i="31" s="1"/>
  <c r="C9" i="31"/>
  <c r="C10" i="31"/>
  <c r="C11" i="31"/>
  <c r="C12" i="31"/>
  <c r="F32" i="31" s="1"/>
  <c r="C13" i="31"/>
  <c r="C14" i="31"/>
  <c r="G32" i="31" s="1"/>
  <c r="C15" i="31"/>
  <c r="C16" i="31"/>
  <c r="F34" i="31" s="1"/>
  <c r="C17" i="31"/>
  <c r="C18" i="31"/>
  <c r="C19" i="31"/>
  <c r="F42" i="31" s="1"/>
  <c r="F43" i="31" s="1"/>
  <c r="C20" i="31"/>
  <c r="G42" i="31" s="1"/>
  <c r="G43" i="31" s="1"/>
  <c r="C21" i="31"/>
  <c r="F37" i="31" s="1"/>
  <c r="C22" i="31"/>
  <c r="C23" i="31"/>
  <c r="C24" i="31"/>
  <c r="C25" i="31"/>
  <c r="C26" i="31"/>
  <c r="C27" i="30"/>
  <c r="C28" i="30"/>
  <c r="C29" i="30"/>
  <c r="C30" i="30"/>
  <c r="C32" i="30"/>
  <c r="C33" i="30"/>
  <c r="C34" i="30"/>
  <c r="C35" i="30"/>
  <c r="C36" i="30"/>
  <c r="C37" i="30"/>
  <c r="C38" i="30"/>
  <c r="C39" i="30"/>
  <c r="C4" i="30"/>
  <c r="F33" i="30" s="1"/>
  <c r="C5" i="30"/>
  <c r="C6" i="30"/>
  <c r="C7" i="30"/>
  <c r="C8" i="30"/>
  <c r="F31" i="30" s="1"/>
  <c r="C9" i="30"/>
  <c r="C10" i="30"/>
  <c r="G31" i="30" s="1"/>
  <c r="C11" i="30"/>
  <c r="C12" i="30"/>
  <c r="F32" i="30" s="1"/>
  <c r="C13" i="30"/>
  <c r="C14" i="30"/>
  <c r="G32" i="30" s="1"/>
  <c r="C15" i="30"/>
  <c r="C16" i="30"/>
  <c r="F34" i="30" s="1"/>
  <c r="C17" i="30"/>
  <c r="C18" i="30"/>
  <c r="G34" i="30" s="1"/>
  <c r="C19" i="30"/>
  <c r="F42" i="30" s="1"/>
  <c r="F43" i="30" s="1"/>
  <c r="C20" i="30"/>
  <c r="G42" i="30" s="1"/>
  <c r="G43" i="30" s="1"/>
  <c r="C21" i="30"/>
  <c r="F37" i="30" s="1"/>
  <c r="C22" i="30"/>
  <c r="C23" i="30"/>
  <c r="G39" i="30" s="1"/>
  <c r="N32" i="30" s="1"/>
  <c r="C24" i="30"/>
  <c r="C25" i="30"/>
  <c r="C26" i="30"/>
  <c r="C27" i="29"/>
  <c r="C28" i="29"/>
  <c r="C29" i="29"/>
  <c r="C30" i="29"/>
  <c r="G47" i="29" s="1"/>
  <c r="C32" i="29"/>
  <c r="C33" i="29"/>
  <c r="C34" i="29"/>
  <c r="C35" i="29"/>
  <c r="C36" i="29"/>
  <c r="C37" i="29"/>
  <c r="C38" i="29"/>
  <c r="C39" i="29"/>
  <c r="C4" i="29"/>
  <c r="F33" i="29" s="1"/>
  <c r="C5" i="29"/>
  <c r="C6" i="29"/>
  <c r="G33" i="29" s="1"/>
  <c r="C7" i="29"/>
  <c r="C8" i="29"/>
  <c r="F31" i="29" s="1"/>
  <c r="C9" i="29"/>
  <c r="C10" i="29"/>
  <c r="G31" i="29" s="1"/>
  <c r="C11" i="29"/>
  <c r="C12" i="29"/>
  <c r="F32" i="29" s="1"/>
  <c r="C13" i="29"/>
  <c r="C14" i="29"/>
  <c r="G32" i="29" s="1"/>
  <c r="C15" i="29"/>
  <c r="C16" i="29"/>
  <c r="F34" i="29" s="1"/>
  <c r="C17" i="29"/>
  <c r="C18" i="29"/>
  <c r="G34" i="29" s="1"/>
  <c r="C19" i="29"/>
  <c r="F42" i="29" s="1"/>
  <c r="F43" i="29" s="1"/>
  <c r="C20" i="29"/>
  <c r="G42" i="29" s="1"/>
  <c r="G43" i="29" s="1"/>
  <c r="C21" i="29"/>
  <c r="F37" i="29" s="1"/>
  <c r="C22" i="29"/>
  <c r="C23" i="29"/>
  <c r="C24" i="29"/>
  <c r="C25" i="29"/>
  <c r="C26" i="29"/>
  <c r="C27" i="28"/>
  <c r="C28" i="28"/>
  <c r="C29" i="28"/>
  <c r="C30" i="28"/>
  <c r="C32" i="28"/>
  <c r="C33" i="28"/>
  <c r="C34" i="28"/>
  <c r="C35" i="28"/>
  <c r="C36" i="28"/>
  <c r="C37" i="28"/>
  <c r="C38" i="28"/>
  <c r="C39" i="28"/>
  <c r="C4" i="28"/>
  <c r="F33" i="28" s="1"/>
  <c r="C5" i="28"/>
  <c r="C6" i="28"/>
  <c r="G33" i="28" s="1"/>
  <c r="C7" i="28"/>
  <c r="C8" i="28"/>
  <c r="F31" i="28" s="1"/>
  <c r="C9" i="28"/>
  <c r="C10" i="28"/>
  <c r="G31" i="28" s="1"/>
  <c r="C11" i="28"/>
  <c r="C12" i="28"/>
  <c r="F32" i="28" s="1"/>
  <c r="C13" i="28"/>
  <c r="C14" i="28"/>
  <c r="G32" i="28" s="1"/>
  <c r="C15" i="28"/>
  <c r="C16" i="28"/>
  <c r="F34" i="28" s="1"/>
  <c r="C17" i="28"/>
  <c r="C18" i="28"/>
  <c r="G34" i="28" s="1"/>
  <c r="C19" i="28"/>
  <c r="F42" i="28" s="1"/>
  <c r="F43" i="28" s="1"/>
  <c r="N35" i="28" s="1"/>
  <c r="C20" i="28"/>
  <c r="G42" i="28" s="1"/>
  <c r="G43" i="28" s="1"/>
  <c r="C21" i="28"/>
  <c r="F37" i="28" s="1"/>
  <c r="C22" i="28"/>
  <c r="C23" i="28"/>
  <c r="G39" i="28" s="1"/>
  <c r="N32" i="28" s="1"/>
  <c r="C24" i="28"/>
  <c r="C25" i="28"/>
  <c r="C26" i="28"/>
  <c r="C32" i="27"/>
  <c r="C33" i="27"/>
  <c r="C34" i="27"/>
  <c r="C35" i="27"/>
  <c r="C36" i="27"/>
  <c r="C37" i="27"/>
  <c r="C38" i="27"/>
  <c r="C39" i="27"/>
  <c r="C4" i="27"/>
  <c r="C5" i="27"/>
  <c r="C6" i="27"/>
  <c r="G33" i="27" s="1"/>
  <c r="C7" i="27"/>
  <c r="E3" i="27" s="1"/>
  <c r="F45" i="27" s="1"/>
  <c r="C8" i="27"/>
  <c r="C9" i="27"/>
  <c r="C10" i="27"/>
  <c r="G31" i="27" s="1"/>
  <c r="C11" i="27"/>
  <c r="C12" i="27"/>
  <c r="C13" i="27"/>
  <c r="C14" i="27"/>
  <c r="G32" i="27" s="1"/>
  <c r="C15" i="27"/>
  <c r="C16" i="27"/>
  <c r="F34" i="27" s="1"/>
  <c r="C17" i="27"/>
  <c r="C18" i="27"/>
  <c r="C19" i="27"/>
  <c r="F42" i="27" s="1"/>
  <c r="F43" i="27" s="1"/>
  <c r="N35" i="27" s="1"/>
  <c r="C20" i="27"/>
  <c r="G42" i="27" s="1"/>
  <c r="G43" i="27" s="1"/>
  <c r="C21" i="27"/>
  <c r="C22" i="27"/>
  <c r="C23" i="27"/>
  <c r="G39" i="27" s="1"/>
  <c r="N32" i="27" s="1"/>
  <c r="C24" i="27"/>
  <c r="C25" i="27"/>
  <c r="C26" i="27"/>
  <c r="C27" i="27"/>
  <c r="C28" i="27"/>
  <c r="C29" i="27"/>
  <c r="C30" i="27"/>
  <c r="G47" i="27" s="1"/>
  <c r="C27" i="26"/>
  <c r="C28" i="26"/>
  <c r="C29" i="26"/>
  <c r="C30" i="26"/>
  <c r="C32" i="26"/>
  <c r="C33" i="26"/>
  <c r="C34" i="26"/>
  <c r="C35" i="26"/>
  <c r="C36" i="26"/>
  <c r="C37" i="26"/>
  <c r="C38" i="26"/>
  <c r="C39" i="26"/>
  <c r="C4" i="26"/>
  <c r="F33" i="26" s="1"/>
  <c r="C5" i="26"/>
  <c r="C6" i="26"/>
  <c r="C7" i="26"/>
  <c r="C8" i="26"/>
  <c r="F31" i="26" s="1"/>
  <c r="C9" i="26"/>
  <c r="C10" i="26"/>
  <c r="G31" i="26" s="1"/>
  <c r="C11" i="26"/>
  <c r="C12" i="26"/>
  <c r="F32" i="26" s="1"/>
  <c r="C13" i="26"/>
  <c r="C14" i="26"/>
  <c r="G32" i="26" s="1"/>
  <c r="C15" i="26"/>
  <c r="C16" i="26"/>
  <c r="F34" i="26" s="1"/>
  <c r="C17" i="26"/>
  <c r="C18" i="26"/>
  <c r="G34" i="26" s="1"/>
  <c r="C19" i="26"/>
  <c r="F42" i="26" s="1"/>
  <c r="F43" i="26" s="1"/>
  <c r="C20" i="26"/>
  <c r="G42" i="26" s="1"/>
  <c r="G43" i="26" s="1"/>
  <c r="N35" i="26" s="1"/>
  <c r="C21" i="26"/>
  <c r="F37" i="26" s="1"/>
  <c r="C22" i="26"/>
  <c r="C23" i="26"/>
  <c r="G39" i="26" s="1"/>
  <c r="N32" i="26" s="1"/>
  <c r="C24" i="26"/>
  <c r="C25" i="26"/>
  <c r="C26" i="26"/>
  <c r="C27" i="21"/>
  <c r="C28" i="21"/>
  <c r="C29" i="21"/>
  <c r="C30" i="21"/>
  <c r="G47" i="21" s="1"/>
  <c r="C32" i="21"/>
  <c r="C33" i="21"/>
  <c r="C34" i="21"/>
  <c r="C35" i="21"/>
  <c r="C36" i="21"/>
  <c r="C37" i="21"/>
  <c r="C38" i="21"/>
  <c r="C39" i="21"/>
  <c r="C4" i="21"/>
  <c r="C5" i="21"/>
  <c r="C6" i="21"/>
  <c r="C7" i="21"/>
  <c r="E3" i="21" s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E4" i="21" s="1"/>
  <c r="C25" i="21"/>
  <c r="C26" i="21"/>
  <c r="C27" i="15"/>
  <c r="C28" i="15"/>
  <c r="C29" i="15"/>
  <c r="C30" i="15"/>
  <c r="C32" i="15"/>
  <c r="C33" i="15"/>
  <c r="C34" i="15"/>
  <c r="C35" i="15"/>
  <c r="C36" i="15"/>
  <c r="C37" i="15"/>
  <c r="C38" i="15"/>
  <c r="C39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2"/>
  <c r="C28" i="2"/>
  <c r="C29" i="2"/>
  <c r="C30" i="2"/>
  <c r="C32" i="2"/>
  <c r="C33" i="2"/>
  <c r="C34" i="2"/>
  <c r="C35" i="2"/>
  <c r="C36" i="2"/>
  <c r="C37" i="2"/>
  <c r="C3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36"/>
  <c r="C3" i="35"/>
  <c r="C3" i="34"/>
  <c r="C3" i="33"/>
  <c r="C3" i="32"/>
  <c r="C3" i="31"/>
  <c r="C3" i="30"/>
  <c r="C3" i="29"/>
  <c r="C3" i="28"/>
  <c r="C3" i="27"/>
  <c r="C3" i="26"/>
  <c r="C3" i="21"/>
  <c r="C3" i="15"/>
  <c r="C3" i="2"/>
  <c r="C27" i="14"/>
  <c r="C28" i="14"/>
  <c r="C29" i="14"/>
  <c r="C30" i="14"/>
  <c r="C32" i="14"/>
  <c r="C33" i="14"/>
  <c r="C34" i="14"/>
  <c r="C35" i="14"/>
  <c r="C36" i="14"/>
  <c r="C37" i="14"/>
  <c r="C38" i="14"/>
  <c r="C39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G42" i="14" s="1"/>
  <c r="C21" i="14"/>
  <c r="F37" i="14" s="1"/>
  <c r="C22" i="14"/>
  <c r="C23" i="14"/>
  <c r="G39" i="14" s="1"/>
  <c r="F11" i="43" s="1"/>
  <c r="C24" i="14"/>
  <c r="C25" i="14"/>
  <c r="C26" i="14"/>
  <c r="C3" i="14"/>
  <c r="G22" i="14" s="1"/>
  <c r="C27" i="24"/>
  <c r="C28" i="24"/>
  <c r="C29" i="24"/>
  <c r="C30" i="24"/>
  <c r="C32" i="24"/>
  <c r="C33" i="24"/>
  <c r="C34" i="24"/>
  <c r="C35" i="24"/>
  <c r="C36" i="24"/>
  <c r="C37" i="24"/>
  <c r="C38" i="24"/>
  <c r="C39" i="24"/>
  <c r="C26" i="24"/>
  <c r="C4" i="24"/>
  <c r="C5" i="24"/>
  <c r="G24" i="24" s="1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3" i="24"/>
  <c r="E4" i="27"/>
  <c r="G45" i="27" s="1"/>
  <c r="G28" i="14" l="1"/>
  <c r="F6" i="43" s="1"/>
  <c r="G31" i="14"/>
  <c r="J31" i="14"/>
  <c r="G24" i="14"/>
  <c r="G32" i="14"/>
  <c r="J32" i="14"/>
  <c r="G43" i="14"/>
  <c r="F15" i="43" s="1"/>
  <c r="F14" i="43"/>
  <c r="J34" i="14"/>
  <c r="G34" i="14"/>
  <c r="G33" i="14"/>
  <c r="J30" i="14"/>
  <c r="J33" i="14"/>
  <c r="G23" i="14"/>
  <c r="F8" i="43" s="1"/>
  <c r="F30" i="36"/>
  <c r="G30" i="36"/>
  <c r="F30" i="35"/>
  <c r="N36" i="35"/>
  <c r="S21" i="10"/>
  <c r="G30" i="35"/>
  <c r="N36" i="34"/>
  <c r="R21" i="10"/>
  <c r="G30" i="34"/>
  <c r="R9" i="43" s="1"/>
  <c r="R17" i="43" s="1"/>
  <c r="N35" i="34"/>
  <c r="F30" i="33"/>
  <c r="N36" i="33"/>
  <c r="Q21" i="10"/>
  <c r="G30" i="33"/>
  <c r="G30" i="32"/>
  <c r="N36" i="32"/>
  <c r="P21" i="10"/>
  <c r="N35" i="32"/>
  <c r="N35" i="31"/>
  <c r="O21" i="10"/>
  <c r="N36" i="31"/>
  <c r="F30" i="31"/>
  <c r="G30" i="31"/>
  <c r="N31" i="31" s="1"/>
  <c r="G30" i="30"/>
  <c r="N35" i="30"/>
  <c r="F30" i="30"/>
  <c r="N36" i="30"/>
  <c r="N35" i="29"/>
  <c r="F30" i="29"/>
  <c r="N36" i="29"/>
  <c r="M21" i="10"/>
  <c r="G30" i="29"/>
  <c r="G30" i="28"/>
  <c r="F30" i="28"/>
  <c r="L21" i="10"/>
  <c r="N36" i="27"/>
  <c r="K21" i="10"/>
  <c r="G30" i="27"/>
  <c r="G40" i="27"/>
  <c r="N33" i="27" s="1"/>
  <c r="F30" i="26"/>
  <c r="G30" i="26"/>
  <c r="N36" i="26"/>
  <c r="I21" i="10"/>
  <c r="N36" i="21"/>
  <c r="N35" i="35"/>
  <c r="G28" i="21"/>
  <c r="O55" i="43" l="1"/>
  <c r="O48" i="43"/>
  <c r="G30" i="14"/>
  <c r="F9" i="43" s="1"/>
  <c r="N31" i="36"/>
  <c r="N31" i="35"/>
  <c r="N31" i="34"/>
  <c r="N31" i="33"/>
  <c r="N31" i="32"/>
  <c r="N31" i="30"/>
  <c r="N31" i="29"/>
  <c r="N31" i="28"/>
  <c r="N31" i="27"/>
  <c r="N31" i="26"/>
  <c r="N42" i="27"/>
  <c r="N30" i="27"/>
  <c r="N38" i="27" l="1"/>
  <c r="N39" i="27" s="1"/>
  <c r="N37" i="27"/>
  <c r="N40" i="27" s="1"/>
  <c r="D26" i="15" l="1"/>
  <c r="P13" i="22" l="1"/>
  <c r="O13" i="22"/>
  <c r="P12" i="22"/>
  <c r="O12" i="22"/>
  <c r="P8" i="22"/>
  <c r="P7" i="22"/>
  <c r="P6" i="22"/>
  <c r="P5" i="22"/>
  <c r="O8" i="22"/>
  <c r="O7" i="22"/>
  <c r="O6" i="22"/>
  <c r="O5" i="22"/>
  <c r="N8" i="22"/>
  <c r="N7" i="22"/>
  <c r="M55" i="10"/>
  <c r="M52" i="10"/>
  <c r="M53" i="10"/>
  <c r="M54" i="10"/>
  <c r="N51" i="10"/>
  <c r="O51" i="10"/>
  <c r="P51" i="10"/>
  <c r="Q51" i="10"/>
  <c r="G42" i="21"/>
  <c r="F1" i="26"/>
  <c r="F1" i="27"/>
  <c r="F1" i="28"/>
  <c r="F1" i="29"/>
  <c r="F1" i="36"/>
  <c r="F1" i="35"/>
  <c r="F1" i="34"/>
  <c r="F1" i="33"/>
  <c r="F1" i="32"/>
  <c r="F1" i="31"/>
  <c r="F1" i="30"/>
  <c r="E9" i="22"/>
  <c r="D7" i="22"/>
  <c r="D1" i="22"/>
  <c r="E8" i="22" s="1"/>
  <c r="B5" i="22"/>
  <c r="C5" i="22" s="1"/>
  <c r="C9" i="22"/>
  <c r="C8" i="22"/>
  <c r="C7" i="22"/>
  <c r="C6" i="22"/>
  <c r="B9" i="22"/>
  <c r="B8" i="22"/>
  <c r="B7" i="22"/>
  <c r="B6" i="22"/>
  <c r="E4" i="36"/>
  <c r="E3" i="36"/>
  <c r="E4" i="35"/>
  <c r="E3" i="35"/>
  <c r="E4" i="34"/>
  <c r="E3" i="34"/>
  <c r="G45" i="36" l="1"/>
  <c r="G28" i="36"/>
  <c r="F45" i="36"/>
  <c r="F28" i="36"/>
  <c r="G45" i="35"/>
  <c r="G28" i="35"/>
  <c r="G40" i="35" s="1"/>
  <c r="N33" i="35" s="1"/>
  <c r="F45" i="35"/>
  <c r="F28" i="35"/>
  <c r="G45" i="34"/>
  <c r="G28" i="34"/>
  <c r="G40" i="34" s="1"/>
  <c r="N33" i="34" s="1"/>
  <c r="F28" i="34"/>
  <c r="F45" i="34"/>
  <c r="N14" i="10"/>
  <c r="R19" i="10"/>
  <c r="R14" i="10"/>
  <c r="L14" i="10"/>
  <c r="O14" i="10"/>
  <c r="S14" i="10"/>
  <c r="T14" i="10"/>
  <c r="P14" i="10"/>
  <c r="M14" i="10"/>
  <c r="I14" i="10"/>
  <c r="K14" i="10"/>
  <c r="E5" i="22"/>
  <c r="D9" i="22"/>
  <c r="D5" i="22"/>
  <c r="E6" i="22"/>
  <c r="D6" i="22"/>
  <c r="E7" i="22"/>
  <c r="Q14" i="10"/>
  <c r="D8" i="22"/>
  <c r="J14" i="10"/>
  <c r="E3" i="2"/>
  <c r="E4" i="33"/>
  <c r="E3" i="33"/>
  <c r="E4" i="32"/>
  <c r="E3" i="32"/>
  <c r="E4" i="31"/>
  <c r="E3" i="31"/>
  <c r="E4" i="30"/>
  <c r="E3" i="30"/>
  <c r="E4" i="29"/>
  <c r="E3" i="29"/>
  <c r="E4" i="28"/>
  <c r="E3" i="28"/>
  <c r="E4" i="26"/>
  <c r="E3" i="26"/>
  <c r="E4" i="15"/>
  <c r="E3" i="15"/>
  <c r="E4" i="2"/>
  <c r="E4" i="14"/>
  <c r="G45" i="14" s="1"/>
  <c r="F19" i="43" s="1"/>
  <c r="E3" i="14"/>
  <c r="E4" i="24"/>
  <c r="E3" i="24"/>
  <c r="J11" i="36"/>
  <c r="H6" i="36"/>
  <c r="G4" i="36"/>
  <c r="J6" i="36" s="1"/>
  <c r="J7" i="36" s="1"/>
  <c r="P34" i="35"/>
  <c r="P32" i="35"/>
  <c r="P31" i="35"/>
  <c r="J11" i="35"/>
  <c r="H6" i="35"/>
  <c r="J11" i="34"/>
  <c r="H6" i="34"/>
  <c r="G4" i="34"/>
  <c r="J6" i="34" s="1"/>
  <c r="J7" i="34" s="1"/>
  <c r="J11" i="33"/>
  <c r="H6" i="33"/>
  <c r="P33" i="32"/>
  <c r="P31" i="32"/>
  <c r="J11" i="32"/>
  <c r="H6" i="32"/>
  <c r="G4" i="31"/>
  <c r="J6" i="31" s="1"/>
  <c r="J7" i="31" s="1"/>
  <c r="P34" i="31"/>
  <c r="J11" i="31"/>
  <c r="H6" i="31"/>
  <c r="P31" i="30"/>
  <c r="J11" i="30"/>
  <c r="H6" i="30"/>
  <c r="G4" i="30"/>
  <c r="J6" i="30" s="1"/>
  <c r="J7" i="30" s="1"/>
  <c r="P32" i="29"/>
  <c r="J11" i="29"/>
  <c r="H6" i="29"/>
  <c r="G4" i="29"/>
  <c r="J6" i="29" s="1"/>
  <c r="J7" i="29" s="1"/>
  <c r="J11" i="28"/>
  <c r="H6" i="28"/>
  <c r="G4" i="28"/>
  <c r="J6" i="28" s="1"/>
  <c r="J7" i="28" s="1"/>
  <c r="J11" i="27"/>
  <c r="H6" i="27"/>
  <c r="G4" i="27"/>
  <c r="J6" i="27" s="1"/>
  <c r="J7" i="27" s="1"/>
  <c r="P32" i="26"/>
  <c r="J11" i="26"/>
  <c r="H6" i="26"/>
  <c r="G4" i="26"/>
  <c r="J6" i="26" s="1"/>
  <c r="J7" i="26" s="1"/>
  <c r="N30" i="36" l="1"/>
  <c r="N42" i="36"/>
  <c r="G40" i="36"/>
  <c r="N33" i="36" s="1"/>
  <c r="N42" i="35"/>
  <c r="N30" i="35"/>
  <c r="N30" i="34"/>
  <c r="N42" i="34"/>
  <c r="F45" i="33"/>
  <c r="F28" i="33"/>
  <c r="G45" i="33"/>
  <c r="G28" i="33"/>
  <c r="G40" i="33" s="1"/>
  <c r="N33" i="33" s="1"/>
  <c r="G3" i="32"/>
  <c r="F28" i="32"/>
  <c r="F45" i="32"/>
  <c r="G45" i="32"/>
  <c r="G28" i="32"/>
  <c r="G40" i="32" s="1"/>
  <c r="N33" i="32" s="1"/>
  <c r="F45" i="31"/>
  <c r="F28" i="31"/>
  <c r="G45" i="31"/>
  <c r="G28" i="31"/>
  <c r="G40" i="31" s="1"/>
  <c r="N33" i="31" s="1"/>
  <c r="G45" i="30"/>
  <c r="G28" i="30"/>
  <c r="G40" i="30" s="1"/>
  <c r="N33" i="30" s="1"/>
  <c r="G3" i="30"/>
  <c r="F45" i="30"/>
  <c r="F28" i="30"/>
  <c r="F45" i="29"/>
  <c r="F28" i="29"/>
  <c r="G45" i="29"/>
  <c r="G28" i="29"/>
  <c r="G40" i="29" s="1"/>
  <c r="N33" i="29" s="1"/>
  <c r="G45" i="28"/>
  <c r="G28" i="28"/>
  <c r="G40" i="28" s="1"/>
  <c r="N33" i="28" s="1"/>
  <c r="F45" i="28"/>
  <c r="F28" i="28"/>
  <c r="F45" i="26"/>
  <c r="F28" i="26"/>
  <c r="G45" i="26"/>
  <c r="G28" i="26"/>
  <c r="G4" i="32"/>
  <c r="J6" i="32" s="1"/>
  <c r="J7" i="32" s="1"/>
  <c r="P31" i="36"/>
  <c r="P34" i="36"/>
  <c r="P33" i="35"/>
  <c r="G4" i="35"/>
  <c r="J6" i="35" s="1"/>
  <c r="J7" i="35" s="1"/>
  <c r="P34" i="32"/>
  <c r="G3" i="29"/>
  <c r="G6" i="10"/>
  <c r="G3" i="26"/>
  <c r="T8" i="10"/>
  <c r="T19" i="10"/>
  <c r="T11" i="10"/>
  <c r="S19" i="10"/>
  <c r="G20" i="35"/>
  <c r="S8" i="10"/>
  <c r="S11" i="10"/>
  <c r="R9" i="10"/>
  <c r="R11" i="10"/>
  <c r="P34" i="34"/>
  <c r="R8" i="10"/>
  <c r="P33" i="34"/>
  <c r="P19" i="10"/>
  <c r="P11" i="10"/>
  <c r="O11" i="10"/>
  <c r="N19" i="10"/>
  <c r="N11" i="10"/>
  <c r="P33" i="30"/>
  <c r="N8" i="10"/>
  <c r="P33" i="29"/>
  <c r="M11" i="10"/>
  <c r="M19" i="10"/>
  <c r="L9" i="10"/>
  <c r="P33" i="28"/>
  <c r="L11" i="10"/>
  <c r="J8" i="10"/>
  <c r="J11" i="10"/>
  <c r="P31" i="26"/>
  <c r="P15" i="10"/>
  <c r="R15" i="10"/>
  <c r="N15" i="10"/>
  <c r="S15" i="10"/>
  <c r="T15" i="10"/>
  <c r="L15" i="10"/>
  <c r="J15" i="10"/>
  <c r="M15" i="10"/>
  <c r="O15" i="10"/>
  <c r="P33" i="27"/>
  <c r="K8" i="10"/>
  <c r="K19" i="10"/>
  <c r="K11" i="10"/>
  <c r="P34" i="27"/>
  <c r="K15" i="10"/>
  <c r="E6" i="10"/>
  <c r="G4" i="33"/>
  <c r="J6" i="33" s="1"/>
  <c r="J7" i="33" s="1"/>
  <c r="P31" i="33"/>
  <c r="Q15" i="10"/>
  <c r="Q19" i="10"/>
  <c r="Q11" i="10"/>
  <c r="P34" i="33"/>
  <c r="F20" i="33"/>
  <c r="P33" i="31"/>
  <c r="F20" i="31"/>
  <c r="P33" i="36"/>
  <c r="F20" i="36"/>
  <c r="P31" i="34"/>
  <c r="F20" i="34"/>
  <c r="P33" i="33"/>
  <c r="F20" i="32"/>
  <c r="P31" i="31"/>
  <c r="F20" i="29"/>
  <c r="P34" i="29"/>
  <c r="P34" i="28"/>
  <c r="P31" i="28"/>
  <c r="F20" i="28"/>
  <c r="F20" i="27"/>
  <c r="P31" i="27"/>
  <c r="P33" i="26"/>
  <c r="P34" i="26"/>
  <c r="G3" i="35"/>
  <c r="P32" i="36"/>
  <c r="G3" i="36"/>
  <c r="P32" i="34"/>
  <c r="G3" i="34"/>
  <c r="G20" i="34"/>
  <c r="P32" i="33"/>
  <c r="G3" i="33"/>
  <c r="G20" i="30"/>
  <c r="P31" i="29"/>
  <c r="P32" i="30"/>
  <c r="P34" i="30"/>
  <c r="P32" i="31"/>
  <c r="P32" i="32"/>
  <c r="G3" i="31"/>
  <c r="P32" i="28"/>
  <c r="G3" i="28"/>
  <c r="P32" i="27"/>
  <c r="G3" i="27"/>
  <c r="F20" i="26"/>
  <c r="G9" i="22"/>
  <c r="G31" i="21"/>
  <c r="G39" i="24"/>
  <c r="M33" i="14"/>
  <c r="N37" i="36" l="1"/>
  <c r="N40" i="36" s="1"/>
  <c r="N38" i="36"/>
  <c r="N39" i="36" s="1"/>
  <c r="N37" i="35"/>
  <c r="N40" i="35" s="1"/>
  <c r="N38" i="35"/>
  <c r="N39" i="35" s="1"/>
  <c r="N37" i="34"/>
  <c r="N40" i="34" s="1"/>
  <c r="N38" i="34"/>
  <c r="N39" i="34" s="1"/>
  <c r="G20" i="32"/>
  <c r="G19" i="32" s="1"/>
  <c r="G18" i="32" s="1"/>
  <c r="O19" i="10"/>
  <c r="G20" i="31"/>
  <c r="G19" i="31" s="1"/>
  <c r="G18" i="31" s="1"/>
  <c r="N30" i="30"/>
  <c r="N42" i="30"/>
  <c r="L19" i="10"/>
  <c r="N30" i="26"/>
  <c r="N42" i="26"/>
  <c r="J19" i="10"/>
  <c r="G40" i="26"/>
  <c r="N33" i="26" s="1"/>
  <c r="F6" i="10"/>
  <c r="T9" i="10"/>
  <c r="G20" i="36"/>
  <c r="G19" i="36" s="1"/>
  <c r="G18" i="36" s="1"/>
  <c r="T6" i="10"/>
  <c r="S9" i="10"/>
  <c r="S6" i="10"/>
  <c r="R6" i="10"/>
  <c r="P9" i="10"/>
  <c r="P6" i="10"/>
  <c r="O6" i="10"/>
  <c r="O9" i="10"/>
  <c r="N6" i="10"/>
  <c r="F20" i="30"/>
  <c r="G19" i="30" s="1"/>
  <c r="G18" i="30" s="1"/>
  <c r="N9" i="10"/>
  <c r="M9" i="10"/>
  <c r="M6" i="10"/>
  <c r="L6" i="10"/>
  <c r="J9" i="10"/>
  <c r="J6" i="10"/>
  <c r="G14" i="10"/>
  <c r="K9" i="10"/>
  <c r="K6" i="10"/>
  <c r="F9" i="10"/>
  <c r="F11" i="10"/>
  <c r="F14" i="10"/>
  <c r="E11" i="10"/>
  <c r="Q9" i="10"/>
  <c r="Q6" i="10"/>
  <c r="F20" i="35"/>
  <c r="G19" i="35" s="1"/>
  <c r="G18" i="35" s="1"/>
  <c r="G19" i="34"/>
  <c r="G18" i="34" s="1"/>
  <c r="G20" i="27"/>
  <c r="G19" i="27" s="1"/>
  <c r="G18" i="27" s="1"/>
  <c r="G22" i="29"/>
  <c r="G22" i="36"/>
  <c r="G22" i="35"/>
  <c r="G22" i="34"/>
  <c r="G22" i="33"/>
  <c r="G20" i="29"/>
  <c r="G19" i="29" s="1"/>
  <c r="G18" i="29" s="1"/>
  <c r="G22" i="31"/>
  <c r="G22" i="32"/>
  <c r="G22" i="30"/>
  <c r="G22" i="28"/>
  <c r="G22" i="27"/>
  <c r="G22" i="26"/>
  <c r="G20" i="26"/>
  <c r="G19" i="26" s="1"/>
  <c r="G18" i="26" s="1"/>
  <c r="M30" i="10"/>
  <c r="M29" i="10"/>
  <c r="P37" i="10"/>
  <c r="P34" i="10"/>
  <c r="G42" i="24"/>
  <c r="F42" i="24"/>
  <c r="F43" i="24" s="1"/>
  <c r="N32" i="24"/>
  <c r="G34" i="24"/>
  <c r="F34" i="24"/>
  <c r="G33" i="24"/>
  <c r="F33" i="24"/>
  <c r="G32" i="24"/>
  <c r="F32" i="24"/>
  <c r="G31" i="24"/>
  <c r="F31" i="24"/>
  <c r="G45" i="24"/>
  <c r="J11" i="24"/>
  <c r="H6" i="24"/>
  <c r="J26" i="23"/>
  <c r="I26" i="23"/>
  <c r="M26" i="23"/>
  <c r="I27" i="23"/>
  <c r="J27" i="23" s="1"/>
  <c r="G23" i="23"/>
  <c r="J4" i="23"/>
  <c r="F23" i="23" s="1"/>
  <c r="J5" i="22"/>
  <c r="I5" i="22"/>
  <c r="F9" i="22"/>
  <c r="G8" i="22"/>
  <c r="F8" i="22"/>
  <c r="G7" i="22"/>
  <c r="F7" i="22"/>
  <c r="G6" i="22"/>
  <c r="F6" i="22"/>
  <c r="H5" i="22"/>
  <c r="G5" i="22"/>
  <c r="N30" i="33" l="1"/>
  <c r="N42" i="33"/>
  <c r="Q8" i="10"/>
  <c r="G20" i="33"/>
  <c r="G19" i="33" s="1"/>
  <c r="G18" i="33" s="1"/>
  <c r="N42" i="32"/>
  <c r="N30" i="32"/>
  <c r="P8" i="10"/>
  <c r="N42" i="31"/>
  <c r="N30" i="31"/>
  <c r="O8" i="10"/>
  <c r="N38" i="30"/>
  <c r="N39" i="30" s="1"/>
  <c r="N37" i="30"/>
  <c r="N40" i="30" s="1"/>
  <c r="N42" i="29"/>
  <c r="N30" i="29"/>
  <c r="M8" i="10"/>
  <c r="N42" i="28"/>
  <c r="N30" i="28"/>
  <c r="G20" i="28"/>
  <c r="G19" i="28" s="1"/>
  <c r="G18" i="28" s="1"/>
  <c r="L8" i="10"/>
  <c r="N38" i="26"/>
  <c r="N39" i="26" s="1"/>
  <c r="N37" i="26"/>
  <c r="N40" i="26" s="1"/>
  <c r="P12" i="10"/>
  <c r="O12" i="10"/>
  <c r="N12" i="10"/>
  <c r="M12" i="10"/>
  <c r="L12" i="10"/>
  <c r="H35" i="10" s="1"/>
  <c r="J12" i="10"/>
  <c r="G15" i="10"/>
  <c r="G4" i="24"/>
  <c r="J6" i="24" s="1"/>
  <c r="J7" i="24" s="1"/>
  <c r="P33" i="24"/>
  <c r="G30" i="24"/>
  <c r="E9" i="10" s="1"/>
  <c r="K12" i="10"/>
  <c r="G35" i="10" s="1"/>
  <c r="F15" i="10"/>
  <c r="E14" i="10"/>
  <c r="G43" i="24"/>
  <c r="N35" i="24" s="1"/>
  <c r="E19" i="10"/>
  <c r="Q12" i="10"/>
  <c r="T12" i="10"/>
  <c r="S12" i="10"/>
  <c r="R12" i="10"/>
  <c r="F45" i="2"/>
  <c r="F9" i="2"/>
  <c r="P31" i="24"/>
  <c r="P34" i="24"/>
  <c r="F30" i="24"/>
  <c r="F45" i="24"/>
  <c r="G3" i="24"/>
  <c r="P32" i="24"/>
  <c r="P28" i="23"/>
  <c r="P29" i="23"/>
  <c r="P27" i="23"/>
  <c r="P26" i="23"/>
  <c r="M28" i="23"/>
  <c r="M29" i="23"/>
  <c r="M27" i="23"/>
  <c r="D34" i="10"/>
  <c r="D35" i="10"/>
  <c r="H27" i="10"/>
  <c r="L4" i="10"/>
  <c r="K4" i="10"/>
  <c r="F42" i="21"/>
  <c r="F43" i="21" s="1"/>
  <c r="G39" i="21"/>
  <c r="F37" i="21"/>
  <c r="G34" i="21"/>
  <c r="F34" i="21"/>
  <c r="G33" i="21"/>
  <c r="F33" i="21"/>
  <c r="G32" i="21"/>
  <c r="G30" i="21" s="1"/>
  <c r="F32" i="21"/>
  <c r="F31" i="21"/>
  <c r="J11" i="21"/>
  <c r="H6" i="21"/>
  <c r="G45" i="21"/>
  <c r="G3" i="21"/>
  <c r="H38" i="10"/>
  <c r="H31" i="10"/>
  <c r="H42" i="10"/>
  <c r="G38" i="10"/>
  <c r="G31" i="10"/>
  <c r="G42" i="10"/>
  <c r="J4" i="10"/>
  <c r="I4" i="10"/>
  <c r="N37" i="33" l="1"/>
  <c r="N40" i="33" s="1"/>
  <c r="N38" i="33"/>
  <c r="N39" i="33" s="1"/>
  <c r="N38" i="32"/>
  <c r="N39" i="32" s="1"/>
  <c r="N37" i="32"/>
  <c r="N40" i="32" s="1"/>
  <c r="N37" i="31"/>
  <c r="N40" i="31" s="1"/>
  <c r="N38" i="31"/>
  <c r="N39" i="31" s="1"/>
  <c r="N38" i="29"/>
  <c r="N39" i="29" s="1"/>
  <c r="N37" i="29"/>
  <c r="N40" i="29" s="1"/>
  <c r="N38" i="28"/>
  <c r="N39" i="28" s="1"/>
  <c r="N37" i="28"/>
  <c r="N40" i="28" s="1"/>
  <c r="I19" i="10"/>
  <c r="E42" i="10" s="1"/>
  <c r="F30" i="21"/>
  <c r="F20" i="21" s="1"/>
  <c r="I9" i="10"/>
  <c r="N32" i="21"/>
  <c r="I11" i="10"/>
  <c r="E34" i="10" s="1"/>
  <c r="E15" i="10"/>
  <c r="I28" i="10"/>
  <c r="M4" i="10"/>
  <c r="Q4" i="10" s="1"/>
  <c r="N44" i="10"/>
  <c r="K28" i="10"/>
  <c r="O4" i="10"/>
  <c r="S4" i="10" s="1"/>
  <c r="P44" i="10"/>
  <c r="L28" i="10"/>
  <c r="Q44" i="10"/>
  <c r="P4" i="10"/>
  <c r="T4" i="10" s="1"/>
  <c r="J28" i="10"/>
  <c r="O44" i="10"/>
  <c r="N4" i="10"/>
  <c r="R4" i="10" s="1"/>
  <c r="G27" i="10"/>
  <c r="F27" i="10"/>
  <c r="E27" i="10"/>
  <c r="G4" i="21"/>
  <c r="J6" i="21" s="1"/>
  <c r="J7" i="21" s="1"/>
  <c r="P34" i="21"/>
  <c r="F10" i="2"/>
  <c r="F11" i="2" s="1"/>
  <c r="F12" i="2"/>
  <c r="N31" i="24"/>
  <c r="F28" i="24"/>
  <c r="G40" i="24" s="1"/>
  <c r="E12" i="43" s="1"/>
  <c r="E17" i="43" s="1"/>
  <c r="B3" i="23"/>
  <c r="G32" i="10"/>
  <c r="G37" i="10"/>
  <c r="G34" i="10"/>
  <c r="E37" i="10"/>
  <c r="P31" i="21"/>
  <c r="G43" i="21"/>
  <c r="H37" i="10"/>
  <c r="H34" i="10"/>
  <c r="P33" i="21"/>
  <c r="P32" i="21"/>
  <c r="F28" i="21"/>
  <c r="G40" i="21" s="1"/>
  <c r="F45" i="21"/>
  <c r="F38" i="10"/>
  <c r="F31" i="10"/>
  <c r="F42" i="10"/>
  <c r="F42" i="15"/>
  <c r="G4" i="15" s="1"/>
  <c r="J6" i="15" s="1"/>
  <c r="J7" i="15" s="1"/>
  <c r="F34" i="15"/>
  <c r="F33" i="15"/>
  <c r="F32" i="15"/>
  <c r="F31" i="15"/>
  <c r="J11" i="15"/>
  <c r="H6" i="15"/>
  <c r="G3" i="15"/>
  <c r="C19" i="10"/>
  <c r="C42" i="10" s="1"/>
  <c r="C14" i="10"/>
  <c r="C37" i="10" s="1"/>
  <c r="C8" i="10"/>
  <c r="C6" i="10"/>
  <c r="C29" i="10" s="1"/>
  <c r="F42" i="14"/>
  <c r="N32" i="14"/>
  <c r="F34" i="14"/>
  <c r="F33" i="14"/>
  <c r="P33" i="14" s="1"/>
  <c r="F32" i="14"/>
  <c r="F31" i="14"/>
  <c r="D12" i="14"/>
  <c r="J11" i="14"/>
  <c r="D8" i="14"/>
  <c r="H6" i="14"/>
  <c r="D4" i="14"/>
  <c r="F45" i="14"/>
  <c r="D19" i="10"/>
  <c r="N52" i="43" l="1"/>
  <c r="N45" i="43"/>
  <c r="S45" i="43" s="1"/>
  <c r="I29" i="43"/>
  <c r="I15" i="10"/>
  <c r="E38" i="10" s="1"/>
  <c r="H19" i="10"/>
  <c r="H9" i="10"/>
  <c r="G19" i="10"/>
  <c r="E12" i="10"/>
  <c r="N32" i="15"/>
  <c r="H11" i="10"/>
  <c r="H14" i="10"/>
  <c r="H8" i="23" s="1"/>
  <c r="P34" i="15"/>
  <c r="F43" i="14"/>
  <c r="N35" i="14" s="1"/>
  <c r="N43" i="14"/>
  <c r="D42" i="10"/>
  <c r="I4" i="23"/>
  <c r="I7" i="23"/>
  <c r="I8" i="23"/>
  <c r="I6" i="23"/>
  <c r="I5" i="23"/>
  <c r="G29" i="10"/>
  <c r="F32" i="10"/>
  <c r="E32" i="10"/>
  <c r="N35" i="21"/>
  <c r="H29" i="10"/>
  <c r="H32" i="10"/>
  <c r="C15" i="10"/>
  <c r="C31" i="10"/>
  <c r="C38" i="10" s="1"/>
  <c r="N31" i="21"/>
  <c r="H7" i="23"/>
  <c r="P33" i="15"/>
  <c r="F37" i="10"/>
  <c r="H5" i="23"/>
  <c r="P34" i="14"/>
  <c r="F35" i="10"/>
  <c r="F34" i="10"/>
  <c r="F29" i="10"/>
  <c r="P31" i="15"/>
  <c r="F43" i="15"/>
  <c r="N35" i="15" s="1"/>
  <c r="F30" i="15"/>
  <c r="F20" i="15" s="1"/>
  <c r="P32" i="15"/>
  <c r="F28" i="15"/>
  <c r="G40" i="15" s="1"/>
  <c r="H12" i="43" s="1"/>
  <c r="H17" i="43" s="1"/>
  <c r="F45" i="15"/>
  <c r="G4" i="14"/>
  <c r="J6" i="14" s="1"/>
  <c r="J7" i="14" s="1"/>
  <c r="P31" i="14"/>
  <c r="F30" i="14"/>
  <c r="P32" i="14"/>
  <c r="G3" i="14"/>
  <c r="F28" i="14"/>
  <c r="B5" i="23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G40" i="14" l="1"/>
  <c r="F12" i="43" s="1"/>
  <c r="F17" i="43" s="1"/>
  <c r="O45" i="43" s="1"/>
  <c r="Q52" i="43"/>
  <c r="Q45" i="43"/>
  <c r="L29" i="43"/>
  <c r="C17" i="10"/>
  <c r="C40" i="10" s="1"/>
  <c r="C21" i="10"/>
  <c r="N33" i="24"/>
  <c r="N42" i="24"/>
  <c r="N30" i="24"/>
  <c r="E8" i="10"/>
  <c r="H15" i="10"/>
  <c r="F19" i="10"/>
  <c r="B4" i="23"/>
  <c r="D17" i="23" s="1"/>
  <c r="D31" i="23" s="1"/>
  <c r="J8" i="23"/>
  <c r="F21" i="23" s="1"/>
  <c r="H6" i="10"/>
  <c r="B8" i="23" s="1"/>
  <c r="D21" i="23" s="1"/>
  <c r="D35" i="23" s="1"/>
  <c r="J7" i="23"/>
  <c r="F20" i="23" s="1"/>
  <c r="J5" i="23"/>
  <c r="F18" i="23" s="1"/>
  <c r="N45" i="14"/>
  <c r="F20" i="14"/>
  <c r="N31" i="14"/>
  <c r="D18" i="23"/>
  <c r="D32" i="23" s="1"/>
  <c r="G20" i="15"/>
  <c r="G19" i="15" s="1"/>
  <c r="G18" i="15" s="1"/>
  <c r="B7" i="23"/>
  <c r="D20" i="23" s="1"/>
  <c r="D34" i="23" s="1"/>
  <c r="N31" i="15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F32" i="2"/>
  <c r="F33" i="2"/>
  <c r="F34" i="2"/>
  <c r="F42" i="2"/>
  <c r="H11" i="3"/>
  <c r="L6" i="3" s="1"/>
  <c r="B22" i="3"/>
  <c r="C6" i="3" s="1"/>
  <c r="O52" i="43" l="1"/>
  <c r="J29" i="43"/>
  <c r="N33" i="14"/>
  <c r="H8" i="10"/>
  <c r="N42" i="15"/>
  <c r="N30" i="15"/>
  <c r="E5" i="23"/>
  <c r="F5" i="23" s="1"/>
  <c r="F10" i="23" s="1"/>
  <c r="E18" i="23" s="1"/>
  <c r="F8" i="10"/>
  <c r="N37" i="14"/>
  <c r="G20" i="14"/>
  <c r="G19" i="14" s="1"/>
  <c r="G18" i="14" s="1"/>
  <c r="N42" i="14"/>
  <c r="N37" i="24"/>
  <c r="N40" i="24" s="1"/>
  <c r="E6" i="23"/>
  <c r="E8" i="23"/>
  <c r="E7" i="23"/>
  <c r="F7" i="23" s="1"/>
  <c r="L7" i="23" s="1"/>
  <c r="M7" i="23" s="1"/>
  <c r="F12" i="10"/>
  <c r="H12" i="10"/>
  <c r="N33" i="15"/>
  <c r="F8" i="23"/>
  <c r="F13" i="23" s="1"/>
  <c r="E21" i="23" s="1"/>
  <c r="D14" i="10"/>
  <c r="O29" i="23"/>
  <c r="L29" i="23"/>
  <c r="O28" i="23"/>
  <c r="L28" i="23"/>
  <c r="L26" i="23"/>
  <c r="O26" i="23"/>
  <c r="H6" i="23"/>
  <c r="J6" i="23" s="1"/>
  <c r="F19" i="23" s="1"/>
  <c r="F43" i="2"/>
  <c r="G4" i="2"/>
  <c r="J6" i="2" s="1"/>
  <c r="J7" i="2" s="1"/>
  <c r="P33" i="2"/>
  <c r="N201" i="6"/>
  <c r="L200" i="6"/>
  <c r="J260" i="6"/>
  <c r="P32" i="2"/>
  <c r="H6" i="3"/>
  <c r="I6" i="3"/>
  <c r="J6" i="3"/>
  <c r="K6" i="3"/>
  <c r="D6" i="3"/>
  <c r="E6" i="3"/>
  <c r="B6" i="3"/>
  <c r="F6" i="3"/>
  <c r="L5" i="23" l="1"/>
  <c r="M5" i="23" s="1"/>
  <c r="N40" i="14"/>
  <c r="O37" i="14"/>
  <c r="N37" i="15"/>
  <c r="N40" i="15" s="1"/>
  <c r="G11" i="10"/>
  <c r="G9" i="10"/>
  <c r="D8" i="10"/>
  <c r="D31" i="10" s="1"/>
  <c r="L8" i="23"/>
  <c r="M8" i="23" s="1"/>
  <c r="D37" i="10"/>
  <c r="H4" i="23"/>
  <c r="F12" i="23"/>
  <c r="E20" i="23" s="1"/>
  <c r="R26" i="23"/>
  <c r="N35" i="2"/>
  <c r="D15" i="10"/>
  <c r="D38" i="10" s="1"/>
  <c r="N32" i="2"/>
  <c r="P31" i="2"/>
  <c r="F28" i="2"/>
  <c r="P34" i="2"/>
  <c r="F30" i="2"/>
  <c r="D6" i="43" l="1"/>
  <c r="D29" i="43" s="1"/>
  <c r="G40" i="2"/>
  <c r="G12" i="43" s="1"/>
  <c r="G17" i="43" s="1"/>
  <c r="B6" i="23"/>
  <c r="F20" i="2"/>
  <c r="D9" i="10"/>
  <c r="D6" i="10"/>
  <c r="G20" i="2"/>
  <c r="N31" i="2"/>
  <c r="P45" i="43" l="1"/>
  <c r="K29" i="43"/>
  <c r="P52" i="43"/>
  <c r="N30" i="2"/>
  <c r="G8" i="10"/>
  <c r="N42" i="2"/>
  <c r="G19" i="2"/>
  <c r="G18" i="2" s="1"/>
  <c r="E17" i="10"/>
  <c r="K17" i="10"/>
  <c r="K23" i="10" s="1"/>
  <c r="K25" i="10" s="1"/>
  <c r="J17" i="10"/>
  <c r="J23" i="10" s="1"/>
  <c r="J25" i="10" s="1"/>
  <c r="N17" i="10"/>
  <c r="M17" i="10"/>
  <c r="S17" i="10"/>
  <c r="P17" i="10"/>
  <c r="L17" i="10"/>
  <c r="L23" i="10" s="1"/>
  <c r="L25" i="10" s="1"/>
  <c r="T17" i="10"/>
  <c r="Q17" i="10"/>
  <c r="O17" i="10"/>
  <c r="R17" i="10"/>
  <c r="N33" i="2"/>
  <c r="N37" i="2" s="1"/>
  <c r="N40" i="2" s="1"/>
  <c r="G12" i="10"/>
  <c r="D29" i="10"/>
  <c r="D19" i="23"/>
  <c r="D33" i="23" s="1"/>
  <c r="F6" i="23"/>
  <c r="D32" i="10"/>
  <c r="H17" i="10"/>
  <c r="F17" i="10"/>
  <c r="H21" i="10" l="1"/>
  <c r="H23" i="10"/>
  <c r="H25" i="10" s="1"/>
  <c r="F21" i="10"/>
  <c r="F23" i="10"/>
  <c r="F25" i="10" s="1"/>
  <c r="E21" i="10"/>
  <c r="E23" i="10"/>
  <c r="E25" i="10" s="1"/>
  <c r="G17" i="10"/>
  <c r="Q46" i="10"/>
  <c r="Q53" i="10"/>
  <c r="P47" i="10"/>
  <c r="P54" i="10"/>
  <c r="Q47" i="10"/>
  <c r="Q54" i="10"/>
  <c r="P48" i="10"/>
  <c r="P55" i="10"/>
  <c r="Q48" i="10"/>
  <c r="Q55" i="10"/>
  <c r="N47" i="10"/>
  <c r="N54" i="10"/>
  <c r="P46" i="10"/>
  <c r="P53" i="10"/>
  <c r="O45" i="10"/>
  <c r="O52" i="10"/>
  <c r="N52" i="10"/>
  <c r="N45" i="10"/>
  <c r="N48" i="10"/>
  <c r="N55" i="10"/>
  <c r="Q45" i="10"/>
  <c r="Q52" i="10"/>
  <c r="O48" i="10"/>
  <c r="O55" i="10"/>
  <c r="O47" i="10"/>
  <c r="O54" i="10"/>
  <c r="O46" i="10"/>
  <c r="O53" i="10"/>
  <c r="I29" i="10"/>
  <c r="O5" i="23"/>
  <c r="Q5" i="23" s="1"/>
  <c r="G18" i="23" s="1"/>
  <c r="H18" i="23" s="1"/>
  <c r="L27" i="23"/>
  <c r="O27" i="23"/>
  <c r="F11" i="23"/>
  <c r="E19" i="23" s="1"/>
  <c r="L6" i="23"/>
  <c r="M6" i="23" s="1"/>
  <c r="O8" i="23"/>
  <c r="Q8" i="23" s="1"/>
  <c r="G21" i="23" s="1"/>
  <c r="H21" i="23" s="1"/>
  <c r="L29" i="10"/>
  <c r="O6" i="23"/>
  <c r="J29" i="10"/>
  <c r="H40" i="10"/>
  <c r="L30" i="10"/>
  <c r="G40" i="10"/>
  <c r="K30" i="10"/>
  <c r="F40" i="10"/>
  <c r="J30" i="10"/>
  <c r="K29" i="10" l="1"/>
  <c r="G21" i="10"/>
  <c r="G23" i="10"/>
  <c r="G25" i="10" s="1"/>
  <c r="P52" i="10"/>
  <c r="O7" i="23"/>
  <c r="Q7" i="23" s="1"/>
  <c r="G20" i="23" s="1"/>
  <c r="H20" i="23" s="1"/>
  <c r="P45" i="10"/>
  <c r="S45" i="10"/>
  <c r="Q6" i="23"/>
  <c r="G19" i="23" s="1"/>
  <c r="H19" i="23" s="1"/>
  <c r="I12" i="10"/>
  <c r="E35" i="10" s="1"/>
  <c r="G22" i="21"/>
  <c r="I6" i="10"/>
  <c r="E29" i="10" s="1"/>
  <c r="N33" i="21" l="1"/>
  <c r="G20" i="21"/>
  <c r="G19" i="21" s="1"/>
  <c r="G18" i="21" s="1"/>
  <c r="N42" i="21"/>
  <c r="I8" i="10"/>
  <c r="N30" i="21"/>
  <c r="N37" i="21" l="1"/>
  <c r="N40" i="21" s="1"/>
  <c r="N38" i="21"/>
  <c r="N39" i="21" s="1"/>
  <c r="I17" i="10"/>
  <c r="I23" i="10" s="1"/>
  <c r="I25" i="10" s="1"/>
  <c r="E31" i="10"/>
  <c r="E40" i="10" l="1"/>
  <c r="N53" i="10"/>
  <c r="I30" i="10"/>
  <c r="N46" i="10"/>
</calcChain>
</file>

<file path=xl/sharedStrings.xml><?xml version="1.0" encoding="utf-8"?>
<sst xmlns="http://schemas.openxmlformats.org/spreadsheetml/2006/main" count="1913" uniqueCount="184">
  <si>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</si>
  <si>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</si>
  <si>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</si>
  <si>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</si>
  <si>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</si>
  <si>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</si>
  <si>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</si>
  <si>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</si>
  <si>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</si>
  <si>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</si>
  <si>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</si>
  <si>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</si>
  <si>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</si>
  <si>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</si>
  <si>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</si>
  <si>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</si>
  <si>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</si>
  <si>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</si>
  <si>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</si>
  <si>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</si>
  <si>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</si>
  <si>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</si>
  <si>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</si>
  <si>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</si>
  <si>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</si>
  <si>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</si>
  <si>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</si>
  <si>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</si>
  <si>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</si>
  <si>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</si>
  <si>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</si>
  <si>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</si>
  <si>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</si>
  <si>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</si>
  <si>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</si>
  <si>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</si>
  <si>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</si>
  <si>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</si>
  <si>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</si>
  <si>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</si>
  <si>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</si>
  <si>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</si>
  <si>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</si>
  <si>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</si>
  <si>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</si>
  <si>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</si>
  <si>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</si>
  <si>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</si>
  <si>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</si>
  <si>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</si>
  <si>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</si>
  <si>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</si>
  <si>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</si>
  <si>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</si>
  <si>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</si>
  <si>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</si>
  <si>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</si>
  <si>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</si>
  <si>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</si>
  <si>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t>Recs Savings</t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</si>
  <si>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</si>
  <si>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</si>
  <si>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</si>
  <si>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</si>
  <si>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</si>
  <si>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</si>
  <si>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</si>
  <si>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</si>
  <si>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</si>
  <si>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</si>
  <si>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</si>
  <si>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</si>
  <si>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</si>
  <si>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</si>
  <si>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</si>
  <si>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</si>
  <si>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</si>
  <si>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</si>
  <si>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</si>
  <si>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</si>
  <si>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t>N. of Observations</t>
  </si>
  <si>
    <t>Net Welfare Gain</t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</si>
  <si>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</si>
  <si>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</si>
  <si>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</si>
  <si>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</si>
  <si>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</si>
  <si>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</si>
  <si>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</si>
  <si>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</si>
  <si>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</si>
  <si>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</si>
  <si>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</si>
  <si>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</si>
  <si>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</si>
  <si>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</si>
  <si>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</si>
  <si>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</si>
  <si>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</si>
  <si>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</si>
  <si>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</si>
  <si>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</si>
  <si>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</si>
  <si>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</si>
  <si>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</si>
  <si>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</si>
  <si>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</si>
  <si>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</si>
  <si>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</si>
  <si>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</si>
  <si>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</si>
  <si>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</si>
  <si>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</si>
  <si>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</si>
  <si>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</si>
  <si>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</si>
  <si>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</si>
  <si>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</si>
  <si>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</si>
  <si>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</si>
  <si>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</si>
  <si>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</si>
  <si>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</si>
  <si>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</si>
  <si>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</si>
  <si>
    <t>Output (-0.5)</t>
  </si>
  <si>
    <t>∆ Profits (0)</t>
  </si>
  <si>
    <t>∆ Profits (-0.5)</t>
  </si>
  <si>
    <t>Output (Exchange Elast.= 0)</t>
  </si>
  <si>
    <t>Exchange Elasticity = 0</t>
  </si>
  <si>
    <t>Exch. Elast. = -0.1</t>
  </si>
  <si>
    <t>Exch. Elast. = -0.3</t>
  </si>
  <si>
    <t>Exch. Elast. = -0.5</t>
  </si>
  <si>
    <t>Baseload output</t>
  </si>
  <si>
    <t>Baseload profits</t>
  </si>
  <si>
    <t>Peakers output</t>
  </si>
  <si>
    <t>Peakers profit</t>
  </si>
  <si>
    <t>Baseload</t>
  </si>
  <si>
    <t>Peakers</t>
  </si>
  <si>
    <t>Carbon-charge</t>
  </si>
  <si>
    <t>Demand Ela</t>
  </si>
  <si>
    <t>Exch Ela</t>
  </si>
  <si>
    <t>∆ Profits</t>
  </si>
  <si>
    <t>∆ Output</t>
  </si>
  <si>
    <t>print(GasOutnonpeak)</t>
  </si>
  <si>
    <t>Demand Elasticity</t>
  </si>
  <si>
    <t>Import Elasticity</t>
  </si>
  <si>
    <t>Passthrough</t>
  </si>
  <si>
    <t>print(LoadCO2Scenario)</t>
  </si>
  <si>
    <t>print(ExchangeSum)</t>
  </si>
  <si>
    <t>print(ExchangeCO2Scenario)</t>
  </si>
  <si>
    <t>print(GasCostSum)</t>
  </si>
  <si>
    <t>print(GasCostSumCO2)</t>
  </si>
  <si>
    <t>print(ExchangeCostSum)</t>
  </si>
  <si>
    <t>print(ExchangeCostCO2Sum)</t>
  </si>
  <si>
    <t>print(GasProfnonpeak)</t>
  </si>
  <si>
    <t>print(GasOutpeak)</t>
  </si>
  <si>
    <t>print(GasProfpeak)</t>
  </si>
  <si>
    <t>print(GasOutCO2nonpeak)</t>
  </si>
  <si>
    <t>print(GasProfCO2nonpeak)</t>
  </si>
  <si>
    <t>print(GasOutCO2peak)</t>
  </si>
  <si>
    <t>print(GasProfCO2peak)</t>
  </si>
  <si>
    <t>Consumer Cost</t>
  </si>
  <si>
    <t>External Area Gains</t>
  </si>
  <si>
    <t>print(PtdeltaSum)</t>
  </si>
  <si>
    <t>print(Ptdelta2Sum)</t>
  </si>
  <si>
    <t>[MWh]</t>
  </si>
  <si>
    <r>
      <t>p</t>
    </r>
    <r>
      <rPr>
        <b/>
        <i/>
        <sz val="8"/>
        <color theme="1"/>
        <rFont val="Cambria"/>
        <family val="1"/>
      </rPr>
      <t>th</t>
    </r>
  </si>
  <si>
    <r>
      <t>q</t>
    </r>
    <r>
      <rPr>
        <b/>
        <i/>
        <sz val="8"/>
        <color theme="1"/>
        <rFont val="Cambria"/>
        <family val="1"/>
      </rPr>
      <t>th</t>
    </r>
  </si>
  <si>
    <r>
      <t xml:space="preserve">Combined Generating Capacity </t>
    </r>
    <r>
      <rPr>
        <i/>
        <sz val="12"/>
        <color theme="1"/>
        <rFont val="Cambria"/>
        <family val="1"/>
      </rPr>
      <t>[MW]</t>
    </r>
  </si>
  <si>
    <t>[USD/
thousand cubic feet]</t>
  </si>
  <si>
    <r>
      <t>m</t>
    </r>
    <r>
      <rPr>
        <sz val="8"/>
        <color theme="1"/>
        <rFont val="Cambria"/>
        <family val="1"/>
      </rPr>
      <t>1</t>
    </r>
  </si>
  <si>
    <r>
      <t>m</t>
    </r>
    <r>
      <rPr>
        <sz val="8"/>
        <color theme="1"/>
        <rFont val="Cambria"/>
        <family val="1"/>
      </rPr>
      <t>2</t>
    </r>
  </si>
  <si>
    <r>
      <t>m</t>
    </r>
    <r>
      <rPr>
        <sz val="8"/>
        <color theme="1"/>
        <rFont val="Cambria"/>
        <family val="1"/>
      </rPr>
      <t>3</t>
    </r>
  </si>
  <si>
    <r>
      <t>m</t>
    </r>
    <r>
      <rPr>
        <sz val="8"/>
        <color theme="1"/>
        <rFont val="Cambria"/>
        <family val="1"/>
      </rPr>
      <t>4</t>
    </r>
  </si>
  <si>
    <r>
      <t>m</t>
    </r>
    <r>
      <rPr>
        <sz val="8"/>
        <color theme="1"/>
        <rFont val="Cambria"/>
        <family val="1"/>
      </rPr>
      <t>5</t>
    </r>
  </si>
  <si>
    <t>ZEC's Savings</t>
  </si>
  <si>
    <t>Unrealized savings</t>
  </si>
  <si>
    <r>
      <t xml:space="preserve">Import Elasticity = -0.1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</si>
  <si>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-0.3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</si>
  <si>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-0.5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</si>
  <si>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Demand Elasticity
</t>
    </r>
    <r>
      <rPr>
        <b/>
        <i/>
        <sz val="10"/>
        <color theme="1"/>
        <rFont val="Cambria"/>
        <family val="1"/>
      </rPr>
      <t>(No leakage</t>
    </r>
    <r>
      <rPr>
        <b/>
        <i/>
        <sz val="12"/>
        <color theme="1"/>
        <rFont val="Cambria"/>
        <family val="1"/>
      </rPr>
      <t>)</t>
    </r>
  </si>
  <si>
    <t>Net Welfare Gain
(No ZEC's savings)</t>
  </si>
  <si>
    <t>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</si>
</sst>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000000000%"/>
  </numFmts>
  <fonts count="2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  <font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i/>
      <sz val="8"/>
      <color theme="1"/>
      <name val="Cambria"/>
      <family val="1"/>
    </font>
    <font>
      <i/>
      <sz val="11"/>
      <color theme="1"/>
      <name val="Cambria"/>
      <family val="1"/>
    </font>
    <font>
      <i/>
      <sz val="12"/>
      <color theme="1"/>
      <name val="Cambria"/>
      <family val="1"/>
    </font>
    <font>
      <sz val="8"/>
      <color theme="1"/>
      <name val="Cambria"/>
      <family val="1"/>
    </font>
    <font>
      <sz val="11"/>
      <color theme="1"/>
      <name val="Cambria"/>
      <family val="1"/>
    </font>
    <font>
      <i/>
      <sz val="11"/>
      <color rgb="FF000000"/>
      <name val="Cambria"/>
      <family val="1"/>
    </font>
    <font>
      <i/>
      <sz val="10"/>
      <color theme="1"/>
      <name val="Cambria"/>
      <family val="1"/>
    </font>
    <font>
      <i/>
      <sz val="10.5"/>
      <color theme="1"/>
      <name val="Cambria"/>
      <family val="1"/>
    </font>
    <font>
      <i/>
      <sz val="10.5"/>
      <color rgb="FF000000"/>
      <name val="Cambria"/>
      <family val="1"/>
    </font>
    <font>
      <b/>
      <i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Border="1" applyAlignment="1">
      <alignment horizontal="center"/>
    </xf>
    <xf numFmtId="0" fontId="8" fillId="0" borderId="0" xfId="0" applyFont="1"/>
    <xf numFmtId="0" fontId="9" fillId="0" borderId="0" xfId="0" applyFont="1" applyFill="1" applyBorder="1"/>
    <xf numFmtId="167" fontId="9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0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1" fontId="0" fillId="0" borderId="0" xfId="0" applyNumberFormat="1"/>
    <xf numFmtId="9" fontId="0" fillId="0" borderId="0" xfId="1" applyNumberFormat="1" applyFont="1" applyBorder="1" applyAlignment="1">
      <alignment horizontal="right" vertical="center"/>
    </xf>
    <xf numFmtId="0" fontId="12" fillId="0" borderId="4" xfId="0" applyFont="1" applyBorder="1"/>
    <xf numFmtId="164" fontId="12" fillId="0" borderId="4" xfId="1" applyNumberFormat="1" applyFont="1" applyBorder="1" applyAlignment="1">
      <alignment horizontal="right"/>
    </xf>
    <xf numFmtId="0" fontId="12" fillId="0" borderId="0" xfId="0" applyFont="1" applyBorder="1"/>
    <xf numFmtId="164" fontId="12" fillId="0" borderId="0" xfId="1" applyNumberFormat="1" applyFont="1" applyBorder="1" applyAlignment="1">
      <alignment horizontal="right"/>
    </xf>
    <xf numFmtId="0" fontId="12" fillId="0" borderId="1" xfId="0" applyFont="1" applyBorder="1"/>
    <xf numFmtId="164" fontId="12" fillId="0" borderId="1" xfId="1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12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right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0" fillId="0" borderId="1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3" fontId="12" fillId="0" borderId="4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right" vertical="center"/>
    </xf>
    <xf numFmtId="3" fontId="16" fillId="0" borderId="0" xfId="0" applyNumberFormat="1" applyFont="1" applyBorder="1" applyAlignment="1">
      <alignment horizontal="right" vertical="center"/>
    </xf>
    <xf numFmtId="4" fontId="12" fillId="0" borderId="4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24" xfId="0" applyFont="1" applyBorder="1"/>
    <xf numFmtId="0" fontId="13" fillId="0" borderId="3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25" xfId="0" applyFont="1" applyBorder="1" applyAlignment="1">
      <alignment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5" fontId="12" fillId="0" borderId="2" xfId="0" applyNumberFormat="1" applyFont="1" applyBorder="1" applyAlignment="1">
      <alignment horizontal="center" wrapText="1"/>
    </xf>
    <xf numFmtId="166" fontId="12" fillId="0" borderId="24" xfId="0" applyNumberFormat="1" applyFont="1" applyBorder="1" applyAlignment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2" fontId="12" fillId="0" borderId="0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 wrapText="1"/>
    </xf>
    <xf numFmtId="166" fontId="12" fillId="0" borderId="21" xfId="0" applyNumberFormat="1" applyFont="1" applyBorder="1" applyAlignment="1">
      <alignment horizontal="center" wrapText="1"/>
    </xf>
    <xf numFmtId="0" fontId="12" fillId="0" borderId="1" xfId="0" applyNumberFormat="1" applyFont="1" applyBorder="1" applyAlignment="1">
      <alignment horizontal="center" wrapText="1"/>
    </xf>
    <xf numFmtId="165" fontId="12" fillId="0" borderId="0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8" fontId="12" fillId="0" borderId="0" xfId="0" applyNumberFormat="1" applyFont="1"/>
    <xf numFmtId="0" fontId="12" fillId="0" borderId="0" xfId="0" applyFont="1" applyFill="1" applyBorder="1" applyAlignment="1">
      <alignment horizontal="right"/>
    </xf>
    <xf numFmtId="11" fontId="12" fillId="0" borderId="0" xfId="0" applyNumberFormat="1" applyFont="1" applyAlignment="1">
      <alignment wrapText="1"/>
    </xf>
    <xf numFmtId="0" fontId="16" fillId="0" borderId="3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2" fillId="0" borderId="0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" fontId="12" fillId="0" borderId="0" xfId="0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20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/>
    <xf numFmtId="0" fontId="20" fillId="0" borderId="12" xfId="0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/>
    </xf>
    <xf numFmtId="3" fontId="12" fillId="0" borderId="10" xfId="0" applyNumberFormat="1" applyFont="1" applyBorder="1" applyAlignment="1">
      <alignment horizontal="center"/>
    </xf>
    <xf numFmtId="3" fontId="12" fillId="0" borderId="6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2" fillId="0" borderId="15" xfId="0" applyFont="1" applyBorder="1"/>
    <xf numFmtId="0" fontId="20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2" fillId="0" borderId="27" xfId="0" applyNumberFormat="1" applyFont="1" applyBorder="1" applyAlignment="1">
      <alignment horizontal="center"/>
    </xf>
    <xf numFmtId="3" fontId="12" fillId="0" borderId="33" xfId="0" applyNumberFormat="1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9" fontId="13" fillId="0" borderId="28" xfId="0" applyNumberFormat="1" applyFont="1" applyBorder="1" applyAlignment="1">
      <alignment horizontal="center"/>
    </xf>
    <xf numFmtId="164" fontId="12" fillId="0" borderId="32" xfId="1" applyNumberFormat="1" applyFont="1" applyBorder="1" applyAlignment="1">
      <alignment horizontal="center"/>
    </xf>
    <xf numFmtId="164" fontId="12" fillId="0" borderId="29" xfId="1" applyNumberFormat="1" applyFont="1" applyBorder="1" applyAlignment="1">
      <alignment horizontal="center"/>
    </xf>
    <xf numFmtId="0" fontId="12" fillId="0" borderId="11" xfId="0" quotePrefix="1" applyFont="1" applyBorder="1" applyAlignment="1">
      <alignment horizontal="center"/>
    </xf>
    <xf numFmtId="164" fontId="12" fillId="0" borderId="31" xfId="1" applyNumberFormat="1" applyFont="1" applyBorder="1" applyAlignment="1">
      <alignment horizontal="center"/>
    </xf>
    <xf numFmtId="164" fontId="12" fillId="0" borderId="30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0" fillId="0" borderId="36" xfId="0" applyFont="1" applyBorder="1" applyAlignment="1">
      <alignment horizontal="center" vertical="center"/>
    </xf>
    <xf numFmtId="3" fontId="12" fillId="0" borderId="38" xfId="0" applyNumberFormat="1" applyFont="1" applyBorder="1" applyAlignment="1">
      <alignment horizontal="center"/>
    </xf>
    <xf numFmtId="3" fontId="12" fillId="0" borderId="35" xfId="0" applyNumberFormat="1" applyFont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0" fontId="12" fillId="0" borderId="35" xfId="0" applyFont="1" applyBorder="1" applyAlignment="1">
      <alignment wrapText="1"/>
    </xf>
    <xf numFmtId="0" fontId="12" fillId="0" borderId="37" xfId="0" applyFont="1" applyBorder="1" applyAlignment="1">
      <alignment horizontal="center" vertical="center"/>
    </xf>
    <xf numFmtId="3" fontId="12" fillId="0" borderId="38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3" fontId="12" fillId="0" borderId="3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68939"/>
      <color rgb="FF466F2E"/>
      <color rgb="FF67A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Summary!$P$29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Summary!$I$29:$L$29</c:f>
              <c:numCache>
                <c:formatCode>0.00%</c:formatCode>
                <c:ptCount val="4"/>
                <c:pt idx="0">
                  <c:v>7.896708017401631E-2</c:v>
                </c:pt>
                <c:pt idx="1">
                  <c:v>7.8985274104896808E-2</c:v>
                </c:pt>
                <c:pt idx="2">
                  <c:v>7.7503884421453159E-2</c:v>
                </c:pt>
                <c:pt idx="3">
                  <c:v>6.797000977046129E-2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Summary!$P$31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Summary!$I$30:$L$30</c:f>
              <c:numCache>
                <c:formatCode>0.00%</c:formatCode>
                <c:ptCount val="4"/>
                <c:pt idx="0">
                  <c:v>1.105363005699285E-2</c:v>
                </c:pt>
                <c:pt idx="1">
                  <c:v>1.8498220519201081E-2</c:v>
                </c:pt>
                <c:pt idx="2">
                  <c:v>2.7415719105486111E-2</c:v>
                </c:pt>
                <c:pt idx="3">
                  <c:v>1.4720481091002416E-2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'-0.1 -0.1'!$N$30</c:f>
              <c:numCache>
                <c:formatCode>#,##0</c:formatCode>
                <c:ptCount val="1"/>
                <c:pt idx="0">
                  <c:v>-4339.023777045184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'-0.1 -0.1'!$M$31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'-0.1 -0.1'!$N$31</c:f>
              <c:numCache>
                <c:formatCode>#,##0</c:formatCode>
                <c:ptCount val="1"/>
                <c:pt idx="0">
                  <c:v>2020.7000234145735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'-0.1 -0.1'!$M$32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'-0.1 -0.1'!$N$32</c:f>
              <c:numCache>
                <c:formatCode>#,##0</c:formatCode>
                <c:ptCount val="1"/>
                <c:pt idx="0">
                  <c:v>1261.2675035385598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'-0.1 -0.1'!$E$40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'-0.1 -0.1'!$G$40</c:f>
              <c:numCache>
                <c:formatCode>#,##0</c:formatCode>
                <c:ptCount val="1"/>
                <c:pt idx="0">
                  <c:v>1142.57609455334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'-0.1 -0.1'!$M$35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'-0.1 -0.1'!$N$35</c:f>
              <c:numCache>
                <c:formatCode>#,##0</c:formatCode>
                <c:ptCount val="1"/>
                <c:pt idx="0">
                  <c:v>100.98173464357615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'-0.1 -0.1'!$M$37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'-0.1 -0.1'!$N$37</c:f>
              <c:numCache>
                <c:formatCode>#,##0</c:formatCode>
                <c:ptCount val="1"/>
                <c:pt idx="0">
                  <c:v>186.50157910486541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'-0.1 -0.3'!$N$30</c:f>
              <c:numCache>
                <c:formatCode>#,##0</c:formatCode>
                <c:ptCount val="1"/>
                <c:pt idx="0">
                  <c:v>-3622.3731602659409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5042-8269-826A080E357D}"/>
            </c:ext>
          </c:extLst>
        </c:ser>
        <c:ser>
          <c:idx val="1"/>
          <c:order val="1"/>
          <c:tx>
            <c:strRef>
              <c:f>'-0.1 -0.3'!$M$31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'-0.1 -0.3'!$N$31</c:f>
              <c:numCache>
                <c:formatCode>#,##0</c:formatCode>
                <c:ptCount val="1"/>
                <c:pt idx="0">
                  <c:v>1565.3225967598928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5042-8269-826A080E357D}"/>
            </c:ext>
          </c:extLst>
        </c:ser>
        <c:ser>
          <c:idx val="2"/>
          <c:order val="2"/>
          <c:tx>
            <c:strRef>
              <c:f>'-0.1 -0.3'!$M$32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'-0.1 -0.3'!$N$32</c:f>
              <c:numCache>
                <c:formatCode>#,##0</c:formatCode>
                <c:ptCount val="1"/>
                <c:pt idx="0">
                  <c:v>1073.2620860888899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5042-8269-826A080E357D}"/>
            </c:ext>
          </c:extLst>
        </c:ser>
        <c:ser>
          <c:idx val="4"/>
          <c:order val="3"/>
          <c:tx>
            <c:strRef>
              <c:f>'-0.1 -0.3'!$E$40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'-0.1 -0.3'!$G$40</c:f>
              <c:numCache>
                <c:formatCode>#,##0</c:formatCode>
                <c:ptCount val="1"/>
                <c:pt idx="0">
                  <c:v>981.63804698751119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5042-8269-826A080E357D}"/>
            </c:ext>
          </c:extLst>
        </c:ser>
        <c:ser>
          <c:idx val="3"/>
          <c:order val="4"/>
          <c:tx>
            <c:strRef>
              <c:f>'-0.1 -0.3'!$M$35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'-0.1 -0.3'!$N$35</c:f>
              <c:numCache>
                <c:formatCode>#,##0</c:formatCode>
                <c:ptCount val="1"/>
                <c:pt idx="0">
                  <c:v>301.00356618544629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5042-8269-826A080E357D}"/>
            </c:ext>
          </c:extLst>
        </c:ser>
        <c:ser>
          <c:idx val="5"/>
          <c:order val="5"/>
          <c:tx>
            <c:strRef>
              <c:f>'-0.1 -0.3'!$M$37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'-0.1 -0.3'!$N$37</c:f>
              <c:numCache>
                <c:formatCode>#,##0</c:formatCode>
                <c:ptCount val="1"/>
                <c:pt idx="0">
                  <c:v>298.85313575579926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E-5042-8269-826A080E3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'-0.1 -0.5'!$N$30</c:f>
              <c:numCache>
                <c:formatCode>#,##0</c:formatCode>
                <c:ptCount val="1"/>
                <c:pt idx="0">
                  <c:v>-2759.9639557757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2-0540-B41D-1B848514881B}"/>
            </c:ext>
          </c:extLst>
        </c:ser>
        <c:ser>
          <c:idx val="1"/>
          <c:order val="1"/>
          <c:tx>
            <c:strRef>
              <c:f>'-0.1 -0.5'!$M$31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'-0.1 -0.5'!$N$31</c:f>
              <c:numCache>
                <c:formatCode>#,##0</c:formatCode>
                <c:ptCount val="1"/>
                <c:pt idx="0">
                  <c:v>1019.7543797162907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2-0540-B41D-1B848514881B}"/>
            </c:ext>
          </c:extLst>
        </c:ser>
        <c:ser>
          <c:idx val="2"/>
          <c:order val="2"/>
          <c:tx>
            <c:strRef>
              <c:f>'-0.1 -0.5'!$M$32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'-0.1 -0.5'!$N$32</c:f>
              <c:numCache>
                <c:formatCode>#,##0</c:formatCode>
                <c:ptCount val="1"/>
                <c:pt idx="0">
                  <c:v>908.550440584184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2-0540-B41D-1B848514881B}"/>
            </c:ext>
          </c:extLst>
        </c:ser>
        <c:ser>
          <c:idx val="4"/>
          <c:order val="3"/>
          <c:tx>
            <c:strRef>
              <c:f>'-0.1 -0.5'!$E$40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'-0.1 -0.5'!$G$40</c:f>
              <c:numCache>
                <c:formatCode>#,##0</c:formatCode>
                <c:ptCount val="1"/>
                <c:pt idx="0">
                  <c:v>771.77876808359088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2-0540-B41D-1B848514881B}"/>
            </c:ext>
          </c:extLst>
        </c:ser>
        <c:ser>
          <c:idx val="3"/>
          <c:order val="4"/>
          <c:tx>
            <c:strRef>
              <c:f>'-0.1 -0.5'!$M$35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'-0.1 -0.5'!$N$35</c:f>
              <c:numCache>
                <c:formatCode>#,##0</c:formatCode>
                <c:ptCount val="1"/>
                <c:pt idx="0">
                  <c:v>479.15905809439141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2-0540-B41D-1B848514881B}"/>
            </c:ext>
          </c:extLst>
        </c:ser>
        <c:ser>
          <c:idx val="5"/>
          <c:order val="5"/>
          <c:tx>
            <c:strRef>
              <c:f>'-0.1 -0.5'!$M$37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'-0.1 -0.5'!$N$37</c:f>
              <c:numCache>
                <c:formatCode>#,##0</c:formatCode>
                <c:ptCount val="1"/>
                <c:pt idx="0">
                  <c:v>419.27869070275699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2-0540-B41D-1B8485148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'-0.1 -1'!$N$30</c:f>
              <c:numCache>
                <c:formatCode>#,##0</c:formatCode>
                <c:ptCount val="1"/>
                <c:pt idx="0">
                  <c:v>-744.67064073277652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E84F-B2B6-B5933CED73EC}"/>
            </c:ext>
          </c:extLst>
        </c:ser>
        <c:ser>
          <c:idx val="1"/>
          <c:order val="1"/>
          <c:tx>
            <c:strRef>
              <c:f>'-0.1 -1'!$M$31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'-0.1 -1'!$N$31</c:f>
              <c:numCache>
                <c:formatCode>#,##0</c:formatCode>
                <c:ptCount val="1"/>
                <c:pt idx="0">
                  <c:v>-673.96412199239512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E84F-B2B6-B5933CED73EC}"/>
            </c:ext>
          </c:extLst>
        </c:ser>
        <c:ser>
          <c:idx val="2"/>
          <c:order val="2"/>
          <c:tx>
            <c:strRef>
              <c:f>'-0.1 -1'!$M$32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'-0.1 -1'!$N$32</c:f>
              <c:numCache>
                <c:formatCode>#,##0</c:formatCode>
                <c:ptCount val="1"/>
                <c:pt idx="0">
                  <c:v>564.58423336467195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E84F-B2B6-B5933CED73EC}"/>
            </c:ext>
          </c:extLst>
        </c:ser>
        <c:ser>
          <c:idx val="4"/>
          <c:order val="3"/>
          <c:tx>
            <c:strRef>
              <c:f>'-0.1 -1'!$E$40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'-0.1 -1'!$G$40</c:f>
              <c:numCache>
                <c:formatCode>#,##0</c:formatCode>
                <c:ptCount val="1"/>
                <c:pt idx="0">
                  <c:v>172.35912046830902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7-E84F-B2B6-B5933CED73EC}"/>
            </c:ext>
          </c:extLst>
        </c:ser>
        <c:ser>
          <c:idx val="3"/>
          <c:order val="4"/>
          <c:tx>
            <c:strRef>
              <c:f>'-0.1 -1'!$M$35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'-0.1 -1'!$N$35</c:f>
              <c:numCache>
                <c:formatCode>#,##0</c:formatCode>
                <c:ptCount val="1"/>
                <c:pt idx="0">
                  <c:v>877.15106128458012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7-E84F-B2B6-B5933CED73EC}"/>
            </c:ext>
          </c:extLst>
        </c:ser>
        <c:ser>
          <c:idx val="5"/>
          <c:order val="5"/>
          <c:tx>
            <c:strRef>
              <c:f>'-0.1 -1'!$M$37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'-0.1 -1'!$N$37</c:f>
              <c:numCache>
                <c:formatCode>#,##0</c:formatCode>
                <c:ptCount val="1"/>
                <c:pt idx="0">
                  <c:v>195.45965239238944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7-E84F-B2B6-B5933CED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'-0.3 -0.1'!$N$30</c:f>
              <c:numCache>
                <c:formatCode>#,##0</c:formatCode>
                <c:ptCount val="1"/>
                <c:pt idx="0">
                  <c:v>-3976.0016491258993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A44-B2E2-59BD9396992C}"/>
            </c:ext>
          </c:extLst>
        </c:ser>
        <c:ser>
          <c:idx val="1"/>
          <c:order val="1"/>
          <c:tx>
            <c:strRef>
              <c:f>'-0.3 -0.1'!$M$31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'-0.3 -0.1'!$N$31</c:f>
              <c:numCache>
                <c:formatCode>#,##0</c:formatCode>
                <c:ptCount val="1"/>
                <c:pt idx="0">
                  <c:v>1767.6189399800642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A44-B2E2-59BD9396992C}"/>
            </c:ext>
          </c:extLst>
        </c:ser>
        <c:ser>
          <c:idx val="2"/>
          <c:order val="2"/>
          <c:tx>
            <c:strRef>
              <c:f>'-0.3 -0.1'!$M$32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'-0.3 -0.1'!$N$32</c:f>
              <c:numCache>
                <c:formatCode>#,##0</c:formatCode>
                <c:ptCount val="1"/>
                <c:pt idx="0">
                  <c:v>1170.1887106670401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D-4A44-B2E2-59BD9396992C}"/>
            </c:ext>
          </c:extLst>
        </c:ser>
        <c:ser>
          <c:idx val="4"/>
          <c:order val="3"/>
          <c:tx>
            <c:strRef>
              <c:f>'-0.3 -0.1'!$E$40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'-0.3 -0.1'!$G$40</c:f>
              <c:numCache>
                <c:formatCode>#,##0</c:formatCode>
                <c:ptCount val="1"/>
                <c:pt idx="0">
                  <c:v>1046.7841294779121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D-4A44-B2E2-59BD9396992C}"/>
            </c:ext>
          </c:extLst>
        </c:ser>
        <c:ser>
          <c:idx val="3"/>
          <c:order val="4"/>
          <c:tx>
            <c:strRef>
              <c:f>'-0.3 -0.1'!$M$35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'-0.3 -0.1'!$N$35</c:f>
              <c:numCache>
                <c:formatCode>#,##0</c:formatCode>
                <c:ptCount val="1"/>
                <c:pt idx="0">
                  <c:v>66.906395593381149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D-4A44-B2E2-59BD9396992C}"/>
            </c:ext>
          </c:extLst>
        </c:ser>
        <c:ser>
          <c:idx val="5"/>
          <c:order val="5"/>
          <c:tx>
            <c:strRef>
              <c:f>'-0.3 -0.1'!$M$37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'-0.3 -0.1'!$N$37</c:f>
              <c:numCache>
                <c:formatCode>#,##0</c:formatCode>
                <c:ptCount val="1"/>
                <c:pt idx="0">
                  <c:v>75.496526592498185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D-4A44-B2E2-59BD93969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'-0.3 -0.3'!$N$30</c:f>
              <c:numCache>
                <c:formatCode>#,##0</c:formatCode>
                <c:ptCount val="1"/>
                <c:pt idx="0">
                  <c:v>-3150.1306338409504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FB41-93B1-FCEAD047A5CD}"/>
            </c:ext>
          </c:extLst>
        </c:ser>
        <c:ser>
          <c:idx val="1"/>
          <c:order val="1"/>
          <c:tx>
            <c:strRef>
              <c:f>'-0.3 -0.3'!$M$31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'-0.3 -0.3'!$N$31</c:f>
              <c:numCache>
                <c:formatCode>#,##0</c:formatCode>
                <c:ptCount val="1"/>
                <c:pt idx="0">
                  <c:v>1256.8559540931674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FB41-93B1-FCEAD047A5CD}"/>
            </c:ext>
          </c:extLst>
        </c:ser>
        <c:ser>
          <c:idx val="2"/>
          <c:order val="2"/>
          <c:tx>
            <c:strRef>
              <c:f>'-0.3 -0.3'!$M$32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'-0.3 -0.3'!$N$32</c:f>
              <c:numCache>
                <c:formatCode>#,##0</c:formatCode>
                <c:ptCount val="1"/>
                <c:pt idx="0">
                  <c:v>998.37105209439392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FB41-93B1-FCEAD047A5CD}"/>
            </c:ext>
          </c:extLst>
        </c:ser>
        <c:ser>
          <c:idx val="4"/>
          <c:order val="3"/>
          <c:tx>
            <c:strRef>
              <c:f>'-0.3 -0.3'!$E$40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'-0.3 -0.3'!$G$40</c:f>
              <c:numCache>
                <c:formatCode>#,##0</c:formatCode>
                <c:ptCount val="1"/>
                <c:pt idx="0">
                  <c:v>854.79792144577209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9-FB41-93B1-FCEAD047A5CD}"/>
            </c:ext>
          </c:extLst>
        </c:ser>
        <c:ser>
          <c:idx val="3"/>
          <c:order val="4"/>
          <c:tx>
            <c:strRef>
              <c:f>'-0.3 -0.3'!$M$35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'-0.3 -0.3'!$N$35</c:f>
              <c:numCache>
                <c:formatCode>#,##0</c:formatCode>
                <c:ptCount val="1"/>
                <c:pt idx="0">
                  <c:v>280.00253140626955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9-FB41-93B1-FCEAD047A5CD}"/>
            </c:ext>
          </c:extLst>
        </c:ser>
        <c:ser>
          <c:idx val="5"/>
          <c:order val="5"/>
          <c:tx>
            <c:strRef>
              <c:f>'-0.3 -0.3'!$M$37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'-0.3 -0.3'!$N$37</c:f>
              <c:numCache>
                <c:formatCode>#,##0</c:formatCode>
                <c:ptCount val="1"/>
                <c:pt idx="0">
                  <c:v>239.89682519865255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9-FB41-93B1-FCEAD047A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'-0.3 -0.5'!$N$30</c:f>
              <c:numCache>
                <c:formatCode>#,##0</c:formatCode>
                <c:ptCount val="1"/>
                <c:pt idx="0">
                  <c:v>-2095.7159942030084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8D4D-9BAE-33B8433FE7F6}"/>
            </c:ext>
          </c:extLst>
        </c:ser>
        <c:ser>
          <c:idx val="1"/>
          <c:order val="1"/>
          <c:tx>
            <c:strRef>
              <c:f>'-0.3 -0.5'!$M$31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'-0.3 -0.5'!$N$31</c:f>
              <c:numCache>
                <c:formatCode>#,##0</c:formatCode>
                <c:ptCount val="1"/>
                <c:pt idx="0">
                  <c:v>604.07071769252343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F-8D4D-9BAE-33B8433FE7F6}"/>
            </c:ext>
          </c:extLst>
        </c:ser>
        <c:ser>
          <c:idx val="2"/>
          <c:order val="2"/>
          <c:tx>
            <c:strRef>
              <c:f>'-0.3 -0.5'!$M$32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'-0.3 -0.5'!$N$32</c:f>
              <c:numCache>
                <c:formatCode>#,##0</c:formatCode>
                <c:ptCount val="1"/>
                <c:pt idx="0">
                  <c:v>840.31379397382602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F-8D4D-9BAE-33B8433FE7F6}"/>
            </c:ext>
          </c:extLst>
        </c:ser>
        <c:ser>
          <c:idx val="4"/>
          <c:order val="3"/>
          <c:tx>
            <c:strRef>
              <c:f>'-0.3 -0.5'!$E$40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'-0.3 -0.5'!$G$40</c:f>
              <c:numCache>
                <c:formatCode>#,##0</c:formatCode>
                <c:ptCount val="1"/>
                <c:pt idx="0">
                  <c:v>592.00102479275279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F-8D4D-9BAE-33B8433FE7F6}"/>
            </c:ext>
          </c:extLst>
        </c:ser>
        <c:ser>
          <c:idx val="3"/>
          <c:order val="4"/>
          <c:tx>
            <c:strRef>
              <c:f>'-0.3 -0.5'!$M$35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'-0.3 -0.5'!$N$35</c:f>
              <c:numCache>
                <c:formatCode>#,##0</c:formatCode>
                <c:ptCount val="1"/>
                <c:pt idx="0">
                  <c:v>485.25606154799914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F-8D4D-9BAE-33B8433FE7F6}"/>
            </c:ext>
          </c:extLst>
        </c:ser>
        <c:ser>
          <c:idx val="5"/>
          <c:order val="5"/>
          <c:tx>
            <c:strRef>
              <c:f>'-0.3 -0.5'!$M$37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'-0.3 -0.5'!$N$37</c:f>
              <c:numCache>
                <c:formatCode>#,##0</c:formatCode>
                <c:ptCount val="1"/>
                <c:pt idx="0">
                  <c:v>425.92560380409293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F-8D4D-9BAE-33B8433FE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'-0.3 -1'!$N$30</c:f>
              <c:numCache>
                <c:formatCode>#,##0</c:formatCode>
                <c:ptCount val="1"/>
                <c:pt idx="0">
                  <c:v>24.870038958173609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943-9550-244FE078B8CC}"/>
            </c:ext>
          </c:extLst>
        </c:ser>
        <c:ser>
          <c:idx val="1"/>
          <c:order val="1"/>
          <c:tx>
            <c:strRef>
              <c:f>'-0.3 -1'!$M$31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'-0.3 -1'!$N$31</c:f>
              <c:numCache>
                <c:formatCode>#,##0</c:formatCode>
                <c:ptCount val="1"/>
                <c:pt idx="0">
                  <c:v>-1259.450311343895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4943-9550-244FE078B8CC}"/>
            </c:ext>
          </c:extLst>
        </c:ser>
        <c:ser>
          <c:idx val="2"/>
          <c:order val="2"/>
          <c:tx>
            <c:strRef>
              <c:f>'-0.3 -1'!$M$32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'-0.3 -1'!$N$32</c:f>
              <c:numCache>
                <c:formatCode>#,##0</c:formatCode>
                <c:ptCount val="1"/>
                <c:pt idx="0">
                  <c:v>521.34524194245898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2-4943-9550-244FE078B8CC}"/>
            </c:ext>
          </c:extLst>
        </c:ser>
        <c:ser>
          <c:idx val="4"/>
          <c:order val="3"/>
          <c:tx>
            <c:strRef>
              <c:f>'-0.3 -1'!$E$40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'-0.3 -1'!$G$40</c:f>
              <c:numCache>
                <c:formatCode>#,##0</c:formatCode>
                <c:ptCount val="1"/>
                <c:pt idx="0">
                  <c:v>-75.989270613860754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2-4943-9550-244FE078B8CC}"/>
            </c:ext>
          </c:extLst>
        </c:ser>
        <c:ser>
          <c:idx val="3"/>
          <c:order val="4"/>
          <c:tx>
            <c:strRef>
              <c:f>'-0.3 -1'!$M$35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'-0.3 -1'!$N$35</c:f>
              <c:numCache>
                <c:formatCode>#,##0</c:formatCode>
                <c:ptCount val="1"/>
                <c:pt idx="0">
                  <c:v>950.67774791294846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2-4943-9550-244FE078B8CC}"/>
            </c:ext>
          </c:extLst>
        </c:ser>
        <c:ser>
          <c:idx val="5"/>
          <c:order val="5"/>
          <c:tx>
            <c:strRef>
              <c:f>'-0.3 -1'!$M$37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'-0.3 -1'!$N$37</c:f>
              <c:numCache>
                <c:formatCode>#,##0</c:formatCode>
                <c:ptCount val="1"/>
                <c:pt idx="0">
                  <c:v>161.45344685582529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2-4943-9550-244FE078B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'-0.5 -0.1'!$N$30</c:f>
              <c:numCache>
                <c:formatCode>#,##0</c:formatCode>
                <c:ptCount val="1"/>
                <c:pt idx="0">
                  <c:v>-3467.7970387013938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2E42-85E7-09B5A2AD4EAB}"/>
            </c:ext>
          </c:extLst>
        </c:ser>
        <c:ser>
          <c:idx val="1"/>
          <c:order val="1"/>
          <c:tx>
            <c:strRef>
              <c:f>'-0.5 -0.1'!$M$31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'-0.5 -0.1'!$N$31</c:f>
              <c:numCache>
                <c:formatCode>#,##0</c:formatCode>
                <c:ptCount val="1"/>
                <c:pt idx="0">
                  <c:v>1437.3115295126709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2E42-85E7-09B5A2AD4EAB}"/>
            </c:ext>
          </c:extLst>
        </c:ser>
        <c:ser>
          <c:idx val="2"/>
          <c:order val="2"/>
          <c:tx>
            <c:strRef>
              <c:f>'-0.5 -0.1'!$M$32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'-0.5 -0.1'!$N$32</c:f>
              <c:numCache>
                <c:formatCode>#,##0</c:formatCode>
                <c:ptCount val="1"/>
                <c:pt idx="0">
                  <c:v>1086.8425755692101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2E42-85E7-09B5A2AD4EAB}"/>
            </c:ext>
          </c:extLst>
        </c:ser>
        <c:ser>
          <c:idx val="4"/>
          <c:order val="3"/>
          <c:tx>
            <c:strRef>
              <c:f>'-0.5 -0.1'!$E$40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'-0.5 -0.1'!$G$40</c:f>
              <c:numCache>
                <c:formatCode>#,##0</c:formatCode>
                <c:ptCount val="1"/>
                <c:pt idx="0">
                  <c:v>913.2728732268863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2E42-85E7-09B5A2AD4EAB}"/>
            </c:ext>
          </c:extLst>
        </c:ser>
        <c:ser>
          <c:idx val="3"/>
          <c:order val="4"/>
          <c:tx>
            <c:strRef>
              <c:f>'-0.5 -0.1'!$M$35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'-0.5 -0.1'!$N$35</c:f>
              <c:numCache>
                <c:formatCode>#,##0</c:formatCode>
                <c:ptCount val="1"/>
                <c:pt idx="0">
                  <c:v>55.669148099047334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2E42-85E7-09B5A2AD4EAB}"/>
            </c:ext>
          </c:extLst>
        </c:ser>
        <c:ser>
          <c:idx val="5"/>
          <c:order val="5"/>
          <c:tx>
            <c:strRef>
              <c:f>'-0.5 -0.1'!$M$37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'-0.5 -0.1'!$N$37</c:f>
              <c:numCache>
                <c:formatCode>#,##0</c:formatCode>
                <c:ptCount val="1"/>
                <c:pt idx="0">
                  <c:v>25.299087706420778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3-2E42-85E7-09B5A2AD4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'-0.5 -0.3'!$N$30</c:f>
              <c:numCache>
                <c:formatCode>#,##0</c:formatCode>
                <c:ptCount val="1"/>
                <c:pt idx="0">
                  <c:v>-2425.9958748073313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FA47-BC86-0B0CB33DBC31}"/>
            </c:ext>
          </c:extLst>
        </c:ser>
        <c:ser>
          <c:idx val="1"/>
          <c:order val="1"/>
          <c:tx>
            <c:strRef>
              <c:f>'-0.5 -0.3'!$M$31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'-0.5 -0.3'!$N$31</c:f>
              <c:numCache>
                <c:formatCode>#,##0</c:formatCode>
                <c:ptCount val="1"/>
                <c:pt idx="0">
                  <c:v>806.00695330638518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FA47-BC86-0B0CB33DBC31}"/>
            </c:ext>
          </c:extLst>
        </c:ser>
        <c:ser>
          <c:idx val="2"/>
          <c:order val="2"/>
          <c:tx>
            <c:strRef>
              <c:f>'-0.5 -0.3'!$M$32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'-0.5 -0.3'!$N$32</c:f>
              <c:numCache>
                <c:formatCode>#,##0</c:formatCode>
                <c:ptCount val="1"/>
                <c:pt idx="0">
                  <c:v>925.65231470406502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E-FA47-BC86-0B0CB33DBC31}"/>
            </c:ext>
          </c:extLst>
        </c:ser>
        <c:ser>
          <c:idx val="4"/>
          <c:order val="3"/>
          <c:tx>
            <c:strRef>
              <c:f>'-0.5 -0.3'!$E$40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'-0.5 -0.3'!$G$40</c:f>
              <c:numCache>
                <c:formatCode>#,##0</c:formatCode>
                <c:ptCount val="1"/>
                <c:pt idx="0">
                  <c:v>662.03952110829232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E-FA47-BC86-0B0CB33DBC31}"/>
            </c:ext>
          </c:extLst>
        </c:ser>
        <c:ser>
          <c:idx val="3"/>
          <c:order val="4"/>
          <c:tx>
            <c:strRef>
              <c:f>'-0.5 -0.3'!$M$35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'-0.5 -0.3'!$N$35</c:f>
              <c:numCache>
                <c:formatCode>#,##0</c:formatCode>
                <c:ptCount val="1"/>
                <c:pt idx="0">
                  <c:v>298.15595923748401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E-FA47-BC86-0B0CB33DBC31}"/>
            </c:ext>
          </c:extLst>
        </c:ser>
        <c:ser>
          <c:idx val="5"/>
          <c:order val="5"/>
          <c:tx>
            <c:strRef>
              <c:f>'-0.5 -0.3'!$M$37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'-0.5 -0.3'!$N$37</c:f>
              <c:numCache>
                <c:formatCode>#,##0</c:formatCode>
                <c:ptCount val="1"/>
                <c:pt idx="0">
                  <c:v>265.85887354889519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E-FA47-BC86-0B0CB33D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Summary!$M$45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Summary!$N$45:$Q$45</c:f>
              <c:numCache>
                <c:formatCode>#,##0</c:formatCode>
                <c:ptCount val="4"/>
                <c:pt idx="0">
                  <c:v>1266.1122105315931</c:v>
                </c:pt>
                <c:pt idx="1">
                  <c:v>1222.719994800904</c:v>
                </c:pt>
                <c:pt idx="2">
                  <c:v>1155.8192556873232</c:v>
                </c:pt>
                <c:pt idx="3">
                  <c:v>879.65494883670476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Summary!$M$46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Summary!$N$46:$Q$46</c:f>
              <c:numCache>
                <c:formatCode>#,##0</c:formatCode>
                <c:ptCount val="4"/>
                <c:pt idx="0">
                  <c:v>186.50157910486541</c:v>
                </c:pt>
                <c:pt idx="1">
                  <c:v>298.85313575579926</c:v>
                </c:pt>
                <c:pt idx="2">
                  <c:v>419.27869070275699</c:v>
                </c:pt>
                <c:pt idx="3">
                  <c:v>195.45965239238944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ser>
          <c:idx val="2"/>
          <c:order val="2"/>
          <c:tx>
            <c:strRef>
              <c:f>Summary!$M$47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Summary!$N$47:$Q$47</c:f>
              <c:numCache>
                <c:formatCode>#,##0</c:formatCode>
                <c:ptCount val="4"/>
                <c:pt idx="0">
                  <c:v>75.496526592498185</c:v>
                </c:pt>
                <c:pt idx="1">
                  <c:v>239.89682519865255</c:v>
                </c:pt>
                <c:pt idx="2">
                  <c:v>425.92560380409293</c:v>
                </c:pt>
                <c:pt idx="3">
                  <c:v>161.45344685582529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5-0748-B39B-63E3259BD9F7}"/>
            </c:ext>
          </c:extLst>
        </c:ser>
        <c:ser>
          <c:idx val="3"/>
          <c:order val="3"/>
          <c:tx>
            <c:strRef>
              <c:f>Summary!$M$48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Summary!$N$48:$Q$48</c:f>
              <c:numCache>
                <c:formatCode>#,##0</c:formatCode>
                <c:ptCount val="4"/>
                <c:pt idx="0">
                  <c:v>25.299087706420778</c:v>
                </c:pt>
                <c:pt idx="1">
                  <c:v>265.85887354889519</c:v>
                </c:pt>
                <c:pt idx="2">
                  <c:v>468.09772744718339</c:v>
                </c:pt>
                <c:pt idx="3">
                  <c:v>347.10112984359409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5-0748-B39B-63E3259B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'-0.5 -0.5'!$N$30</c:f>
              <c:numCache>
                <c:formatCode>#,##0</c:formatCode>
                <c:ptCount val="1"/>
                <c:pt idx="0">
                  <c:v>-1302.763657389818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6944-8A84-A7982B3C946C}"/>
            </c:ext>
          </c:extLst>
        </c:ser>
        <c:ser>
          <c:idx val="1"/>
          <c:order val="1"/>
          <c:tx>
            <c:strRef>
              <c:f>'-0.5 -0.5'!$M$31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'-0.5 -0.5'!$N$31</c:f>
              <c:numCache>
                <c:formatCode>#,##0</c:formatCode>
                <c:ptCount val="1"/>
                <c:pt idx="0">
                  <c:v>86.521577195062491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6-6944-8A84-A7982B3C946C}"/>
            </c:ext>
          </c:extLst>
        </c:ser>
        <c:ser>
          <c:idx val="2"/>
          <c:order val="2"/>
          <c:tx>
            <c:strRef>
              <c:f>'-0.5 -0.5'!$M$32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'-0.5 -0.5'!$N$32</c:f>
              <c:numCache>
                <c:formatCode>#,##0</c:formatCode>
                <c:ptCount val="1"/>
                <c:pt idx="0">
                  <c:v>777.47904668608101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6-6944-8A84-A7982B3C946C}"/>
            </c:ext>
          </c:extLst>
        </c:ser>
        <c:ser>
          <c:idx val="4"/>
          <c:order val="3"/>
          <c:tx>
            <c:strRef>
              <c:f>'-0.5 -0.5'!$E$40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'-0.5 -0.5'!$G$40</c:f>
              <c:numCache>
                <c:formatCode>#,##0</c:formatCode>
                <c:ptCount val="1"/>
                <c:pt idx="0">
                  <c:v>372.04006354601927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6-6944-8A84-A7982B3C946C}"/>
            </c:ext>
          </c:extLst>
        </c:ser>
        <c:ser>
          <c:idx val="3"/>
          <c:order val="4"/>
          <c:tx>
            <c:strRef>
              <c:f>'-0.5 -0.5'!$M$35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'-0.5 -0.5'!$N$35</c:f>
              <c:numCache>
                <c:formatCode>#,##0</c:formatCode>
                <c:ptCount val="1"/>
                <c:pt idx="0">
                  <c:v>534.82069740983866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6-6944-8A84-A7982B3C946C}"/>
            </c:ext>
          </c:extLst>
        </c:ser>
        <c:ser>
          <c:idx val="5"/>
          <c:order val="5"/>
          <c:tx>
            <c:strRef>
              <c:f>'-0.5 -0.5'!$M$37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'-0.5 -0.5'!$N$37</c:f>
              <c:numCache>
                <c:formatCode>#,##0</c:formatCode>
                <c:ptCount val="1"/>
                <c:pt idx="0">
                  <c:v>468.09772744718339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6-6944-8A84-A7982B3C9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'-0.5 -1'!$N$30</c:f>
              <c:numCache>
                <c:formatCode>#,##0</c:formatCode>
                <c:ptCount val="1"/>
                <c:pt idx="0">
                  <c:v>1165.4158813980994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314C-BCB5-08C3A5BBDB14}"/>
            </c:ext>
          </c:extLst>
        </c:ser>
        <c:ser>
          <c:idx val="1"/>
          <c:order val="1"/>
          <c:tx>
            <c:strRef>
              <c:f>'-0.5 -1'!$M$31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'-0.5 -1'!$N$31</c:f>
              <c:numCache>
                <c:formatCode>#,##0</c:formatCode>
                <c:ptCount val="1"/>
                <c:pt idx="0">
                  <c:v>-1952.2376989320373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314C-BCB5-08C3A5BBDB14}"/>
            </c:ext>
          </c:extLst>
        </c:ser>
        <c:ser>
          <c:idx val="2"/>
          <c:order val="2"/>
          <c:tx>
            <c:strRef>
              <c:f>'-0.5 -1'!$M$32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'-0.5 -1'!$N$32</c:f>
              <c:numCache>
                <c:formatCode>#,##0</c:formatCode>
                <c:ptCount val="1"/>
                <c:pt idx="0">
                  <c:v>461.70180333399895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314C-BCB5-08C3A5BBDB14}"/>
            </c:ext>
          </c:extLst>
        </c:ser>
        <c:ser>
          <c:idx val="4"/>
          <c:order val="3"/>
          <c:tx>
            <c:strRef>
              <c:f>'-0.5 -1'!$E$40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'-0.5 -1'!$G$40</c:f>
              <c:numCache>
                <c:formatCode>#,##0</c:formatCode>
                <c:ptCount val="1"/>
                <c:pt idx="0">
                  <c:v>-423.0752121725979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314C-BCB5-08C3A5BBDB14}"/>
            </c:ext>
          </c:extLst>
        </c:ser>
        <c:ser>
          <c:idx val="3"/>
          <c:order val="4"/>
          <c:tx>
            <c:strRef>
              <c:f>'-0.5 -1'!$M$35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'-0.5 -1'!$N$35</c:f>
              <c:numCache>
                <c:formatCode>#,##0</c:formatCode>
                <c:ptCount val="1"/>
                <c:pt idx="0">
                  <c:v>1095.296356216131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314C-BCB5-08C3A5BBDB14}"/>
            </c:ext>
          </c:extLst>
        </c:ser>
        <c:ser>
          <c:idx val="5"/>
          <c:order val="5"/>
          <c:tx>
            <c:strRef>
              <c:f>'-0.5 -1'!$M$37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'-0.5 -1'!$N$37</c:f>
              <c:numCache>
                <c:formatCode>#,##0</c:formatCode>
                <c:ptCount val="1"/>
                <c:pt idx="0">
                  <c:v>347.10112984359409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3-314C-BCB5-08C3A5BBD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5412386275549752"/>
          <c:y val="0.1248500630334594"/>
          <c:w val="0.18711054900520857"/>
          <c:h val="0.384462562258457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500">
                    <a:latin typeface="Cambria" panose="02040503050406030204" pitchFamily="18" charset="0"/>
                  </a:rPr>
                  <a:t>Generation</a:t>
                </a:r>
                <a:r>
                  <a:rPr lang="en-US" sz="1500" baseline="0">
                    <a:latin typeface="Cambria" panose="02040503050406030204" pitchFamily="18" charset="0"/>
                  </a:rPr>
                  <a:t> Capacity</a:t>
                </a:r>
              </a:p>
              <a:p>
                <a:pPr>
                  <a:defRPr sz="1500">
                    <a:latin typeface="Cambria" panose="02040503050406030204" pitchFamily="18" charset="0"/>
                  </a:defRPr>
                </a:pPr>
                <a:r>
                  <a:rPr lang="en-US" sz="1500" baseline="0">
                    <a:latin typeface="Cambria" panose="02040503050406030204" pitchFamily="18" charset="0"/>
                  </a:rPr>
                  <a:t>[MW]</a:t>
                </a:r>
                <a:endParaRPr lang="en-US" sz="1500">
                  <a:latin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500">
                    <a:latin typeface="Cambria" panose="02040503050406030204" pitchFamily="18" charset="0"/>
                  </a:rPr>
                  <a:t>Marginal Cost</a:t>
                </a:r>
              </a:p>
              <a:p>
                <a:pPr>
                  <a:defRPr sz="1500">
                    <a:latin typeface="Cambria" panose="02040503050406030204" pitchFamily="18" charset="0"/>
                  </a:defRPr>
                </a:pPr>
                <a:r>
                  <a:rPr lang="en-US" sz="1500">
                    <a:latin typeface="Cambria" panose="02040503050406030204" pitchFamily="18" charset="0"/>
                  </a:rPr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>
                    <a:latin typeface="Cambria" panose="02040503050406030204" pitchFamily="18" charset="0"/>
                  </a:rPr>
                  <a:t>time</a:t>
                </a:r>
                <a:r>
                  <a:rPr lang="en-US" sz="1600" baseline="0">
                    <a:latin typeface="Cambria" panose="02040503050406030204" pitchFamily="18" charset="0"/>
                  </a:rPr>
                  <a:t> / day</a:t>
                </a:r>
                <a:endParaRPr lang="en-US" sz="1600">
                  <a:latin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>
                    <a:latin typeface="Cambria" panose="02040503050406030204" pitchFamily="18" charset="0"/>
                  </a:rPr>
                  <a:t>Load</a:t>
                </a:r>
              </a:p>
              <a:p>
                <a:pPr>
                  <a:defRPr sz="1600">
                    <a:latin typeface="Cambria" panose="02040503050406030204" pitchFamily="18" charset="0"/>
                  </a:defRPr>
                </a:pPr>
                <a:r>
                  <a:rPr lang="en-US" sz="1400" i="1">
                    <a:latin typeface="Cambria" panose="02040503050406030204" pitchFamily="18" charset="0"/>
                  </a:rPr>
                  <a:t>[MW]</a:t>
                </a:r>
                <a:endParaRPr lang="en-US" sz="1600" i="1">
                  <a:latin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(2)'!$P$29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(2)'!$I$29:$L$29</c:f>
              <c:numCache>
                <c:formatCode>0.00%</c:formatCode>
                <c:ptCount val="4"/>
                <c:pt idx="0">
                  <c:v>7.896708017401631E-2</c:v>
                </c:pt>
                <c:pt idx="1">
                  <c:v>7.8985274104896808E-2</c:v>
                </c:pt>
                <c:pt idx="2">
                  <c:v>7.7503884421453159E-2</c:v>
                </c:pt>
                <c:pt idx="3">
                  <c:v>6.797000977046129E-2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F-0E41-85E2-604FBE2AB517}"/>
            </c:ext>
          </c:extLst>
        </c:ser>
        <c:ser>
          <c:idx val="1"/>
          <c:order val="1"/>
          <c:tx>
            <c:strRef>
              <c:f>'Summary (2)'!$P$31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(2)'!$I$30:$L$30</c:f>
              <c:numCache>
                <c:formatCode>0.00%</c:formatCode>
                <c:ptCount val="4"/>
                <c:pt idx="0">
                  <c:v>1.105363005699285E-2</c:v>
                </c:pt>
                <c:pt idx="1">
                  <c:v>1.8498220519201081E-2</c:v>
                </c:pt>
                <c:pt idx="2">
                  <c:v>2.7415719105486111E-2</c:v>
                </c:pt>
                <c:pt idx="3">
                  <c:v>1.4720481091002416E-2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F-0E41-85E2-604FBE2A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(2)'!$M$45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(2)'!$N$45:$Q$45</c:f>
              <c:numCache>
                <c:formatCode>#,##0</c:formatCode>
                <c:ptCount val="4"/>
                <c:pt idx="0">
                  <c:v>1266.1122105315931</c:v>
                </c:pt>
                <c:pt idx="1">
                  <c:v>1222.719994800904</c:v>
                </c:pt>
                <c:pt idx="2">
                  <c:v>1155.8192556873232</c:v>
                </c:pt>
                <c:pt idx="3">
                  <c:v>879.65494883670476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2D46-B0E4-F9C2B4BDBB12}"/>
            </c:ext>
          </c:extLst>
        </c:ser>
        <c:ser>
          <c:idx val="1"/>
          <c:order val="1"/>
          <c:tx>
            <c:strRef>
              <c:f>'Summary (2)'!$M$46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(2)'!$N$46:$Q$46</c:f>
              <c:numCache>
                <c:formatCode>#,##0</c:formatCode>
                <c:ptCount val="4"/>
                <c:pt idx="0">
                  <c:v>186.50157910486541</c:v>
                </c:pt>
                <c:pt idx="1">
                  <c:v>298.85313575579926</c:v>
                </c:pt>
                <c:pt idx="2">
                  <c:v>419.27869070275699</c:v>
                </c:pt>
                <c:pt idx="3">
                  <c:v>195.45965239238944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8-2D46-B0E4-F9C2B4BDBB12}"/>
            </c:ext>
          </c:extLst>
        </c:ser>
        <c:ser>
          <c:idx val="2"/>
          <c:order val="2"/>
          <c:tx>
            <c:strRef>
              <c:f>'Summary (2)'!$M$47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(2)'!$N$47:$Q$47</c:f>
              <c:numCache>
                <c:formatCode>#,##0</c:formatCode>
                <c:ptCount val="4"/>
                <c:pt idx="0">
                  <c:v>75.496526592498185</c:v>
                </c:pt>
                <c:pt idx="1">
                  <c:v>239.89682519865255</c:v>
                </c:pt>
                <c:pt idx="2">
                  <c:v>425.92560380409293</c:v>
                </c:pt>
                <c:pt idx="3">
                  <c:v>161.45344685582529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8-2D46-B0E4-F9C2B4BDBB12}"/>
            </c:ext>
          </c:extLst>
        </c:ser>
        <c:ser>
          <c:idx val="3"/>
          <c:order val="3"/>
          <c:tx>
            <c:strRef>
              <c:f>'Summary (2)'!$M$48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(2)'!$N$48:$Q$48</c:f>
              <c:numCache>
                <c:formatCode>#,##0</c:formatCode>
                <c:ptCount val="4"/>
                <c:pt idx="0">
                  <c:v>25.299087706420778</c:v>
                </c:pt>
                <c:pt idx="1">
                  <c:v>265.85887354889519</c:v>
                </c:pt>
                <c:pt idx="2">
                  <c:v>468.09772744718339</c:v>
                </c:pt>
                <c:pt idx="3">
                  <c:v>347.10112984359409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8-2D46-B0E4-F9C2B4BD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3655500999733"/>
          <c:y val="2.4073987272667116E-2"/>
          <c:w val="0.76962314951676314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(Exchange Elast.= 0)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96676744.295320004</c:v>
                </c:pt>
                <c:pt idx="2">
                  <c:v>83388300.730003506</c:v>
                </c:pt>
                <c:pt idx="3">
                  <c:v>71992151.346977502</c:v>
                </c:pt>
                <c:pt idx="4">
                  <c:v>45900671.535320297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 (-0.5)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2"/>
            <c:marker>
              <c:symbol val="circle"/>
              <c:size val="18"/>
              <c:spPr>
                <a:solidFill>
                  <a:schemeClr val="accent6">
                    <a:lumMod val="50000"/>
                  </a:schemeClr>
                </a:solidFill>
                <a:ln w="22225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A9-5344-8A7D-9E63BE6FCCFD}"/>
              </c:ext>
            </c:extLst>
          </c:dPt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81445949.506301299</c:v>
                </c:pt>
                <c:pt idx="2">
                  <c:v>70295971.007047296</c:v>
                </c:pt>
                <c:pt idx="3">
                  <c:v>59730571.134811699</c:v>
                </c:pt>
                <c:pt idx="4">
                  <c:v>36258754.486268401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(0)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134033059.58362508</c:v>
                </c:pt>
                <c:pt idx="1">
                  <c:v>-32976675.501408935</c:v>
                </c:pt>
                <c:pt idx="2">
                  <c:v>-160387886.93897396</c:v>
                </c:pt>
                <c:pt idx="3">
                  <c:v>-394752329.59558195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(-0.5)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1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A9-5344-8A7D-9E63BE6FCCFD}"/>
              </c:ext>
            </c:extLst>
          </c:dPt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-50072354.167294979</c:v>
                </c:pt>
                <c:pt idx="1">
                  <c:v>-192474039.98412198</c:v>
                </c:pt>
                <c:pt idx="2">
                  <c:v>-301565528.26251298</c:v>
                </c:pt>
                <c:pt idx="3">
                  <c:v>-478845269.61328793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b="1" i="1">
                    <a:latin typeface="Cambria" panose="02040503050406030204" pitchFamily="18" charset="0"/>
                  </a:rPr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b="1" i="1">
                    <a:latin typeface="Cambria" panose="02040503050406030204" pitchFamily="18" charset="0"/>
                  </a:rPr>
                  <a:t>Output</a:t>
                </a:r>
                <a:endParaRPr lang="en-US" sz="1600" b="1" i="1" baseline="0">
                  <a:latin typeface="Cambria" panose="02040503050406030204" pitchFamily="18" charset="0"/>
                </a:endParaRP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i="1" baseline="0">
                    <a:latin typeface="Cambria" panose="02040503050406030204" pitchFamily="18" charset="0"/>
                  </a:rPr>
                  <a:t>[TWh]</a:t>
                </a:r>
                <a:endParaRPr lang="en-US" sz="1600" i="1">
                  <a:latin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93339161293564576"/>
              <c:y val="0.36942353092446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b="1" i="1">
                    <a:latin typeface="Cambria" panose="02040503050406030204" pitchFamily="18" charset="0"/>
                  </a:rPr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i="1">
                    <a:latin typeface="Cambria" panose="02040503050406030204" pitchFamily="18" charset="0"/>
                  </a:rPr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8135020958130524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>
              <a:latin typeface="Cambria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'0 -0.1'!$N$30</c:f>
              <c:numCache>
                <c:formatCode>#,##0</c:formatCode>
                <c:ptCount val="1"/>
                <c:pt idx="0">
                  <c:v>-3500.0136857577381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'0 -0.1'!$M$31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'0 -0.1'!$N$31</c:f>
              <c:numCache>
                <c:formatCode>#,##0</c:formatCode>
                <c:ptCount val="1"/>
                <c:pt idx="0">
                  <c:v>2130.1749772138928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'0 -0.1'!$M$32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'0 -0.1'!$N$32</c:f>
              <c:numCache>
                <c:formatCode>#,##0</c:formatCode>
                <c:ptCount val="1"/>
                <c:pt idx="0">
                  <c:v>1309.55949683532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'0 -0.1'!$E$40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'0 -0.1'!$G$40</c:f>
              <c:numCache>
                <c:formatCode>#,##0</c:formatCode>
                <c:ptCount val="1"/>
                <c:pt idx="0">
                  <c:v>1204.421586531553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'0 -0.1'!$M$35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'0 -0.1'!$N$35</c:f>
              <c:numCache>
                <c:formatCode>#,##0</c:formatCode>
                <c:ptCount val="1"/>
                <c:pt idx="0">
                  <c:v>121.96983570856537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'0 -0.1'!$M$37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'0 -0.1'!$N$37</c:f>
              <c:numCache>
                <c:formatCode>#,##0</c:formatCode>
                <c:ptCount val="1"/>
                <c:pt idx="0">
                  <c:v>1266.1122105315931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C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ZEC's Savings</c:v>
                </c:pt>
                <c:pt idx="5">
                  <c:v>Externality Gain</c:v>
                </c:pt>
              </c:strCache>
            </c:strRef>
          </c:cat>
          <c:val>
            <c:numRef>
              <c:f>'0 -0.3'!$N$30</c:f>
              <c:numCache>
                <c:formatCode>#,##0</c:formatCode>
                <c:ptCount val="1"/>
                <c:pt idx="0">
                  <c:v>-2946.9494959329986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'0 -0.3'!$M$31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'0 -0.3'!$N$31</c:f>
              <c:numCache>
                <c:formatCode>#,##0</c:formatCode>
                <c:ptCount val="1"/>
                <c:pt idx="0">
                  <c:v>1682.7879832158387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'0 -0.3'!$M$32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'0 -0.3'!$N$32</c:f>
              <c:numCache>
                <c:formatCode>#,##0</c:formatCode>
                <c:ptCount val="1"/>
                <c:pt idx="0">
                  <c:v>1111.2539836067199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'0 -0.3'!$E$40</c:f>
              <c:strCache>
                <c:ptCount val="1"/>
                <c:pt idx="0">
                  <c:v>ZEC's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206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'0 -0.3'!$G$40</c:f>
              <c:numCache>
                <c:formatCode>#,##0</c:formatCode>
                <c:ptCount val="1"/>
                <c:pt idx="0">
                  <c:v>1055.3521749741722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'0 -0.3'!$M$35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'0 -0.3'!$N$35</c:f>
              <c:numCache>
                <c:formatCode>#,##0</c:formatCode>
                <c:ptCount val="1"/>
                <c:pt idx="0">
                  <c:v>320.27534893717188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  <a:alpha val="39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'0 -0.3'!$N$37</c:f>
              <c:numCache>
                <c:formatCode>#,##0</c:formatCode>
                <c:ptCount val="1"/>
                <c:pt idx="0">
                  <c:v>1222.719994800904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ser>
          <c:idx val="6"/>
          <c:order val="6"/>
          <c:tx>
            <c:strRef>
              <c:f>'0 -0.3'!$Q$37</c:f>
              <c:strCache>
                <c:ptCount val="1"/>
                <c:pt idx="0">
                  <c:v>Unrealized savings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(1,055)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3-DC4A-85B9-5D26B2A6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baseline="0">
                    <a:solidFill>
                      <a:srgbClr val="00206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'0 -0.3'!$O$33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3-DC4A-85B9-5D26B2A6677F}"/>
            </c:ext>
          </c:extLst>
        </c:ser>
        <c:ser>
          <c:idx val="7"/>
          <c:order val="7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DnDiag">
              <a:fgClr>
                <a:srgbClr val="568939"/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  <a:alpha val="36000"/>
                </a:schemeClr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1" u="none" strike="noStrike" baseline="0">
                      <a:solidFill>
                        <a:schemeClr val="tx1">
                          <a:lumMod val="65000"/>
                          <a:lumOff val="35000"/>
                          <a:alpha val="7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2E3-DC4A-85B9-5D26B2A6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'0 -0.3'!$O$37</c:f>
              <c:numCache>
                <c:formatCode>#,##0</c:formatCode>
                <c:ptCount val="1"/>
                <c:pt idx="0">
                  <c:v>167.36781982673187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3-DC4A-85B9-5D26B2A667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Cambria" panose="02040503050406030204" pitchFamily="18" charset="0"/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  <a:latin typeface="Cambria" panose="02040503050406030204" pitchFamily="18" charset="0"/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  <a:latin typeface="Cambria" panose="02040503050406030204" pitchFamily="18" charset="0"/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518190757128812E-2"/>
          <c:y val="1.6624157256673714E-2"/>
          <c:w val="0.9725054390325103"/>
          <c:h val="6.1636353759448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'0 -0.5'!$N$30</c:f>
              <c:numCache>
                <c:formatCode>#,##0</c:formatCode>
                <c:ptCount val="1"/>
                <c:pt idx="0">
                  <c:v>-2379.6449936958306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'0 -0.5'!$M$31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'0 -0.5'!$N$31</c:f>
              <c:numCache>
                <c:formatCode>#,##0</c:formatCode>
                <c:ptCount val="1"/>
                <c:pt idx="0">
                  <c:v>1215.24249802142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'0 -0.5'!$M$32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'0 -0.5'!$N$32</c:f>
              <c:numCache>
                <c:formatCode>#,##0</c:formatCode>
                <c:ptCount val="1"/>
                <c:pt idx="0">
                  <c:v>945.97308325003803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'0 -0.5'!$E$40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'0 -0.5'!$G$40</c:f>
              <c:numCache>
                <c:formatCode>#,##0</c:formatCode>
                <c:ptCount val="1"/>
                <c:pt idx="0">
                  <c:v>888.69241881783978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'0 -0.5'!$M$35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'0 -0.5'!$N$35</c:f>
              <c:numCache>
                <c:formatCode>#,##0</c:formatCode>
                <c:ptCount val="1"/>
                <c:pt idx="0">
                  <c:v>485.5562492938559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'0 -0.5'!$M$37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'0 -0.5'!$N$37</c:f>
              <c:numCache>
                <c:formatCode>#,##0</c:formatCode>
                <c:ptCount val="1"/>
                <c:pt idx="0">
                  <c:v>1155.8192556873232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'0 -1'!$N$30</c:f>
              <c:numCache>
                <c:formatCode>#,##0</c:formatCode>
                <c:ptCount val="1"/>
                <c:pt idx="0">
                  <c:v>-408.40556281433601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'0 -1'!$M$31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'0 -1'!$N$31</c:f>
              <c:numCache>
                <c:formatCode>#,##0</c:formatCode>
                <c:ptCount val="1"/>
                <c:pt idx="0">
                  <c:v>-405.93582055007209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'0 -1'!$M$32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'0 -1'!$N$32</c:f>
              <c:numCache>
                <c:formatCode>#,##0</c:formatCode>
                <c:ptCount val="1"/>
                <c:pt idx="0">
                  <c:v>586.645929081502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'0 -1'!$E$40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'0 -1'!$G$40</c:f>
              <c:numCache>
                <c:formatCode>#,##0</c:formatCode>
                <c:ptCount val="1"/>
                <c:pt idx="0">
                  <c:v>262.46699965721865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'0 -1'!$M$35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'0 -1'!$N$35</c:f>
              <c:numCache>
                <c:formatCode>#,##0</c:formatCode>
                <c:ptCount val="1"/>
                <c:pt idx="0">
                  <c:v>844.88340346239227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'0 -1'!$M$37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'0 -1'!$N$37</c:f>
              <c:numCache>
                <c:formatCode>#,##0</c:formatCode>
                <c:ptCount val="1"/>
                <c:pt idx="0">
                  <c:v>879.65494883670476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49</xdr:row>
      <xdr:rowOff>194505</xdr:rowOff>
    </xdr:from>
    <xdr:to>
      <xdr:col>11</xdr:col>
      <xdr:colOff>22884</xdr:colOff>
      <xdr:row>68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205945</xdr:rowOff>
    </xdr:from>
    <xdr:to>
      <xdr:col>12</xdr:col>
      <xdr:colOff>605465</xdr:colOff>
      <xdr:row>96</xdr:row>
      <xdr:rowOff>29535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49</xdr:row>
      <xdr:rowOff>158750</xdr:rowOff>
    </xdr:from>
    <xdr:to>
      <xdr:col>11</xdr:col>
      <xdr:colOff>457200</xdr:colOff>
      <xdr:row>78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EE0A-E4FF-9E42-BD2F-46FC84E94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53</xdr:row>
      <xdr:rowOff>57150</xdr:rowOff>
    </xdr:from>
    <xdr:to>
      <xdr:col>11</xdr:col>
      <xdr:colOff>406400</xdr:colOff>
      <xdr:row>81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D8BDD-AECF-E445-B998-F5CAD880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FA69-BC13-D847-9C3C-347E98F2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49</xdr:row>
      <xdr:rowOff>133350</xdr:rowOff>
    </xdr:from>
    <xdr:to>
      <xdr:col>11</xdr:col>
      <xdr:colOff>508000</xdr:colOff>
      <xdr:row>77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BC17F-9F3E-A44A-A638-6F4E4D5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CBF61-D3D3-E142-B9F3-57662936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DE1A-48A5-A04A-916F-353F45E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EAEAC-0CF0-034D-A400-23565D4B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142CB-C2A3-EA4F-A5DF-B0EB0733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6A36C-C4D1-C948-BDD9-6068060B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FF2F-DA2D-7142-AC80-884E41E8A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9805-C223-CE40-B633-C172D9D0D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20</xdr:row>
      <xdr:rowOff>114300</xdr:rowOff>
    </xdr:from>
    <xdr:to>
      <xdr:col>12</xdr:col>
      <xdr:colOff>317500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50800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49</xdr:row>
      <xdr:rowOff>194505</xdr:rowOff>
    </xdr:from>
    <xdr:to>
      <xdr:col>11</xdr:col>
      <xdr:colOff>22884</xdr:colOff>
      <xdr:row>68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31ADE-503C-FC4B-910B-50DF99532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205945</xdr:rowOff>
    </xdr:from>
    <xdr:to>
      <xdr:col>12</xdr:col>
      <xdr:colOff>605465</xdr:colOff>
      <xdr:row>96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8FB43-3B63-F245-8C77-8C1B48362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149412</xdr:colOff>
      <xdr:row>15</xdr:row>
      <xdr:rowOff>37353</xdr:rowOff>
    </xdr:from>
    <xdr:to>
      <xdr:col>16</xdr:col>
      <xdr:colOff>186766</xdr:colOff>
      <xdr:row>41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49</xdr:row>
      <xdr:rowOff>171450</xdr:rowOff>
    </xdr:from>
    <xdr:to>
      <xdr:col>11</xdr:col>
      <xdr:colOff>457200</xdr:colOff>
      <xdr:row>78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47</xdr:row>
      <xdr:rowOff>57150</xdr:rowOff>
    </xdr:from>
    <xdr:to>
      <xdr:col>15</xdr:col>
      <xdr:colOff>193261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0.85923</cdr:x>
      <cdr:y>0.28254</cdr:y>
    </cdr:from>
    <cdr:to>
      <cdr:x>0.96325</cdr:x>
      <cdr:y>0.41431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FC2804E-3291-1741-ACAC-70EBC614D2D4}"/>
            </a:ext>
          </a:extLst>
        </cdr:cNvPr>
        <cdr:cNvSpPr/>
      </cdr:nvSpPr>
      <cdr:spPr>
        <a:xfrm xmlns:a="http://schemas.openxmlformats.org/drawingml/2006/main">
          <a:off x="11095526" y="1311919"/>
          <a:ext cx="1343181" cy="61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206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0.76313</cdr:x>
      <cdr:y>0.11004</cdr:y>
    </cdr:from>
    <cdr:to>
      <cdr:x>1</cdr:x>
      <cdr:y>0.18216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D879D4A4-97A1-4C4D-B5C6-8C1A0A3BCDF6}"/>
            </a:ext>
          </a:extLst>
        </cdr:cNvPr>
        <cdr:cNvSpPr txBox="1"/>
      </cdr:nvSpPr>
      <cdr:spPr>
        <a:xfrm xmlns:a="http://schemas.openxmlformats.org/drawingml/2006/main">
          <a:off x="9848905" y="508000"/>
          <a:ext cx="3057056" cy="3329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i="1">
              <a:latin typeface="Cambria" panose="02040503050406030204" pitchFamily="18" charset="0"/>
            </a:rPr>
            <a:t>No pre-existing</a:t>
          </a:r>
          <a:r>
            <a:rPr lang="en-US" sz="1600" i="1" baseline="0">
              <a:latin typeface="Cambria" panose="02040503050406030204" pitchFamily="18" charset="0"/>
            </a:rPr>
            <a:t> policies' savings </a:t>
          </a:r>
          <a:endParaRPr lang="en-US" sz="1600" i="1"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0.75771</cdr:x>
      <cdr:y>0.11829</cdr:y>
    </cdr:from>
    <cdr:to>
      <cdr:x>0.75985</cdr:x>
      <cdr:y>0.78751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A9748A5-3A8E-7B47-BD40-208D0A67423A}"/>
            </a:ext>
          </a:extLst>
        </cdr:cNvPr>
        <cdr:cNvCxnSpPr/>
      </cdr:nvCxnSpPr>
      <cdr:spPr>
        <a:xfrm xmlns:a="http://schemas.openxmlformats.org/drawingml/2006/main" flipH="1">
          <a:off x="9779000" y="546100"/>
          <a:ext cx="27607" cy="308940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sheetPr codeName="Sheet1"/>
  <dimension ref="B3:U55"/>
  <sheetViews>
    <sheetView showGridLines="0" topLeftCell="A20" zoomScale="86" workbookViewId="0">
      <selection activeCell="E22" sqref="E22"/>
    </sheetView>
  </sheetViews>
  <sheetFormatPr baseColWidth="10" defaultRowHeight="16"/>
  <cols>
    <col min="2" max="2" width="20.5" bestFit="1" customWidth="1"/>
    <col min="3" max="3" width="10.83203125" style="48"/>
    <col min="4" max="9" width="10" style="1" customWidth="1"/>
    <col min="10" max="20" width="10" customWidth="1"/>
  </cols>
  <sheetData>
    <row r="3" spans="2:21" ht="30" customHeight="1">
      <c r="B3" s="110"/>
      <c r="C3" s="200"/>
      <c r="D3" s="201" t="s">
        <v>21</v>
      </c>
      <c r="E3" s="202" t="s">
        <v>181</v>
      </c>
      <c r="F3" s="203"/>
      <c r="G3" s="203"/>
      <c r="H3" s="204"/>
      <c r="I3" s="205" t="s">
        <v>178</v>
      </c>
      <c r="J3" s="206"/>
      <c r="K3" s="206"/>
      <c r="L3" s="207"/>
      <c r="M3" s="205" t="s">
        <v>179</v>
      </c>
      <c r="N3" s="206"/>
      <c r="O3" s="206"/>
      <c r="P3" s="207"/>
      <c r="Q3" s="205" t="s">
        <v>180</v>
      </c>
      <c r="R3" s="206"/>
      <c r="S3" s="206"/>
      <c r="T3" s="206"/>
      <c r="U3" s="25"/>
    </row>
    <row r="4" spans="2:21">
      <c r="B4" s="112"/>
      <c r="C4" s="208"/>
      <c r="D4" s="209"/>
      <c r="E4" s="210">
        <v>-0.1</v>
      </c>
      <c r="F4" s="211">
        <v>-0.3</v>
      </c>
      <c r="G4" s="211">
        <v>-0.5</v>
      </c>
      <c r="H4" s="212">
        <v>-1</v>
      </c>
      <c r="I4" s="210">
        <f>E4</f>
        <v>-0.1</v>
      </c>
      <c r="J4" s="211">
        <f t="shared" ref="J4:L4" si="0">F4</f>
        <v>-0.3</v>
      </c>
      <c r="K4" s="211">
        <f t="shared" si="0"/>
        <v>-0.5</v>
      </c>
      <c r="L4" s="212">
        <f t="shared" si="0"/>
        <v>-1</v>
      </c>
      <c r="M4" s="210">
        <f>I4</f>
        <v>-0.1</v>
      </c>
      <c r="N4" s="211">
        <f t="shared" ref="N4" si="1">J4</f>
        <v>-0.3</v>
      </c>
      <c r="O4" s="211">
        <f t="shared" ref="O4" si="2">K4</f>
        <v>-0.5</v>
      </c>
      <c r="P4" s="212">
        <f t="shared" ref="P4" si="3">L4</f>
        <v>-1</v>
      </c>
      <c r="Q4" s="210">
        <f>M4</f>
        <v>-0.1</v>
      </c>
      <c r="R4" s="211">
        <f t="shared" ref="R4" si="4">N4</f>
        <v>-0.3</v>
      </c>
      <c r="S4" s="211">
        <f t="shared" ref="S4" si="5">O4</f>
        <v>-0.5</v>
      </c>
      <c r="T4" s="211">
        <f t="shared" ref="T4" si="6">P4</f>
        <v>-1</v>
      </c>
      <c r="U4" s="25"/>
    </row>
    <row r="5" spans="2:21" ht="10" customHeight="1">
      <c r="B5" s="148"/>
      <c r="C5" s="200"/>
      <c r="D5" s="213"/>
      <c r="E5" s="214"/>
      <c r="F5" s="161"/>
      <c r="G5" s="161"/>
      <c r="H5" s="215"/>
      <c r="I5" s="214"/>
      <c r="J5" s="161"/>
      <c r="K5" s="161"/>
      <c r="L5" s="215"/>
      <c r="M5" s="214"/>
      <c r="N5" s="161"/>
      <c r="O5" s="161"/>
      <c r="P5" s="215"/>
      <c r="Q5" s="214"/>
      <c r="R5" s="161"/>
      <c r="S5" s="161"/>
      <c r="T5" s="161"/>
      <c r="U5" s="25"/>
    </row>
    <row r="6" spans="2:21">
      <c r="B6" s="216" t="s">
        <v>32</v>
      </c>
      <c r="C6" s="217" t="str">
        <f>'0 -0.5'!H28</f>
        <v>[$/MWh]</v>
      </c>
      <c r="D6" s="218">
        <f>'0 -0.5'!F28</f>
        <v>39.477220277561777</v>
      </c>
      <c r="E6" s="219">
        <f>'0 -0.1'!$G28</f>
        <v>54.105676644262033</v>
      </c>
      <c r="F6" s="220">
        <f>'0 -0.3'!$G28</f>
        <v>52.295135047397601</v>
      </c>
      <c r="G6" s="220">
        <f>'0 -0.5'!$G28</f>
        <v>50.270947671249189</v>
      </c>
      <c r="H6" s="221">
        <f>'0 -1'!$G28</f>
        <v>42.665046778779811</v>
      </c>
      <c r="I6" s="219">
        <f>'-0.1 -0.1'!$G28</f>
        <v>53.354524314382481</v>
      </c>
      <c r="J6" s="220">
        <f>'-0.1 -0.3'!$G28</f>
        <v>51.399830681450837</v>
      </c>
      <c r="K6" s="220">
        <f>'-0.1 -0.5'!$G28</f>
        <v>48.850957978634369</v>
      </c>
      <c r="L6" s="221">
        <f>'-0.1 -1'!$G28</f>
        <v>41.570630011635352</v>
      </c>
      <c r="M6" s="219">
        <f>'-0.3 -0.1'!$G28</f>
        <v>52.19107075538264</v>
      </c>
      <c r="N6" s="220">
        <f>'-0.3 -0.3'!$G28</f>
        <v>49.859277719943861</v>
      </c>
      <c r="O6" s="220">
        <f>'-0.3 -0.5'!$G28</f>
        <v>46.667444412585404</v>
      </c>
      <c r="P6" s="221">
        <f>'-0.3 -1'!$G28</f>
        <v>38.554282875955252</v>
      </c>
      <c r="Q6" s="219">
        <f>'-0.5 -0.1'!$G28</f>
        <v>50.56949272292988</v>
      </c>
      <c r="R6" s="220">
        <f>'-0.5 -0.3'!$G28</f>
        <v>47.518105924134396</v>
      </c>
      <c r="S6" s="220">
        <f>'-0.5 -0.5'!$G28</f>
        <v>43.995880435355915</v>
      </c>
      <c r="T6" s="220">
        <f>'-0.5 -1'!$G28</f>
        <v>34.338706197187342</v>
      </c>
      <c r="U6" s="25"/>
    </row>
    <row r="7" spans="2:21" ht="10" customHeight="1">
      <c r="B7" s="148"/>
      <c r="C7" s="200"/>
      <c r="D7" s="213"/>
      <c r="E7" s="214"/>
      <c r="F7" s="161"/>
      <c r="G7" s="161"/>
      <c r="H7" s="215"/>
      <c r="I7" s="214"/>
      <c r="J7" s="161"/>
      <c r="K7" s="161"/>
      <c r="L7" s="215"/>
      <c r="M7" s="214"/>
      <c r="N7" s="161"/>
      <c r="O7" s="161"/>
      <c r="P7" s="215"/>
      <c r="Q7" s="214"/>
      <c r="R7" s="161"/>
      <c r="S7" s="161"/>
      <c r="T7" s="161"/>
      <c r="U7" s="25"/>
    </row>
    <row r="8" spans="2:21">
      <c r="B8" s="148" t="s">
        <v>28</v>
      </c>
      <c r="C8" s="222" t="str">
        <f>'0 -0.5'!H31</f>
        <v>[MMUSD]</v>
      </c>
      <c r="D8" s="223">
        <f>'0 -0.5'!F37</f>
        <v>12533.4043884767</v>
      </c>
      <c r="E8" s="224">
        <f>'0 -0.1'!$G37</f>
        <v>16033.418074234438</v>
      </c>
      <c r="F8" s="117">
        <f>'0 -0.3'!$G37</f>
        <v>15480.353884409698</v>
      </c>
      <c r="G8" s="117">
        <f>'0 -0.5'!$G37</f>
        <v>14913.04938217253</v>
      </c>
      <c r="H8" s="225">
        <f>'0 -1'!$G37</f>
        <v>12941.809951291036</v>
      </c>
      <c r="I8" s="224">
        <f>'-0.1 -0.1'!$G37</f>
        <v>16872.428165521884</v>
      </c>
      <c r="J8" s="117">
        <f>'-0.1 -0.3'!$G37</f>
        <v>16155.777548742641</v>
      </c>
      <c r="K8" s="117">
        <f>'-0.1 -0.5'!$G37</f>
        <v>15293.3683442524</v>
      </c>
      <c r="L8" s="225">
        <f>'-0.1 -1'!$G37</f>
        <v>13278.075029209476</v>
      </c>
      <c r="M8" s="224">
        <f>'-0.3 -0.1'!$G37</f>
        <v>16509.406037602599</v>
      </c>
      <c r="N8" s="117">
        <f>'-0.3 -0.3'!$G37</f>
        <v>15683.53502231765</v>
      </c>
      <c r="O8" s="117">
        <f>'-0.3 -0.5'!$G37</f>
        <v>14629.120382679708</v>
      </c>
      <c r="P8" s="225">
        <f>'-0.3 -1'!$G37</f>
        <v>12508.534349518526</v>
      </c>
      <c r="Q8" s="224">
        <f>'-0.5 -0.1'!$G37</f>
        <v>16001.201427178094</v>
      </c>
      <c r="R8" s="117">
        <f>'-0.5 -0.3'!$G37</f>
        <v>14959.400263284031</v>
      </c>
      <c r="S8" s="117">
        <f>'-0.5 -0.5'!$G37</f>
        <v>13836.168045866518</v>
      </c>
      <c r="T8" s="117">
        <f>'-0.5 -1'!$G37</f>
        <v>11367.9885070786</v>
      </c>
      <c r="U8" s="25"/>
    </row>
    <row r="9" spans="2:21">
      <c r="B9" s="148" t="s">
        <v>22</v>
      </c>
      <c r="C9" s="226"/>
      <c r="D9" s="223">
        <f>'0 -0.5'!F30</f>
        <v>6143.604256374444</v>
      </c>
      <c r="E9" s="224">
        <f>'0 -0.1'!$G30</f>
        <v>8273.7792335883369</v>
      </c>
      <c r="F9" s="117">
        <f>'0 -0.3'!$G30</f>
        <v>7826.3922395902828</v>
      </c>
      <c r="G9" s="117">
        <f>'0 -0.5'!$G30</f>
        <v>7358.8467543958641</v>
      </c>
      <c r="H9" s="225">
        <f>'0 -1'!$G30</f>
        <v>5737.668435824372</v>
      </c>
      <c r="I9" s="224">
        <f>'-0.1 -0.1'!$G30</f>
        <v>8164.3042797890175</v>
      </c>
      <c r="J9" s="117">
        <f>'-0.1 -0.3'!$G30</f>
        <v>7708.9268531343369</v>
      </c>
      <c r="K9" s="117">
        <f>'-0.1 -0.5'!$G30</f>
        <v>7163.3586360907348</v>
      </c>
      <c r="L9" s="225">
        <f>'-0.1 -1'!$G30</f>
        <v>5469.6401343820489</v>
      </c>
      <c r="M9" s="224">
        <f>'-0.3 -0.1'!$G30</f>
        <v>7911.2231963545082</v>
      </c>
      <c r="N9" s="117">
        <f>'-0.3 -0.3'!$G30</f>
        <v>7400.4602104676114</v>
      </c>
      <c r="O9" s="117">
        <f>'-0.3 -0.5'!$G30</f>
        <v>6747.6749740669675</v>
      </c>
      <c r="P9" s="225">
        <f>'-0.3 -1'!$G30</f>
        <v>4884.153945030549</v>
      </c>
      <c r="Q9" s="224">
        <f>'-0.5 -0.1'!$G30</f>
        <v>7580.9157858871149</v>
      </c>
      <c r="R9" s="117">
        <f>'-0.5 -0.3'!$G30</f>
        <v>6949.6112096808292</v>
      </c>
      <c r="S9" s="117">
        <f>'-0.5 -0.5'!$G30</f>
        <v>6230.1258335695065</v>
      </c>
      <c r="T9" s="117">
        <f>'-0.5 -1'!$G30</f>
        <v>4191.3665574424067</v>
      </c>
      <c r="U9" s="25"/>
    </row>
    <row r="10" spans="2:21" ht="10" customHeight="1">
      <c r="B10" s="148"/>
      <c r="C10" s="226"/>
      <c r="D10" s="213"/>
      <c r="E10" s="214"/>
      <c r="F10" s="161"/>
      <c r="G10" s="161"/>
      <c r="H10" s="215"/>
      <c r="I10" s="214"/>
      <c r="J10" s="161"/>
      <c r="K10" s="161"/>
      <c r="L10" s="215"/>
      <c r="M10" s="214"/>
      <c r="N10" s="161"/>
      <c r="O10" s="161"/>
      <c r="P10" s="215"/>
      <c r="Q10" s="214"/>
      <c r="R10" s="161"/>
      <c r="S10" s="161"/>
      <c r="T10" s="161"/>
      <c r="U10" s="25"/>
    </row>
    <row r="11" spans="2:21">
      <c r="B11" s="148" t="s">
        <v>29</v>
      </c>
      <c r="C11" s="226"/>
      <c r="D11" s="223" t="s">
        <v>86</v>
      </c>
      <c r="E11" s="224">
        <f>'0 -0.1'!$G39</f>
        <v>1309.55949683532</v>
      </c>
      <c r="F11" s="117">
        <f>'0 -0.3'!$G39</f>
        <v>1111.2539836067199</v>
      </c>
      <c r="G11" s="117">
        <f>'0 -0.5'!$G39</f>
        <v>945.97308325003803</v>
      </c>
      <c r="H11" s="225">
        <f>'0 -1'!$G39</f>
        <v>586.645929081502</v>
      </c>
      <c r="I11" s="224">
        <f>'-0.1 -0.1'!$G39</f>
        <v>1261.2675035385598</v>
      </c>
      <c r="J11" s="117">
        <f>'-0.1 -0.3'!$G39</f>
        <v>1073.2620860888899</v>
      </c>
      <c r="K11" s="117">
        <f>'-0.1 -0.5'!$G39</f>
        <v>908.550440584184</v>
      </c>
      <c r="L11" s="225">
        <f>'-0.1 -1'!$G39</f>
        <v>564.58423336467195</v>
      </c>
      <c r="M11" s="224">
        <f>'-0.3 -0.1'!$G39</f>
        <v>1170.1887106670401</v>
      </c>
      <c r="N11" s="117">
        <f>'-0.3 -0.3'!$G39</f>
        <v>998.37105209439392</v>
      </c>
      <c r="O11" s="117">
        <f>'-0.3 -0.5'!$G39</f>
        <v>840.31379397382602</v>
      </c>
      <c r="P11" s="225">
        <f>'-0.3 -1'!$G39</f>
        <v>521.34524194245898</v>
      </c>
      <c r="Q11" s="224">
        <f>'-0.5 -0.1'!$G39</f>
        <v>1086.8425755692101</v>
      </c>
      <c r="R11" s="117">
        <f>'-0.5 -0.3'!$G39</f>
        <v>925.65231470406502</v>
      </c>
      <c r="S11" s="117">
        <f>'-0.5 -0.5'!$G39</f>
        <v>777.47904668608101</v>
      </c>
      <c r="T11" s="117">
        <f>'-0.5 -1'!$G39</f>
        <v>461.70180333399895</v>
      </c>
      <c r="U11" s="25"/>
    </row>
    <row r="12" spans="2:21">
      <c r="B12" s="148" t="s">
        <v>84</v>
      </c>
      <c r="C12" s="227"/>
      <c r="D12" s="213" t="s">
        <v>86</v>
      </c>
      <c r="E12" s="224">
        <f>'0 -0.1'!$G40</f>
        <v>1204.421586531553</v>
      </c>
      <c r="F12" s="117">
        <f>'0 -0.3'!$G40</f>
        <v>1055.3521749741722</v>
      </c>
      <c r="G12" s="117">
        <f>'0 -0.5'!$G40</f>
        <v>888.69241881783978</v>
      </c>
      <c r="H12" s="225">
        <f>'0 -1'!$G40</f>
        <v>262.46699965721865</v>
      </c>
      <c r="I12" s="224">
        <f>'-0.1 -0.1'!$G40</f>
        <v>1142.57609455334</v>
      </c>
      <c r="J12" s="117">
        <f>'-0.1 -0.3'!$G40</f>
        <v>981.63804698751119</v>
      </c>
      <c r="K12" s="117">
        <f>'-0.1 -0.5'!$G40</f>
        <v>771.77876808359088</v>
      </c>
      <c r="L12" s="225">
        <f>'-0.1 -1'!$G40</f>
        <v>172.35912046830902</v>
      </c>
      <c r="M12" s="224">
        <f>'-0.3 -0.1'!$G40</f>
        <v>1046.7841294779121</v>
      </c>
      <c r="N12" s="117">
        <f>'-0.3 -0.3'!$G40</f>
        <v>854.79792144577209</v>
      </c>
      <c r="O12" s="117">
        <f>'-0.3 -0.5'!$G40</f>
        <v>592.00102479275279</v>
      </c>
      <c r="P12" s="225">
        <f>'-0.3 -1'!$G40</f>
        <v>-75.989270613860754</v>
      </c>
      <c r="Q12" s="224">
        <f>'-0.5 -0.1'!$G40</f>
        <v>913.2728732268863</v>
      </c>
      <c r="R12" s="117">
        <f>'-0.5 -0.3'!$G40</f>
        <v>662.03952110829232</v>
      </c>
      <c r="S12" s="117">
        <f>'-0.5 -0.5'!$G40</f>
        <v>372.04006354601927</v>
      </c>
      <c r="T12" s="117">
        <f>'-0.5 -1'!$G40</f>
        <v>-423.0752121725979</v>
      </c>
      <c r="U12" s="25"/>
    </row>
    <row r="13" spans="2:21" ht="10" customHeight="1">
      <c r="B13" s="148"/>
      <c r="C13" s="200"/>
      <c r="D13" s="213"/>
      <c r="E13" s="214"/>
      <c r="F13" s="161"/>
      <c r="G13" s="161"/>
      <c r="H13" s="215"/>
      <c r="I13" s="214"/>
      <c r="J13" s="161"/>
      <c r="K13" s="161"/>
      <c r="L13" s="215"/>
      <c r="M13" s="214"/>
      <c r="N13" s="161"/>
      <c r="O13" s="161"/>
      <c r="P13" s="215"/>
      <c r="Q13" s="214"/>
      <c r="R13" s="161"/>
      <c r="S13" s="161"/>
      <c r="T13" s="161"/>
      <c r="U13" s="25"/>
    </row>
    <row r="14" spans="2:21">
      <c r="B14" s="148" t="s">
        <v>30</v>
      </c>
      <c r="C14" s="200" t="str">
        <f>'0 -0.5'!H42</f>
        <v>[000 ton CO2]</v>
      </c>
      <c r="D14" s="223">
        <f>'0 -0.5'!F42</f>
        <v>39764.703681774801</v>
      </c>
      <c r="E14" s="224">
        <f>'0 -0.1'!$G42</f>
        <v>36376.6526898702</v>
      </c>
      <c r="F14" s="117">
        <f>'0 -0.3'!$G42</f>
        <v>30868.166211297797</v>
      </c>
      <c r="G14" s="117">
        <f>'0 -0.5'!$G42</f>
        <v>26277.0300902788</v>
      </c>
      <c r="H14" s="225">
        <f>'0 -1'!$G42</f>
        <v>16295.7202522639</v>
      </c>
      <c r="I14" s="224">
        <f>'-0.1 -0.1'!$G42</f>
        <v>36959.655497231019</v>
      </c>
      <c r="J14" s="117">
        <f>'-0.1 -0.3'!$G42</f>
        <v>31403.493509956843</v>
      </c>
      <c r="K14" s="117">
        <f>'-0.1 -0.5'!$G42</f>
        <v>26454.729845819482</v>
      </c>
      <c r="L14" s="225">
        <f>'-0.1 -1'!$G42</f>
        <v>15399.396423869794</v>
      </c>
      <c r="M14" s="224">
        <f>'-0.3 -0.1'!$G42</f>
        <v>37906.192693069766</v>
      </c>
      <c r="N14" s="117">
        <f>'-0.3 -0.3'!$G42</f>
        <v>31986.855587156198</v>
      </c>
      <c r="O14" s="117">
        <f>'-0.3 -0.5'!$G42</f>
        <v>26285.36863877482</v>
      </c>
      <c r="P14" s="225">
        <f>'-0.3 -1'!$G42</f>
        <v>13356.988461970672</v>
      </c>
      <c r="Q14" s="224">
        <f>'-0.5 -0.1'!$G42</f>
        <v>38218.338456801263</v>
      </c>
      <c r="R14" s="117">
        <f>'-0.5 -0.3'!$G42</f>
        <v>31482.593702955797</v>
      </c>
      <c r="S14" s="117">
        <f>'-0.5 -0.5'!$G42</f>
        <v>24908.573198168167</v>
      </c>
      <c r="T14" s="117">
        <f>'-0.5 -1'!$G42</f>
        <v>9339.8048979933792</v>
      </c>
      <c r="U14" s="25"/>
    </row>
    <row r="15" spans="2:21">
      <c r="B15" s="148" t="s">
        <v>36</v>
      </c>
      <c r="C15" s="200" t="str">
        <f>C8</f>
        <v>[MMUSD]</v>
      </c>
      <c r="D15" s="223">
        <f>'0 -0.5'!F43</f>
        <v>1431.5293325438927</v>
      </c>
      <c r="E15" s="224">
        <f>'0 -0.1'!$G43</f>
        <v>1309.5594968353273</v>
      </c>
      <c r="F15" s="117">
        <f>'0 -0.3'!$G43</f>
        <v>1111.2539836067208</v>
      </c>
      <c r="G15" s="117">
        <f>'0 -0.5'!$G43</f>
        <v>945.97308325003678</v>
      </c>
      <c r="H15" s="225">
        <f>'0 -1'!$G43</f>
        <v>586.64592908150041</v>
      </c>
      <c r="I15" s="224">
        <f>'-0.1 -0.1'!$G43</f>
        <v>1330.5475979003165</v>
      </c>
      <c r="J15" s="117">
        <f>'-0.1 -0.3'!$G43</f>
        <v>1130.5257663584464</v>
      </c>
      <c r="K15" s="117">
        <f>'-0.1 -0.5'!$G43</f>
        <v>952.37027444950127</v>
      </c>
      <c r="L15" s="225">
        <f>'-0.1 -1'!$G43</f>
        <v>554.37827125931256</v>
      </c>
      <c r="M15" s="224">
        <f>'-0.3 -0.1'!$G43</f>
        <v>1364.6229369505115</v>
      </c>
      <c r="N15" s="117">
        <f>'-0.3 -0.3'!$G43</f>
        <v>1151.5268011376231</v>
      </c>
      <c r="O15" s="117">
        <f>'-0.3 -0.5'!$G43</f>
        <v>946.27327099589354</v>
      </c>
      <c r="P15" s="225">
        <f>'-0.3 -1'!$G43</f>
        <v>480.85158463094416</v>
      </c>
      <c r="Q15" s="224">
        <f>'-0.5 -0.1'!$G43</f>
        <v>1375.8601844448453</v>
      </c>
      <c r="R15" s="117">
        <f>'-0.5 -0.3'!$G43</f>
        <v>1133.3733733064087</v>
      </c>
      <c r="S15" s="117">
        <f>'-0.5 -0.5'!$G43</f>
        <v>896.70863513405402</v>
      </c>
      <c r="T15" s="117">
        <f>'-0.5 -1'!$G43</f>
        <v>336.23297632776166</v>
      </c>
      <c r="U15" s="25"/>
    </row>
    <row r="16" spans="2:21" ht="10" customHeight="1">
      <c r="B16" s="148"/>
      <c r="C16" s="200"/>
      <c r="D16" s="213"/>
      <c r="E16" s="214"/>
      <c r="F16" s="161"/>
      <c r="G16" s="161"/>
      <c r="H16" s="215"/>
      <c r="I16" s="214"/>
      <c r="J16" s="161"/>
      <c r="K16" s="161"/>
      <c r="L16" s="215"/>
      <c r="M16" s="214"/>
      <c r="N16" s="161"/>
      <c r="O16" s="161"/>
      <c r="P16" s="215"/>
      <c r="Q16" s="214"/>
      <c r="R16" s="161"/>
      <c r="S16" s="161"/>
      <c r="T16" s="161"/>
      <c r="U16" s="25"/>
    </row>
    <row r="17" spans="2:21">
      <c r="B17" s="228" t="s">
        <v>81</v>
      </c>
      <c r="C17" s="229" t="str">
        <f>C15</f>
        <v>[MMUSD]</v>
      </c>
      <c r="D17" s="230" t="s">
        <v>86</v>
      </c>
      <c r="E17" s="231">
        <f>($D$8-E8)-($D$9-E9)+E11+E12+($D$15-E15)</f>
        <v>1266.1122105315931</v>
      </c>
      <c r="F17" s="232">
        <f t="shared" ref="F17:H17" si="7">($D$8-F8)-($D$9-F9)+F11+F12+($D$15-F15)</f>
        <v>1222.719994800904</v>
      </c>
      <c r="G17" s="232">
        <f t="shared" si="7"/>
        <v>1155.8192556873232</v>
      </c>
      <c r="H17" s="233">
        <f t="shared" si="7"/>
        <v>879.65494883670476</v>
      </c>
      <c r="I17" s="231">
        <f>($D$8-I8)-($D$9-I9)+I11+I12+($D$15-I15)</f>
        <v>186.50157910486541</v>
      </c>
      <c r="J17" s="232">
        <f t="shared" ref="J17:L17" si="8">($D$8-J8)-($D$9-J9)+J11+J12+($D$15-J15)</f>
        <v>298.85313575579926</v>
      </c>
      <c r="K17" s="232">
        <f t="shared" si="8"/>
        <v>419.27869070275699</v>
      </c>
      <c r="L17" s="233">
        <f t="shared" si="8"/>
        <v>195.45965239238944</v>
      </c>
      <c r="M17" s="231">
        <f>($D$8-M8)-($D$9-M9)+M11+M12+($D$15-M15)</f>
        <v>75.496526592498185</v>
      </c>
      <c r="N17" s="232">
        <f t="shared" ref="N17:P17" si="9">($D$8-N8)-($D$9-N9)+N11+N12+($D$15-N15)</f>
        <v>239.89682519865255</v>
      </c>
      <c r="O17" s="232">
        <f t="shared" si="9"/>
        <v>425.92560380409293</v>
      </c>
      <c r="P17" s="233">
        <f t="shared" si="9"/>
        <v>161.45344685582529</v>
      </c>
      <c r="Q17" s="231">
        <f>($D$8-Q8)-($D$9-Q9)+Q11+Q12+($D$15-Q15)</f>
        <v>25.299087706420778</v>
      </c>
      <c r="R17" s="232">
        <f t="shared" ref="R17:T17" si="10">($D$8-R8)-($D$9-R9)+R11+R12+($D$15-R15)</f>
        <v>265.85887354889519</v>
      </c>
      <c r="S17" s="232">
        <f t="shared" si="10"/>
        <v>468.09772744718339</v>
      </c>
      <c r="T17" s="232">
        <f t="shared" si="10"/>
        <v>347.10112984359409</v>
      </c>
      <c r="U17" s="25"/>
    </row>
    <row r="18" spans="2:21" ht="10" customHeight="1">
      <c r="B18" s="148"/>
      <c r="C18" s="200"/>
      <c r="D18" s="213"/>
      <c r="E18" s="214"/>
      <c r="F18" s="161"/>
      <c r="G18" s="161"/>
      <c r="H18" s="215"/>
      <c r="I18" s="214"/>
      <c r="J18" s="161"/>
      <c r="K18" s="161"/>
      <c r="L18" s="215"/>
      <c r="M18" s="214"/>
      <c r="N18" s="161"/>
      <c r="O18" s="161"/>
      <c r="P18" s="215"/>
      <c r="Q18" s="214"/>
      <c r="R18" s="161"/>
      <c r="S18" s="161"/>
      <c r="T18" s="161"/>
      <c r="U18" s="25"/>
    </row>
    <row r="19" spans="2:21">
      <c r="B19" s="148" t="s">
        <v>82</v>
      </c>
      <c r="C19" s="200" t="str">
        <f>'0 -0.5'!H45</f>
        <v>[TWh/year]</v>
      </c>
      <c r="D19" s="223">
        <f>'0 -0.5'!F45</f>
        <v>158.74223539999963</v>
      </c>
      <c r="E19" s="224">
        <f>'0 -0.1'!$G45</f>
        <v>154.78475253968548</v>
      </c>
      <c r="F19" s="117">
        <f>'0 -0.3'!$G45</f>
        <v>148.11365318646099</v>
      </c>
      <c r="G19" s="117">
        <f>'0 -0.5'!$G45</f>
        <v>142.31180000861048</v>
      </c>
      <c r="H19" s="225">
        <f>'0 -1'!$G45</f>
        <v>127.3466021721015</v>
      </c>
      <c r="I19" s="224">
        <f>'-0.1 -0.1'!$G45</f>
        <v>154.855341286124</v>
      </c>
      <c r="J19" s="117">
        <f>'-0.1 -0.3'!$G45</f>
        <v>148.24490672307249</v>
      </c>
      <c r="K19" s="117">
        <f>'-0.1 -0.5'!$G45</f>
        <v>142.22627313400702</v>
      </c>
      <c r="L19" s="225">
        <f>'-0.1 -1'!$G45</f>
        <v>127.10018733926199</v>
      </c>
      <c r="M19" s="224">
        <f>'-0.3 -0.1'!$G45</f>
        <v>154.97808221172602</v>
      </c>
      <c r="N19" s="117">
        <f>'-0.3 -0.3'!$G45</f>
        <v>148.38638856721749</v>
      </c>
      <c r="O19" s="117">
        <f>'-0.3 -0.5'!$G45</f>
        <v>142.06299680147001</v>
      </c>
      <c r="P19" s="225">
        <f>'-0.3 -1'!$G45</f>
        <v>126.6058622189355</v>
      </c>
      <c r="Q19" s="224">
        <f>'-0.5 -0.1'!$G45</f>
        <v>155.06333663050899</v>
      </c>
      <c r="R19" s="117">
        <f>'-0.5 -0.3'!$G45</f>
        <v>148.30327097324999</v>
      </c>
      <c r="S19" s="117">
        <f>'-0.5 -0.5'!$G45</f>
        <v>141.81410019416799</v>
      </c>
      <c r="T19" s="117">
        <f>'-0.5 -1'!$G45</f>
        <v>125.589813405839</v>
      </c>
      <c r="U19" s="25"/>
    </row>
    <row r="20" spans="2:21" ht="10" customHeight="1" thickBot="1">
      <c r="B20" s="148"/>
      <c r="C20" s="200"/>
      <c r="D20" s="213"/>
      <c r="E20" s="214"/>
      <c r="F20" s="161"/>
      <c r="G20" s="161"/>
      <c r="H20" s="215"/>
      <c r="I20" s="214"/>
      <c r="J20" s="161"/>
      <c r="K20" s="161"/>
      <c r="L20" s="215"/>
      <c r="M20" s="214"/>
      <c r="N20" s="161"/>
      <c r="O20" s="161"/>
      <c r="P20" s="215"/>
      <c r="Q20" s="214"/>
      <c r="R20" s="161"/>
      <c r="S20" s="161"/>
      <c r="T20" s="161"/>
      <c r="U20" s="25"/>
    </row>
    <row r="21" spans="2:21" ht="35" thickTop="1">
      <c r="B21" s="248" t="s">
        <v>182</v>
      </c>
      <c r="C21" s="244" t="str">
        <f>C15</f>
        <v>[MMUSD]</v>
      </c>
      <c r="D21" s="249" t="s">
        <v>86</v>
      </c>
      <c r="E21" s="250">
        <f>E17-E12</f>
        <v>61.690624000040089</v>
      </c>
      <c r="F21" s="251">
        <f t="shared" ref="F21:H21" si="11">F17-F12</f>
        <v>167.36781982673187</v>
      </c>
      <c r="G21" s="251">
        <f t="shared" si="11"/>
        <v>267.12683686948344</v>
      </c>
      <c r="H21" s="252">
        <f t="shared" si="11"/>
        <v>617.18794917948617</v>
      </c>
      <c r="I21" s="245">
        <f>'-0.1 -0.1'!$G$47</f>
        <v>1121.6060964645501</v>
      </c>
      <c r="J21" s="246">
        <f>'-0.1 -0.3'!$G$47</f>
        <v>941.04224488716989</v>
      </c>
      <c r="K21" s="246">
        <f>'-0.1 -0.5'!$G$47</f>
        <v>713.12139931798981</v>
      </c>
      <c r="L21" s="247">
        <f>'-0.1 -1'!$G$47</f>
        <v>-50.284689952189922</v>
      </c>
      <c r="M21" s="245">
        <f>'-0.3 -0.1'!$G$47</f>
        <v>1338.6081486806402</v>
      </c>
      <c r="N21" s="246">
        <f>'-0.3 -0.3'!$G$47</f>
        <v>1063.5809295096201</v>
      </c>
      <c r="O21" s="246">
        <f>'-0.3 -0.5'!$G$47</f>
        <v>727.67814866144988</v>
      </c>
      <c r="P21" s="247">
        <f>'-0.3 -1'!$G$47</f>
        <v>-245.57756873094988</v>
      </c>
      <c r="Q21" s="245">
        <f>'-0.5 -0.1'!$G$47</f>
        <v>1460.4528167706899</v>
      </c>
      <c r="R21" s="246">
        <f>'-0.5 -0.3'!$G$47</f>
        <v>1061.04072978367</v>
      </c>
      <c r="S21" s="246">
        <f>'-0.5 -0.5'!$G$47</f>
        <v>627.73444477622991</v>
      </c>
      <c r="T21" s="246">
        <f>'-0.5 -1'!$G$47</f>
        <v>-566.75855870477005</v>
      </c>
      <c r="U21" s="25"/>
    </row>
    <row r="22" spans="2:21">
      <c r="B22" s="25"/>
      <c r="C22" s="7"/>
      <c r="D22" s="30"/>
      <c r="E22" s="30"/>
      <c r="F22" s="30"/>
      <c r="G22" s="30"/>
      <c r="H22" s="30"/>
      <c r="I22" s="3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2:21">
      <c r="B23" s="25"/>
      <c r="C23" s="7"/>
      <c r="D23" s="30"/>
      <c r="E23" s="29">
        <f>E17-E12</f>
        <v>61.690624000040089</v>
      </c>
      <c r="F23" s="29">
        <f t="shared" ref="F23:H23" si="12">F17-F12</f>
        <v>167.36781982673187</v>
      </c>
      <c r="G23" s="29">
        <f t="shared" si="12"/>
        <v>267.12683686948344</v>
      </c>
      <c r="H23" s="29">
        <f t="shared" si="12"/>
        <v>617.18794917948617</v>
      </c>
      <c r="I23" s="29">
        <f t="shared" ref="F23:T23" si="13">I17+I21-I12</f>
        <v>165.53158101607551</v>
      </c>
      <c r="J23" s="29">
        <f t="shared" si="13"/>
        <v>258.25733365545784</v>
      </c>
      <c r="K23" s="29">
        <f t="shared" si="13"/>
        <v>360.62132193715593</v>
      </c>
      <c r="L23" s="29">
        <f t="shared" si="13"/>
        <v>-27.184158028109493</v>
      </c>
      <c r="M23" s="29">
        <f t="shared" si="13"/>
        <v>367.32054579522628</v>
      </c>
      <c r="N23" s="29">
        <f t="shared" si="13"/>
        <v>448.67983326250055</v>
      </c>
      <c r="O23" s="29">
        <f t="shared" si="13"/>
        <v>561.60272767279002</v>
      </c>
      <c r="P23" s="29">
        <f t="shared" si="13"/>
        <v>-8.1348512612638331</v>
      </c>
      <c r="Q23" s="29">
        <f t="shared" si="13"/>
        <v>572.47903125022435</v>
      </c>
      <c r="R23" s="29">
        <f t="shared" si="13"/>
        <v>664.8600822242729</v>
      </c>
      <c r="S23" s="29">
        <f t="shared" si="13"/>
        <v>723.79210867739391</v>
      </c>
      <c r="T23" s="29">
        <f t="shared" si="13"/>
        <v>203.41778331142194</v>
      </c>
    </row>
    <row r="24" spans="2:21">
      <c r="B24" s="25"/>
      <c r="C24" s="7"/>
      <c r="D24" s="30"/>
      <c r="E24" s="29">
        <f>$D$15-E15</f>
        <v>121.96983570856537</v>
      </c>
      <c r="F24" s="29">
        <f t="shared" ref="F24:T24" si="14">$D$15-F15</f>
        <v>320.27534893717188</v>
      </c>
      <c r="G24" s="29">
        <f t="shared" si="14"/>
        <v>485.5562492938559</v>
      </c>
      <c r="H24" s="29">
        <f t="shared" si="14"/>
        <v>844.88340346239227</v>
      </c>
      <c r="I24" s="29">
        <f t="shared" si="14"/>
        <v>100.98173464357615</v>
      </c>
      <c r="J24" s="29">
        <f t="shared" si="14"/>
        <v>301.00356618544629</v>
      </c>
      <c r="K24" s="29">
        <f t="shared" si="14"/>
        <v>479.15905809439141</v>
      </c>
      <c r="L24" s="29">
        <f t="shared" si="14"/>
        <v>877.15106128458012</v>
      </c>
      <c r="M24" s="29">
        <f t="shared" si="14"/>
        <v>66.906395593381149</v>
      </c>
      <c r="N24" s="29">
        <f t="shared" si="14"/>
        <v>280.00253140626955</v>
      </c>
      <c r="O24" s="29">
        <f t="shared" si="14"/>
        <v>485.25606154799914</v>
      </c>
      <c r="P24" s="29">
        <f t="shared" si="14"/>
        <v>950.67774791294846</v>
      </c>
      <c r="Q24" s="29">
        <f t="shared" si="14"/>
        <v>55.669148099047334</v>
      </c>
      <c r="R24" s="29">
        <f t="shared" si="14"/>
        <v>298.15595923748401</v>
      </c>
      <c r="S24" s="29">
        <f t="shared" si="14"/>
        <v>534.82069740983866</v>
      </c>
      <c r="T24" s="29">
        <f t="shared" si="14"/>
        <v>1095.296356216131</v>
      </c>
    </row>
    <row r="25" spans="2:21">
      <c r="E25" s="243">
        <f>E24-E23</f>
        <v>60.279211708525281</v>
      </c>
      <c r="F25" s="243">
        <f t="shared" ref="F25:T25" si="15">F24-F23</f>
        <v>152.90752911044001</v>
      </c>
      <c r="G25" s="243">
        <f t="shared" si="15"/>
        <v>218.42941242437246</v>
      </c>
      <c r="H25" s="243">
        <f t="shared" si="15"/>
        <v>227.6954542829061</v>
      </c>
      <c r="I25" s="243">
        <f t="shared" si="15"/>
        <v>-64.54984637249936</v>
      </c>
      <c r="J25" s="243">
        <f t="shared" si="15"/>
        <v>42.746232529988447</v>
      </c>
      <c r="K25" s="243">
        <f t="shared" si="15"/>
        <v>118.53773615723549</v>
      </c>
      <c r="L25" s="243">
        <f t="shared" si="15"/>
        <v>904.33521931268956</v>
      </c>
      <c r="M25" s="243">
        <f t="shared" si="15"/>
        <v>-300.41415020184513</v>
      </c>
      <c r="N25" s="243">
        <f t="shared" si="15"/>
        <v>-168.677301856231</v>
      </c>
      <c r="O25" s="243">
        <f t="shared" si="15"/>
        <v>-76.346666124790886</v>
      </c>
      <c r="P25" s="243">
        <f t="shared" si="15"/>
        <v>958.81259917421232</v>
      </c>
      <c r="Q25" s="243">
        <f t="shared" si="15"/>
        <v>-516.80988315117702</v>
      </c>
      <c r="R25" s="243">
        <f t="shared" si="15"/>
        <v>-366.70412298678889</v>
      </c>
      <c r="S25" s="243">
        <f t="shared" si="15"/>
        <v>-188.97141126755525</v>
      </c>
      <c r="T25" s="243">
        <f t="shared" si="15"/>
        <v>891.87857290470902</v>
      </c>
    </row>
    <row r="26" spans="2:21" ht="30" customHeight="1">
      <c r="B26" s="25"/>
      <c r="C26" s="51"/>
      <c r="D26" s="130" t="s">
        <v>21</v>
      </c>
      <c r="E26" s="125" t="s">
        <v>87</v>
      </c>
      <c r="F26" s="126"/>
      <c r="G26" s="126"/>
      <c r="H26" s="126"/>
    </row>
    <row r="27" spans="2:21">
      <c r="B27" s="26"/>
      <c r="C27" s="50"/>
      <c r="D27" s="131"/>
      <c r="E27" s="52">
        <f>I4</f>
        <v>-0.1</v>
      </c>
      <c r="F27" s="53">
        <f t="shared" ref="F27:H27" si="16">J4</f>
        <v>-0.3</v>
      </c>
      <c r="G27" s="53">
        <f t="shared" si="16"/>
        <v>-0.5</v>
      </c>
      <c r="H27" s="53">
        <f t="shared" si="16"/>
        <v>-1</v>
      </c>
    </row>
    <row r="28" spans="2:21" ht="10" customHeight="1">
      <c r="C28" s="51"/>
      <c r="D28" s="56"/>
      <c r="E28" s="57"/>
      <c r="F28" s="30"/>
      <c r="G28" s="30"/>
      <c r="H28" s="30"/>
      <c r="I28" s="1">
        <f>I4</f>
        <v>-0.1</v>
      </c>
      <c r="J28" s="1">
        <f>J4</f>
        <v>-0.3</v>
      </c>
      <c r="K28" s="1">
        <f>K4</f>
        <v>-0.5</v>
      </c>
      <c r="L28" s="1">
        <f>L4</f>
        <v>-1</v>
      </c>
    </row>
    <row r="29" spans="2:21">
      <c r="B29" s="49" t="s">
        <v>32</v>
      </c>
      <c r="C29" s="66" t="str">
        <f>C6</f>
        <v>[$/MWh]</v>
      </c>
      <c r="D29" s="58">
        <f>D6</f>
        <v>39.477220277561777</v>
      </c>
      <c r="E29" s="59">
        <f>I6</f>
        <v>53.354524314382481</v>
      </c>
      <c r="F29" s="60">
        <f>J6</f>
        <v>51.399830681450837</v>
      </c>
      <c r="G29" s="60">
        <f>K6</f>
        <v>48.850957978634369</v>
      </c>
      <c r="H29" s="60">
        <f>L6</f>
        <v>41.570630011635352</v>
      </c>
      <c r="I29" s="100">
        <f>E17/E8</f>
        <v>7.896708017401631E-2</v>
      </c>
      <c r="J29" s="100">
        <f>F17/F8</f>
        <v>7.8985274104896808E-2</v>
      </c>
      <c r="K29" s="100">
        <f>G17/G8</f>
        <v>7.7503884421453159E-2</v>
      </c>
      <c r="L29" s="100">
        <f>H17/H8</f>
        <v>6.797000977046129E-2</v>
      </c>
      <c r="M29" s="100" t="str">
        <f>P29</f>
        <v>100% Pass-through</v>
      </c>
      <c r="P29" t="s">
        <v>88</v>
      </c>
    </row>
    <row r="30" spans="2:21" ht="10" customHeight="1">
      <c r="C30" s="51"/>
      <c r="D30" s="56"/>
      <c r="E30" s="57"/>
      <c r="F30" s="30"/>
      <c r="G30" s="30"/>
      <c r="H30" s="30"/>
      <c r="I30" s="100">
        <f>I17/I8</f>
        <v>1.105363005699285E-2</v>
      </c>
      <c r="J30" s="100">
        <f>J17/J8</f>
        <v>1.8498220519201081E-2</v>
      </c>
      <c r="K30" s="100">
        <f>K17/K8</f>
        <v>2.7415719105486111E-2</v>
      </c>
      <c r="L30" s="100">
        <f>L17/L8</f>
        <v>1.4720481091002416E-2</v>
      </c>
      <c r="M30" s="100" t="str">
        <f>P31</f>
        <v>80% Pass-through</v>
      </c>
    </row>
    <row r="31" spans="2:21">
      <c r="B31" t="s">
        <v>28</v>
      </c>
      <c r="C31" s="127" t="str">
        <f>C8</f>
        <v>[MMUSD]</v>
      </c>
      <c r="D31" s="61">
        <f>D8</f>
        <v>12533.4043884767</v>
      </c>
      <c r="E31" s="62">
        <f t="shared" ref="E31:H32" si="17">I8</f>
        <v>16872.428165521884</v>
      </c>
      <c r="F31" s="29">
        <f t="shared" si="17"/>
        <v>16155.777548742641</v>
      </c>
      <c r="G31" s="29">
        <f t="shared" si="17"/>
        <v>15293.3683442524</v>
      </c>
      <c r="H31" s="29">
        <f t="shared" si="17"/>
        <v>13278.075029209476</v>
      </c>
      <c r="I31" s="29"/>
      <c r="J31" s="29"/>
      <c r="K31" s="29"/>
      <c r="L31" s="29"/>
      <c r="P31" t="s">
        <v>89</v>
      </c>
    </row>
    <row r="32" spans="2:21">
      <c r="B32" t="s">
        <v>22</v>
      </c>
      <c r="C32" s="128"/>
      <c r="D32" s="61">
        <f>D9</f>
        <v>6143.604256374444</v>
      </c>
      <c r="E32" s="62">
        <f t="shared" si="17"/>
        <v>8164.3042797890175</v>
      </c>
      <c r="F32" s="29">
        <f t="shared" si="17"/>
        <v>7708.9268531343369</v>
      </c>
      <c r="G32" s="29">
        <f t="shared" si="17"/>
        <v>7163.3586360907348</v>
      </c>
      <c r="H32" s="29">
        <f t="shared" si="17"/>
        <v>5469.6401343820489</v>
      </c>
      <c r="I32" s="29"/>
      <c r="J32" s="29"/>
      <c r="K32" s="29"/>
      <c r="L32" s="29"/>
    </row>
    <row r="33" spans="2:19" ht="10" customHeight="1">
      <c r="C33" s="128"/>
      <c r="D33" s="56"/>
      <c r="E33" s="57"/>
      <c r="F33" s="30"/>
      <c r="G33" s="30"/>
      <c r="H33" s="30"/>
      <c r="I33" s="30"/>
      <c r="J33" s="30"/>
      <c r="K33" s="30"/>
      <c r="L33" s="30"/>
    </row>
    <row r="34" spans="2:19">
      <c r="B34" t="s">
        <v>29</v>
      </c>
      <c r="C34" s="128"/>
      <c r="D34" s="61" t="str">
        <f>D11</f>
        <v>-</v>
      </c>
      <c r="E34" s="62">
        <f t="shared" ref="E34:H35" si="18">I11</f>
        <v>1261.2675035385598</v>
      </c>
      <c r="F34" s="29">
        <f t="shared" si="18"/>
        <v>1073.2620860888899</v>
      </c>
      <c r="G34" s="29">
        <f t="shared" si="18"/>
        <v>908.550440584184</v>
      </c>
      <c r="H34" s="29">
        <f t="shared" si="18"/>
        <v>564.58423336467195</v>
      </c>
      <c r="I34" s="29"/>
      <c r="J34" s="29"/>
      <c r="K34" s="29"/>
      <c r="L34" s="29"/>
      <c r="P34" t="str">
        <f>P29</f>
        <v>100% Pass-through</v>
      </c>
    </row>
    <row r="35" spans="2:19">
      <c r="B35" t="s">
        <v>84</v>
      </c>
      <c r="C35" s="129"/>
      <c r="D35" s="56" t="str">
        <f>D12</f>
        <v>-</v>
      </c>
      <c r="E35" s="62">
        <f t="shared" si="18"/>
        <v>1142.57609455334</v>
      </c>
      <c r="F35" s="29">
        <f t="shared" si="18"/>
        <v>981.63804698751119</v>
      </c>
      <c r="G35" s="29">
        <f t="shared" si="18"/>
        <v>771.77876808359088</v>
      </c>
      <c r="H35" s="29">
        <f t="shared" si="18"/>
        <v>172.35912046830902</v>
      </c>
      <c r="I35" s="29"/>
      <c r="J35" s="29"/>
      <c r="K35" s="29"/>
      <c r="L35" s="29"/>
    </row>
    <row r="36" spans="2:19" ht="10" customHeight="1">
      <c r="C36" s="51"/>
      <c r="D36" s="56"/>
      <c r="E36" s="57"/>
      <c r="F36" s="30"/>
      <c r="G36" s="30"/>
      <c r="H36" s="30"/>
      <c r="I36" s="30"/>
      <c r="J36" s="30"/>
      <c r="K36" s="30"/>
      <c r="L36" s="30"/>
    </row>
    <row r="37" spans="2:19">
      <c r="B37" t="s">
        <v>30</v>
      </c>
      <c r="C37" s="51" t="str">
        <f>C14</f>
        <v>[000 ton CO2]</v>
      </c>
      <c r="D37" s="61">
        <f>D14</f>
        <v>39764.703681774801</v>
      </c>
      <c r="E37" s="62">
        <f t="shared" ref="E37:H38" si="19">I14</f>
        <v>36959.655497231019</v>
      </c>
      <c r="F37" s="29">
        <f t="shared" si="19"/>
        <v>31403.493509956843</v>
      </c>
      <c r="G37" s="29">
        <f t="shared" si="19"/>
        <v>26454.729845819482</v>
      </c>
      <c r="H37" s="29">
        <f t="shared" si="19"/>
        <v>15399.396423869794</v>
      </c>
      <c r="I37" s="29"/>
      <c r="J37" s="29"/>
      <c r="K37" s="29"/>
      <c r="L37" s="29"/>
      <c r="P37" t="str">
        <f>P31</f>
        <v>80% Pass-through</v>
      </c>
    </row>
    <row r="38" spans="2:19">
      <c r="B38" t="s">
        <v>36</v>
      </c>
      <c r="C38" s="51" t="str">
        <f>C31</f>
        <v>[MMUSD]</v>
      </c>
      <c r="D38" s="61">
        <f>D15</f>
        <v>1431.5293325438927</v>
      </c>
      <c r="E38" s="62">
        <f t="shared" si="19"/>
        <v>1330.5475979003165</v>
      </c>
      <c r="F38" s="29">
        <f t="shared" si="19"/>
        <v>1130.5257663584464</v>
      </c>
      <c r="G38" s="29">
        <f t="shared" si="19"/>
        <v>952.37027444950127</v>
      </c>
      <c r="H38" s="29">
        <f t="shared" si="19"/>
        <v>554.37827125931256</v>
      </c>
      <c r="I38" s="29"/>
      <c r="J38" s="29"/>
      <c r="K38" s="29"/>
      <c r="L38" s="29"/>
    </row>
    <row r="39" spans="2:19" ht="10" customHeight="1">
      <c r="C39" s="51"/>
      <c r="D39" s="56"/>
      <c r="E39" s="57"/>
      <c r="F39" s="30"/>
      <c r="G39" s="30"/>
      <c r="H39" s="30"/>
      <c r="I39" s="30"/>
      <c r="J39" s="30"/>
      <c r="K39" s="30"/>
      <c r="L39" s="30"/>
    </row>
    <row r="40" spans="2:19">
      <c r="B40" s="54" t="s">
        <v>81</v>
      </c>
      <c r="C40" s="55" t="str">
        <f>C17</f>
        <v>[MMUSD]</v>
      </c>
      <c r="D40" s="63" t="s">
        <v>86</v>
      </c>
      <c r="E40" s="64">
        <f>I17</f>
        <v>186.50157910486541</v>
      </c>
      <c r="F40" s="65">
        <f>J17</f>
        <v>298.85313575579926</v>
      </c>
      <c r="G40" s="65">
        <f>K17</f>
        <v>419.27869070275699</v>
      </c>
      <c r="H40" s="65">
        <f>L17</f>
        <v>195.45965239238944</v>
      </c>
      <c r="I40" s="29"/>
      <c r="J40" s="29"/>
      <c r="K40" s="29"/>
      <c r="L40" s="29"/>
    </row>
    <row r="41" spans="2:19" ht="10" customHeight="1">
      <c r="C41" s="51"/>
      <c r="D41" s="56"/>
      <c r="E41" s="57"/>
      <c r="F41" s="30"/>
      <c r="G41" s="30"/>
      <c r="H41" s="30"/>
      <c r="I41" s="30"/>
      <c r="J41" s="30"/>
      <c r="K41" s="30"/>
      <c r="L41" s="30"/>
    </row>
    <row r="42" spans="2:19">
      <c r="B42" t="s">
        <v>82</v>
      </c>
      <c r="C42" s="51" t="str">
        <f>C19</f>
        <v>[TWh/year]</v>
      </c>
      <c r="D42" s="61">
        <f>D19</f>
        <v>158.74223539999963</v>
      </c>
      <c r="E42" s="62">
        <f>I19</f>
        <v>154.855341286124</v>
      </c>
      <c r="F42" s="29">
        <f>J19</f>
        <v>148.24490672307249</v>
      </c>
      <c r="G42" s="29">
        <f>K19</f>
        <v>142.22627313400702</v>
      </c>
      <c r="H42" s="29">
        <f>L19</f>
        <v>127.10018733926199</v>
      </c>
      <c r="I42" s="29"/>
      <c r="J42" s="29"/>
      <c r="K42" s="29"/>
      <c r="L42" s="29"/>
    </row>
    <row r="44" spans="2:19">
      <c r="N44">
        <f>I4</f>
        <v>-0.1</v>
      </c>
      <c r="O44">
        <f t="shared" ref="O44:Q44" si="20">J4</f>
        <v>-0.3</v>
      </c>
      <c r="P44">
        <f t="shared" si="20"/>
        <v>-0.5</v>
      </c>
      <c r="Q44">
        <f t="shared" si="20"/>
        <v>-1</v>
      </c>
    </row>
    <row r="45" spans="2:19">
      <c r="M45" t="s">
        <v>129</v>
      </c>
      <c r="N45" s="37">
        <f>E17</f>
        <v>1266.1122105315931</v>
      </c>
      <c r="O45" s="37">
        <f t="shared" ref="O45:Q45" si="21">F17</f>
        <v>1222.719994800904</v>
      </c>
      <c r="P45" s="37">
        <f t="shared" si="21"/>
        <v>1155.8192556873232</v>
      </c>
      <c r="Q45" s="37">
        <f t="shared" si="21"/>
        <v>879.65494883670476</v>
      </c>
      <c r="S45" s="21">
        <f>(N45-N48)/N45</f>
        <v>0.98001828945650982</v>
      </c>
    </row>
    <row r="46" spans="2:19">
      <c r="M46" t="s">
        <v>130</v>
      </c>
      <c r="N46" s="37">
        <f>I17</f>
        <v>186.50157910486541</v>
      </c>
      <c r="O46" s="37">
        <f t="shared" ref="O46:Q46" si="22">J17</f>
        <v>298.85313575579926</v>
      </c>
      <c r="P46" s="37">
        <f t="shared" si="22"/>
        <v>419.27869070275699</v>
      </c>
      <c r="Q46" s="37">
        <f t="shared" si="22"/>
        <v>195.45965239238944</v>
      </c>
    </row>
    <row r="47" spans="2:19">
      <c r="M47" t="s">
        <v>131</v>
      </c>
      <c r="N47" s="37">
        <f>M17</f>
        <v>75.496526592498185</v>
      </c>
      <c r="O47" s="37">
        <f t="shared" ref="O47:Q47" si="23">N17</f>
        <v>239.89682519865255</v>
      </c>
      <c r="P47" s="37">
        <f t="shared" si="23"/>
        <v>425.92560380409293</v>
      </c>
      <c r="Q47" s="37">
        <f t="shared" si="23"/>
        <v>161.45344685582529</v>
      </c>
    </row>
    <row r="48" spans="2:19">
      <c r="M48" t="s">
        <v>132</v>
      </c>
      <c r="N48" s="37">
        <f>Q17</f>
        <v>25.299087706420778</v>
      </c>
      <c r="O48" s="37">
        <f>R17</f>
        <v>265.85887354889519</v>
      </c>
      <c r="P48" s="37">
        <f>S17</f>
        <v>468.09772744718339</v>
      </c>
      <c r="Q48" s="37">
        <f>T17</f>
        <v>347.10112984359409</v>
      </c>
    </row>
    <row r="51" spans="13:17">
      <c r="N51">
        <f t="shared" ref="N51:Q51" si="24">N44</f>
        <v>-0.1</v>
      </c>
      <c r="O51">
        <f t="shared" si="24"/>
        <v>-0.3</v>
      </c>
      <c r="P51">
        <f t="shared" si="24"/>
        <v>-0.5</v>
      </c>
      <c r="Q51">
        <f t="shared" si="24"/>
        <v>-1</v>
      </c>
    </row>
    <row r="52" spans="13:17">
      <c r="M52" t="str">
        <f t="shared" ref="M52" si="25">M45</f>
        <v>Exchange Elasticity = 0</v>
      </c>
      <c r="N52" s="20">
        <f>E17/E8</f>
        <v>7.896708017401631E-2</v>
      </c>
      <c r="O52" s="20">
        <f t="shared" ref="O52:Q52" si="26">F17/F8</f>
        <v>7.8985274104896808E-2</v>
      </c>
      <c r="P52" s="20">
        <f t="shared" si="26"/>
        <v>7.7503884421453159E-2</v>
      </c>
      <c r="Q52" s="20">
        <f t="shared" si="26"/>
        <v>6.797000977046129E-2</v>
      </c>
    </row>
    <row r="53" spans="13:17">
      <c r="M53" t="str">
        <f t="shared" ref="M53" si="27">M46</f>
        <v>Exch. Elast. = -0.1</v>
      </c>
      <c r="N53" s="20">
        <f>I17/I8</f>
        <v>1.105363005699285E-2</v>
      </c>
      <c r="O53" s="20">
        <f t="shared" ref="O53:Q53" si="28">J17/J8</f>
        <v>1.8498220519201081E-2</v>
      </c>
      <c r="P53" s="21">
        <f t="shared" si="28"/>
        <v>2.7415719105486111E-2</v>
      </c>
      <c r="Q53" s="20">
        <f t="shared" si="28"/>
        <v>1.4720481091002416E-2</v>
      </c>
    </row>
    <row r="54" spans="13:17">
      <c r="M54" t="str">
        <f t="shared" ref="M54" si="29">M47</f>
        <v>Exch. Elast. = -0.3</v>
      </c>
      <c r="N54" s="20">
        <f>M17/M8</f>
        <v>4.5729402027270844E-3</v>
      </c>
      <c r="O54" s="20">
        <f t="shared" ref="O54:Q54" si="30">N17/N8</f>
        <v>1.5296093951859685E-2</v>
      </c>
      <c r="P54" s="21">
        <f t="shared" si="30"/>
        <v>2.9114915501575321E-2</v>
      </c>
      <c r="Q54" s="20">
        <f t="shared" si="30"/>
        <v>1.29074632042754E-2</v>
      </c>
    </row>
    <row r="55" spans="13:17">
      <c r="M55" t="str">
        <f>M48</f>
        <v>Exch. Elast. = -0.5</v>
      </c>
      <c r="N55" s="20">
        <f>Q17/Q8</f>
        <v>1.5810742600521354E-3</v>
      </c>
      <c r="O55" s="20">
        <f t="shared" ref="O55:Q55" si="31">R17/R8</f>
        <v>1.7772027545877787E-2</v>
      </c>
      <c r="P55" s="21">
        <f t="shared" si="31"/>
        <v>3.3831457228291263E-2</v>
      </c>
      <c r="Q55" s="20">
        <f t="shared" si="31"/>
        <v>3.0533205555887195E-2</v>
      </c>
    </row>
  </sheetData>
  <mergeCells count="9">
    <mergeCell ref="M3:P3"/>
    <mergeCell ref="Q3:T3"/>
    <mergeCell ref="C31:C35"/>
    <mergeCell ref="C8:C12"/>
    <mergeCell ref="D3:D4"/>
    <mergeCell ref="I3:L3"/>
    <mergeCell ref="E3:H3"/>
    <mergeCell ref="E26:H26"/>
    <mergeCell ref="D26:D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sheetPr codeName="Sheet8"/>
  <dimension ref="A1:P47"/>
  <sheetViews>
    <sheetView showGridLines="0" topLeftCell="A80" workbookViewId="0">
      <selection activeCell="M71" sqref="M71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v>0.56999999999999995</v>
      </c>
    </row>
    <row r="3" spans="1:15">
      <c r="A3" t="s">
        <v>0</v>
      </c>
      <c r="C3">
        <f>Master!G6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Master!G7</f>
        <v>2028979774.2576301</v>
      </c>
      <c r="E4">
        <f>C24</f>
        <v>309710682.57224798</v>
      </c>
      <c r="G4" s="1">
        <f>F42/2</f>
        <v>19882.351840887401</v>
      </c>
      <c r="O4" s="74"/>
    </row>
    <row r="5" spans="1:15">
      <c r="A5" t="s">
        <v>2</v>
      </c>
      <c r="C5">
        <f>Master!G8</f>
        <v>52515801.7473571</v>
      </c>
      <c r="O5" s="74"/>
    </row>
    <row r="6" spans="1:15">
      <c r="A6" t="s">
        <v>3</v>
      </c>
      <c r="C6">
        <f>Master!G9</f>
        <v>2738896110.3191199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Master!G10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Master!G11</f>
        <v>297678605.54315799</v>
      </c>
      <c r="O8" s="74"/>
    </row>
    <row r="9" spans="1:15">
      <c r="A9" t="s">
        <v>6</v>
      </c>
      <c r="C9">
        <f>Master!G12</f>
        <v>7702168.4569703899</v>
      </c>
      <c r="O9" s="74"/>
    </row>
    <row r="10" spans="1:15">
      <c r="A10" t="s">
        <v>7</v>
      </c>
      <c r="C10">
        <f>Master!G13</f>
        <v>401832874.42853898</v>
      </c>
      <c r="O10" s="74"/>
    </row>
    <row r="11" spans="1:15">
      <c r="A11" t="s">
        <v>8</v>
      </c>
      <c r="C11">
        <f>Master!G14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Master!G15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Master!G16</f>
        <v>82334154.495839998</v>
      </c>
      <c r="O13" s="74"/>
    </row>
    <row r="14" spans="1:15">
      <c r="A14" t="s">
        <v>11</v>
      </c>
      <c r="C14">
        <f>Master!G17</f>
        <v>4295487712.2643995</v>
      </c>
      <c r="O14" s="74"/>
    </row>
    <row r="15" spans="1:15">
      <c r="A15" t="s">
        <v>12</v>
      </c>
      <c r="C15">
        <f>Master!G18</f>
        <v>104587743.620995</v>
      </c>
      <c r="O15" s="74"/>
    </row>
    <row r="16" spans="1:15">
      <c r="A16" t="s">
        <v>13</v>
      </c>
      <c r="C16">
        <f>Master!G19</f>
        <v>634839897.48200595</v>
      </c>
      <c r="O16" s="74"/>
    </row>
    <row r="17" spans="1:16">
      <c r="A17" t="s">
        <v>14</v>
      </c>
      <c r="C17">
        <f>Master!G20</f>
        <v>93416858.942051604</v>
      </c>
      <c r="O17" s="74"/>
    </row>
    <row r="18" spans="1:16">
      <c r="A18" t="s">
        <v>15</v>
      </c>
      <c r="C18">
        <f>Master!G21</f>
        <v>728087582.77696002</v>
      </c>
      <c r="G18" s="1">
        <f>G19*1000000</f>
        <v>1057056250.0920506</v>
      </c>
      <c r="O18" s="74"/>
    </row>
    <row r="19" spans="1:16">
      <c r="A19" t="s">
        <v>16</v>
      </c>
      <c r="C19">
        <f>Master!G22</f>
        <v>39764703.681774803</v>
      </c>
      <c r="G19" s="23">
        <f>G20-F20</f>
        <v>1057.0562500920505</v>
      </c>
      <c r="O19" s="74"/>
    </row>
    <row r="20" spans="1:16">
      <c r="A20" t="s">
        <v>17</v>
      </c>
      <c r="C20">
        <f>Master!G23</f>
        <v>35035208.431626603</v>
      </c>
      <c r="F20" s="23">
        <f>F37-F30</f>
        <v>6389.8001321022557</v>
      </c>
      <c r="G20" s="23">
        <f>G37-G30-G39</f>
        <v>7446.8563821943062</v>
      </c>
      <c r="O20" s="74"/>
    </row>
    <row r="21" spans="1:16">
      <c r="A21" t="s">
        <v>18</v>
      </c>
      <c r="C21">
        <f>Master!G24</f>
        <v>12533404388.4767</v>
      </c>
      <c r="O21" s="74"/>
    </row>
    <row r="22" spans="1:16">
      <c r="A22" t="s">
        <v>19</v>
      </c>
      <c r="C22">
        <f>Master!G25</f>
        <v>16524466143.725</v>
      </c>
      <c r="G22" s="47">
        <f>G28-F28</f>
        <v>13.877304036820703</v>
      </c>
      <c r="O22" s="74"/>
    </row>
    <row r="23" spans="1:16">
      <c r="A23" t="s">
        <v>20</v>
      </c>
      <c r="C23">
        <f>Master!G26</f>
        <v>1261267503.5385599</v>
      </c>
      <c r="O23" s="74"/>
    </row>
    <row r="24" spans="1:16">
      <c r="A24" t="s">
        <v>148</v>
      </c>
      <c r="C24">
        <f>Master!G27</f>
        <v>309710682.57224798</v>
      </c>
    </row>
    <row r="25" spans="1:16">
      <c r="A25" t="s">
        <v>149</v>
      </c>
      <c r="C25">
        <f>Master!G28</f>
        <v>70365476.0079166</v>
      </c>
    </row>
    <row r="26" spans="1:16">
      <c r="A26" t="s">
        <v>150</v>
      </c>
      <c r="C26">
        <f>Master!G29</f>
        <v>73741698.930029601</v>
      </c>
      <c r="E26" s="4"/>
      <c r="F26" s="5" t="s">
        <v>21</v>
      </c>
      <c r="G26" s="6" t="s">
        <v>31</v>
      </c>
      <c r="H26" s="45"/>
      <c r="I26" s="45"/>
      <c r="J26" s="43" t="s">
        <v>42</v>
      </c>
    </row>
    <row r="27" spans="1:16" ht="10" customHeight="1">
      <c r="A27" t="s">
        <v>151</v>
      </c>
      <c r="C27">
        <f>Master!G30</f>
        <v>3654859701.6658301</v>
      </c>
      <c r="E27" s="4"/>
      <c r="F27" s="7"/>
      <c r="G27" s="7"/>
      <c r="J27" s="137" t="s">
        <v>43</v>
      </c>
      <c r="K27" s="45"/>
    </row>
    <row r="28" spans="1:16">
      <c r="A28" t="s">
        <v>152</v>
      </c>
      <c r="C28">
        <f>Master!G31</f>
        <v>3242347833.4964399</v>
      </c>
      <c r="E28" s="9" t="s">
        <v>32</v>
      </c>
      <c r="F28" s="10">
        <f>F37*E11/$E$3</f>
        <v>39.477220277561777</v>
      </c>
      <c r="G28" s="11">
        <f>C22/E4</f>
        <v>53.354524314382481</v>
      </c>
      <c r="H28" s="44" t="s">
        <v>33</v>
      </c>
      <c r="I28" s="44"/>
      <c r="J28" s="137"/>
      <c r="M28" t="s">
        <v>38</v>
      </c>
    </row>
    <row r="29" spans="1:16" ht="10" customHeight="1">
      <c r="A29" t="s">
        <v>153</v>
      </c>
      <c r="C29">
        <f>Master!G32</f>
        <v>2734940430.43644</v>
      </c>
      <c r="E29" s="4"/>
      <c r="F29" s="13"/>
      <c r="G29" s="13"/>
      <c r="H29" s="44"/>
      <c r="I29" s="44"/>
      <c r="J29" s="137"/>
    </row>
    <row r="30" spans="1:16">
      <c r="A30" t="s">
        <v>154</v>
      </c>
      <c r="C30">
        <f>Master!G33</f>
        <v>3856546526.90099</v>
      </c>
      <c r="E30" s="9" t="s">
        <v>22</v>
      </c>
      <c r="F30" s="31">
        <f>SUM(F31:F34)</f>
        <v>6143.604256374444</v>
      </c>
      <c r="G30" s="32">
        <f>SUM(G31:G34)</f>
        <v>8164.3042797890175</v>
      </c>
      <c r="H30" s="44"/>
      <c r="I30" s="44"/>
      <c r="J30" s="10">
        <f>((C6+C10+C14+C18)/(C5+C9+C13+C17))-((C16+C12+C8+C4)/(C3+C7+C11+C15))</f>
        <v>9.7381421249611329</v>
      </c>
      <c r="M30" t="s">
        <v>27</v>
      </c>
      <c r="N30" s="37">
        <f>F37-G37</f>
        <v>-4339.023777045184</v>
      </c>
    </row>
    <row r="31" spans="1:16">
      <c r="E31" s="14" t="s">
        <v>24</v>
      </c>
      <c r="F31" s="33">
        <f>C8/E11</f>
        <v>297.67860554315797</v>
      </c>
      <c r="G31" s="34">
        <f>C10/E11</f>
        <v>401.83287442853896</v>
      </c>
      <c r="H31" s="138" t="s">
        <v>34</v>
      </c>
      <c r="I31" s="44"/>
      <c r="J31" s="15">
        <f>(C10/C9)-(C8/C7)</f>
        <v>13.522720188120836</v>
      </c>
      <c r="M31" t="s">
        <v>22</v>
      </c>
      <c r="N31" s="37">
        <f>G30-F30</f>
        <v>2020.7000234145735</v>
      </c>
      <c r="P31">
        <f>G31/F31</f>
        <v>1.3498883256837904</v>
      </c>
    </row>
    <row r="32" spans="1:16">
      <c r="A32" t="s">
        <v>144</v>
      </c>
      <c r="C32">
        <f>Master!G35</f>
        <v>102709124.422034</v>
      </c>
      <c r="E32" s="14" t="s">
        <v>25</v>
      </c>
      <c r="F32" s="33">
        <f>C12/E11</f>
        <v>3182.1059790916502</v>
      </c>
      <c r="G32" s="34">
        <f>C14/E11</f>
        <v>4295.4877122643993</v>
      </c>
      <c r="H32" s="138"/>
      <c r="I32" s="44"/>
      <c r="J32" s="15">
        <f>(C14/C13)-(C12/C11)</f>
        <v>13.522720188120765</v>
      </c>
      <c r="M32" t="s">
        <v>29</v>
      </c>
      <c r="N32" s="37">
        <f>G39</f>
        <v>1261.2675035385598</v>
      </c>
      <c r="P32">
        <f>G32/F32</f>
        <v>1.3498883256837881</v>
      </c>
    </row>
    <row r="33" spans="1:16">
      <c r="A33" t="s">
        <v>155</v>
      </c>
      <c r="C33">
        <f>Master!G36</f>
        <v>632027691.88537598</v>
      </c>
      <c r="E33" s="14" t="s">
        <v>23</v>
      </c>
      <c r="F33" s="33">
        <f>C4/E11</f>
        <v>2028.9797742576302</v>
      </c>
      <c r="G33" s="34">
        <f>C6/E11</f>
        <v>2738.89611031912</v>
      </c>
      <c r="H33" s="138"/>
      <c r="I33" s="44"/>
      <c r="J33" s="15">
        <f>(C6/C5)-(C4/C3)</f>
        <v>13.502784502365799</v>
      </c>
      <c r="M33" t="s">
        <v>85</v>
      </c>
      <c r="N33" s="37">
        <f>G40</f>
        <v>1142.57609455334</v>
      </c>
      <c r="P33">
        <f>G33/F33</f>
        <v>1.3498883256838952</v>
      </c>
    </row>
    <row r="34" spans="1:16">
      <c r="A34" t="s">
        <v>156</v>
      </c>
      <c r="C34">
        <f>Master!G37</f>
        <v>1878619.19896125</v>
      </c>
      <c r="E34" s="14" t="s">
        <v>26</v>
      </c>
      <c r="F34" s="33">
        <f>C16/E11</f>
        <v>634.83989748200599</v>
      </c>
      <c r="G34" s="34">
        <f>C18/E11</f>
        <v>728.08758277696006</v>
      </c>
      <c r="H34" s="138"/>
      <c r="I34" s="44"/>
      <c r="J34" s="69">
        <f>(C18/C17)-(C16/C15)</f>
        <v>1.724037117284781</v>
      </c>
      <c r="N34" s="37"/>
      <c r="P34">
        <f>G34/F34</f>
        <v>1.1468837822966178</v>
      </c>
    </row>
    <row r="35" spans="1:16" ht="10" customHeight="1">
      <c r="A35" t="s">
        <v>157</v>
      </c>
      <c r="C35">
        <f>Master!G38</f>
        <v>2812205.59663032</v>
      </c>
      <c r="E35" s="4"/>
      <c r="F35" s="35"/>
      <c r="G35" s="35"/>
      <c r="H35" s="44"/>
      <c r="I35" s="44"/>
      <c r="J35" s="13"/>
      <c r="M35" t="s">
        <v>35</v>
      </c>
      <c r="N35" s="37">
        <f>F43-G43</f>
        <v>100.98173464357615</v>
      </c>
    </row>
    <row r="36" spans="1:16" ht="10" customHeight="1">
      <c r="A36" t="s">
        <v>158</v>
      </c>
      <c r="C36">
        <f>Master!G39</f>
        <v>90280548.132795304</v>
      </c>
      <c r="E36" s="4"/>
      <c r="F36" s="35"/>
      <c r="G36" s="35"/>
      <c r="H36" s="44"/>
      <c r="I36" s="44"/>
      <c r="J36" s="13"/>
      <c r="M36" t="str">
        <f>E47</f>
        <v>External Area Gains</v>
      </c>
      <c r="N36" s="37">
        <f>G47</f>
        <v>1121.6060964645501</v>
      </c>
    </row>
    <row r="37" spans="1:16">
      <c r="A37" t="s">
        <v>159</v>
      </c>
      <c r="C37">
        <f>Master!G40</f>
        <v>721137922.99942195</v>
      </c>
      <c r="E37" s="9" t="s">
        <v>28</v>
      </c>
      <c r="F37" s="31">
        <f>C21/E11</f>
        <v>12533.4043884767</v>
      </c>
      <c r="G37" s="32">
        <f>(C22+C42+C41)/E11</f>
        <v>16872.428165521884</v>
      </c>
      <c r="H37" s="3" t="s">
        <v>34</v>
      </c>
      <c r="I37" s="3"/>
      <c r="J37" s="13"/>
      <c r="M37" t="s">
        <v>81</v>
      </c>
      <c r="N37" s="37">
        <f>SUM(N30:N35)</f>
        <v>186.50157910486541</v>
      </c>
    </row>
    <row r="38" spans="1:16" ht="10" customHeight="1">
      <c r="A38" t="s">
        <v>160</v>
      </c>
      <c r="C38">
        <f>Master!G41</f>
        <v>3136310.8092563199</v>
      </c>
      <c r="E38" s="4"/>
      <c r="F38" s="35"/>
      <c r="G38" s="35"/>
      <c r="H38" s="103"/>
      <c r="I38" s="44"/>
      <c r="J38" s="13"/>
      <c r="N38" s="37">
        <f>SUM(N30:N36)</f>
        <v>1308.1076755694155</v>
      </c>
    </row>
    <row r="39" spans="1:16">
      <c r="A39" t="s">
        <v>161</v>
      </c>
      <c r="C39">
        <f>Master!G42</f>
        <v>6949659.7775374502</v>
      </c>
      <c r="E39" s="4" t="s">
        <v>29</v>
      </c>
      <c r="F39" s="35"/>
      <c r="G39" s="36">
        <f>C23/E11</f>
        <v>1261.2675035385598</v>
      </c>
      <c r="H39" s="3" t="s">
        <v>34</v>
      </c>
      <c r="I39" s="3"/>
      <c r="J39" s="13"/>
      <c r="N39" s="37">
        <f>N38-N33</f>
        <v>165.53158101607551</v>
      </c>
    </row>
    <row r="40" spans="1:16">
      <c r="E40" s="9" t="s">
        <v>84</v>
      </c>
      <c r="F40" s="31"/>
      <c r="G40" s="32">
        <f>MIN(17.5394,G28-F28)*C11/E11</f>
        <v>1142.57609455334</v>
      </c>
      <c r="H40" s="3"/>
      <c r="I40" s="3"/>
      <c r="J40" s="13"/>
      <c r="N40" s="20">
        <f>N37/G37</f>
        <v>1.105363005699285E-2</v>
      </c>
    </row>
    <row r="41" spans="1:16" ht="10" customHeight="1">
      <c r="A41" t="s">
        <v>164</v>
      </c>
      <c r="C41">
        <f>Master!G44</f>
        <v>293386092.06121802</v>
      </c>
      <c r="E41" s="4"/>
      <c r="F41" s="35"/>
      <c r="G41" s="35"/>
      <c r="H41" s="103"/>
      <c r="I41" s="44"/>
      <c r="J41" s="25"/>
    </row>
    <row r="42" spans="1:16">
      <c r="A42" t="s">
        <v>165</v>
      </c>
      <c r="C42">
        <f>Master!G45</f>
        <v>54575929.7356636</v>
      </c>
      <c r="E42" s="4" t="s">
        <v>30</v>
      </c>
      <c r="F42" s="35">
        <f>C19/E12</f>
        <v>39764.703681774801</v>
      </c>
      <c r="G42" s="36">
        <f>(C20/E12)+(F1*(C26-C25)/E12)</f>
        <v>36959.655497231019</v>
      </c>
      <c r="H42" s="103" t="s">
        <v>37</v>
      </c>
      <c r="I42" s="44"/>
      <c r="N42" s="20">
        <f>(G37-F37)/F37</f>
        <v>0.34619674292441349</v>
      </c>
    </row>
    <row r="43" spans="1:16">
      <c r="E43" s="9" t="s">
        <v>36</v>
      </c>
      <c r="F43" s="31">
        <f>F42*36/E12</f>
        <v>1431.5293325438927</v>
      </c>
      <c r="G43" s="32">
        <f>G42*36/E12</f>
        <v>1330.5475979003165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154.855341286124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1121.6060964645501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DD1C-A03D-EF46-959E-3398CB613FFC}">
  <sheetPr codeName="Sheet9"/>
  <dimension ref="A1:P47"/>
  <sheetViews>
    <sheetView showGridLines="0" topLeftCell="A23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f>Master!H6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Master!H7</f>
        <v>2028979774.2576301</v>
      </c>
      <c r="E4">
        <f>C24</f>
        <v>296489813.446145</v>
      </c>
      <c r="G4" s="1">
        <f>F42/2</f>
        <v>19882.351840887401</v>
      </c>
      <c r="O4" s="74"/>
    </row>
    <row r="5" spans="1:15">
      <c r="A5" t="s">
        <v>2</v>
      </c>
      <c r="C5">
        <f>Master!H8</f>
        <v>52562570.4964213</v>
      </c>
      <c r="O5" s="74"/>
    </row>
    <row r="6" spans="1:15">
      <c r="A6" t="s">
        <v>3</v>
      </c>
      <c r="C6">
        <f>Master!H9</f>
        <v>2627562511.1149702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Master!H10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Master!H11</f>
        <v>297678605.54315799</v>
      </c>
      <c r="O8" s="74"/>
    </row>
    <row r="9" spans="1:15">
      <c r="A9" t="s">
        <v>6</v>
      </c>
      <c r="C9">
        <f>Master!H12</f>
        <v>7702168.4569703899</v>
      </c>
      <c r="O9" s="74"/>
    </row>
    <row r="10" spans="1:15">
      <c r="A10" t="s">
        <v>7</v>
      </c>
      <c r="C10">
        <f>Master!H13</f>
        <v>385498738.92762899</v>
      </c>
      <c r="O10" s="74"/>
    </row>
    <row r="11" spans="1:15">
      <c r="A11" t="s">
        <v>8</v>
      </c>
      <c r="C11">
        <f>Master!H14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Master!H15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Master!H16</f>
        <v>82334154.495839998</v>
      </c>
      <c r="O13" s="74"/>
    </row>
    <row r="14" spans="1:15">
      <c r="A14" t="s">
        <v>11</v>
      </c>
      <c r="C14">
        <f>Master!H17</f>
        <v>4120880100.9921699</v>
      </c>
      <c r="O14" s="74"/>
    </row>
    <row r="15" spans="1:15">
      <c r="A15" t="s">
        <v>12</v>
      </c>
      <c r="C15">
        <f>Master!H18</f>
        <v>104587743.620995</v>
      </c>
      <c r="O15" s="74"/>
    </row>
    <row r="16" spans="1:15">
      <c r="A16" t="s">
        <v>13</v>
      </c>
      <c r="C16">
        <f>Master!H19</f>
        <v>634839897.48200595</v>
      </c>
      <c r="O16" s="74"/>
    </row>
    <row r="17" spans="1:16">
      <c r="A17" t="s">
        <v>14</v>
      </c>
      <c r="C17">
        <f>Master!H20</f>
        <v>80734816.295549497</v>
      </c>
      <c r="O17" s="74"/>
    </row>
    <row r="18" spans="1:16">
      <c r="A18" t="s">
        <v>15</v>
      </c>
      <c r="C18">
        <f>Master!H21</f>
        <v>574985502.09956706</v>
      </c>
      <c r="G18" s="1">
        <f>G19*1000000</f>
        <v>983788477.41715801</v>
      </c>
      <c r="O18" s="74"/>
    </row>
    <row r="19" spans="1:16">
      <c r="A19" t="s">
        <v>16</v>
      </c>
      <c r="C19">
        <f>Master!H22</f>
        <v>39764703.681774803</v>
      </c>
      <c r="G19" s="23">
        <f>G20-F20</f>
        <v>983.78847741715799</v>
      </c>
      <c r="O19" s="74"/>
    </row>
    <row r="20" spans="1:16">
      <c r="A20" t="s">
        <v>17</v>
      </c>
      <c r="C20">
        <f>Master!H23</f>
        <v>29812835.7246916</v>
      </c>
      <c r="F20" s="23">
        <f>F37-F30</f>
        <v>6389.8001321022557</v>
      </c>
      <c r="G20" s="23">
        <f>G37-G30-G39</f>
        <v>7373.5886095194137</v>
      </c>
      <c r="O20" s="74"/>
    </row>
    <row r="21" spans="1:16">
      <c r="A21" t="s">
        <v>18</v>
      </c>
      <c r="C21">
        <f>Master!H24</f>
        <v>12533404388.4767</v>
      </c>
      <c r="O21" s="74"/>
    </row>
    <row r="22" spans="1:16">
      <c r="A22" t="s">
        <v>19</v>
      </c>
      <c r="C22">
        <f>Master!H25</f>
        <v>15239526209.906799</v>
      </c>
      <c r="G22" s="47">
        <f>G28-F28</f>
        <v>11.92261040388906</v>
      </c>
      <c r="O22" s="74"/>
    </row>
    <row r="23" spans="1:16">
      <c r="A23" t="s">
        <v>20</v>
      </c>
      <c r="C23">
        <f>Master!H26</f>
        <v>1073262086.08889</v>
      </c>
      <c r="O23" s="74"/>
    </row>
    <row r="24" spans="1:16">
      <c r="A24" t="s">
        <v>148</v>
      </c>
      <c r="C24">
        <f>Master!H27</f>
        <v>296489813.446145</v>
      </c>
    </row>
    <row r="25" spans="1:16">
      <c r="A25" t="s">
        <v>149</v>
      </c>
      <c r="C25">
        <f>Master!H28</f>
        <v>70365476.0079166</v>
      </c>
    </row>
    <row r="26" spans="1:16">
      <c r="A26" t="s">
        <v>150</v>
      </c>
      <c r="C26">
        <f>Master!H29</f>
        <v>73156103.701364398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Master!H30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Master!H31</f>
        <v>2781354595.3599401</v>
      </c>
      <c r="E28" s="9" t="s">
        <v>32</v>
      </c>
      <c r="F28" s="10">
        <f>F37*E11/$E$3</f>
        <v>39.477220277561777</v>
      </c>
      <c r="G28" s="11">
        <f>C22/E4</f>
        <v>51.399830681450837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Master!H32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Master!H33</f>
        <v>3675982675.3236098</v>
      </c>
      <c r="E30" s="9" t="s">
        <v>22</v>
      </c>
      <c r="F30" s="31">
        <f>SUM(F31:F34)</f>
        <v>6143.604256374444</v>
      </c>
      <c r="G30" s="32">
        <f>SUM(G31:G34)</f>
        <v>7708.9268531343369</v>
      </c>
      <c r="H30" s="103"/>
      <c r="I30" s="103"/>
      <c r="J30" s="10">
        <f>((C6+C10+C14+C18)/(C5+C9+C13+C17))-((C16+C12+C8+C4)/(C3+C7+C11+C15))</f>
        <v>9.6566100231245535</v>
      </c>
      <c r="M30" t="s">
        <v>27</v>
      </c>
      <c r="N30" s="37">
        <f>F37-G37</f>
        <v>-3622.3731602659409</v>
      </c>
    </row>
    <row r="31" spans="1:16">
      <c r="E31" s="14" t="s">
        <v>24</v>
      </c>
      <c r="F31" s="33">
        <f>C8/E11</f>
        <v>297.67860554315797</v>
      </c>
      <c r="G31" s="34">
        <f>C10/E11</f>
        <v>385.49873892762901</v>
      </c>
      <c r="H31" s="138" t="s">
        <v>34</v>
      </c>
      <c r="I31" s="103"/>
      <c r="J31" s="15">
        <f>(C10/C9)-(C8/C7)</f>
        <v>11.40200112151463</v>
      </c>
      <c r="M31" t="s">
        <v>22</v>
      </c>
      <c r="N31" s="37">
        <f>G30-F30</f>
        <v>1565.3225967598928</v>
      </c>
      <c r="P31">
        <f>G31/F31</f>
        <v>1.2950166110333339</v>
      </c>
    </row>
    <row r="32" spans="1:16">
      <c r="A32" t="s">
        <v>144</v>
      </c>
      <c r="C32">
        <f>Master!H35</f>
        <v>102709124.422034</v>
      </c>
      <c r="E32" s="14" t="s">
        <v>25</v>
      </c>
      <c r="F32" s="33">
        <f>C12/E11</f>
        <v>3182.1059790916502</v>
      </c>
      <c r="G32" s="34">
        <f>C14/E11</f>
        <v>4120.8801009921699</v>
      </c>
      <c r="H32" s="138"/>
      <c r="I32" s="103"/>
      <c r="J32" s="15">
        <f>(C14/C13)-(C12/C11)</f>
        <v>11.402001121514552</v>
      </c>
      <c r="M32" t="s">
        <v>29</v>
      </c>
      <c r="N32" s="37">
        <f>G39</f>
        <v>1073.2620860888899</v>
      </c>
      <c r="P32">
        <f>G32/F32</f>
        <v>1.2950166110333314</v>
      </c>
    </row>
    <row r="33" spans="1:16">
      <c r="A33" t="s">
        <v>155</v>
      </c>
      <c r="C33">
        <f>Master!H36</f>
        <v>632027691.88537598</v>
      </c>
      <c r="E33" s="14" t="s">
        <v>23</v>
      </c>
      <c r="F33" s="33">
        <f>C4/E11</f>
        <v>2028.9797742576302</v>
      </c>
      <c r="G33" s="34">
        <f>C6/E11</f>
        <v>2627.5625111149702</v>
      </c>
      <c r="H33" s="138"/>
      <c r="I33" s="103"/>
      <c r="J33" s="15">
        <f>(C6/C5)-(C4/C3)</f>
        <v>11.338263934240942</v>
      </c>
      <c r="M33" t="s">
        <v>85</v>
      </c>
      <c r="N33" s="37">
        <f>G40</f>
        <v>981.63804698751119</v>
      </c>
      <c r="P33">
        <f>G33/F33</f>
        <v>1.2950166110336667</v>
      </c>
    </row>
    <row r="34" spans="1:16">
      <c r="A34" t="s">
        <v>156</v>
      </c>
      <c r="C34">
        <f>Master!H37</f>
        <v>1878619.19896125</v>
      </c>
      <c r="E34" s="14" t="s">
        <v>26</v>
      </c>
      <c r="F34" s="33">
        <f>C16/E11</f>
        <v>634.83989748200599</v>
      </c>
      <c r="G34" s="34">
        <f>C18/E11</f>
        <v>574.98550209956704</v>
      </c>
      <c r="H34" s="138"/>
      <c r="I34" s="103"/>
      <c r="J34" s="69">
        <f>(C18/C17)-(C16/C15)</f>
        <v>1.0519763323207991</v>
      </c>
      <c r="N34" s="37"/>
      <c r="P34">
        <f>G34/F34</f>
        <v>0.90571733815117461</v>
      </c>
    </row>
    <row r="35" spans="1:16" ht="10" customHeight="1">
      <c r="A35" t="s">
        <v>157</v>
      </c>
      <c r="C35">
        <f>Master!H38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301.00356618544629</v>
      </c>
    </row>
    <row r="36" spans="1:16" ht="10" customHeight="1">
      <c r="A36" t="s">
        <v>158</v>
      </c>
      <c r="C36">
        <f>Master!H39</f>
        <v>78903083.526778698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941.04224488716989</v>
      </c>
    </row>
    <row r="37" spans="1:16">
      <c r="A37" t="s">
        <v>159</v>
      </c>
      <c r="C37">
        <f>Master!H40</f>
        <v>572063268.56111097</v>
      </c>
      <c r="E37" s="9" t="s">
        <v>28</v>
      </c>
      <c r="F37" s="31">
        <f>C21/E11</f>
        <v>12533.4043884767</v>
      </c>
      <c r="G37" s="32">
        <f>(C22+C42+C41)/E11</f>
        <v>16155.777548742641</v>
      </c>
      <c r="H37" s="3" t="s">
        <v>34</v>
      </c>
      <c r="I37" s="3"/>
      <c r="J37" s="13"/>
      <c r="M37" t="s">
        <v>81</v>
      </c>
      <c r="N37" s="37">
        <f>SUM(N30:N35)</f>
        <v>298.85313575579926</v>
      </c>
    </row>
    <row r="38" spans="1:16" ht="10" customHeight="1">
      <c r="A38" t="s">
        <v>160</v>
      </c>
      <c r="C38">
        <f>Master!H41</f>
        <v>1831732.7687707799</v>
      </c>
      <c r="E38" s="4"/>
      <c r="F38" s="35"/>
      <c r="G38" s="35"/>
      <c r="H38" s="103"/>
      <c r="I38" s="103"/>
      <c r="J38" s="13"/>
      <c r="N38" s="37">
        <f>SUM(N30:N36)</f>
        <v>1239.895380642969</v>
      </c>
    </row>
    <row r="39" spans="1:16">
      <c r="A39" t="s">
        <v>161</v>
      </c>
      <c r="C39">
        <f>Master!H42</f>
        <v>2922233.5384557601</v>
      </c>
      <c r="E39" s="4" t="s">
        <v>29</v>
      </c>
      <c r="F39" s="35"/>
      <c r="G39" s="36">
        <f>C23/E11</f>
        <v>1073.2620860888899</v>
      </c>
      <c r="H39" s="3" t="s">
        <v>34</v>
      </c>
      <c r="I39" s="3"/>
      <c r="J39" s="13"/>
      <c r="N39" s="37">
        <f>N38-N33</f>
        <v>258.25733365545784</v>
      </c>
    </row>
    <row r="40" spans="1:16">
      <c r="E40" s="9" t="s">
        <v>84</v>
      </c>
      <c r="F40" s="31"/>
      <c r="G40" s="32">
        <f>MIN(17.5394,G28-F28)*C11/E11</f>
        <v>981.63804698751119</v>
      </c>
      <c r="H40" s="3"/>
      <c r="I40" s="3"/>
      <c r="J40" s="13"/>
      <c r="N40" s="20">
        <f>N37/G37</f>
        <v>1.8498220519201081E-2</v>
      </c>
    </row>
    <row r="41" spans="1:16" ht="10" customHeight="1">
      <c r="A41" t="s">
        <v>164</v>
      </c>
      <c r="C41">
        <f>Master!H44</f>
        <v>790322027.28131998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Master!H45</f>
        <v>125929311.55452199</v>
      </c>
      <c r="E42" s="4" t="s">
        <v>30</v>
      </c>
      <c r="F42" s="35">
        <f>C19/E12</f>
        <v>39764.703681774801</v>
      </c>
      <c r="G42" s="36">
        <f>(C20/E12)+(F1*(C26-C25)/E12)</f>
        <v>31403.493509956843</v>
      </c>
      <c r="H42" s="103" t="s">
        <v>37</v>
      </c>
      <c r="I42" s="103"/>
      <c r="N42" s="20">
        <f>(G37-F37)/F37</f>
        <v>0.2890174966026291</v>
      </c>
    </row>
    <row r="43" spans="1:16">
      <c r="E43" s="9" t="s">
        <v>36</v>
      </c>
      <c r="F43" s="31">
        <f>F42*36/E12</f>
        <v>1431.5293325438927</v>
      </c>
      <c r="G43" s="32">
        <f>G42*36/E12</f>
        <v>1130.5257663584464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148.24490672307249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941.04224488716989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ADB6-6601-3546-952C-A2665007EA4C}">
  <sheetPr codeName="Sheet10"/>
  <dimension ref="A1:P47"/>
  <sheetViews>
    <sheetView showGridLines="0" topLeftCell="A17" workbookViewId="0">
      <selection activeCell="G37" sqref="G37"/>
    </sheetView>
  </sheetViews>
  <sheetFormatPr baseColWidth="10" defaultRowHeight="16"/>
  <cols>
    <col min="1" max="1" width="23" style="27" customWidth="1"/>
    <col min="2" max="2" width="2.83203125" customWidth="1"/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Master!I6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Master!I7</f>
        <v>2028979774.2576301</v>
      </c>
      <c r="E4">
        <f>C24</f>
        <v>284452546.26801401</v>
      </c>
      <c r="G4" s="1">
        <f>F42/2</f>
        <v>19882.351840887401</v>
      </c>
    </row>
    <row r="5" spans="1:10">
      <c r="A5" t="s">
        <v>2</v>
      </c>
      <c r="C5">
        <f>Master!I8</f>
        <v>52560358.958670303</v>
      </c>
    </row>
    <row r="6" spans="1:10">
      <c r="A6" t="s">
        <v>3</v>
      </c>
      <c r="C6">
        <f>Master!I9</f>
        <v>2477933464.9311099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Master!I10</f>
        <v>7702168.4569703899</v>
      </c>
      <c r="J7" s="20">
        <f>J6/H6</f>
        <v>-0.36090965768927602</v>
      </c>
    </row>
    <row r="8" spans="1:10">
      <c r="A8" t="s">
        <v>5</v>
      </c>
      <c r="C8">
        <f>Master!I11</f>
        <v>297678605.54315799</v>
      </c>
    </row>
    <row r="9" spans="1:10">
      <c r="A9" t="s">
        <v>6</v>
      </c>
      <c r="C9">
        <f>Master!I12</f>
        <v>7702168.4569703899</v>
      </c>
    </row>
    <row r="10" spans="1:10">
      <c r="A10" t="s">
        <v>7</v>
      </c>
      <c r="C10">
        <f>Master!I13</f>
        <v>363546146.60420001</v>
      </c>
    </row>
    <row r="11" spans="1:10">
      <c r="A11" t="s">
        <v>8</v>
      </c>
      <c r="C11">
        <f>Master!I14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Master!I15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Master!I16</f>
        <v>82334154.495839998</v>
      </c>
    </row>
    <row r="14" spans="1:10">
      <c r="A14" t="s">
        <v>11</v>
      </c>
      <c r="C14">
        <f>Master!I17</f>
        <v>3886212664.4074001</v>
      </c>
    </row>
    <row r="15" spans="1:10">
      <c r="A15" t="s">
        <v>12</v>
      </c>
      <c r="C15">
        <f>Master!I18</f>
        <v>104587743.620995</v>
      </c>
    </row>
    <row r="16" spans="1:10">
      <c r="A16" t="s">
        <v>13</v>
      </c>
      <c r="C16">
        <f>Master!I19</f>
        <v>634839897.48200595</v>
      </c>
    </row>
    <row r="17" spans="1:16">
      <c r="A17" t="s">
        <v>14</v>
      </c>
      <c r="C17">
        <f>Master!I20</f>
        <v>69354918.862002999</v>
      </c>
    </row>
    <row r="18" spans="1:16">
      <c r="A18" t="s">
        <v>15</v>
      </c>
      <c r="C18">
        <f>Master!I21</f>
        <v>435666360.14802402</v>
      </c>
      <c r="G18" s="1">
        <f>G19*1000000</f>
        <v>831659135.47522545</v>
      </c>
    </row>
    <row r="19" spans="1:16">
      <c r="A19" t="s">
        <v>16</v>
      </c>
      <c r="C19">
        <f>Master!I22</f>
        <v>39764703.681774803</v>
      </c>
      <c r="G19" s="23">
        <f>G20-F20</f>
        <v>831.65913547522541</v>
      </c>
    </row>
    <row r="20" spans="1:16">
      <c r="A20" t="s">
        <v>17</v>
      </c>
      <c r="C20">
        <f>Master!I23</f>
        <v>25237512.238449499</v>
      </c>
      <c r="F20" s="23">
        <f>F37-F30</f>
        <v>6389.8001321022557</v>
      </c>
      <c r="G20" s="23">
        <f>G37-G30-G39</f>
        <v>7221.4592675774811</v>
      </c>
    </row>
    <row r="21" spans="1:16">
      <c r="A21" t="s">
        <v>18</v>
      </c>
      <c r="C21">
        <f>Master!I24</f>
        <v>12533404388.4767</v>
      </c>
    </row>
    <row r="22" spans="1:16">
      <c r="A22" t="s">
        <v>19</v>
      </c>
      <c r="C22">
        <f>Master!I25</f>
        <v>13895779384.654301</v>
      </c>
      <c r="G22" s="47">
        <f>G28-F28</f>
        <v>9.3737377010725922</v>
      </c>
    </row>
    <row r="23" spans="1:16">
      <c r="A23" t="s">
        <v>20</v>
      </c>
      <c r="C23">
        <f>Master!I26</f>
        <v>908550440.58418405</v>
      </c>
    </row>
    <row r="24" spans="1:16">
      <c r="A24" t="s">
        <v>148</v>
      </c>
      <c r="C24">
        <f>Master!I27</f>
        <v>284452546.26801401</v>
      </c>
    </row>
    <row r="25" spans="1:16">
      <c r="A25" t="s">
        <v>149</v>
      </c>
      <c r="C25">
        <f>Master!I28</f>
        <v>70365476.0079166</v>
      </c>
    </row>
    <row r="26" spans="1:16">
      <c r="A26" t="s">
        <v>150</v>
      </c>
      <c r="C26">
        <f>Master!I29</f>
        <v>72500945.494530603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Master!I30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Master!I31</f>
        <v>2375808478.2250199</v>
      </c>
      <c r="E28" s="9" t="s">
        <v>32</v>
      </c>
      <c r="F28" s="10">
        <f>F37*E11/$E$3</f>
        <v>39.477220277561777</v>
      </c>
      <c r="G28" s="11">
        <f>C22/E4</f>
        <v>48.850957978634369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Master!I32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Master!I33</f>
        <v>3448061829.7544298</v>
      </c>
      <c r="E30" s="9" t="s">
        <v>22</v>
      </c>
      <c r="F30" s="31">
        <f>SUM(F31:F34)</f>
        <v>6143.604256374444</v>
      </c>
      <c r="G30" s="32">
        <f>SUM(G31:G34)</f>
        <v>7163.3586360907348</v>
      </c>
      <c r="H30" s="103"/>
      <c r="I30" s="103"/>
      <c r="J30" s="10">
        <f>((C6+C10+C14+C18)/(C5+C9+C13+C17))-((C16+C12+C8+C4)/(C3+C7+C11+C15))</f>
        <v>8.9362286323379969</v>
      </c>
      <c r="M30" t="s">
        <v>27</v>
      </c>
      <c r="N30" s="37">
        <f>F37-G37</f>
        <v>-2759.9639557757</v>
      </c>
    </row>
    <row r="31" spans="1:16">
      <c r="A31"/>
      <c r="E31" s="14" t="s">
        <v>24</v>
      </c>
      <c r="F31" s="33">
        <f>C8/E11</f>
        <v>297.67860554315797</v>
      </c>
      <c r="G31" s="34">
        <f>C10/E11</f>
        <v>363.54614660420003</v>
      </c>
      <c r="H31" s="138" t="s">
        <v>34</v>
      </c>
      <c r="I31" s="103"/>
      <c r="J31" s="15">
        <f>(C10/C9)-(C8/C7)</f>
        <v>8.5518177678173828</v>
      </c>
      <c r="M31" t="s">
        <v>22</v>
      </c>
      <c r="N31" s="37">
        <f>G30-F30</f>
        <v>1019.7543797162907</v>
      </c>
      <c r="P31">
        <f>G31/F31</f>
        <v>1.2212706584702557</v>
      </c>
    </row>
    <row r="32" spans="1:16">
      <c r="A32" t="s">
        <v>144</v>
      </c>
      <c r="C32">
        <f>Master!I35</f>
        <v>102709124.422034</v>
      </c>
      <c r="E32" s="14" t="s">
        <v>25</v>
      </c>
      <c r="F32" s="33">
        <f>C12/E11</f>
        <v>3182.1059790916502</v>
      </c>
      <c r="G32" s="34">
        <f>C14/E11</f>
        <v>3886.2126644074001</v>
      </c>
      <c r="H32" s="138"/>
      <c r="I32" s="103"/>
      <c r="J32" s="15">
        <f>(C14/C13)-(C12/C11)</f>
        <v>8.5518177678174396</v>
      </c>
      <c r="M32" t="s">
        <v>29</v>
      </c>
      <c r="N32" s="37">
        <f>G39</f>
        <v>908.550440584184</v>
      </c>
      <c r="P32">
        <f>G32/F32</f>
        <v>1.2212706584702566</v>
      </c>
    </row>
    <row r="33" spans="1:16">
      <c r="A33" t="s">
        <v>155</v>
      </c>
      <c r="C33">
        <f>Master!I36</f>
        <v>632027691.88537598</v>
      </c>
      <c r="E33" s="14" t="s">
        <v>23</v>
      </c>
      <c r="F33" s="33">
        <f>C4/E11</f>
        <v>2028.9797742576302</v>
      </c>
      <c r="G33" s="34">
        <f>C6/E11</f>
        <v>2477.9334649311099</v>
      </c>
      <c r="H33" s="138"/>
      <c r="I33" s="103"/>
      <c r="J33" s="15">
        <f>(C6/C5)-(C4/C3)</f>
        <v>8.4935631735677006</v>
      </c>
      <c r="M33" t="s">
        <v>85</v>
      </c>
      <c r="N33" s="37">
        <f>G40</f>
        <v>771.77876808359088</v>
      </c>
      <c r="P33">
        <f>G33/F33</f>
        <v>1.2212706584705826</v>
      </c>
    </row>
    <row r="34" spans="1:16">
      <c r="A34" t="s">
        <v>156</v>
      </c>
      <c r="C34">
        <f>Master!I37</f>
        <v>1878619.19896125</v>
      </c>
      <c r="E34" s="14" t="s">
        <v>26</v>
      </c>
      <c r="F34" s="33">
        <f>C16/E11</f>
        <v>634.83989748200599</v>
      </c>
      <c r="G34" s="34">
        <f>C18/E11</f>
        <v>435.66636014802401</v>
      </c>
      <c r="H34" s="138"/>
      <c r="I34" s="103"/>
      <c r="J34" s="69">
        <f>(C18/C17)-(C16/C15)</f>
        <v>0.21176742973345597</v>
      </c>
      <c r="N34" s="37"/>
      <c r="P34">
        <f>G34/F34</f>
        <v>0.68626178328745102</v>
      </c>
    </row>
    <row r="35" spans="1:16" ht="10" customHeight="1">
      <c r="A35" t="s">
        <v>157</v>
      </c>
      <c r="C35">
        <f>Master!I38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479.15905809439141</v>
      </c>
    </row>
    <row r="36" spans="1:16" ht="10" customHeight="1">
      <c r="A36" t="s">
        <v>158</v>
      </c>
      <c r="C36">
        <f>Master!I39</f>
        <v>68317696.462901697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713.12139931798981</v>
      </c>
    </row>
    <row r="37" spans="1:16">
      <c r="A37" t="s">
        <v>159</v>
      </c>
      <c r="C37">
        <f>Master!I40</f>
        <v>434421643.56356299</v>
      </c>
      <c r="E37" s="9" t="s">
        <v>28</v>
      </c>
      <c r="F37" s="31">
        <f>C21/E11</f>
        <v>12533.4043884767</v>
      </c>
      <c r="G37" s="32">
        <f>(C22+C42+C41)/E11</f>
        <v>15293.3683442524</v>
      </c>
      <c r="H37" s="3" t="s">
        <v>34</v>
      </c>
      <c r="I37" s="3"/>
      <c r="J37" s="13"/>
      <c r="M37" t="s">
        <v>81</v>
      </c>
      <c r="N37" s="37">
        <f>SUM(N30:N35)</f>
        <v>419.27869070275699</v>
      </c>
    </row>
    <row r="38" spans="1:16" ht="10" customHeight="1">
      <c r="A38" t="s">
        <v>160</v>
      </c>
      <c r="C38">
        <f>Master!I41</f>
        <v>1037222.39910132</v>
      </c>
      <c r="E38" s="4"/>
      <c r="F38" s="35"/>
      <c r="G38" s="35"/>
      <c r="H38" s="103"/>
      <c r="I38" s="103"/>
      <c r="J38" s="13"/>
      <c r="N38" s="37">
        <f>SUM(N30:N36)</f>
        <v>1132.4000900207468</v>
      </c>
    </row>
    <row r="39" spans="1:16">
      <c r="A39" t="s">
        <v>161</v>
      </c>
      <c r="C39">
        <f>Master!I42</f>
        <v>1244716.5844612201</v>
      </c>
      <c r="E39" s="4" t="s">
        <v>29</v>
      </c>
      <c r="F39" s="35"/>
      <c r="G39" s="36">
        <f>C23/E11</f>
        <v>908.550440584184</v>
      </c>
      <c r="H39" s="3" t="s">
        <v>34</v>
      </c>
      <c r="I39" s="3"/>
      <c r="J39" s="13"/>
      <c r="N39" s="37">
        <f>N38-N33</f>
        <v>360.62132193715593</v>
      </c>
    </row>
    <row r="40" spans="1:16">
      <c r="A40"/>
      <c r="E40" s="9" t="s">
        <v>84</v>
      </c>
      <c r="F40" s="31"/>
      <c r="G40" s="32">
        <f>MIN(17.5394,G28-F28)*C11/E11</f>
        <v>771.77876808359088</v>
      </c>
      <c r="H40" s="3"/>
      <c r="I40" s="3"/>
      <c r="J40" s="13"/>
      <c r="N40" s="20">
        <f>N37/G37</f>
        <v>2.7415719105486111E-2</v>
      </c>
    </row>
    <row r="41" spans="1:16" ht="10" customHeight="1">
      <c r="A41" t="s">
        <v>164</v>
      </c>
      <c r="C41">
        <f>Master!I44</f>
        <v>1246675798.4985399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Master!I45</f>
        <v>150913161.099558</v>
      </c>
      <c r="E42" s="4" t="s">
        <v>30</v>
      </c>
      <c r="F42" s="35">
        <f>C19/E12</f>
        <v>39764.703681774801</v>
      </c>
      <c r="G42" s="36">
        <f>(C20/E12)+(F1*(C26-C25)/E12)</f>
        <v>26454.729845819482</v>
      </c>
      <c r="H42" s="103" t="s">
        <v>37</v>
      </c>
      <c r="I42" s="103"/>
      <c r="N42" s="20">
        <f>(G37-F37)/F37</f>
        <v>0.2202086416610981</v>
      </c>
    </row>
    <row r="43" spans="1:16">
      <c r="E43" s="9" t="s">
        <v>36</v>
      </c>
      <c r="F43" s="31">
        <f>F42*36/E12</f>
        <v>1431.5293325438927</v>
      </c>
      <c r="G43" s="32">
        <f>G42*36/E12</f>
        <v>952.37027444950127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142.22627313400702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713.12139931798981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EDCF-627D-B641-BCC7-8CAD30E367A3}">
  <sheetPr codeName="Sheet11"/>
  <dimension ref="A1:P47"/>
  <sheetViews>
    <sheetView showGridLines="0" topLeftCell="A16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Master!J6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Master!J7</f>
        <v>2028979774.2576301</v>
      </c>
      <c r="E4">
        <f>C24</f>
        <v>254200374.67852399</v>
      </c>
      <c r="G4" s="1">
        <f>F42/2</f>
        <v>19882.351840887401</v>
      </c>
    </row>
    <row r="5" spans="1:10">
      <c r="A5" t="s">
        <v>2</v>
      </c>
      <c r="C5">
        <f>Master!J8</f>
        <v>50113895.0212745</v>
      </c>
    </row>
    <row r="6" spans="1:10">
      <c r="A6" t="s">
        <v>3</v>
      </c>
      <c r="C6">
        <f>Master!J9</f>
        <v>1932078576.3259399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Master!J10</f>
        <v>7702168.4569703899</v>
      </c>
      <c r="J7" s="20">
        <f>J6/H6</f>
        <v>-0.36090965768927602</v>
      </c>
    </row>
    <row r="8" spans="1:10">
      <c r="A8" t="s">
        <v>5</v>
      </c>
      <c r="C8">
        <f>Master!J11</f>
        <v>297678605.54315799</v>
      </c>
    </row>
    <row r="9" spans="1:10">
      <c r="A9" t="s">
        <v>6</v>
      </c>
      <c r="C9">
        <f>Master!J12</f>
        <v>7616002.6454654699</v>
      </c>
    </row>
    <row r="10" spans="1:10">
      <c r="A10" t="s">
        <v>7</v>
      </c>
      <c r="C10">
        <f>Master!J13</f>
        <v>283461897.30565</v>
      </c>
    </row>
    <row r="11" spans="1:10">
      <c r="A11" t="s">
        <v>8</v>
      </c>
      <c r="C11">
        <f>Master!J14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Master!J15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Master!J16</f>
        <v>81454648.003730804</v>
      </c>
    </row>
    <row r="14" spans="1:10">
      <c r="A14" t="s">
        <v>11</v>
      </c>
      <c r="C14">
        <f>Master!J17</f>
        <v>3030133108.2065902</v>
      </c>
    </row>
    <row r="15" spans="1:10">
      <c r="A15" t="s">
        <v>12</v>
      </c>
      <c r="C15">
        <f>Master!J18</f>
        <v>104587743.620995</v>
      </c>
    </row>
    <row r="16" spans="1:10">
      <c r="A16" t="s">
        <v>13</v>
      </c>
      <c r="C16">
        <f>Master!J19</f>
        <v>634839897.48200595</v>
      </c>
    </row>
    <row r="17" spans="1:16">
      <c r="A17" t="s">
        <v>14</v>
      </c>
      <c r="C17">
        <f>Master!J20</f>
        <v>44211826.923332803</v>
      </c>
    </row>
    <row r="18" spans="1:16">
      <c r="A18" t="s">
        <v>15</v>
      </c>
      <c r="C18">
        <f>Master!J21</f>
        <v>223966552.54386899</v>
      </c>
      <c r="G18" s="1">
        <f>G19*1000000</f>
        <v>854050529.36049926</v>
      </c>
    </row>
    <row r="19" spans="1:16">
      <c r="A19" t="s">
        <v>16</v>
      </c>
      <c r="C19">
        <f>Master!J22</f>
        <v>39764703.681774803</v>
      </c>
      <c r="G19" s="23">
        <f>G20-F20</f>
        <v>854.05052936049924</v>
      </c>
    </row>
    <row r="20" spans="1:16">
      <c r="A20" t="s">
        <v>17</v>
      </c>
      <c r="C20">
        <f>Master!J23</f>
        <v>15682895.3712408</v>
      </c>
      <c r="F20" s="23">
        <f>F37-F30</f>
        <v>6389.8001321022557</v>
      </c>
      <c r="G20" s="23">
        <f>G37-G30-G39</f>
        <v>7243.8506614627549</v>
      </c>
    </row>
    <row r="21" spans="1:16">
      <c r="A21" t="s">
        <v>18</v>
      </c>
      <c r="C21">
        <f>Master!J24</f>
        <v>12533404388.4767</v>
      </c>
    </row>
    <row r="22" spans="1:16">
      <c r="A22" t="s">
        <v>19</v>
      </c>
      <c r="C22">
        <f>Master!J25</f>
        <v>10567269724.58</v>
      </c>
      <c r="G22" s="47">
        <f>G28-F28</f>
        <v>2.0934097340735747</v>
      </c>
    </row>
    <row r="23" spans="1:16">
      <c r="A23" t="s">
        <v>20</v>
      </c>
      <c r="C23">
        <f>Master!J26</f>
        <v>564584233.36467195</v>
      </c>
    </row>
    <row r="24" spans="1:16">
      <c r="A24" t="s">
        <v>148</v>
      </c>
      <c r="C24">
        <f>Master!J27</f>
        <v>254200374.67852399</v>
      </c>
    </row>
    <row r="25" spans="1:16">
      <c r="A25" t="s">
        <v>149</v>
      </c>
      <c r="C25">
        <f>Master!J28</f>
        <v>70365476.0079166</v>
      </c>
    </row>
    <row r="26" spans="1:16">
      <c r="A26" t="s">
        <v>150</v>
      </c>
      <c r="C26">
        <f>Master!J29</f>
        <v>69868109.433581501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Master!J30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Master!J31</f>
        <v>1513467854.40906</v>
      </c>
      <c r="E28" s="9" t="s">
        <v>32</v>
      </c>
      <c r="F28" s="10">
        <f>F37*E11/$E$3</f>
        <v>39.477220277561777</v>
      </c>
      <c r="G28" s="11">
        <f>C22/E4</f>
        <v>41.570630011635352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Master!J32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Master!J33</f>
        <v>2684655740.4842501</v>
      </c>
      <c r="E30" s="9" t="s">
        <v>22</v>
      </c>
      <c r="F30" s="31">
        <f>SUM(F31:F34)</f>
        <v>6143.604256374444</v>
      </c>
      <c r="G30" s="32">
        <f>SUM(G31:G34)</f>
        <v>5469.6401343820489</v>
      </c>
      <c r="H30" s="103"/>
      <c r="I30" s="103"/>
      <c r="J30" s="10">
        <f>((C6+C10+C14+C18)/(C5+C9+C13+C17))-((C16+C12+C8+C4)/(C3+C7+C11+C15))</f>
        <v>4.9632309605600895</v>
      </c>
      <c r="M30" t="s">
        <v>27</v>
      </c>
      <c r="N30" s="37">
        <f>F37-G37</f>
        <v>-744.67064073277652</v>
      </c>
    </row>
    <row r="31" spans="1:16">
      <c r="E31" s="14" t="s">
        <v>24</v>
      </c>
      <c r="F31" s="33">
        <f>C8/E11</f>
        <v>297.67860554315797</v>
      </c>
      <c r="G31" s="34">
        <f>C10/E11</f>
        <v>283.46189730564998</v>
      </c>
      <c r="H31" s="138" t="s">
        <v>34</v>
      </c>
      <c r="I31" s="103"/>
      <c r="J31" s="15">
        <f>(C10/C9)-(C8/C7)</f>
        <v>-1.429426209353494</v>
      </c>
      <c r="M31" t="s">
        <v>22</v>
      </c>
      <c r="N31" s="37">
        <f>G30-F30</f>
        <v>-673.96412199239512</v>
      </c>
      <c r="P31">
        <f>G31/F31</f>
        <v>0.95224141751279867</v>
      </c>
    </row>
    <row r="32" spans="1:16">
      <c r="A32" t="s">
        <v>144</v>
      </c>
      <c r="C32">
        <f>Master!J35</f>
        <v>102709124.422034</v>
      </c>
      <c r="E32" s="14" t="s">
        <v>25</v>
      </c>
      <c r="F32" s="33">
        <f>C12/E11</f>
        <v>3182.1059790916502</v>
      </c>
      <c r="G32" s="34">
        <f>C14/E11</f>
        <v>3030.1331082065904</v>
      </c>
      <c r="H32" s="138"/>
      <c r="I32" s="103"/>
      <c r="J32" s="15">
        <f>(C14/C13)-(C12/C11)</f>
        <v>-1.4484269860145886</v>
      </c>
      <c r="M32" t="s">
        <v>29</v>
      </c>
      <c r="N32" s="37">
        <f>G39</f>
        <v>564.58423336467195</v>
      </c>
      <c r="P32">
        <f>G32/F32</f>
        <v>0.95224141751292601</v>
      </c>
    </row>
    <row r="33" spans="1:16">
      <c r="A33" t="s">
        <v>155</v>
      </c>
      <c r="C33">
        <f>Master!J36</f>
        <v>632027691.88537598</v>
      </c>
      <c r="E33" s="14" t="s">
        <v>23</v>
      </c>
      <c r="F33" s="33">
        <f>C4/E11</f>
        <v>2028.9797742576302</v>
      </c>
      <c r="G33" s="34">
        <f>C6/E11</f>
        <v>1932.0785763259398</v>
      </c>
      <c r="H33" s="138"/>
      <c r="I33" s="103"/>
      <c r="J33" s="15">
        <f>(C6/C5)-(C4/C3)</f>
        <v>-9.7217763104097799E-2</v>
      </c>
      <c r="M33" t="s">
        <v>85</v>
      </c>
      <c r="N33" s="37">
        <f>G40</f>
        <v>172.35912046830902</v>
      </c>
      <c r="P33">
        <f>G33/F33</f>
        <v>0.95224141750395475</v>
      </c>
    </row>
    <row r="34" spans="1:16">
      <c r="A34" t="s">
        <v>156</v>
      </c>
      <c r="C34">
        <f>Master!J37</f>
        <v>1878619.19896125</v>
      </c>
      <c r="E34" s="14" t="s">
        <v>26</v>
      </c>
      <c r="F34" s="33">
        <f>C16/E11</f>
        <v>634.83989748200599</v>
      </c>
      <c r="G34" s="34">
        <f>C18/E11</f>
        <v>223.966552543869</v>
      </c>
      <c r="H34" s="138"/>
      <c r="I34" s="103"/>
      <c r="J34" s="69">
        <f>(C18/C17)-(C16/C15)</f>
        <v>-1.004165227443651</v>
      </c>
      <c r="N34" s="37"/>
      <c r="P34">
        <f>G34/F34</f>
        <v>0.35279218182757194</v>
      </c>
    </row>
    <row r="35" spans="1:16" ht="10" customHeight="1">
      <c r="A35" t="s">
        <v>157</v>
      </c>
      <c r="C35">
        <f>Master!J38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877.15106128458012</v>
      </c>
    </row>
    <row r="36" spans="1:16" ht="10" customHeight="1">
      <c r="A36" t="s">
        <v>158</v>
      </c>
      <c r="C36">
        <f>Master!J39</f>
        <v>43970635.402149297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-50.284689952189922</v>
      </c>
    </row>
    <row r="37" spans="1:16">
      <c r="A37" t="s">
        <v>159</v>
      </c>
      <c r="C37">
        <f>Master!J40</f>
        <v>223858545.46533999</v>
      </c>
      <c r="E37" s="9" t="s">
        <v>28</v>
      </c>
      <c r="F37" s="31">
        <f>C21/E11</f>
        <v>12533.4043884767</v>
      </c>
      <c r="G37" s="32">
        <f>(C22+C42+C41)/E11</f>
        <v>13278.075029209476</v>
      </c>
      <c r="H37" s="3" t="s">
        <v>34</v>
      </c>
      <c r="I37" s="3"/>
      <c r="J37" s="13"/>
      <c r="M37" t="s">
        <v>81</v>
      </c>
      <c r="N37" s="37">
        <f>SUM(N30:N35)</f>
        <v>195.45965239238944</v>
      </c>
    </row>
    <row r="38" spans="1:16" ht="10" customHeight="1">
      <c r="A38" t="s">
        <v>160</v>
      </c>
      <c r="C38">
        <f>Master!J41</f>
        <v>241191.52118354599</v>
      </c>
      <c r="E38" s="4"/>
      <c r="F38" s="35"/>
      <c r="G38" s="35"/>
      <c r="H38" s="103"/>
      <c r="I38" s="103"/>
      <c r="J38" s="13"/>
      <c r="N38" s="37">
        <f>SUM(N30:N36)</f>
        <v>145.17496244019952</v>
      </c>
    </row>
    <row r="39" spans="1:16">
      <c r="A39" t="s">
        <v>161</v>
      </c>
      <c r="C39">
        <f>Master!J42</f>
        <v>108007.078528559</v>
      </c>
      <c r="E39" s="4" t="s">
        <v>29</v>
      </c>
      <c r="F39" s="35"/>
      <c r="G39" s="36">
        <f>C23/E11</f>
        <v>564.58423336467195</v>
      </c>
      <c r="H39" s="3" t="s">
        <v>34</v>
      </c>
      <c r="I39" s="3"/>
      <c r="J39" s="13"/>
      <c r="N39" s="37">
        <f>N38-N33</f>
        <v>-27.184158028109493</v>
      </c>
    </row>
    <row r="40" spans="1:16">
      <c r="E40" s="9" t="s">
        <v>84</v>
      </c>
      <c r="F40" s="31"/>
      <c r="G40" s="32">
        <f>MIN(17.5394,G28-F28)*C11/E11</f>
        <v>172.35912046830902</v>
      </c>
      <c r="H40" s="3"/>
      <c r="I40" s="3"/>
      <c r="J40" s="13"/>
      <c r="N40" s="20">
        <f>N37/G37</f>
        <v>1.4720481091002416E-2</v>
      </c>
    </row>
    <row r="41" spans="1:16" ht="10" customHeight="1">
      <c r="A41" t="s">
        <v>164</v>
      </c>
      <c r="C41">
        <f>Master!J44</f>
        <v>2389186259.4131899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Master!J45</f>
        <v>321619045.216286</v>
      </c>
      <c r="E42" s="4" t="s">
        <v>30</v>
      </c>
      <c r="F42" s="35">
        <f>C19/E12</f>
        <v>39764.703681774801</v>
      </c>
      <c r="G42" s="36">
        <f>(C20/E12)+(F1*(C26-C25)/E12)</f>
        <v>15399.396423869794</v>
      </c>
      <c r="H42" s="103" t="s">
        <v>37</v>
      </c>
      <c r="I42" s="103"/>
      <c r="N42" s="20">
        <f>(G37-F37)/F37</f>
        <v>5.941487385641462E-2</v>
      </c>
    </row>
    <row r="43" spans="1:16">
      <c r="E43" s="9" t="s">
        <v>36</v>
      </c>
      <c r="F43" s="31">
        <f>F42*36/E12</f>
        <v>1431.5293325438927</v>
      </c>
      <c r="G43" s="32">
        <f>G42*36/E12</f>
        <v>554.37827125931256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127.10018733926199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-50.284689952189922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918E-15C1-E843-9134-50F496B6F369}">
  <sheetPr codeName="Sheet12"/>
  <dimension ref="A1:P47"/>
  <sheetViews>
    <sheetView showGridLines="0" topLeftCell="A15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f>Master!K6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Master!K7</f>
        <v>2028979774.2576301</v>
      </c>
      <c r="E4">
        <f>C24</f>
        <v>309956164.42345202</v>
      </c>
      <c r="G4" s="1">
        <f>F42/2</f>
        <v>19882.351840887401</v>
      </c>
      <c r="O4" s="74"/>
    </row>
    <row r="5" spans="1:15">
      <c r="A5" t="s">
        <v>2</v>
      </c>
      <c r="C5">
        <f>Master!K8</f>
        <v>52872744.026247598</v>
      </c>
      <c r="O5" s="74"/>
    </row>
    <row r="6" spans="1:15">
      <c r="A6" t="s">
        <v>3</v>
      </c>
      <c r="C6">
        <f>Master!K9</f>
        <v>2672421913.0615602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Master!K10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Master!K11</f>
        <v>297678605.54315799</v>
      </c>
      <c r="O8" s="74"/>
    </row>
    <row r="9" spans="1:15">
      <c r="A9" t="s">
        <v>6</v>
      </c>
      <c r="C9">
        <f>Master!K12</f>
        <v>7702168.4569703899</v>
      </c>
      <c r="O9" s="74"/>
    </row>
    <row r="10" spans="1:15">
      <c r="A10" t="s">
        <v>7</v>
      </c>
      <c r="C10">
        <f>Master!K13</f>
        <v>392080216.17321801</v>
      </c>
      <c r="O10" s="74"/>
    </row>
    <row r="11" spans="1:15">
      <c r="A11" t="s">
        <v>8</v>
      </c>
      <c r="C11">
        <f>Master!K14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Master!K15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Master!K16</f>
        <v>82334154.495839998</v>
      </c>
      <c r="O13" s="74"/>
    </row>
    <row r="14" spans="1:15">
      <c r="A14" t="s">
        <v>11</v>
      </c>
      <c r="C14">
        <f>Master!K17</f>
        <v>4191234361.2730899</v>
      </c>
      <c r="O14" s="74"/>
    </row>
    <row r="15" spans="1:15">
      <c r="A15" t="s">
        <v>12</v>
      </c>
      <c r="C15">
        <f>Master!K18</f>
        <v>104587743.620995</v>
      </c>
      <c r="O15" s="74"/>
    </row>
    <row r="16" spans="1:15">
      <c r="A16" t="s">
        <v>13</v>
      </c>
      <c r="C16">
        <f>Master!K19</f>
        <v>634839897.48200595</v>
      </c>
      <c r="O16" s="74"/>
    </row>
    <row r="17" spans="1:16">
      <c r="A17" t="s">
        <v>14</v>
      </c>
      <c r="C17">
        <f>Master!K20</f>
        <v>87206269.278414294</v>
      </c>
      <c r="O17" s="74"/>
    </row>
    <row r="18" spans="1:16">
      <c r="A18" t="s">
        <v>15</v>
      </c>
      <c r="C18">
        <f>Master!K21</f>
        <v>655486705.84663999</v>
      </c>
      <c r="G18" s="1">
        <f>G19*1000000</f>
        <v>1038193998.4787941</v>
      </c>
      <c r="O18" s="74"/>
    </row>
    <row r="19" spans="1:16">
      <c r="A19" t="s">
        <v>16</v>
      </c>
      <c r="C19">
        <f>Master!K22</f>
        <v>39764703.681774803</v>
      </c>
      <c r="G19" s="23">
        <f>G20-F20</f>
        <v>1038.1939984787941</v>
      </c>
      <c r="O19" s="74"/>
    </row>
    <row r="20" spans="1:16">
      <c r="A20" t="s">
        <v>17</v>
      </c>
      <c r="C20">
        <f>Master!K23</f>
        <v>32505241.962973401</v>
      </c>
      <c r="F20" s="23">
        <f>F37-F30</f>
        <v>6389.8001321022557</v>
      </c>
      <c r="G20" s="23">
        <f>G37-G30-G39</f>
        <v>7427.9941305810498</v>
      </c>
      <c r="O20" s="74"/>
    </row>
    <row r="21" spans="1:16">
      <c r="A21" t="s">
        <v>18</v>
      </c>
      <c r="C21">
        <f>Master!K24</f>
        <v>12533404388.4767</v>
      </c>
      <c r="O21" s="74"/>
    </row>
    <row r="22" spans="1:16">
      <c r="A22" t="s">
        <v>19</v>
      </c>
      <c r="C22">
        <f>Master!K25</f>
        <v>16176944108.4914</v>
      </c>
      <c r="G22" s="47">
        <f>G28-F28</f>
        <v>12.713850477820863</v>
      </c>
      <c r="O22" s="74"/>
    </row>
    <row r="23" spans="1:16">
      <c r="A23" t="s">
        <v>20</v>
      </c>
      <c r="C23">
        <f>Master!K26</f>
        <v>1170188710.6670401</v>
      </c>
      <c r="O23" s="74"/>
    </row>
    <row r="24" spans="1:16">
      <c r="A24" t="s">
        <v>148</v>
      </c>
      <c r="C24">
        <f>Master!K27</f>
        <v>309956164.42345202</v>
      </c>
    </row>
    <row r="25" spans="1:16">
      <c r="A25" t="s">
        <v>149</v>
      </c>
      <c r="C25">
        <f>Master!K28</f>
        <v>70365476.0079166</v>
      </c>
    </row>
    <row r="26" spans="1:16">
      <c r="A26" t="s">
        <v>150</v>
      </c>
      <c r="C26">
        <f>Master!K29</f>
        <v>79840828.165980399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Master!K30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Master!K31</f>
        <v>3021983622.3528299</v>
      </c>
      <c r="E28" s="9" t="s">
        <v>32</v>
      </c>
      <c r="F28" s="10">
        <f>F37*E11/$E$3</f>
        <v>39.477220277561777</v>
      </c>
      <c r="G28" s="11">
        <f>C22/E4</f>
        <v>52.19107075538264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Master!K32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Master!K33</f>
        <v>4073548579.1170802</v>
      </c>
      <c r="E30" s="9" t="s">
        <v>22</v>
      </c>
      <c r="F30" s="31">
        <f>SUM(F31:F34)</f>
        <v>6143.604256374444</v>
      </c>
      <c r="G30" s="32">
        <f>SUM(G31:G34)</f>
        <v>7911.2231963545082</v>
      </c>
      <c r="H30" s="103"/>
      <c r="I30" s="103"/>
      <c r="J30" s="10">
        <f>((C6+C10+C14+C18)/(C5+C9+C13+C17))-((C16+C12+C8+C4)/(C3+C7+C11+C15))</f>
        <v>9.518467914567136</v>
      </c>
      <c r="M30" t="s">
        <v>27</v>
      </c>
      <c r="N30" s="37">
        <f>F37-G37</f>
        <v>-3976.0016491258993</v>
      </c>
    </row>
    <row r="31" spans="1:16">
      <c r="E31" s="14" t="s">
        <v>24</v>
      </c>
      <c r="F31" s="33">
        <f>C8/E11</f>
        <v>297.67860554315797</v>
      </c>
      <c r="G31" s="34">
        <f>C10/E11</f>
        <v>392.08021617321799</v>
      </c>
      <c r="H31" s="138" t="s">
        <v>34</v>
      </c>
      <c r="I31" s="103"/>
      <c r="J31" s="15">
        <f>(C10/C9)-(C8/C7)</f>
        <v>12.256497784676135</v>
      </c>
      <c r="M31" t="s">
        <v>22</v>
      </c>
      <c r="N31" s="37">
        <f>G30-F30</f>
        <v>1767.6189399800642</v>
      </c>
      <c r="P31">
        <f>G31/F31</f>
        <v>1.317125950176401</v>
      </c>
    </row>
    <row r="32" spans="1:16">
      <c r="A32" t="s">
        <v>144</v>
      </c>
      <c r="C32">
        <f>Master!K35</f>
        <v>102709124.422034</v>
      </c>
      <c r="E32" s="14" t="s">
        <v>25</v>
      </c>
      <c r="F32" s="33">
        <f>C12/E11</f>
        <v>3182.1059790916502</v>
      </c>
      <c r="G32" s="34">
        <f>C14/E11</f>
        <v>4191.2343612730901</v>
      </c>
      <c r="H32" s="138"/>
      <c r="I32" s="103"/>
      <c r="J32" s="15">
        <f>(C14/C13)-(C12/C11)</f>
        <v>12.256497784676071</v>
      </c>
      <c r="M32" t="s">
        <v>29</v>
      </c>
      <c r="N32" s="37">
        <f>G39</f>
        <v>1170.1887106670401</v>
      </c>
      <c r="P32">
        <f>G32/F32</f>
        <v>1.317125950176399</v>
      </c>
    </row>
    <row r="33" spans="1:16">
      <c r="A33" t="s">
        <v>155</v>
      </c>
      <c r="C33">
        <f>Master!K36</f>
        <v>632027691.88537598</v>
      </c>
      <c r="E33" s="14" t="s">
        <v>23</v>
      </c>
      <c r="F33" s="33">
        <f>C4/E11</f>
        <v>2028.9797742576302</v>
      </c>
      <c r="G33" s="34">
        <f>C6/E11</f>
        <v>2672.4219130615602</v>
      </c>
      <c r="H33" s="138"/>
      <c r="I33" s="103"/>
      <c r="J33" s="15">
        <f>(C6/C5)-(C4/C3)</f>
        <v>11.89344725340024</v>
      </c>
      <c r="M33" t="s">
        <v>85</v>
      </c>
      <c r="N33" s="37">
        <f>G40</f>
        <v>1046.7841294779121</v>
      </c>
      <c r="P33">
        <f>G33/F33</f>
        <v>1.3171259501782637</v>
      </c>
    </row>
    <row r="34" spans="1:16">
      <c r="A34" t="s">
        <v>156</v>
      </c>
      <c r="C34">
        <f>Master!K37</f>
        <v>1878619.19896125</v>
      </c>
      <c r="E34" s="14" t="s">
        <v>26</v>
      </c>
      <c r="F34" s="33">
        <f>C16/E11</f>
        <v>634.83989748200599</v>
      </c>
      <c r="G34" s="34">
        <f>C18/E11</f>
        <v>655.48670584664001</v>
      </c>
      <c r="H34" s="138"/>
      <c r="I34" s="103"/>
      <c r="J34" s="69">
        <f>(C18/C17)-(C16/C15)</f>
        <v>1.4465826592012085</v>
      </c>
      <c r="N34" s="37"/>
      <c r="P34">
        <f>G34/F34</f>
        <v>1.0325228588287005</v>
      </c>
    </row>
    <row r="35" spans="1:16" ht="10" customHeight="1">
      <c r="A35" t="s">
        <v>157</v>
      </c>
      <c r="C35">
        <f>Master!K38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66.906395593381149</v>
      </c>
    </row>
    <row r="36" spans="1:16" ht="10" customHeight="1">
      <c r="A36" t="s">
        <v>158</v>
      </c>
      <c r="C36">
        <f>Master!K39</f>
        <v>84615149.845390305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1338.6081486806402</v>
      </c>
    </row>
    <row r="37" spans="1:16">
      <c r="A37" t="s">
        <v>159</v>
      </c>
      <c r="C37">
        <f>Master!K40</f>
        <v>650151732.31162405</v>
      </c>
      <c r="E37" s="9" t="s">
        <v>28</v>
      </c>
      <c r="F37" s="31">
        <f>C21/E11</f>
        <v>12533.4043884767</v>
      </c>
      <c r="G37" s="32">
        <f>(C22+C42+C41)/E11</f>
        <v>16509.406037602599</v>
      </c>
      <c r="H37" s="3" t="s">
        <v>34</v>
      </c>
      <c r="I37" s="3"/>
      <c r="J37" s="13"/>
      <c r="M37" t="s">
        <v>81</v>
      </c>
      <c r="N37" s="37">
        <f>SUM(N30:N35)</f>
        <v>75.496526592498185</v>
      </c>
    </row>
    <row r="38" spans="1:16" ht="10" customHeight="1">
      <c r="A38" t="s">
        <v>160</v>
      </c>
      <c r="C38">
        <f>Master!K41</f>
        <v>2591119.4330239901</v>
      </c>
      <c r="E38" s="4"/>
      <c r="F38" s="35"/>
      <c r="G38" s="35"/>
      <c r="H38" s="103"/>
      <c r="I38" s="103"/>
      <c r="J38" s="13"/>
      <c r="N38" s="37">
        <f>SUM(N30:N36)</f>
        <v>1414.1046752731384</v>
      </c>
    </row>
    <row r="39" spans="1:16">
      <c r="A39" t="s">
        <v>161</v>
      </c>
      <c r="C39">
        <f>Master!K42</f>
        <v>5334973.5350155504</v>
      </c>
      <c r="E39" s="4" t="s">
        <v>29</v>
      </c>
      <c r="F39" s="35"/>
      <c r="G39" s="36">
        <f>C23/E11</f>
        <v>1170.1887106670401</v>
      </c>
      <c r="H39" s="3" t="s">
        <v>34</v>
      </c>
      <c r="I39" s="3"/>
      <c r="J39" s="13"/>
      <c r="N39" s="37">
        <f>N38-N33</f>
        <v>367.32054579522628</v>
      </c>
    </row>
    <row r="40" spans="1:16">
      <c r="E40" s="9" t="s">
        <v>84</v>
      </c>
      <c r="F40" s="31"/>
      <c r="G40" s="32">
        <f>MIN(17.5394,G28-F28)*C11/E11</f>
        <v>1046.7841294779121</v>
      </c>
      <c r="H40" s="3"/>
      <c r="I40" s="3"/>
      <c r="J40" s="13"/>
      <c r="N40" s="20">
        <f>N37/G37</f>
        <v>4.5729402027270844E-3</v>
      </c>
    </row>
    <row r="41" spans="1:16" ht="10" customHeight="1">
      <c r="A41" t="s">
        <v>164</v>
      </c>
      <c r="C41">
        <f>Master!K44</f>
        <v>283983447.32529199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Master!K45</f>
        <v>48478481.785907596</v>
      </c>
      <c r="E42" s="4" t="s">
        <v>30</v>
      </c>
      <c r="F42" s="35">
        <f>C19/E12</f>
        <v>39764.703681774801</v>
      </c>
      <c r="G42" s="36">
        <f>(C20/E12)+(F1*(C26-C25)/E12)</f>
        <v>37906.192693069766</v>
      </c>
      <c r="H42" s="103" t="s">
        <v>37</v>
      </c>
      <c r="I42" s="103"/>
      <c r="N42" s="20">
        <f>(G37-F37)/F37</f>
        <v>0.31723237564898676</v>
      </c>
    </row>
    <row r="43" spans="1:16">
      <c r="E43" s="9" t="s">
        <v>36</v>
      </c>
      <c r="F43" s="31">
        <f>F42*36/E12</f>
        <v>1431.5293325438927</v>
      </c>
      <c r="G43" s="32">
        <f>G42*36/E12</f>
        <v>1364.6229369505115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154.97808221172602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1338.6081486806402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65AD-87CC-3C42-BFD8-1AEA86F34E16}">
  <sheetPr codeName="Sheet13"/>
  <dimension ref="A1:P47"/>
  <sheetViews>
    <sheetView showGridLines="0" topLeftCell="A14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f>Master!L6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Master!L7</f>
        <v>2028979774.2576301</v>
      </c>
      <c r="E4">
        <f>C24</f>
        <v>296772777.134435</v>
      </c>
      <c r="G4" s="1">
        <f>F42/2</f>
        <v>19882.351840887401</v>
      </c>
      <c r="O4" s="74"/>
    </row>
    <row r="5" spans="1:15">
      <c r="A5" t="s">
        <v>2</v>
      </c>
      <c r="C5">
        <f>Master!L8</f>
        <v>53435306.834329598</v>
      </c>
      <c r="O5" s="74"/>
    </row>
    <row r="6" spans="1:15">
      <c r="A6" t="s">
        <v>3</v>
      </c>
      <c r="C6">
        <f>Master!L9</f>
        <v>2535700298.3836098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Master!L10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Master!L11</f>
        <v>297678605.54315799</v>
      </c>
      <c r="O8" s="74"/>
    </row>
    <row r="9" spans="1:15">
      <c r="A9" t="s">
        <v>6</v>
      </c>
      <c r="C9">
        <f>Master!L12</f>
        <v>7702168.4569703899</v>
      </c>
      <c r="O9" s="74"/>
    </row>
    <row r="10" spans="1:15">
      <c r="A10" t="s">
        <v>7</v>
      </c>
      <c r="C10">
        <f>Master!L13</f>
        <v>372021317.546933</v>
      </c>
      <c r="O10" s="74"/>
    </row>
    <row r="11" spans="1:15">
      <c r="A11" t="s">
        <v>8</v>
      </c>
      <c r="C11">
        <f>Master!L14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Master!L15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Master!L16</f>
        <v>82334154.495839998</v>
      </c>
      <c r="O13" s="74"/>
    </row>
    <row r="14" spans="1:15">
      <c r="A14" t="s">
        <v>11</v>
      </c>
      <c r="C14">
        <f>Master!L17</f>
        <v>3976810012.1122599</v>
      </c>
      <c r="O14" s="74"/>
    </row>
    <row r="15" spans="1:15">
      <c r="A15" t="s">
        <v>12</v>
      </c>
      <c r="C15">
        <f>Master!L18</f>
        <v>104587743.620995</v>
      </c>
      <c r="O15" s="74"/>
    </row>
    <row r="16" spans="1:15">
      <c r="A16" t="s">
        <v>13</v>
      </c>
      <c r="C16">
        <f>Master!L19</f>
        <v>634839897.48200595</v>
      </c>
      <c r="O16" s="74"/>
    </row>
    <row r="17" spans="1:16">
      <c r="A17" t="s">
        <v>14</v>
      </c>
      <c r="C17">
        <f>Master!L20</f>
        <v>75471940.879182398</v>
      </c>
      <c r="O17" s="74"/>
    </row>
    <row r="18" spans="1:16">
      <c r="A18" t="s">
        <v>15</v>
      </c>
      <c r="C18">
        <f>Master!L21</f>
        <v>515928582.42480803</v>
      </c>
      <c r="G18" s="1">
        <f>G19*1000000</f>
        <v>894903627.6533879</v>
      </c>
      <c r="O18" s="74"/>
    </row>
    <row r="19" spans="1:16">
      <c r="A19" t="s">
        <v>16</v>
      </c>
      <c r="C19">
        <f>Master!L22</f>
        <v>39764703.681774803</v>
      </c>
      <c r="G19" s="23">
        <f>G20-F20</f>
        <v>894.90362765338796</v>
      </c>
      <c r="O19" s="74"/>
    </row>
    <row r="20" spans="1:16">
      <c r="A20" t="s">
        <v>17</v>
      </c>
      <c r="C20">
        <f>Master!L23</f>
        <v>27732529.224844199</v>
      </c>
      <c r="F20" s="23">
        <f>F37-F30</f>
        <v>6389.8001321022557</v>
      </c>
      <c r="G20" s="23">
        <f>G37-G30-G39</f>
        <v>7284.7037597556437</v>
      </c>
      <c r="O20" s="74"/>
    </row>
    <row r="21" spans="1:16">
      <c r="A21" t="s">
        <v>18</v>
      </c>
      <c r="C21">
        <f>Master!L24</f>
        <v>12533404388.4767</v>
      </c>
      <c r="O21" s="74"/>
    </row>
    <row r="22" spans="1:16">
      <c r="A22" t="s">
        <v>19</v>
      </c>
      <c r="C22">
        <f>Master!L25</f>
        <v>14796876314.864799</v>
      </c>
      <c r="G22" s="47">
        <f>G28-F28</f>
        <v>10.382057442382084</v>
      </c>
      <c r="O22" s="74"/>
    </row>
    <row r="23" spans="1:16">
      <c r="A23" t="s">
        <v>20</v>
      </c>
      <c r="C23">
        <f>Master!L26</f>
        <v>998371052.09439397</v>
      </c>
      <c r="O23" s="74"/>
    </row>
    <row r="24" spans="1:16">
      <c r="A24" t="s">
        <v>148</v>
      </c>
      <c r="C24">
        <f>Master!L27</f>
        <v>296772777.134435</v>
      </c>
    </row>
    <row r="25" spans="1:16">
      <c r="A25" t="s">
        <v>149</v>
      </c>
      <c r="C25">
        <f>Master!L28</f>
        <v>70365476.0079166</v>
      </c>
    </row>
    <row r="26" spans="1:16">
      <c r="A26" t="s">
        <v>150</v>
      </c>
      <c r="C26">
        <f>Master!L29</f>
        <v>77829206.468113095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Master!L30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Master!L31</f>
        <v>2599523692.35674</v>
      </c>
      <c r="E28" s="9" t="s">
        <v>32</v>
      </c>
      <c r="F28" s="10">
        <f>F37*E11/$E$3</f>
        <v>39.477220277561777</v>
      </c>
      <c r="G28" s="11">
        <f>C22/E4</f>
        <v>49.859277719943861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Master!L32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Master!L33</f>
        <v>3798521359.9460602</v>
      </c>
      <c r="E30" s="9" t="s">
        <v>22</v>
      </c>
      <c r="F30" s="31">
        <f>SUM(F31:F34)</f>
        <v>6143.604256374444</v>
      </c>
      <c r="G30" s="32">
        <f>SUM(G31:G34)</f>
        <v>7400.4602104676114</v>
      </c>
      <c r="H30" s="103"/>
      <c r="I30" s="103"/>
      <c r="J30" s="10">
        <f>((C6+C10+C14+C18)/(C5+C9+C13+C17))-((C16+C12+C8+C4)/(C3+C7+C11+C15))</f>
        <v>8.9398504128645762</v>
      </c>
      <c r="M30" t="s">
        <v>27</v>
      </c>
      <c r="N30" s="37">
        <f>F37-G37</f>
        <v>-3150.1306338409504</v>
      </c>
    </row>
    <row r="31" spans="1:16">
      <c r="E31" s="14" t="s">
        <v>24</v>
      </c>
      <c r="F31" s="33">
        <f>C8/E11</f>
        <v>297.67860554315797</v>
      </c>
      <c r="G31" s="34">
        <f>C10/E11</f>
        <v>372.02131754693301</v>
      </c>
      <c r="H31" s="138" t="s">
        <v>34</v>
      </c>
      <c r="I31" s="103"/>
      <c r="J31" s="15">
        <f>(C10/C9)-(C8/C7)</f>
        <v>9.6521794374018839</v>
      </c>
      <c r="M31" t="s">
        <v>22</v>
      </c>
      <c r="N31" s="37">
        <f>G30-F30</f>
        <v>1256.8559540931674</v>
      </c>
      <c r="P31">
        <f>G31/F31</f>
        <v>1.249741535398978</v>
      </c>
    </row>
    <row r="32" spans="1:16">
      <c r="A32" t="s">
        <v>144</v>
      </c>
      <c r="C32">
        <f>Master!L35</f>
        <v>102709124.422034</v>
      </c>
      <c r="E32" s="14" t="s">
        <v>25</v>
      </c>
      <c r="F32" s="33">
        <f>C12/E11</f>
        <v>3182.1059790916502</v>
      </c>
      <c r="G32" s="34">
        <f>C14/E11</f>
        <v>3976.8100121122598</v>
      </c>
      <c r="H32" s="138"/>
      <c r="I32" s="103"/>
      <c r="J32" s="15">
        <f>(C14/C13)-(C12/C11)</f>
        <v>9.6521794374018057</v>
      </c>
      <c r="M32" t="s">
        <v>29</v>
      </c>
      <c r="N32" s="37">
        <f>G39</f>
        <v>998.37105209439392</v>
      </c>
      <c r="P32">
        <f>G32/F32</f>
        <v>1.2497415353989758</v>
      </c>
    </row>
    <row r="33" spans="1:16">
      <c r="A33" t="s">
        <v>155</v>
      </c>
      <c r="C33">
        <f>Master!L36</f>
        <v>632027691.88537598</v>
      </c>
      <c r="E33" s="14" t="s">
        <v>23</v>
      </c>
      <c r="F33" s="33">
        <f>C4/E11</f>
        <v>2028.9797742576302</v>
      </c>
      <c r="G33" s="34">
        <f>C6/E11</f>
        <v>2535.7002983836096</v>
      </c>
      <c r="H33" s="138"/>
      <c r="I33" s="103"/>
      <c r="J33" s="15">
        <f>(C6/C5)-(C4/C3)</f>
        <v>8.8026813822259484</v>
      </c>
      <c r="M33" t="s">
        <v>85</v>
      </c>
      <c r="N33" s="37">
        <f>G40</f>
        <v>854.79792144577209</v>
      </c>
      <c r="P33">
        <f>G33/F33</f>
        <v>1.2497415354036143</v>
      </c>
    </row>
    <row r="34" spans="1:16">
      <c r="A34" t="s">
        <v>156</v>
      </c>
      <c r="C34">
        <f>Master!L37</f>
        <v>1878619.19896125</v>
      </c>
      <c r="E34" s="14" t="s">
        <v>26</v>
      </c>
      <c r="F34" s="33">
        <f>C16/E11</f>
        <v>634.83989748200599</v>
      </c>
      <c r="G34" s="34">
        <f>C18/E11</f>
        <v>515.92858242480804</v>
      </c>
      <c r="H34" s="138"/>
      <c r="I34" s="103"/>
      <c r="J34" s="69">
        <f>(C18/C17)-(C16/C15)</f>
        <v>0.76610541061825632</v>
      </c>
      <c r="N34" s="37"/>
      <c r="P34">
        <f>G34/F34</f>
        <v>0.81269086028014115</v>
      </c>
    </row>
    <row r="35" spans="1:16" ht="10" customHeight="1">
      <c r="A35" t="s">
        <v>157</v>
      </c>
      <c r="C35">
        <f>Master!L38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280.00253140626955</v>
      </c>
    </row>
    <row r="36" spans="1:16" ht="10" customHeight="1">
      <c r="A36" t="s">
        <v>158</v>
      </c>
      <c r="C36">
        <f>Master!L39</f>
        <v>73955206.664010599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1063.5809295096201</v>
      </c>
    </row>
    <row r="37" spans="1:16">
      <c r="A37" t="s">
        <v>159</v>
      </c>
      <c r="C37">
        <f>Master!L40</f>
        <v>513752450.75288302</v>
      </c>
      <c r="E37" s="9" t="s">
        <v>28</v>
      </c>
      <c r="F37" s="31">
        <f>C21/E11</f>
        <v>12533.4043884767</v>
      </c>
      <c r="G37" s="32">
        <f>(C22+C42+C41)/E11</f>
        <v>15683.53502231765</v>
      </c>
      <c r="H37" s="3" t="s">
        <v>34</v>
      </c>
      <c r="I37" s="3"/>
      <c r="J37" s="13"/>
      <c r="M37" t="s">
        <v>81</v>
      </c>
      <c r="N37" s="37">
        <f>SUM(N30:N35)</f>
        <v>239.89682519865255</v>
      </c>
    </row>
    <row r="38" spans="1:16" ht="10" customHeight="1">
      <c r="A38" t="s">
        <v>160</v>
      </c>
      <c r="C38">
        <f>Master!L41</f>
        <v>1516734.2151718801</v>
      </c>
      <c r="E38" s="4"/>
      <c r="F38" s="35"/>
      <c r="G38" s="35"/>
      <c r="H38" s="103"/>
      <c r="I38" s="103"/>
      <c r="J38" s="13"/>
      <c r="N38" s="37">
        <f>SUM(N30:N36)</f>
        <v>1303.4777547082726</v>
      </c>
    </row>
    <row r="39" spans="1:16">
      <c r="A39" t="s">
        <v>161</v>
      </c>
      <c r="C39">
        <f>Master!L42</f>
        <v>2176131.6719244299</v>
      </c>
      <c r="E39" s="4" t="s">
        <v>29</v>
      </c>
      <c r="F39" s="35"/>
      <c r="G39" s="36">
        <f>C23/E11</f>
        <v>998.37105209439392</v>
      </c>
      <c r="H39" s="3" t="s">
        <v>34</v>
      </c>
      <c r="I39" s="3"/>
      <c r="J39" s="13"/>
      <c r="N39" s="37">
        <f>N38-N33</f>
        <v>448.67983326250055</v>
      </c>
    </row>
    <row r="40" spans="1:16">
      <c r="E40" s="9" t="s">
        <v>84</v>
      </c>
      <c r="F40" s="31"/>
      <c r="G40" s="32">
        <f>MIN(17.5394,G28-F28)*C11/E11</f>
        <v>854.79792144577209</v>
      </c>
      <c r="H40" s="3"/>
      <c r="I40" s="3"/>
      <c r="J40" s="13"/>
      <c r="N40" s="20">
        <f>N37/G37</f>
        <v>1.5296093951859685E-2</v>
      </c>
    </row>
    <row r="41" spans="1:16" ht="10" customHeight="1">
      <c r="A41" t="s">
        <v>164</v>
      </c>
      <c r="C41">
        <f>Master!L44</f>
        <v>779614316.29781306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Master!L45</f>
        <v>107044391.155037</v>
      </c>
      <c r="E42" s="4" t="s">
        <v>30</v>
      </c>
      <c r="F42" s="35">
        <f>C19/E12</f>
        <v>39764.703681774801</v>
      </c>
      <c r="G42" s="36">
        <f>(C20/E12)+(F1*(C26-C25)/E12)</f>
        <v>31986.855587156198</v>
      </c>
      <c r="H42" s="103" t="s">
        <v>37</v>
      </c>
      <c r="I42" s="103"/>
      <c r="N42" s="20">
        <f>(G37-F37)/F37</f>
        <v>0.25133878523357966</v>
      </c>
    </row>
    <row r="43" spans="1:16">
      <c r="E43" s="9" t="s">
        <v>36</v>
      </c>
      <c r="F43" s="31">
        <f>F42*36/E12</f>
        <v>1431.5293325438927</v>
      </c>
      <c r="G43" s="32">
        <f>G42*36/E12</f>
        <v>1151.5268011376231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148.38638856721749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1063.5809295096201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CDD2-A083-2044-9DE7-20AAF5CD4A4D}">
  <sheetPr codeName="Sheet14"/>
  <dimension ref="A1:P47"/>
  <sheetViews>
    <sheetView showGridLines="0" topLeftCell="A10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Master!M6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Master!M7</f>
        <v>2028979774.2576301</v>
      </c>
      <c r="E4">
        <f>C24</f>
        <v>284125993.60294002</v>
      </c>
      <c r="G4" s="1">
        <f>F42/2</f>
        <v>19882.351840887401</v>
      </c>
    </row>
    <row r="5" spans="1:10">
      <c r="A5" t="s">
        <v>2</v>
      </c>
      <c r="C5">
        <f>Master!M8</f>
        <v>54168925.079844601</v>
      </c>
    </row>
    <row r="6" spans="1:10">
      <c r="A6" t="s">
        <v>3</v>
      </c>
      <c r="C6">
        <f>Master!M9</f>
        <v>2344764620.7214298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Master!M10</f>
        <v>7702168.4569703899</v>
      </c>
      <c r="J7" s="20">
        <f>J6/H6</f>
        <v>-0.36090965768927602</v>
      </c>
    </row>
    <row r="8" spans="1:10">
      <c r="A8" t="s">
        <v>5</v>
      </c>
      <c r="C8">
        <f>Master!M11</f>
        <v>297678605.54315799</v>
      </c>
    </row>
    <row r="9" spans="1:10">
      <c r="A9" t="s">
        <v>6</v>
      </c>
      <c r="C9">
        <f>Master!M12</f>
        <v>7702168.4569703899</v>
      </c>
    </row>
    <row r="10" spans="1:10">
      <c r="A10" t="s">
        <v>7</v>
      </c>
      <c r="C10">
        <f>Master!M13</f>
        <v>344008487.15886497</v>
      </c>
    </row>
    <row r="11" spans="1:10">
      <c r="A11" t="s">
        <v>8</v>
      </c>
      <c r="C11">
        <f>Master!M14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Master!M15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Master!M16</f>
        <v>82334154.495839998</v>
      </c>
    </row>
    <row r="14" spans="1:10">
      <c r="A14" t="s">
        <v>11</v>
      </c>
      <c r="C14">
        <f>Master!M17</f>
        <v>3677360224.9617801</v>
      </c>
    </row>
    <row r="15" spans="1:10">
      <c r="A15" t="s">
        <v>12</v>
      </c>
      <c r="C15">
        <f>Master!M18</f>
        <v>104587743.620995</v>
      </c>
    </row>
    <row r="16" spans="1:10">
      <c r="A16" t="s">
        <v>13</v>
      </c>
      <c r="C16">
        <f>Master!M19</f>
        <v>634839897.48200595</v>
      </c>
    </row>
    <row r="17" spans="1:16">
      <c r="A17" t="s">
        <v>14</v>
      </c>
      <c r="C17">
        <f>Master!M20</f>
        <v>64391552.358564697</v>
      </c>
    </row>
    <row r="18" spans="1:16">
      <c r="A18" t="s">
        <v>15</v>
      </c>
      <c r="C18">
        <f>Master!M21</f>
        <v>381541641.22489202</v>
      </c>
      <c r="G18" s="1">
        <f>G19*1000000</f>
        <v>651331482.53665876</v>
      </c>
    </row>
    <row r="19" spans="1:16">
      <c r="A19" t="s">
        <v>16</v>
      </c>
      <c r="C19">
        <f>Master!M22</f>
        <v>39764703.681774803</v>
      </c>
      <c r="G19" s="23">
        <f>G20-F20</f>
        <v>651.33148253665877</v>
      </c>
    </row>
    <row r="20" spans="1:16">
      <c r="A20" t="s">
        <v>17</v>
      </c>
      <c r="C20">
        <f>Master!M23</f>
        <v>23342049.8326062</v>
      </c>
      <c r="F20" s="23">
        <f>F37-F30</f>
        <v>6389.8001321022557</v>
      </c>
      <c r="G20" s="23">
        <f>G37-G30-G39</f>
        <v>7041.1316146389145</v>
      </c>
    </row>
    <row r="21" spans="1:16">
      <c r="A21" t="s">
        <v>18</v>
      </c>
      <c r="C21">
        <f>Master!M24</f>
        <v>12533404388.4767</v>
      </c>
    </row>
    <row r="22" spans="1:16">
      <c r="A22" t="s">
        <v>19</v>
      </c>
      <c r="C22">
        <f>Master!M25</f>
        <v>13259434012.635799</v>
      </c>
      <c r="G22" s="47">
        <f>G28-F28</f>
        <v>7.1902241350236267</v>
      </c>
    </row>
    <row r="23" spans="1:16">
      <c r="A23" t="s">
        <v>20</v>
      </c>
      <c r="C23">
        <f>Master!M26</f>
        <v>840313793.97382605</v>
      </c>
    </row>
    <row r="24" spans="1:16">
      <c r="A24" t="s">
        <v>148</v>
      </c>
      <c r="C24">
        <f>Master!M27</f>
        <v>284125993.60294002</v>
      </c>
    </row>
    <row r="25" spans="1:16">
      <c r="A25" t="s">
        <v>149</v>
      </c>
      <c r="C25">
        <f>Master!M28</f>
        <v>70365476.0079166</v>
      </c>
    </row>
    <row r="26" spans="1:16">
      <c r="A26" t="s">
        <v>150</v>
      </c>
      <c r="C26">
        <f>Master!M29</f>
        <v>75529193.211721197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Master!M30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Master!M31</f>
        <v>2208826665.4971199</v>
      </c>
      <c r="E28" s="9" t="s">
        <v>32</v>
      </c>
      <c r="F28" s="10">
        <f>F37*E11/$E$3</f>
        <v>39.477220277561777</v>
      </c>
      <c r="G28" s="11">
        <f>C22/E4</f>
        <v>46.667444412585404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Master!M32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Master!M33</f>
        <v>3462618579.0978899</v>
      </c>
      <c r="E30" s="9" t="s">
        <v>22</v>
      </c>
      <c r="F30" s="31">
        <f>SUM(F31:F34)</f>
        <v>6143.604256374444</v>
      </c>
      <c r="G30" s="32">
        <f>SUM(G31:G34)</f>
        <v>6747.6749740669675</v>
      </c>
      <c r="H30" s="103"/>
      <c r="I30" s="103"/>
      <c r="J30" s="10">
        <f>((C6+C10+C14+C18)/(C5+C9+C13+C17))-((C16+C12+C8+C4)/(C3+C7+C11+C15))</f>
        <v>7.4870166022241413</v>
      </c>
      <c r="M30" t="s">
        <v>27</v>
      </c>
      <c r="N30" s="37">
        <f>F37-G37</f>
        <v>-2095.7159942030084</v>
      </c>
    </row>
    <row r="31" spans="1:16">
      <c r="E31" s="14" t="s">
        <v>24</v>
      </c>
      <c r="F31" s="33">
        <f>C8/E11</f>
        <v>297.67860554315797</v>
      </c>
      <c r="G31" s="34">
        <f>C10/E11</f>
        <v>344.00848715886497</v>
      </c>
      <c r="H31" s="138" t="s">
        <v>34</v>
      </c>
      <c r="I31" s="103"/>
      <c r="J31" s="15">
        <f>(C10/C9)-(C8/C7)</f>
        <v>6.0151737623680361</v>
      </c>
      <c r="M31" t="s">
        <v>22</v>
      </c>
      <c r="N31" s="37">
        <f>G30-F30</f>
        <v>604.07071769252343</v>
      </c>
      <c r="P31">
        <f>G31/F31</f>
        <v>1.1556372569374658</v>
      </c>
    </row>
    <row r="32" spans="1:16">
      <c r="A32" t="s">
        <v>144</v>
      </c>
      <c r="C32">
        <f>Master!M35</f>
        <v>102709124.422034</v>
      </c>
      <c r="E32" s="14" t="s">
        <v>25</v>
      </c>
      <c r="F32" s="33">
        <f>C12/E11</f>
        <v>3182.1059790916502</v>
      </c>
      <c r="G32" s="34">
        <f>C14/E11</f>
        <v>3677.3602249617802</v>
      </c>
      <c r="H32" s="138"/>
      <c r="I32" s="103"/>
      <c r="J32" s="15">
        <f>(C14/C13)-(C12/C11)</f>
        <v>6.0151737623680006</v>
      </c>
      <c r="M32" t="s">
        <v>29</v>
      </c>
      <c r="N32" s="37">
        <f>G39</f>
        <v>840.31379397382602</v>
      </c>
      <c r="P32">
        <f>G32/F32</f>
        <v>1.1556372569374647</v>
      </c>
    </row>
    <row r="33" spans="1:16">
      <c r="A33" t="s">
        <v>155</v>
      </c>
      <c r="C33">
        <f>Master!M36</f>
        <v>632027691.88537598</v>
      </c>
      <c r="E33" s="14" t="s">
        <v>23</v>
      </c>
      <c r="F33" s="33">
        <f>C4/E11</f>
        <v>2028.9797742576302</v>
      </c>
      <c r="G33" s="34">
        <f>C6/E11</f>
        <v>2344.7646207214298</v>
      </c>
      <c r="H33" s="138"/>
      <c r="I33" s="103"/>
      <c r="J33" s="15">
        <f>(C6/C5)-(C4/C3)</f>
        <v>4.6351897788326397</v>
      </c>
      <c r="M33" t="s">
        <v>85</v>
      </c>
      <c r="N33" s="37">
        <f>G40</f>
        <v>592.00102479275279</v>
      </c>
      <c r="P33">
        <f>G33/F33</f>
        <v>1.1556372569457178</v>
      </c>
    </row>
    <row r="34" spans="1:16">
      <c r="A34" t="s">
        <v>156</v>
      </c>
      <c r="C34">
        <f>Master!M37</f>
        <v>1878619.19896125</v>
      </c>
      <c r="E34" s="14" t="s">
        <v>26</v>
      </c>
      <c r="F34" s="33">
        <f>C16/E11</f>
        <v>634.83989748200599</v>
      </c>
      <c r="G34" s="34">
        <f>C18/E11</f>
        <v>381.54164122489203</v>
      </c>
      <c r="H34" s="138"/>
      <c r="I34" s="103"/>
      <c r="J34" s="69">
        <f>(C18/C17)-(C16/C15)</f>
        <v>-0.14458941760579336</v>
      </c>
      <c r="N34" s="37"/>
      <c r="P34">
        <f>G34/F34</f>
        <v>0.60100450954361528</v>
      </c>
    </row>
    <row r="35" spans="1:16" ht="10" customHeight="1">
      <c r="A35" t="s">
        <v>157</v>
      </c>
      <c r="C35">
        <f>Master!M38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485.25606154799914</v>
      </c>
    </row>
    <row r="36" spans="1:16" ht="10" customHeight="1">
      <c r="A36" t="s">
        <v>158</v>
      </c>
      <c r="C36">
        <f>Master!M39</f>
        <v>63542798.898512401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727.67814866144988</v>
      </c>
    </row>
    <row r="37" spans="1:16">
      <c r="A37" t="s">
        <v>159</v>
      </c>
      <c r="C37">
        <f>Master!M40</f>
        <v>380571324.831716</v>
      </c>
      <c r="E37" s="9" t="s">
        <v>28</v>
      </c>
      <c r="F37" s="31">
        <f>C21/E11</f>
        <v>12533.4043884767</v>
      </c>
      <c r="G37" s="32">
        <f>(C22+C42+C41)/E11</f>
        <v>14629.120382679708</v>
      </c>
      <c r="H37" s="3" t="s">
        <v>34</v>
      </c>
      <c r="I37" s="3"/>
      <c r="J37" s="13"/>
      <c r="M37" t="s">
        <v>81</v>
      </c>
      <c r="N37" s="37">
        <f>SUM(N30:N35)</f>
        <v>425.92560380409293</v>
      </c>
    </row>
    <row r="38" spans="1:16" ht="10" customHeight="1">
      <c r="A38" t="s">
        <v>160</v>
      </c>
      <c r="C38">
        <f>Master!M41</f>
        <v>848753.46005230001</v>
      </c>
      <c r="E38" s="4"/>
      <c r="F38" s="35"/>
      <c r="G38" s="35"/>
      <c r="H38" s="103"/>
      <c r="I38" s="103"/>
      <c r="J38" s="13"/>
      <c r="N38" s="37">
        <f>SUM(N30:N36)</f>
        <v>1153.6037524655428</v>
      </c>
    </row>
    <row r="39" spans="1:16">
      <c r="A39" t="s">
        <v>161</v>
      </c>
      <c r="C39">
        <f>Master!M42</f>
        <v>970316.39317577204</v>
      </c>
      <c r="E39" s="4" t="s">
        <v>29</v>
      </c>
      <c r="F39" s="35"/>
      <c r="G39" s="36">
        <f>C23/E11</f>
        <v>840.31379397382602</v>
      </c>
      <c r="H39" s="3" t="s">
        <v>34</v>
      </c>
      <c r="I39" s="3"/>
      <c r="J39" s="13"/>
      <c r="N39" s="37">
        <f>N38-N33</f>
        <v>561.60272767279002</v>
      </c>
    </row>
    <row r="40" spans="1:16">
      <c r="E40" s="9" t="s">
        <v>84</v>
      </c>
      <c r="F40" s="31"/>
      <c r="G40" s="32">
        <f>MIN(17.5394,G28-F28)*C11/E11</f>
        <v>592.00102479275279</v>
      </c>
      <c r="H40" s="3"/>
      <c r="I40" s="3"/>
      <c r="J40" s="13"/>
      <c r="N40" s="20">
        <f>N37/G37</f>
        <v>2.9114915501575321E-2</v>
      </c>
    </row>
    <row r="41" spans="1:16" ht="10" customHeight="1">
      <c r="A41" t="s">
        <v>164</v>
      </c>
      <c r="C41">
        <f>Master!M44</f>
        <v>1259460955.4298699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Master!M45</f>
        <v>110225414.61403801</v>
      </c>
      <c r="E42" s="4" t="s">
        <v>30</v>
      </c>
      <c r="F42" s="35">
        <f>C19/E12</f>
        <v>39764.703681774801</v>
      </c>
      <c r="G42" s="36">
        <f>(C20/E12)+(F1*(C26-C25)/E12)</f>
        <v>26285.36863877482</v>
      </c>
      <c r="H42" s="103" t="s">
        <v>37</v>
      </c>
      <c r="I42" s="103"/>
      <c r="N42" s="20">
        <f>(G37-F37)/F37</f>
        <v>0.16721043455119222</v>
      </c>
    </row>
    <row r="43" spans="1:16">
      <c r="E43" s="9" t="s">
        <v>36</v>
      </c>
      <c r="F43" s="31">
        <f>F42*36/E12</f>
        <v>1431.5293325438927</v>
      </c>
      <c r="G43" s="32">
        <f>G42*36/E12</f>
        <v>946.27327099589354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142.06299680147001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727.67814866144988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3016-5991-544B-BD2D-4E164AE74382}">
  <sheetPr codeName="Sheet15"/>
  <dimension ref="A1:P47"/>
  <sheetViews>
    <sheetView showGridLines="0" topLeftCell="A10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Master!N6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Master!N7</f>
        <v>2028979774.2576301</v>
      </c>
      <c r="E4">
        <f>C24</f>
        <v>253211724.43787101</v>
      </c>
      <c r="G4" s="1">
        <f>F42/2</f>
        <v>19882.351840887401</v>
      </c>
    </row>
    <row r="5" spans="1:10">
      <c r="A5" t="s">
        <v>2</v>
      </c>
      <c r="C5">
        <f>Master!N8</f>
        <v>53772155.466818899</v>
      </c>
    </row>
    <row r="6" spans="1:10">
      <c r="A6" t="s">
        <v>3</v>
      </c>
      <c r="C6">
        <f>Master!N9</f>
        <v>1729170108.5697401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Master!N10</f>
        <v>7702168.4569703899</v>
      </c>
      <c r="J7" s="20">
        <f>J6/H6</f>
        <v>-0.36090965768927602</v>
      </c>
    </row>
    <row r="8" spans="1:10">
      <c r="A8" t="s">
        <v>5</v>
      </c>
      <c r="C8">
        <f>Master!N11</f>
        <v>297678605.54315799</v>
      </c>
    </row>
    <row r="9" spans="1:10">
      <c r="A9" t="s">
        <v>6</v>
      </c>
      <c r="C9">
        <f>Master!N12</f>
        <v>7600420.7482743096</v>
      </c>
    </row>
    <row r="10" spans="1:10">
      <c r="A10" t="s">
        <v>7</v>
      </c>
      <c r="C10">
        <f>Master!N13</f>
        <v>253692497.67333001</v>
      </c>
    </row>
    <row r="11" spans="1:10">
      <c r="A11" t="s">
        <v>8</v>
      </c>
      <c r="C11">
        <f>Master!N14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Master!N15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Master!N16</f>
        <v>81338261.462758899</v>
      </c>
    </row>
    <row r="14" spans="1:10">
      <c r="A14" t="s">
        <v>11</v>
      </c>
      <c r="C14">
        <f>Master!N17</f>
        <v>2711906057.9589701</v>
      </c>
    </row>
    <row r="15" spans="1:10">
      <c r="A15" t="s">
        <v>12</v>
      </c>
      <c r="C15">
        <f>Master!N18</f>
        <v>104587743.620995</v>
      </c>
    </row>
    <row r="16" spans="1:10">
      <c r="A16" t="s">
        <v>13</v>
      </c>
      <c r="C16">
        <f>Master!N19</f>
        <v>634839897.48200595</v>
      </c>
    </row>
    <row r="17" spans="1:16">
      <c r="A17" t="s">
        <v>14</v>
      </c>
      <c r="C17">
        <f>Master!N20</f>
        <v>40865002.325575702</v>
      </c>
    </row>
    <row r="18" spans="1:16">
      <c r="A18" t="s">
        <v>15</v>
      </c>
      <c r="C18">
        <f>Master!N21</f>
        <v>189385280.828509</v>
      </c>
      <c r="G18" s="1">
        <f>G19*1000000</f>
        <v>713235030.4432621</v>
      </c>
    </row>
    <row r="19" spans="1:16">
      <c r="A19" t="s">
        <v>16</v>
      </c>
      <c r="C19">
        <f>Master!N22</f>
        <v>39764703.681774803</v>
      </c>
      <c r="G19" s="23">
        <f>G20-F20</f>
        <v>713.23503044326208</v>
      </c>
    </row>
    <row r="20" spans="1:16">
      <c r="A20" t="s">
        <v>17</v>
      </c>
      <c r="C20">
        <f>Master!N23</f>
        <v>14481812.276179399</v>
      </c>
      <c r="F20" s="23">
        <f>F37-F30</f>
        <v>6389.8001321022557</v>
      </c>
      <c r="G20" s="23">
        <f>G37-G30-G39</f>
        <v>7103.0351625455178</v>
      </c>
    </row>
    <row r="21" spans="1:16">
      <c r="A21" t="s">
        <v>18</v>
      </c>
      <c r="C21">
        <f>Master!N24</f>
        <v>12533404388.4767</v>
      </c>
    </row>
    <row r="22" spans="1:16">
      <c r="A22" t="s">
        <v>19</v>
      </c>
      <c r="C22">
        <f>Master!N25</f>
        <v>9762396451.4861107</v>
      </c>
      <c r="G22" s="47">
        <f>G28-F28</f>
        <v>-0.92293740160652504</v>
      </c>
    </row>
    <row r="23" spans="1:16">
      <c r="A23" t="s">
        <v>20</v>
      </c>
      <c r="C23">
        <f>Master!N26</f>
        <v>521345241.94245899</v>
      </c>
    </row>
    <row r="24" spans="1:16">
      <c r="A24" t="s">
        <v>148</v>
      </c>
      <c r="C24">
        <f>Master!N27</f>
        <v>253211724.43787101</v>
      </c>
    </row>
    <row r="25" spans="1:16">
      <c r="A25" t="s">
        <v>149</v>
      </c>
      <c r="C25">
        <f>Master!N28</f>
        <v>70365476.0079166</v>
      </c>
    </row>
    <row r="26" spans="1:16">
      <c r="A26" t="s">
        <v>150</v>
      </c>
      <c r="C26">
        <f>Master!N29</f>
        <v>68392100.895269707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Master!N30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Master!N31</f>
        <v>1407050981.3202701</v>
      </c>
      <c r="E28" s="9" t="s">
        <v>32</v>
      </c>
      <c r="F28" s="10">
        <f>F37*E11/$E$3</f>
        <v>39.477220277561777</v>
      </c>
      <c r="G28" s="11">
        <f>C22/E4</f>
        <v>38.554282875955252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Master!N32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Master!N33</f>
        <v>2489362861.7054901</v>
      </c>
      <c r="E30" s="9" t="s">
        <v>22</v>
      </c>
      <c r="F30" s="31">
        <f>SUM(F31:F34)</f>
        <v>6143.604256374444</v>
      </c>
      <c r="G30" s="32">
        <f>SUM(G31:G34)</f>
        <v>4884.153945030549</v>
      </c>
      <c r="H30" s="103"/>
      <c r="I30" s="103"/>
      <c r="J30" s="10">
        <f>((C6+C10+C14+C18)/(C5+C9+C13+C17))-((C16+C12+C8+C4)/(C3+C7+C11+C15))</f>
        <v>1.7447319929897773</v>
      </c>
      <c r="M30" t="s">
        <v>27</v>
      </c>
      <c r="N30" s="37">
        <f>F37-G37</f>
        <v>24.870038958173609</v>
      </c>
    </row>
    <row r="31" spans="1:16">
      <c r="E31" s="14" t="s">
        <v>24</v>
      </c>
      <c r="F31" s="33">
        <f>C8/E11</f>
        <v>297.67860554315797</v>
      </c>
      <c r="G31" s="34">
        <f>C10/E11</f>
        <v>253.69249767333</v>
      </c>
      <c r="H31" s="138" t="s">
        <v>34</v>
      </c>
      <c r="I31" s="103"/>
      <c r="J31" s="15">
        <f>(C10/C9)-(C8/C7)</f>
        <v>-5.2699311091183176</v>
      </c>
      <c r="M31" t="s">
        <v>22</v>
      </c>
      <c r="N31" s="37">
        <f>G30-F30</f>
        <v>-1259.450311343895</v>
      </c>
      <c r="P31">
        <f>G31/F31</f>
        <v>0.85223624724535063</v>
      </c>
    </row>
    <row r="32" spans="1:16">
      <c r="A32" t="s">
        <v>144</v>
      </c>
      <c r="C32">
        <f>Master!N35</f>
        <v>102709124.422034</v>
      </c>
      <c r="E32" s="14" t="s">
        <v>25</v>
      </c>
      <c r="F32" s="33">
        <f>C12/E11</f>
        <v>3182.1059790916502</v>
      </c>
      <c r="G32" s="34">
        <f>C14/E11</f>
        <v>2711.90605795897</v>
      </c>
      <c r="H32" s="138"/>
      <c r="I32" s="103"/>
      <c r="J32" s="15">
        <f>(C14/C13)-(C12/C11)</f>
        <v>-5.307587932070355</v>
      </c>
      <c r="M32" t="s">
        <v>29</v>
      </c>
      <c r="N32" s="37">
        <f>G39</f>
        <v>521.34524194245898</v>
      </c>
      <c r="P32">
        <f>G32/F32</f>
        <v>0.85223624724563651</v>
      </c>
    </row>
    <row r="33" spans="1:16">
      <c r="A33" t="s">
        <v>155</v>
      </c>
      <c r="C33">
        <f>Master!N36</f>
        <v>632027691.88537598</v>
      </c>
      <c r="E33" s="14" t="s">
        <v>23</v>
      </c>
      <c r="F33" s="33">
        <f>C4/E11</f>
        <v>2028.9797742576302</v>
      </c>
      <c r="G33" s="34">
        <f>C6/E11</f>
        <v>1729.17010856974</v>
      </c>
      <c r="H33" s="138"/>
      <c r="I33" s="103"/>
      <c r="J33" s="15">
        <f>(C6/C5)-(C4/C3)</f>
        <v>-6.4936161061045539</v>
      </c>
      <c r="M33" t="s">
        <v>85</v>
      </c>
      <c r="N33" s="37">
        <f>G40</f>
        <v>-75.989270613860754</v>
      </c>
      <c r="P33">
        <f>G33/F33</f>
        <v>0.8522362472550592</v>
      </c>
    </row>
    <row r="34" spans="1:16">
      <c r="A34" t="s">
        <v>156</v>
      </c>
      <c r="C34">
        <f>Master!N37</f>
        <v>1878619.19896125</v>
      </c>
      <c r="E34" s="14" t="s">
        <v>26</v>
      </c>
      <c r="F34" s="33">
        <f>C16/E11</f>
        <v>634.83989748200599</v>
      </c>
      <c r="G34" s="34">
        <f>C18/E11</f>
        <v>189.385280828509</v>
      </c>
      <c r="H34" s="138"/>
      <c r="I34" s="103"/>
      <c r="J34" s="69">
        <f>(C18/C17)-(C16/C15)</f>
        <v>-1.4355137381500604</v>
      </c>
      <c r="N34" s="37"/>
      <c r="P34">
        <f>G34/F34</f>
        <v>0.29831975208186556</v>
      </c>
    </row>
    <row r="35" spans="1:16" ht="10" customHeight="1">
      <c r="A35" t="s">
        <v>157</v>
      </c>
      <c r="C35">
        <f>Master!N38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950.67774791294846</v>
      </c>
    </row>
    <row r="36" spans="1:16" ht="10" customHeight="1">
      <c r="A36" t="s">
        <v>158</v>
      </c>
      <c r="C36">
        <f>Master!N39</f>
        <v>40673768.409307398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-245.57756873094988</v>
      </c>
    </row>
    <row r="37" spans="1:16">
      <c r="A37" t="s">
        <v>159</v>
      </c>
      <c r="C37">
        <f>Master!N40</f>
        <v>189295501.21596399</v>
      </c>
      <c r="E37" s="9" t="s">
        <v>28</v>
      </c>
      <c r="F37" s="31">
        <f>C21/E11</f>
        <v>12533.4043884767</v>
      </c>
      <c r="G37" s="32">
        <f>(C22+C42+C41)/E11</f>
        <v>12508.534349518526</v>
      </c>
      <c r="H37" s="3" t="s">
        <v>34</v>
      </c>
      <c r="I37" s="3"/>
      <c r="J37" s="13"/>
      <c r="M37" t="s">
        <v>81</v>
      </c>
      <c r="N37" s="37">
        <f>SUM(N30:N35)</f>
        <v>161.45344685582529</v>
      </c>
    </row>
    <row r="38" spans="1:16" ht="10" customHeight="1">
      <c r="A38" t="s">
        <v>160</v>
      </c>
      <c r="C38">
        <f>Master!N41</f>
        <v>191233.91626830999</v>
      </c>
      <c r="E38" s="4"/>
      <c r="F38" s="35"/>
      <c r="G38" s="35"/>
      <c r="H38" s="103"/>
      <c r="I38" s="103"/>
      <c r="J38" s="13"/>
      <c r="N38" s="37">
        <f>SUM(N30:N36)</f>
        <v>-84.124121875124587</v>
      </c>
    </row>
    <row r="39" spans="1:16">
      <c r="A39" t="s">
        <v>161</v>
      </c>
      <c r="C39">
        <f>Master!N42</f>
        <v>89779.612544322605</v>
      </c>
      <c r="E39" s="4" t="s">
        <v>29</v>
      </c>
      <c r="F39" s="35"/>
      <c r="G39" s="36">
        <f>C23/E11</f>
        <v>521.34524194245898</v>
      </c>
      <c r="H39" s="3" t="s">
        <v>34</v>
      </c>
      <c r="I39" s="3"/>
      <c r="J39" s="13"/>
      <c r="N39" s="37">
        <f>N38-N33</f>
        <v>-8.1348512612638331</v>
      </c>
    </row>
    <row r="40" spans="1:16">
      <c r="E40" s="9" t="s">
        <v>84</v>
      </c>
      <c r="F40" s="31"/>
      <c r="G40" s="32">
        <f>MIN(17.5394,G28-F28)*C11/E11</f>
        <v>-75.989270613860754</v>
      </c>
      <c r="H40" s="3"/>
      <c r="I40" s="3"/>
      <c r="J40" s="13"/>
      <c r="N40" s="20">
        <f>N37/G37</f>
        <v>1.29074632042754E-2</v>
      </c>
    </row>
    <row r="41" spans="1:16" ht="10" customHeight="1">
      <c r="A41" t="s">
        <v>164</v>
      </c>
      <c r="C41">
        <f>Master!N44</f>
        <v>2425731887.7286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Master!N45</f>
        <v>320406010.30381501</v>
      </c>
      <c r="E42" s="4" t="s">
        <v>30</v>
      </c>
      <c r="F42" s="35">
        <f>C19/E12</f>
        <v>39764.703681774801</v>
      </c>
      <c r="G42" s="36">
        <f>(C20/E12)+(F1*(C26-C25)/E12)</f>
        <v>13356.988461970672</v>
      </c>
      <c r="H42" s="103" t="s">
        <v>37</v>
      </c>
      <c r="I42" s="103"/>
      <c r="N42" s="20">
        <f>(G37-F37)/F37</f>
        <v>-1.9843003694223174E-3</v>
      </c>
    </row>
    <row r="43" spans="1:16">
      <c r="E43" s="9" t="s">
        <v>36</v>
      </c>
      <c r="F43" s="31">
        <f>F42*36/E12</f>
        <v>1431.5293325438927</v>
      </c>
      <c r="G43" s="32">
        <f>G42*36/E12</f>
        <v>480.85158463094416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126.6058622189355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-245.57756873094988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F4AF-9456-2443-8E64-CF40BCBAAB8E}">
  <sheetPr codeName="Sheet16"/>
  <dimension ref="A1:P47"/>
  <sheetViews>
    <sheetView showGridLines="0" topLeftCell="A14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Master!O6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Master!O7</f>
        <v>2028979774.2576301</v>
      </c>
      <c r="E4">
        <f>C24</f>
        <v>310126673.26101798</v>
      </c>
      <c r="G4" s="1">
        <f>F42/2</f>
        <v>19882.351840887401</v>
      </c>
    </row>
    <row r="5" spans="1:10">
      <c r="A5" t="s">
        <v>2</v>
      </c>
      <c r="C5">
        <f>Master!O8</f>
        <v>54194245.998881601</v>
      </c>
    </row>
    <row r="6" spans="1:10">
      <c r="A6" t="s">
        <v>3</v>
      </c>
      <c r="C6">
        <f>Master!O9</f>
        <v>2576810761.38835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Master!O10</f>
        <v>7702168.4569703899</v>
      </c>
      <c r="J7" s="20">
        <f>J6/H6</f>
        <v>-0.36090965768927602</v>
      </c>
    </row>
    <row r="8" spans="1:10">
      <c r="A8" t="s">
        <v>5</v>
      </c>
      <c r="C8">
        <f>Master!O11</f>
        <v>297678605.54315799</v>
      </c>
    </row>
    <row r="9" spans="1:10">
      <c r="A9" t="s">
        <v>6</v>
      </c>
      <c r="C9">
        <f>Master!O12</f>
        <v>7702168.4569703899</v>
      </c>
    </row>
    <row r="10" spans="1:10">
      <c r="A10" t="s">
        <v>7</v>
      </c>
      <c r="C10">
        <f>Master!O13</f>
        <v>378052775.057495</v>
      </c>
    </row>
    <row r="11" spans="1:10">
      <c r="A11" t="s">
        <v>8</v>
      </c>
      <c r="C11">
        <f>Master!O14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Master!O15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Master!O16</f>
        <v>82334154.495839998</v>
      </c>
    </row>
    <row r="14" spans="1:10">
      <c r="A14" t="s">
        <v>11</v>
      </c>
      <c r="C14">
        <f>Master!O17</f>
        <v>4041284706.1265602</v>
      </c>
    </row>
    <row r="15" spans="1:10">
      <c r="A15" t="s">
        <v>12</v>
      </c>
      <c r="C15">
        <f>Master!O18</f>
        <v>104587743.620995</v>
      </c>
    </row>
    <row r="16" spans="1:10">
      <c r="A16" t="s">
        <v>13</v>
      </c>
      <c r="C16">
        <f>Master!O19</f>
        <v>634839897.48200595</v>
      </c>
    </row>
    <row r="17" spans="1:16">
      <c r="A17" t="s">
        <v>14</v>
      </c>
      <c r="C17">
        <f>Master!O20</f>
        <v>81445949.506301299</v>
      </c>
    </row>
    <row r="18" spans="1:16">
      <c r="A18" t="s">
        <v>15</v>
      </c>
      <c r="C18">
        <f>Master!O21</f>
        <v>584767543.31471097</v>
      </c>
      <c r="G18" s="1">
        <f>G19*1000000</f>
        <v>943642933.61951327</v>
      </c>
    </row>
    <row r="19" spans="1:16">
      <c r="A19" t="s">
        <v>16</v>
      </c>
      <c r="C19">
        <f>Master!O22</f>
        <v>39764703.681774803</v>
      </c>
      <c r="G19" s="23">
        <f>G20-F20</f>
        <v>943.64293361951331</v>
      </c>
    </row>
    <row r="20" spans="1:16">
      <c r="A20" t="s">
        <v>17</v>
      </c>
      <c r="C20">
        <f>Master!O23</f>
        <v>30190071.543589301</v>
      </c>
      <c r="F20" s="23">
        <f>F37-F30</f>
        <v>6389.8001321022557</v>
      </c>
      <c r="G20" s="23">
        <f>G37-G30-G39</f>
        <v>7333.443065721769</v>
      </c>
    </row>
    <row r="21" spans="1:16">
      <c r="A21" t="s">
        <v>18</v>
      </c>
      <c r="C21">
        <f>Master!O24</f>
        <v>12533404388.4767</v>
      </c>
    </row>
    <row r="22" spans="1:16">
      <c r="A22" t="s">
        <v>19</v>
      </c>
      <c r="C22">
        <f>Master!O25</f>
        <v>15682948546.6595</v>
      </c>
      <c r="G22" s="47">
        <f>G28-F28</f>
        <v>11.092272445368103</v>
      </c>
    </row>
    <row r="23" spans="1:16">
      <c r="A23" t="s">
        <v>20</v>
      </c>
      <c r="C23">
        <f>Master!O26</f>
        <v>1086842575.5692101</v>
      </c>
    </row>
    <row r="24" spans="1:16">
      <c r="A24" t="s">
        <v>148</v>
      </c>
      <c r="C24">
        <f>Master!O27</f>
        <v>310126673.26101798</v>
      </c>
    </row>
    <row r="25" spans="1:16">
      <c r="A25" t="s">
        <v>149</v>
      </c>
      <c r="C25">
        <f>Master!O28</f>
        <v>70365476.0079166</v>
      </c>
    </row>
    <row r="26" spans="1:16">
      <c r="A26" t="s">
        <v>150</v>
      </c>
      <c r="C26">
        <f>Master!O29</f>
        <v>84450154.803025305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Master!O30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Master!O31</f>
        <v>2819796937.9960499</v>
      </c>
      <c r="E28" s="9" t="s">
        <v>32</v>
      </c>
      <c r="F28" s="10">
        <f>F37*E11/$E$3</f>
        <v>39.477220277561777</v>
      </c>
      <c r="G28" s="11">
        <f>C22/E4</f>
        <v>50.56949272292988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Master!O32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Master!O33</f>
        <v>4195393247.20713</v>
      </c>
      <c r="E30" s="9" t="s">
        <v>22</v>
      </c>
      <c r="F30" s="31">
        <f>SUM(F31:F34)</f>
        <v>6143.604256374444</v>
      </c>
      <c r="G30" s="32">
        <f>SUM(G31:G34)</f>
        <v>7580.9157858871149</v>
      </c>
      <c r="H30" s="103"/>
      <c r="I30" s="103"/>
      <c r="J30" s="10">
        <f>((C6+C10+C14+C18)/(C5+C9+C13+C17))-((C16+C12+C8+C4)/(C3+C7+C11+C15))</f>
        <v>8.7310417521669841</v>
      </c>
      <c r="M30" t="s">
        <v>27</v>
      </c>
      <c r="N30" s="37">
        <f>F37-G37</f>
        <v>-3467.7970387013938</v>
      </c>
    </row>
    <row r="31" spans="1:16">
      <c r="E31" s="14" t="s">
        <v>24</v>
      </c>
      <c r="F31" s="33">
        <f>C8/E11</f>
        <v>297.67860554315797</v>
      </c>
      <c r="G31" s="34">
        <f>C10/E11</f>
        <v>378.05277505749501</v>
      </c>
      <c r="H31" s="138" t="s">
        <v>34</v>
      </c>
      <c r="I31" s="103"/>
      <c r="J31" s="15">
        <f>(C10/C9)-(C8/C7)</f>
        <v>10.435265076758888</v>
      </c>
      <c r="M31" t="s">
        <v>22</v>
      </c>
      <c r="N31" s="37">
        <f>G30-F30</f>
        <v>1437.3115295126709</v>
      </c>
      <c r="P31">
        <f>G31/F31</f>
        <v>1.2700031779834586</v>
      </c>
    </row>
    <row r="32" spans="1:16">
      <c r="A32" t="s">
        <v>144</v>
      </c>
      <c r="C32">
        <f>Master!O35</f>
        <v>102709124.422034</v>
      </c>
      <c r="E32" s="14" t="s">
        <v>25</v>
      </c>
      <c r="F32" s="33">
        <f>C12/E11</f>
        <v>3182.1059790916502</v>
      </c>
      <c r="G32" s="34">
        <f>C14/E11</f>
        <v>4041.2847061265602</v>
      </c>
      <c r="H32" s="138"/>
      <c r="I32" s="103"/>
      <c r="J32" s="15">
        <f>(C14/C13)-(C12/C11)</f>
        <v>10.435265076758895</v>
      </c>
      <c r="M32" t="s">
        <v>29</v>
      </c>
      <c r="N32" s="37">
        <f>G39</f>
        <v>1086.8425755692101</v>
      </c>
      <c r="P32">
        <f>G32/F32</f>
        <v>1.2700031779834584</v>
      </c>
    </row>
    <row r="33" spans="1:16">
      <c r="A33" t="s">
        <v>155</v>
      </c>
      <c r="C33">
        <f>Master!O36</f>
        <v>632027691.88537598</v>
      </c>
      <c r="E33" s="14" t="s">
        <v>23</v>
      </c>
      <c r="F33" s="33">
        <f>C4/E11</f>
        <v>2028.9797742576302</v>
      </c>
      <c r="G33" s="34">
        <f>C6/E11</f>
        <v>2576.8107613883499</v>
      </c>
      <c r="H33" s="138"/>
      <c r="I33" s="103"/>
      <c r="J33" s="15">
        <f>(C6/C5)-(C4/C3)</f>
        <v>8.8967140628514585</v>
      </c>
      <c r="M33" t="s">
        <v>85</v>
      </c>
      <c r="N33" s="37">
        <f>G40</f>
        <v>913.2728732268863</v>
      </c>
      <c r="P33">
        <f>G33/F33</f>
        <v>1.2700031779918368</v>
      </c>
    </row>
    <row r="34" spans="1:16">
      <c r="A34" t="s">
        <v>156</v>
      </c>
      <c r="C34">
        <f>Master!O37</f>
        <v>1878619.19896125</v>
      </c>
      <c r="E34" s="14" t="s">
        <v>26</v>
      </c>
      <c r="F34" s="33">
        <f>C16/E11</f>
        <v>634.83989748200599</v>
      </c>
      <c r="G34" s="34">
        <f>C18/E11</f>
        <v>584.76754331471102</v>
      </c>
      <c r="H34" s="138"/>
      <c r="I34" s="103"/>
      <c r="J34" s="69">
        <f>(C18/C17)-(C16/C15)</f>
        <v>1.1098971957374015</v>
      </c>
      <c r="N34" s="37"/>
      <c r="P34">
        <f>G34/F34</f>
        <v>0.92112601245463743</v>
      </c>
    </row>
    <row r="35" spans="1:16" ht="10" customHeight="1">
      <c r="A35" t="s">
        <v>157</v>
      </c>
      <c r="C35">
        <f>Master!O38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55.669148099047334</v>
      </c>
    </row>
    <row r="36" spans="1:16" ht="10" customHeight="1">
      <c r="A36" t="s">
        <v>158</v>
      </c>
      <c r="C36">
        <f>Master!O39</f>
        <v>79302305.037004098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1460.4528167706899</v>
      </c>
    </row>
    <row r="37" spans="1:16">
      <c r="A37" t="s">
        <v>159</v>
      </c>
      <c r="C37">
        <f>Master!O40</f>
        <v>580803233.68368304</v>
      </c>
      <c r="E37" s="9" t="s">
        <v>28</v>
      </c>
      <c r="F37" s="31">
        <f>C21/E11</f>
        <v>12533.4043884767</v>
      </c>
      <c r="G37" s="32">
        <f>(C22+C42+C41)/E11</f>
        <v>16001.201427178094</v>
      </c>
      <c r="H37" s="3" t="s">
        <v>34</v>
      </c>
      <c r="I37" s="3"/>
      <c r="J37" s="13"/>
      <c r="M37" t="s">
        <v>81</v>
      </c>
      <c r="N37" s="37">
        <f>SUM(N30:N35)</f>
        <v>25.299087706420778</v>
      </c>
    </row>
    <row r="38" spans="1:16" ht="10" customHeight="1">
      <c r="A38" t="s">
        <v>160</v>
      </c>
      <c r="C38">
        <f>Master!O41</f>
        <v>2143644.4692971702</v>
      </c>
      <c r="E38" s="4"/>
      <c r="F38" s="35"/>
      <c r="G38" s="35"/>
      <c r="H38" s="103"/>
      <c r="I38" s="103"/>
      <c r="J38" s="13"/>
      <c r="N38" s="37">
        <f>SUM(N30:N36)</f>
        <v>1485.7519044771107</v>
      </c>
    </row>
    <row r="39" spans="1:16">
      <c r="A39" t="s">
        <v>161</v>
      </c>
      <c r="C39">
        <f>Master!O42</f>
        <v>3964309.6310277702</v>
      </c>
      <c r="E39" s="4" t="s">
        <v>29</v>
      </c>
      <c r="F39" s="35"/>
      <c r="G39" s="36">
        <f>C23/E11</f>
        <v>1086.8425755692101</v>
      </c>
      <c r="H39" s="3" t="s">
        <v>34</v>
      </c>
      <c r="I39" s="3"/>
      <c r="J39" s="13"/>
      <c r="N39" s="37">
        <f>N38-N33</f>
        <v>572.47903125022435</v>
      </c>
    </row>
    <row r="40" spans="1:16">
      <c r="E40" s="9" t="s">
        <v>84</v>
      </c>
      <c r="F40" s="31"/>
      <c r="G40" s="32">
        <f>MIN(17.5394,G28-F28)*C11/E11</f>
        <v>913.2728732268863</v>
      </c>
      <c r="H40" s="3"/>
      <c r="I40" s="3"/>
      <c r="J40" s="13"/>
      <c r="N40" s="20">
        <f>N37/G37</f>
        <v>1.5810742600521354E-3</v>
      </c>
    </row>
    <row r="41" spans="1:16" ht="10" customHeight="1">
      <c r="A41" t="s">
        <v>164</v>
      </c>
      <c r="C41">
        <f>Master!O44</f>
        <v>277175008.29337901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Master!O45</f>
        <v>41077872.225213803</v>
      </c>
      <c r="E42" s="4" t="s">
        <v>30</v>
      </c>
      <c r="F42" s="35">
        <f>C19/E12</f>
        <v>39764.703681774801</v>
      </c>
      <c r="G42" s="36">
        <f>(C20/E12)+(F1*(C26-C25)/E12)</f>
        <v>38218.338456801263</v>
      </c>
      <c r="H42" s="103" t="s">
        <v>37</v>
      </c>
      <c r="I42" s="103"/>
      <c r="N42" s="20">
        <f>(G37-F37)/F37</f>
        <v>0.27668436533410751</v>
      </c>
    </row>
    <row r="43" spans="1:16">
      <c r="E43" s="9" t="s">
        <v>36</v>
      </c>
      <c r="F43" s="31">
        <f>F42*36/E12</f>
        <v>1431.5293325438927</v>
      </c>
      <c r="G43" s="32">
        <f>G42*36/E12</f>
        <v>1375.8601844448453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155.06333663050899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1460.4528167706899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46D1-5C5D-1C49-A55B-8DDA6336504A}">
  <sheetPr codeName="Sheet17"/>
  <dimension ref="A1:P47"/>
  <sheetViews>
    <sheetView showGridLines="0" topLeftCell="A7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Master!P6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Master!P7</f>
        <v>2028979774.2576301</v>
      </c>
      <c r="E4">
        <f>C24</f>
        <v>296606541.9465</v>
      </c>
      <c r="G4" s="1">
        <f>F42/2</f>
        <v>19882.351840887401</v>
      </c>
    </row>
    <row r="5" spans="1:10">
      <c r="A5" t="s">
        <v>2</v>
      </c>
      <c r="C5">
        <f>Master!P8</f>
        <v>55785913.372374102</v>
      </c>
    </row>
    <row r="6" spans="1:10">
      <c r="A6" t="s">
        <v>3</v>
      </c>
      <c r="C6">
        <f>Master!P9</f>
        <v>2396738786.7140899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Master!P10</f>
        <v>7702168.4569703899</v>
      </c>
      <c r="J7" s="20">
        <f>J6/H6</f>
        <v>-0.36090965768927602</v>
      </c>
    </row>
    <row r="8" spans="1:10">
      <c r="A8" t="s">
        <v>5</v>
      </c>
      <c r="C8">
        <f>Master!P11</f>
        <v>297678605.54315799</v>
      </c>
    </row>
    <row r="9" spans="1:10">
      <c r="A9" t="s">
        <v>6</v>
      </c>
      <c r="C9">
        <f>Master!P12</f>
        <v>7702168.4569703899</v>
      </c>
    </row>
    <row r="10" spans="1:10">
      <c r="A10" t="s">
        <v>7</v>
      </c>
      <c r="C10">
        <f>Master!P13</f>
        <v>351633795.921646</v>
      </c>
    </row>
    <row r="11" spans="1:10">
      <c r="A11" t="s">
        <v>8</v>
      </c>
      <c r="C11">
        <f>Master!P14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Master!P15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Master!P16</f>
        <v>82334154.495839998</v>
      </c>
    </row>
    <row r="14" spans="1:10">
      <c r="A14" t="s">
        <v>11</v>
      </c>
      <c r="C14">
        <f>Master!P17</f>
        <v>3758872769.5472102</v>
      </c>
    </row>
    <row r="15" spans="1:10">
      <c r="A15" t="s">
        <v>12</v>
      </c>
      <c r="C15">
        <f>Master!P18</f>
        <v>104587743.620995</v>
      </c>
    </row>
    <row r="16" spans="1:10">
      <c r="A16" t="s">
        <v>13</v>
      </c>
      <c r="C16">
        <f>Master!P19</f>
        <v>634839897.48200595</v>
      </c>
    </row>
    <row r="17" spans="1:16">
      <c r="A17" t="s">
        <v>14</v>
      </c>
      <c r="C17">
        <f>Master!P20</f>
        <v>70295971.007047296</v>
      </c>
    </row>
    <row r="18" spans="1:16">
      <c r="A18" t="s">
        <v>15</v>
      </c>
      <c r="C18">
        <f>Master!P21</f>
        <v>442365857.49788398</v>
      </c>
      <c r="G18" s="1">
        <f>G19*1000000</f>
        <v>694336606.79688096</v>
      </c>
    </row>
    <row r="19" spans="1:16">
      <c r="A19" t="s">
        <v>16</v>
      </c>
      <c r="C19">
        <f>Master!P22</f>
        <v>39764703.681774803</v>
      </c>
      <c r="G19" s="23">
        <f>G20-F20</f>
        <v>694.33660679688091</v>
      </c>
    </row>
    <row r="20" spans="1:16">
      <c r="A20" t="s">
        <v>17</v>
      </c>
      <c r="C20">
        <f>Master!P23</f>
        <v>25712564.297335099</v>
      </c>
      <c r="F20" s="23">
        <f>F37-F30</f>
        <v>6389.8001321022557</v>
      </c>
      <c r="G20" s="23">
        <f>G37-G30-G39</f>
        <v>7084.1367388991366</v>
      </c>
    </row>
    <row r="21" spans="1:16">
      <c r="A21" t="s">
        <v>18</v>
      </c>
      <c r="C21">
        <f>Master!P24</f>
        <v>12533404388.4767</v>
      </c>
    </row>
    <row r="22" spans="1:16">
      <c r="A22" t="s">
        <v>19</v>
      </c>
      <c r="C22">
        <f>Master!P25</f>
        <v>14094181078.004999</v>
      </c>
      <c r="G22" s="47">
        <f>G28-F28</f>
        <v>8.0408856465726188</v>
      </c>
    </row>
    <row r="23" spans="1:16">
      <c r="A23" t="s">
        <v>20</v>
      </c>
      <c r="C23">
        <f>Master!P26</f>
        <v>925652314.70406497</v>
      </c>
    </row>
    <row r="24" spans="1:16">
      <c r="A24" t="s">
        <v>148</v>
      </c>
      <c r="C24">
        <f>Master!P27</f>
        <v>296606541.9465</v>
      </c>
    </row>
    <row r="25" spans="1:16">
      <c r="A25" t="s">
        <v>149</v>
      </c>
      <c r="C25">
        <f>Master!P28</f>
        <v>70365476.0079166</v>
      </c>
    </row>
    <row r="26" spans="1:16">
      <c r="A26" t="s">
        <v>150</v>
      </c>
      <c r="C26">
        <f>Master!P29</f>
        <v>80488334.614268705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Master!P30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Master!P31</f>
        <v>2422936393.3999801</v>
      </c>
      <c r="E28" s="9" t="s">
        <v>32</v>
      </c>
      <c r="F28" s="10">
        <f>F37*E11/$E$3</f>
        <v>39.477220277561777</v>
      </c>
      <c r="G28" s="11">
        <f>C22/E4</f>
        <v>47.518105924134396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Master!P32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Master!P33</f>
        <v>3795981160.2201099</v>
      </c>
      <c r="E30" s="9" t="s">
        <v>22</v>
      </c>
      <c r="F30" s="31">
        <f>SUM(F31:F34)</f>
        <v>6143.604256374444</v>
      </c>
      <c r="G30" s="32">
        <f>SUM(G31:G34)</f>
        <v>6949.6112096808292</v>
      </c>
      <c r="H30" s="103"/>
      <c r="I30" s="103"/>
      <c r="J30" s="10">
        <f>((C6+C10+C14+C18)/(C5+C9+C13+C17))-((C16+C12+C8+C4)/(C3+C7+C11+C15))</f>
        <v>7.2956133877226357</v>
      </c>
      <c r="M30" t="s">
        <v>27</v>
      </c>
      <c r="N30" s="37">
        <f>F37-G37</f>
        <v>-2425.9958748073313</v>
      </c>
    </row>
    <row r="31" spans="1:16">
      <c r="E31" s="14" t="s">
        <v>24</v>
      </c>
      <c r="F31" s="33">
        <f>C8/E11</f>
        <v>297.67860554315797</v>
      </c>
      <c r="G31" s="34">
        <f>C10/E11</f>
        <v>351.63379592164603</v>
      </c>
      <c r="H31" s="138" t="s">
        <v>34</v>
      </c>
      <c r="I31" s="103"/>
      <c r="J31" s="15">
        <f>(C10/C9)-(C8/C7)</f>
        <v>7.0051947941568429</v>
      </c>
      <c r="M31" t="s">
        <v>22</v>
      </c>
      <c r="N31" s="37">
        <f>G30-F30</f>
        <v>806.00695330638518</v>
      </c>
      <c r="P31">
        <f>G31/F31</f>
        <v>1.1812531682619212</v>
      </c>
    </row>
    <row r="32" spans="1:16">
      <c r="A32" t="s">
        <v>144</v>
      </c>
      <c r="C32">
        <f>Master!P35</f>
        <v>102709124.422034</v>
      </c>
      <c r="E32" s="14" t="s">
        <v>25</v>
      </c>
      <c r="F32" s="33">
        <f>C12/E11</f>
        <v>3182.1059790916502</v>
      </c>
      <c r="G32" s="34">
        <f>C14/E11</f>
        <v>3758.8727695472103</v>
      </c>
      <c r="H32" s="138"/>
      <c r="I32" s="103"/>
      <c r="J32" s="15">
        <f>(C14/C13)-(C12/C11)</f>
        <v>7.0051947941568073</v>
      </c>
      <c r="M32" t="s">
        <v>29</v>
      </c>
      <c r="N32" s="37">
        <f>G39</f>
        <v>925.65231470406502</v>
      </c>
      <c r="P32">
        <f>G32/F32</f>
        <v>1.1812531682619198</v>
      </c>
    </row>
    <row r="33" spans="1:16">
      <c r="A33" t="s">
        <v>155</v>
      </c>
      <c r="C33">
        <f>Master!P36</f>
        <v>632027691.88537598</v>
      </c>
      <c r="E33" s="14" t="s">
        <v>23</v>
      </c>
      <c r="F33" s="33">
        <f>C4/E11</f>
        <v>2028.9797742576302</v>
      </c>
      <c r="G33" s="34">
        <f>C6/E11</f>
        <v>2396.7387867140897</v>
      </c>
      <c r="H33" s="138"/>
      <c r="I33" s="103"/>
      <c r="J33" s="15">
        <f>(C6/C5)-(C4/C3)</f>
        <v>4.3121863041611945</v>
      </c>
      <c r="M33" t="s">
        <v>85</v>
      </c>
      <c r="N33" s="37">
        <f>G40</f>
        <v>662.03952110829232</v>
      </c>
      <c r="P33">
        <f>G33/F33</f>
        <v>1.1812531682781393</v>
      </c>
    </row>
    <row r="34" spans="1:16">
      <c r="A34" t="s">
        <v>156</v>
      </c>
      <c r="C34">
        <f>Master!P37</f>
        <v>1878619.19896125</v>
      </c>
      <c r="E34" s="14" t="s">
        <v>26</v>
      </c>
      <c r="F34" s="33">
        <f>C16/E11</f>
        <v>634.83989748200599</v>
      </c>
      <c r="G34" s="34">
        <f>C18/E11</f>
        <v>442.36585749788395</v>
      </c>
      <c r="H34" s="138"/>
      <c r="I34" s="103"/>
      <c r="J34" s="69">
        <f>(C18/C17)-(C16/C15)</f>
        <v>0.2229785413138714</v>
      </c>
      <c r="N34" s="37"/>
      <c r="P34">
        <f>G34/F34</f>
        <v>0.69681483355482154</v>
      </c>
    </row>
    <row r="35" spans="1:16" ht="10" customHeight="1">
      <c r="A35" t="s">
        <v>157</v>
      </c>
      <c r="C35">
        <f>Master!P38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298.15595923748401</v>
      </c>
    </row>
    <row r="36" spans="1:16" ht="10" customHeight="1">
      <c r="A36" t="s">
        <v>158</v>
      </c>
      <c r="C36">
        <f>Master!P39</f>
        <v>69051150.1900177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1061.04072978367</v>
      </c>
    </row>
    <row r="37" spans="1:16">
      <c r="A37" t="s">
        <v>159</v>
      </c>
      <c r="C37">
        <f>Master!P40</f>
        <v>440639605.636967</v>
      </c>
      <c r="E37" s="9" t="s">
        <v>28</v>
      </c>
      <c r="F37" s="31">
        <f>C21/E11</f>
        <v>12533.4043884767</v>
      </c>
      <c r="G37" s="32">
        <f>(C22+C42+C41)/E11</f>
        <v>14959.400263284031</v>
      </c>
      <c r="H37" s="3" t="s">
        <v>34</v>
      </c>
      <c r="I37" s="3"/>
      <c r="J37" s="13"/>
      <c r="M37" t="s">
        <v>81</v>
      </c>
      <c r="N37" s="37">
        <f>SUM(N30:N35)</f>
        <v>265.85887354889519</v>
      </c>
    </row>
    <row r="38" spans="1:16" ht="10" customHeight="1">
      <c r="A38" t="s">
        <v>160</v>
      </c>
      <c r="C38">
        <f>Master!P41</f>
        <v>1244820.81702958</v>
      </c>
      <c r="E38" s="4"/>
      <c r="F38" s="35"/>
      <c r="G38" s="35"/>
      <c r="H38" s="103"/>
      <c r="I38" s="103"/>
      <c r="J38" s="13"/>
      <c r="N38" s="37">
        <f>SUM(N30:N36)</f>
        <v>1326.8996033325652</v>
      </c>
    </row>
    <row r="39" spans="1:16">
      <c r="A39" t="s">
        <v>161</v>
      </c>
      <c r="C39">
        <f>Master!P42</f>
        <v>1726251.8609164299</v>
      </c>
      <c r="E39" s="4" t="s">
        <v>29</v>
      </c>
      <c r="F39" s="35"/>
      <c r="G39" s="36">
        <f>C23/E11</f>
        <v>925.65231470406502</v>
      </c>
      <c r="H39" s="3" t="s">
        <v>34</v>
      </c>
      <c r="I39" s="3"/>
      <c r="J39" s="13"/>
      <c r="N39" s="37">
        <f>N38-N33</f>
        <v>664.8600822242729</v>
      </c>
    </row>
    <row r="40" spans="1:16">
      <c r="E40" s="9" t="s">
        <v>84</v>
      </c>
      <c r="F40" s="31"/>
      <c r="G40" s="32">
        <f>MIN(17.5394,G28-F28)*C11/E11</f>
        <v>662.03952110829232</v>
      </c>
      <c r="H40" s="3"/>
      <c r="I40" s="3"/>
      <c r="J40" s="13"/>
      <c r="N40" s="20">
        <f>N37/G37</f>
        <v>1.7772027545877787E-2</v>
      </c>
    </row>
    <row r="41" spans="1:16" ht="10" customHeight="1">
      <c r="A41" t="s">
        <v>164</v>
      </c>
      <c r="C41">
        <f>Master!P44</f>
        <v>785236792.27785397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Master!P45</f>
        <v>79982393.001178995</v>
      </c>
      <c r="E42" s="4" t="s">
        <v>30</v>
      </c>
      <c r="F42" s="35">
        <f>C19/E12</f>
        <v>39764.703681774801</v>
      </c>
      <c r="G42" s="36">
        <f>(C20/E12)+(F1*(C26-C25)/E12)</f>
        <v>31482.593702955797</v>
      </c>
      <c r="H42" s="103" t="s">
        <v>37</v>
      </c>
      <c r="I42" s="103"/>
      <c r="N42" s="20">
        <f>(G37-F37)/F37</f>
        <v>0.19356240328747462</v>
      </c>
    </row>
    <row r="43" spans="1:16">
      <c r="E43" s="9" t="s">
        <v>36</v>
      </c>
      <c r="F43" s="31">
        <f>F42*36/E12</f>
        <v>1431.5293325438927</v>
      </c>
      <c r="G43" s="32">
        <f>G42*36/E12</f>
        <v>1133.3733733064087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148.30327097324999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1061.04072978367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3E56-E6C4-7D4A-97F6-2785E3310BAD}">
  <dimension ref="B3:U55"/>
  <sheetViews>
    <sheetView showGridLines="0" zoomScale="86" workbookViewId="0">
      <selection activeCell="I21" sqref="I21:T21"/>
    </sheetView>
  </sheetViews>
  <sheetFormatPr baseColWidth="10" defaultRowHeight="16"/>
  <cols>
    <col min="2" max="2" width="22.1640625" customWidth="1"/>
    <col min="3" max="3" width="10.83203125" style="48"/>
    <col min="4" max="9" width="10" style="1" customWidth="1"/>
    <col min="10" max="20" width="10" customWidth="1"/>
  </cols>
  <sheetData>
    <row r="3" spans="2:21" ht="30" customHeight="1">
      <c r="B3" s="110"/>
      <c r="C3" s="200"/>
      <c r="D3" s="201" t="s">
        <v>21</v>
      </c>
      <c r="E3" s="202" t="s">
        <v>181</v>
      </c>
      <c r="F3" s="203"/>
      <c r="G3" s="203"/>
      <c r="H3" s="203"/>
      <c r="I3" s="206" t="s">
        <v>178</v>
      </c>
      <c r="J3" s="206"/>
      <c r="K3" s="206"/>
      <c r="L3" s="207"/>
      <c r="M3" s="205" t="s">
        <v>179</v>
      </c>
      <c r="N3" s="206"/>
      <c r="O3" s="206"/>
      <c r="P3" s="207"/>
      <c r="Q3" s="205" t="s">
        <v>180</v>
      </c>
      <c r="R3" s="206"/>
      <c r="S3" s="206"/>
      <c r="T3" s="206"/>
      <c r="U3" s="25"/>
    </row>
    <row r="4" spans="2:21">
      <c r="B4" s="112"/>
      <c r="C4" s="208"/>
      <c r="D4" s="209"/>
      <c r="E4" s="210">
        <v>-0.1</v>
      </c>
      <c r="F4" s="211">
        <v>-0.3</v>
      </c>
      <c r="G4" s="211">
        <v>-0.5</v>
      </c>
      <c r="H4" s="211">
        <v>-1</v>
      </c>
      <c r="I4" s="211">
        <f>E4</f>
        <v>-0.1</v>
      </c>
      <c r="J4" s="211">
        <f t="shared" ref="J4:L4" si="0">F4</f>
        <v>-0.3</v>
      </c>
      <c r="K4" s="211">
        <f t="shared" si="0"/>
        <v>-0.5</v>
      </c>
      <c r="L4" s="212">
        <f t="shared" si="0"/>
        <v>-1</v>
      </c>
      <c r="M4" s="210">
        <f>I4</f>
        <v>-0.1</v>
      </c>
      <c r="N4" s="211">
        <f t="shared" ref="N4:P4" si="1">J4</f>
        <v>-0.3</v>
      </c>
      <c r="O4" s="211">
        <f t="shared" si="1"/>
        <v>-0.5</v>
      </c>
      <c r="P4" s="212">
        <f t="shared" si="1"/>
        <v>-1</v>
      </c>
      <c r="Q4" s="210">
        <f>M4</f>
        <v>-0.1</v>
      </c>
      <c r="R4" s="211">
        <f t="shared" ref="R4:T4" si="2">N4</f>
        <v>-0.3</v>
      </c>
      <c r="S4" s="211">
        <f t="shared" si="2"/>
        <v>-0.5</v>
      </c>
      <c r="T4" s="211">
        <f t="shared" si="2"/>
        <v>-1</v>
      </c>
      <c r="U4" s="25"/>
    </row>
    <row r="5" spans="2:21" ht="10" customHeight="1">
      <c r="B5" s="148"/>
      <c r="C5" s="200"/>
      <c r="D5" s="213"/>
      <c r="E5" s="214"/>
      <c r="F5" s="161"/>
      <c r="G5" s="161"/>
      <c r="H5" s="161"/>
      <c r="I5" s="161"/>
      <c r="J5" s="161"/>
      <c r="K5" s="161"/>
      <c r="L5" s="215"/>
      <c r="M5" s="214"/>
      <c r="N5" s="161"/>
      <c r="O5" s="161"/>
      <c r="P5" s="215"/>
      <c r="Q5" s="214"/>
      <c r="R5" s="161"/>
      <c r="S5" s="161"/>
      <c r="T5" s="161"/>
      <c r="U5" s="25"/>
    </row>
    <row r="6" spans="2:21">
      <c r="B6" s="216" t="s">
        <v>32</v>
      </c>
      <c r="C6" s="217" t="str">
        <f>'0 -0.5'!H28</f>
        <v>[$/MWh]</v>
      </c>
      <c r="D6" s="218">
        <f>'0 -0.5'!F28</f>
        <v>39.477220277561777</v>
      </c>
      <c r="E6" s="219">
        <f>'0 -0.1'!$G28</f>
        <v>54.105676644262033</v>
      </c>
      <c r="F6" s="220">
        <f>'0 -0.3'!$G28</f>
        <v>52.295135047397601</v>
      </c>
      <c r="G6" s="220">
        <f>'0 -0.5'!$G28</f>
        <v>50.270947671249189</v>
      </c>
      <c r="H6" s="220">
        <f>'0 -1'!$G28</f>
        <v>42.665046778779811</v>
      </c>
      <c r="I6" s="220">
        <f>'-0.1 -0.1'!$G28</f>
        <v>53.354524314382481</v>
      </c>
      <c r="J6" s="220">
        <f>'-0.1 -0.3'!$G28</f>
        <v>51.399830681450837</v>
      </c>
      <c r="K6" s="220">
        <f>'-0.1 -0.5'!$G28</f>
        <v>48.850957978634369</v>
      </c>
      <c r="L6" s="221">
        <f>'-0.1 -1'!$G28</f>
        <v>41.570630011635352</v>
      </c>
      <c r="M6" s="219">
        <f>'-0.3 -0.1'!$G28</f>
        <v>52.19107075538264</v>
      </c>
      <c r="N6" s="220">
        <f>'-0.3 -0.3'!$G28</f>
        <v>49.859277719943861</v>
      </c>
      <c r="O6" s="220">
        <f>'-0.3 -0.5'!$G28</f>
        <v>46.667444412585404</v>
      </c>
      <c r="P6" s="221">
        <f>'-0.3 -1'!$G28</f>
        <v>38.554282875955252</v>
      </c>
      <c r="Q6" s="219">
        <f>'-0.5 -0.1'!$G28</f>
        <v>50.56949272292988</v>
      </c>
      <c r="R6" s="220">
        <f>'-0.5 -0.3'!$G28</f>
        <v>47.518105924134396</v>
      </c>
      <c r="S6" s="220">
        <f>'-0.5 -0.5'!$G28</f>
        <v>43.995880435355915</v>
      </c>
      <c r="T6" s="220">
        <f>'-0.5 -1'!$G28</f>
        <v>34.338706197187342</v>
      </c>
      <c r="U6" s="25"/>
    </row>
    <row r="7" spans="2:21" ht="10" customHeight="1">
      <c r="B7" s="148"/>
      <c r="C7" s="200"/>
      <c r="D7" s="213"/>
      <c r="E7" s="214"/>
      <c r="F7" s="161"/>
      <c r="G7" s="161"/>
      <c r="H7" s="161"/>
      <c r="I7" s="161"/>
      <c r="J7" s="161"/>
      <c r="K7" s="161"/>
      <c r="L7" s="215"/>
      <c r="M7" s="214"/>
      <c r="N7" s="161"/>
      <c r="O7" s="161"/>
      <c r="P7" s="215"/>
      <c r="Q7" s="214"/>
      <c r="R7" s="161"/>
      <c r="S7" s="161"/>
      <c r="T7" s="161"/>
      <c r="U7" s="25"/>
    </row>
    <row r="8" spans="2:21">
      <c r="B8" s="148" t="s">
        <v>28</v>
      </c>
      <c r="C8" s="222" t="str">
        <f>'0 -0.5'!H31</f>
        <v>[MMUSD]</v>
      </c>
      <c r="D8" s="223">
        <f>'0 -0.5'!F37</f>
        <v>12533.4043884767</v>
      </c>
      <c r="E8" s="224">
        <f>'0 -0.1'!$G37</f>
        <v>16033.418074234438</v>
      </c>
      <c r="F8" s="117">
        <f>'0 -0.3'!$G37</f>
        <v>15480.353884409698</v>
      </c>
      <c r="G8" s="117">
        <f>'0 -0.5'!$G37</f>
        <v>14913.04938217253</v>
      </c>
      <c r="H8" s="117">
        <f>'0 -1'!$G37</f>
        <v>12941.809951291036</v>
      </c>
      <c r="I8" s="117">
        <f>'-0.1 -0.1'!$G37</f>
        <v>16872.428165521884</v>
      </c>
      <c r="J8" s="117">
        <f>'-0.1 -0.3'!$G37</f>
        <v>16155.777548742641</v>
      </c>
      <c r="K8" s="117">
        <f>'-0.1 -0.5'!$G37</f>
        <v>15293.3683442524</v>
      </c>
      <c r="L8" s="225">
        <f>'-0.1 -1'!$G37</f>
        <v>13278.075029209476</v>
      </c>
      <c r="M8" s="224">
        <f>'-0.3 -0.1'!$G37</f>
        <v>16509.406037602599</v>
      </c>
      <c r="N8" s="117">
        <f>'-0.3 -0.3'!$G37</f>
        <v>15683.53502231765</v>
      </c>
      <c r="O8" s="117">
        <f>'-0.3 -0.5'!$G37</f>
        <v>14629.120382679708</v>
      </c>
      <c r="P8" s="225">
        <f>'-0.3 -1'!$G37</f>
        <v>12508.534349518526</v>
      </c>
      <c r="Q8" s="224">
        <f>'-0.5 -0.1'!$G37</f>
        <v>16001.201427178094</v>
      </c>
      <c r="R8" s="117">
        <f>'-0.5 -0.3'!$G37</f>
        <v>14959.400263284031</v>
      </c>
      <c r="S8" s="117">
        <f>'-0.5 -0.5'!$G37</f>
        <v>13836.168045866518</v>
      </c>
      <c r="T8" s="117">
        <f>'-0.5 -1'!$G37</f>
        <v>11367.9885070786</v>
      </c>
      <c r="U8" s="25"/>
    </row>
    <row r="9" spans="2:21">
      <c r="B9" s="148" t="s">
        <v>22</v>
      </c>
      <c r="C9" s="226"/>
      <c r="D9" s="223">
        <f>'0 -0.5'!F30</f>
        <v>6143.604256374444</v>
      </c>
      <c r="E9" s="224">
        <f>'0 -0.1'!$G30</f>
        <v>8273.7792335883369</v>
      </c>
      <c r="F9" s="117">
        <f>'0 -0.3'!$G30</f>
        <v>7826.3922395902828</v>
      </c>
      <c r="G9" s="117">
        <f>'0 -0.5'!$G30</f>
        <v>7358.8467543958641</v>
      </c>
      <c r="H9" s="117">
        <f>'0 -1'!$G30</f>
        <v>5737.668435824372</v>
      </c>
      <c r="I9" s="117">
        <f>'-0.1 -0.1'!$G30</f>
        <v>8164.3042797890175</v>
      </c>
      <c r="J9" s="117">
        <f>'-0.1 -0.3'!$G30</f>
        <v>7708.9268531343369</v>
      </c>
      <c r="K9" s="117">
        <f>'-0.1 -0.5'!$G30</f>
        <v>7163.3586360907348</v>
      </c>
      <c r="L9" s="225">
        <f>'-0.1 -1'!$G30</f>
        <v>5469.6401343820489</v>
      </c>
      <c r="M9" s="224">
        <f>'-0.3 -0.1'!$G30</f>
        <v>7911.2231963545082</v>
      </c>
      <c r="N9" s="117">
        <f>'-0.3 -0.3'!$G30</f>
        <v>7400.4602104676114</v>
      </c>
      <c r="O9" s="117">
        <f>'-0.3 -0.5'!$G30</f>
        <v>6747.6749740669675</v>
      </c>
      <c r="P9" s="225">
        <f>'-0.3 -1'!$G30</f>
        <v>4884.153945030549</v>
      </c>
      <c r="Q9" s="224">
        <f>'-0.5 -0.1'!$G30</f>
        <v>7580.9157858871149</v>
      </c>
      <c r="R9" s="117">
        <f>'-0.5 -0.3'!$G30</f>
        <v>6949.6112096808292</v>
      </c>
      <c r="S9" s="117">
        <f>'-0.5 -0.5'!$G30</f>
        <v>6230.1258335695065</v>
      </c>
      <c r="T9" s="117">
        <f>'-0.5 -1'!$G30</f>
        <v>4191.3665574424067</v>
      </c>
      <c r="U9" s="25"/>
    </row>
    <row r="10" spans="2:21" ht="10" customHeight="1">
      <c r="B10" s="148"/>
      <c r="C10" s="226"/>
      <c r="D10" s="213"/>
      <c r="E10" s="214"/>
      <c r="F10" s="161"/>
      <c r="G10" s="161"/>
      <c r="H10" s="161"/>
      <c r="I10" s="161"/>
      <c r="J10" s="161"/>
      <c r="K10" s="161"/>
      <c r="L10" s="215"/>
      <c r="M10" s="214"/>
      <c r="N10" s="161"/>
      <c r="O10" s="161"/>
      <c r="P10" s="215"/>
      <c r="Q10" s="214"/>
      <c r="R10" s="161"/>
      <c r="S10" s="161"/>
      <c r="T10" s="161"/>
      <c r="U10" s="25"/>
    </row>
    <row r="11" spans="2:21">
      <c r="B11" s="148" t="s">
        <v>29</v>
      </c>
      <c r="C11" s="226"/>
      <c r="D11" s="223" t="s">
        <v>86</v>
      </c>
      <c r="E11" s="224">
        <f>'0 -0.1'!$G39</f>
        <v>1309.55949683532</v>
      </c>
      <c r="F11" s="117">
        <f>'0 -0.3'!$G39</f>
        <v>1111.2539836067199</v>
      </c>
      <c r="G11" s="117">
        <f>'0 -0.5'!$G39</f>
        <v>945.97308325003803</v>
      </c>
      <c r="H11" s="117">
        <f>'0 -1'!$G39</f>
        <v>586.645929081502</v>
      </c>
      <c r="I11" s="117">
        <f>'-0.1 -0.1'!$G39</f>
        <v>1261.2675035385598</v>
      </c>
      <c r="J11" s="117">
        <f>'-0.1 -0.3'!$G39</f>
        <v>1073.2620860888899</v>
      </c>
      <c r="K11" s="117">
        <f>'-0.1 -0.5'!$G39</f>
        <v>908.550440584184</v>
      </c>
      <c r="L11" s="225">
        <f>'-0.1 -1'!$G39</f>
        <v>564.58423336467195</v>
      </c>
      <c r="M11" s="224">
        <f>'-0.3 -0.1'!$G39</f>
        <v>1170.1887106670401</v>
      </c>
      <c r="N11" s="117">
        <f>'-0.3 -0.3'!$G39</f>
        <v>998.37105209439392</v>
      </c>
      <c r="O11" s="117">
        <f>'-0.3 -0.5'!$G39</f>
        <v>840.31379397382602</v>
      </c>
      <c r="P11" s="225">
        <f>'-0.3 -1'!$G39</f>
        <v>521.34524194245898</v>
      </c>
      <c r="Q11" s="224">
        <f>'-0.5 -0.1'!$G39</f>
        <v>1086.8425755692101</v>
      </c>
      <c r="R11" s="117">
        <f>'-0.5 -0.3'!$G39</f>
        <v>925.65231470406502</v>
      </c>
      <c r="S11" s="117">
        <f>'-0.5 -0.5'!$G39</f>
        <v>777.47904668608101</v>
      </c>
      <c r="T11" s="117">
        <f>'-0.5 -1'!$G39</f>
        <v>461.70180333399895</v>
      </c>
      <c r="U11" s="25"/>
    </row>
    <row r="12" spans="2:21">
      <c r="B12" s="148" t="s">
        <v>84</v>
      </c>
      <c r="C12" s="227"/>
      <c r="D12" s="213" t="s">
        <v>86</v>
      </c>
      <c r="E12" s="224">
        <f>'0 -0.1'!$G40</f>
        <v>1204.421586531553</v>
      </c>
      <c r="F12" s="117">
        <f>'0 -0.3'!$G40</f>
        <v>1055.3521749741722</v>
      </c>
      <c r="G12" s="117">
        <f>'0 -0.5'!$G40</f>
        <v>888.69241881783978</v>
      </c>
      <c r="H12" s="117">
        <f>'0 -1'!$G40</f>
        <v>262.46699965721865</v>
      </c>
      <c r="I12" s="117">
        <f>'-0.1 -0.1'!$G40</f>
        <v>1142.57609455334</v>
      </c>
      <c r="J12" s="117">
        <f>'-0.1 -0.3'!$G40</f>
        <v>981.63804698751119</v>
      </c>
      <c r="K12" s="117">
        <f>'-0.1 -0.5'!$G40</f>
        <v>771.77876808359088</v>
      </c>
      <c r="L12" s="225">
        <f>'-0.1 -1'!$G40</f>
        <v>172.35912046830902</v>
      </c>
      <c r="M12" s="224">
        <f>'-0.3 -0.1'!$G40</f>
        <v>1046.7841294779121</v>
      </c>
      <c r="N12" s="117">
        <f>'-0.3 -0.3'!$G40</f>
        <v>854.79792144577209</v>
      </c>
      <c r="O12" s="117">
        <f>'-0.3 -0.5'!$G40</f>
        <v>592.00102479275279</v>
      </c>
      <c r="P12" s="225">
        <f>'-0.3 -1'!$G40</f>
        <v>-75.989270613860754</v>
      </c>
      <c r="Q12" s="224">
        <f>'-0.5 -0.1'!$G40</f>
        <v>913.2728732268863</v>
      </c>
      <c r="R12" s="117">
        <f>'-0.5 -0.3'!$G40</f>
        <v>662.03952110829232</v>
      </c>
      <c r="S12" s="117">
        <f>'-0.5 -0.5'!$G40</f>
        <v>372.04006354601927</v>
      </c>
      <c r="T12" s="117">
        <f>'-0.5 -1'!$G40</f>
        <v>-423.0752121725979</v>
      </c>
      <c r="U12" s="25"/>
    </row>
    <row r="13" spans="2:21" ht="10" customHeight="1">
      <c r="B13" s="148"/>
      <c r="C13" s="200"/>
      <c r="D13" s="213"/>
      <c r="E13" s="214"/>
      <c r="F13" s="161"/>
      <c r="G13" s="161"/>
      <c r="H13" s="161"/>
      <c r="I13" s="161"/>
      <c r="J13" s="161"/>
      <c r="K13" s="161"/>
      <c r="L13" s="215"/>
      <c r="M13" s="214"/>
      <c r="N13" s="161"/>
      <c r="O13" s="161"/>
      <c r="P13" s="215"/>
      <c r="Q13" s="214"/>
      <c r="R13" s="161"/>
      <c r="S13" s="161"/>
      <c r="T13" s="161"/>
      <c r="U13" s="25"/>
    </row>
    <row r="14" spans="2:21">
      <c r="B14" s="148" t="s">
        <v>30</v>
      </c>
      <c r="C14" s="200" t="str">
        <f>'0 -0.5'!H42</f>
        <v>[000 ton CO2]</v>
      </c>
      <c r="D14" s="223">
        <f>'0 -0.5'!F42</f>
        <v>39764.703681774801</v>
      </c>
      <c r="E14" s="224">
        <f>'0 -0.1'!$G42</f>
        <v>36376.6526898702</v>
      </c>
      <c r="F14" s="117">
        <f>'0 -0.3'!$G42</f>
        <v>30868.166211297797</v>
      </c>
      <c r="G14" s="117">
        <f>'0 -0.5'!$G42</f>
        <v>26277.0300902788</v>
      </c>
      <c r="H14" s="117">
        <f>'0 -1'!$G42</f>
        <v>16295.7202522639</v>
      </c>
      <c r="I14" s="117">
        <f>'-0.1 -0.1'!$G42</f>
        <v>36959.655497231019</v>
      </c>
      <c r="J14" s="117">
        <f>'-0.1 -0.3'!$G42</f>
        <v>31403.493509956843</v>
      </c>
      <c r="K14" s="117">
        <f>'-0.1 -0.5'!$G42</f>
        <v>26454.729845819482</v>
      </c>
      <c r="L14" s="225">
        <f>'-0.1 -1'!$G42</f>
        <v>15399.396423869794</v>
      </c>
      <c r="M14" s="224">
        <f>'-0.3 -0.1'!$G42</f>
        <v>37906.192693069766</v>
      </c>
      <c r="N14" s="117">
        <f>'-0.3 -0.3'!$G42</f>
        <v>31986.855587156198</v>
      </c>
      <c r="O14" s="117">
        <f>'-0.3 -0.5'!$G42</f>
        <v>26285.36863877482</v>
      </c>
      <c r="P14" s="225">
        <f>'-0.3 -1'!$G42</f>
        <v>13356.988461970672</v>
      </c>
      <c r="Q14" s="224">
        <f>'-0.5 -0.1'!$G42</f>
        <v>38218.338456801263</v>
      </c>
      <c r="R14" s="117">
        <f>'-0.5 -0.3'!$G42</f>
        <v>31482.593702955797</v>
      </c>
      <c r="S14" s="117">
        <f>'-0.5 -0.5'!$G42</f>
        <v>24908.573198168167</v>
      </c>
      <c r="T14" s="117">
        <f>'-0.5 -1'!$G42</f>
        <v>9339.8048979933792</v>
      </c>
      <c r="U14" s="25"/>
    </row>
    <row r="15" spans="2:21">
      <c r="B15" s="148" t="s">
        <v>36</v>
      </c>
      <c r="C15" s="200" t="str">
        <f>C8</f>
        <v>[MMUSD]</v>
      </c>
      <c r="D15" s="223">
        <f>'0 -0.5'!F43</f>
        <v>1431.5293325438927</v>
      </c>
      <c r="E15" s="224">
        <f>'0 -0.1'!$G43</f>
        <v>1309.5594968353273</v>
      </c>
      <c r="F15" s="117">
        <f>'0 -0.3'!$G43</f>
        <v>1111.2539836067208</v>
      </c>
      <c r="G15" s="117">
        <f>'0 -0.5'!$G43</f>
        <v>945.97308325003678</v>
      </c>
      <c r="H15" s="117">
        <f>'0 -1'!$G43</f>
        <v>586.64592908150041</v>
      </c>
      <c r="I15" s="117">
        <f>'-0.1 -0.1'!$G43</f>
        <v>1330.5475979003165</v>
      </c>
      <c r="J15" s="117">
        <f>'-0.1 -0.3'!$G43</f>
        <v>1130.5257663584464</v>
      </c>
      <c r="K15" s="117">
        <f>'-0.1 -0.5'!$G43</f>
        <v>952.37027444950127</v>
      </c>
      <c r="L15" s="225">
        <f>'-0.1 -1'!$G43</f>
        <v>554.37827125931256</v>
      </c>
      <c r="M15" s="224">
        <f>'-0.3 -0.1'!$G43</f>
        <v>1364.6229369505115</v>
      </c>
      <c r="N15" s="117">
        <f>'-0.3 -0.3'!$G43</f>
        <v>1151.5268011376231</v>
      </c>
      <c r="O15" s="117">
        <f>'-0.3 -0.5'!$G43</f>
        <v>946.27327099589354</v>
      </c>
      <c r="P15" s="225">
        <f>'-0.3 -1'!$G43</f>
        <v>480.85158463094416</v>
      </c>
      <c r="Q15" s="224">
        <f>'-0.5 -0.1'!$G43</f>
        <v>1375.8601844448453</v>
      </c>
      <c r="R15" s="117">
        <f>'-0.5 -0.3'!$G43</f>
        <v>1133.3733733064087</v>
      </c>
      <c r="S15" s="117">
        <f>'-0.5 -0.5'!$G43</f>
        <v>896.70863513405402</v>
      </c>
      <c r="T15" s="117">
        <f>'-0.5 -1'!$G43</f>
        <v>336.23297632776166</v>
      </c>
      <c r="U15" s="25"/>
    </row>
    <row r="16" spans="2:21" ht="10" customHeight="1">
      <c r="B16" s="148"/>
      <c r="C16" s="200"/>
      <c r="D16" s="213"/>
      <c r="E16" s="214"/>
      <c r="F16" s="161"/>
      <c r="G16" s="161"/>
      <c r="H16" s="161"/>
      <c r="I16" s="161"/>
      <c r="J16" s="161"/>
      <c r="K16" s="161"/>
      <c r="L16" s="215"/>
      <c r="M16" s="214"/>
      <c r="N16" s="161"/>
      <c r="O16" s="161"/>
      <c r="P16" s="215"/>
      <c r="Q16" s="214"/>
      <c r="R16" s="161"/>
      <c r="S16" s="161"/>
      <c r="T16" s="161"/>
      <c r="U16" s="25"/>
    </row>
    <row r="17" spans="2:21">
      <c r="B17" s="228" t="s">
        <v>81</v>
      </c>
      <c r="C17" s="229" t="str">
        <f>C15</f>
        <v>[MMUSD]</v>
      </c>
      <c r="D17" s="230" t="s">
        <v>86</v>
      </c>
      <c r="E17" s="231">
        <f>($D$8-E8)-($D$9-E9)+E11+E12+($D$15-E15)</f>
        <v>1266.1122105315931</v>
      </c>
      <c r="F17" s="232">
        <f t="shared" ref="F17:H17" si="3">($D$8-F8)-($D$9-F9)+F11+F12+($D$15-F15)</f>
        <v>1222.719994800904</v>
      </c>
      <c r="G17" s="232">
        <f t="shared" si="3"/>
        <v>1155.8192556873232</v>
      </c>
      <c r="H17" s="232">
        <f t="shared" si="3"/>
        <v>879.65494883670476</v>
      </c>
      <c r="I17" s="232">
        <f>($D$8-I8)-($D$9-I9)+I11+I12+($D$15-I15)</f>
        <v>186.50157910486541</v>
      </c>
      <c r="J17" s="232">
        <f t="shared" ref="J17:L17" si="4">($D$8-J8)-($D$9-J9)+J11+J12+($D$15-J15)</f>
        <v>298.85313575579926</v>
      </c>
      <c r="K17" s="232">
        <f t="shared" si="4"/>
        <v>419.27869070275699</v>
      </c>
      <c r="L17" s="233">
        <f t="shared" si="4"/>
        <v>195.45965239238944</v>
      </c>
      <c r="M17" s="231">
        <f>($D$8-M8)-($D$9-M9)+M11+M12+($D$15-M15)</f>
        <v>75.496526592498185</v>
      </c>
      <c r="N17" s="232">
        <f t="shared" ref="N17:P17" si="5">($D$8-N8)-($D$9-N9)+N11+N12+($D$15-N15)</f>
        <v>239.89682519865255</v>
      </c>
      <c r="O17" s="232">
        <f t="shared" si="5"/>
        <v>425.92560380409293</v>
      </c>
      <c r="P17" s="233">
        <f t="shared" si="5"/>
        <v>161.45344685582529</v>
      </c>
      <c r="Q17" s="231">
        <f>($D$8-Q8)-($D$9-Q9)+Q11+Q12+($D$15-Q15)</f>
        <v>25.299087706420778</v>
      </c>
      <c r="R17" s="232">
        <f t="shared" ref="R17:T17" si="6">($D$8-R8)-($D$9-R9)+R11+R12+($D$15-R15)</f>
        <v>265.85887354889519</v>
      </c>
      <c r="S17" s="232">
        <f t="shared" si="6"/>
        <v>468.09772744718339</v>
      </c>
      <c r="T17" s="232">
        <f>($D$8-T8)-($D$9-T9)+T11+T12+($D$15-T15)</f>
        <v>347.10112984359409</v>
      </c>
      <c r="U17" s="25"/>
    </row>
    <row r="18" spans="2:21" ht="10" customHeight="1">
      <c r="B18" s="148"/>
      <c r="C18" s="200"/>
      <c r="D18" s="213"/>
      <c r="E18" s="214"/>
      <c r="F18" s="161"/>
      <c r="G18" s="161"/>
      <c r="H18" s="161"/>
      <c r="I18" s="161"/>
      <c r="J18" s="161"/>
      <c r="K18" s="161"/>
      <c r="L18" s="215"/>
      <c r="M18" s="214"/>
      <c r="N18" s="161"/>
      <c r="O18" s="161"/>
      <c r="P18" s="215"/>
      <c r="Q18" s="214"/>
      <c r="R18" s="161"/>
      <c r="S18" s="161"/>
      <c r="T18" s="161"/>
      <c r="U18" s="25"/>
    </row>
    <row r="19" spans="2:21">
      <c r="B19" s="110" t="s">
        <v>82</v>
      </c>
      <c r="C19" s="200" t="str">
        <f>'0 -0.5'!H45</f>
        <v>[TWh/year]</v>
      </c>
      <c r="D19" s="223">
        <f>'0 -0.5'!F45</f>
        <v>158.74223539999963</v>
      </c>
      <c r="E19" s="224">
        <f>'0 -0.1'!$G45</f>
        <v>154.78475253968548</v>
      </c>
      <c r="F19" s="117">
        <f>'0 -0.3'!$G45</f>
        <v>148.11365318646099</v>
      </c>
      <c r="G19" s="117">
        <f>'0 -0.5'!$G45</f>
        <v>142.31180000861048</v>
      </c>
      <c r="H19" s="117">
        <f>'0 -1'!$G45</f>
        <v>127.3466021721015</v>
      </c>
      <c r="I19" s="117">
        <f>'-0.1 -0.1'!$G45</f>
        <v>154.855341286124</v>
      </c>
      <c r="J19" s="117">
        <f>'-0.1 -0.3'!$G45</f>
        <v>148.24490672307249</v>
      </c>
      <c r="K19" s="117">
        <f>'-0.1 -0.5'!$G45</f>
        <v>142.22627313400702</v>
      </c>
      <c r="L19" s="225">
        <f>'-0.1 -1'!$G45</f>
        <v>127.10018733926199</v>
      </c>
      <c r="M19" s="224">
        <f>'-0.3 -0.1'!$G45</f>
        <v>154.97808221172602</v>
      </c>
      <c r="N19" s="117">
        <f>'-0.3 -0.3'!$G45</f>
        <v>148.38638856721749</v>
      </c>
      <c r="O19" s="117">
        <f>'-0.3 -0.5'!$G45</f>
        <v>142.06299680147001</v>
      </c>
      <c r="P19" s="225">
        <f>'-0.3 -1'!$G45</f>
        <v>126.6058622189355</v>
      </c>
      <c r="Q19" s="224">
        <f>'-0.5 -0.1'!$G45</f>
        <v>155.06333663050899</v>
      </c>
      <c r="R19" s="117">
        <f>'-0.5 -0.3'!$G45</f>
        <v>148.30327097324999</v>
      </c>
      <c r="S19" s="117">
        <f>'-0.5 -0.5'!$G45</f>
        <v>141.81410019416799</v>
      </c>
      <c r="T19" s="117">
        <f>'-0.5 -1'!$G45</f>
        <v>125.589813405839</v>
      </c>
      <c r="U19" s="25"/>
    </row>
    <row r="20" spans="2:21" ht="10" customHeight="1">
      <c r="B20" s="110"/>
      <c r="C20" s="200"/>
      <c r="D20" s="213"/>
      <c r="E20" s="214"/>
      <c r="F20" s="161"/>
      <c r="G20" s="161"/>
      <c r="H20" s="161"/>
      <c r="I20" s="161"/>
      <c r="J20" s="161"/>
      <c r="K20" s="161"/>
      <c r="L20" s="215"/>
      <c r="M20" s="214"/>
      <c r="N20" s="161"/>
      <c r="O20" s="161"/>
      <c r="P20" s="215"/>
      <c r="Q20" s="214"/>
      <c r="R20" s="161"/>
      <c r="S20" s="161"/>
      <c r="T20" s="161"/>
      <c r="U20" s="25"/>
    </row>
    <row r="21" spans="2:21">
      <c r="B21" s="110" t="s">
        <v>163</v>
      </c>
      <c r="C21" s="200" t="str">
        <f>C15</f>
        <v>[MMUSD]</v>
      </c>
      <c r="D21" s="213" t="s">
        <v>86</v>
      </c>
      <c r="E21" s="224" t="s">
        <v>86</v>
      </c>
      <c r="F21" s="117" t="s">
        <v>86</v>
      </c>
      <c r="G21" s="117" t="s">
        <v>86</v>
      </c>
      <c r="H21" s="117" t="s">
        <v>86</v>
      </c>
      <c r="I21" s="142">
        <f>'-0.1 -0.1'!$G$47</f>
        <v>1121.6060964645501</v>
      </c>
      <c r="J21" s="142">
        <f>'-0.1 -0.3'!$G$47</f>
        <v>941.04224488716989</v>
      </c>
      <c r="K21" s="142">
        <f>'-0.1 -0.5'!$G$47</f>
        <v>713.12139931798981</v>
      </c>
      <c r="L21" s="235">
        <f>'-0.1 -1'!$G$47</f>
        <v>-50.284689952189922</v>
      </c>
      <c r="M21" s="234">
        <f>'-0.3 -0.1'!$G$47</f>
        <v>1338.6081486806402</v>
      </c>
      <c r="N21" s="142">
        <f>'-0.3 -0.3'!$G$47</f>
        <v>1063.5809295096201</v>
      </c>
      <c r="O21" s="142">
        <f>'-0.3 -0.5'!$G$47</f>
        <v>727.67814866144988</v>
      </c>
      <c r="P21" s="235">
        <f>'-0.3 -1'!$G$47</f>
        <v>-245.57756873094988</v>
      </c>
      <c r="Q21" s="234">
        <f>'-0.5 -0.1'!$G$47</f>
        <v>1460.4528167706899</v>
      </c>
      <c r="R21" s="142">
        <f>'-0.5 -0.3'!$G$47</f>
        <v>1061.04072978367</v>
      </c>
      <c r="S21" s="142">
        <f>'-0.5 -0.5'!$G$47</f>
        <v>627.73444477622991</v>
      </c>
      <c r="T21" s="142">
        <f>'-0.5 -1'!$G$47</f>
        <v>-566.75855870477005</v>
      </c>
      <c r="U21" s="25"/>
    </row>
    <row r="22" spans="2:21">
      <c r="B22" s="25"/>
      <c r="C22" s="7"/>
      <c r="D22" s="30"/>
      <c r="E22" s="30"/>
      <c r="F22" s="30"/>
      <c r="G22" s="30"/>
      <c r="H22" s="30"/>
      <c r="I22" s="3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2:21">
      <c r="B23" s="25"/>
      <c r="C23" s="7"/>
      <c r="D23" s="30"/>
      <c r="E23" s="30"/>
      <c r="F23" s="30"/>
      <c r="G23" s="30"/>
      <c r="H23" s="30"/>
      <c r="I23" s="30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2:21">
      <c r="B24" s="25"/>
      <c r="C24" s="7"/>
      <c r="D24" s="30"/>
      <c r="E24" s="30"/>
      <c r="F24" s="30"/>
      <c r="G24" s="30"/>
      <c r="H24" s="30"/>
      <c r="I24" s="30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6" spans="2:21" ht="30" customHeight="1">
      <c r="B26" s="25"/>
      <c r="C26" s="104"/>
      <c r="D26" s="130" t="s">
        <v>21</v>
      </c>
      <c r="E26" s="125" t="s">
        <v>87</v>
      </c>
      <c r="F26" s="126"/>
      <c r="G26" s="126"/>
      <c r="H26" s="126"/>
    </row>
    <row r="27" spans="2:21">
      <c r="B27" s="26"/>
      <c r="C27" s="50"/>
      <c r="D27" s="131"/>
      <c r="E27" s="52">
        <f>I4</f>
        <v>-0.1</v>
      </c>
      <c r="F27" s="53">
        <f t="shared" ref="F27:H27" si="7">J4</f>
        <v>-0.3</v>
      </c>
      <c r="G27" s="53">
        <f t="shared" si="7"/>
        <v>-0.5</v>
      </c>
      <c r="H27" s="53">
        <f t="shared" si="7"/>
        <v>-1</v>
      </c>
    </row>
    <row r="28" spans="2:21" ht="10" customHeight="1">
      <c r="C28" s="104"/>
      <c r="D28" s="56"/>
      <c r="E28" s="57"/>
      <c r="F28" s="30"/>
      <c r="G28" s="30"/>
      <c r="H28" s="30"/>
      <c r="I28" s="1">
        <f>I4</f>
        <v>-0.1</v>
      </c>
      <c r="J28" s="1">
        <f>J4</f>
        <v>-0.3</v>
      </c>
      <c r="K28" s="1">
        <f>K4</f>
        <v>-0.5</v>
      </c>
      <c r="L28" s="1">
        <f>L4</f>
        <v>-1</v>
      </c>
    </row>
    <row r="29" spans="2:21">
      <c r="B29" s="49" t="s">
        <v>32</v>
      </c>
      <c r="C29" s="105" t="str">
        <f>C6</f>
        <v>[$/MWh]</v>
      </c>
      <c r="D29" s="58">
        <f>D6</f>
        <v>39.477220277561777</v>
      </c>
      <c r="E29" s="59">
        <f>I6</f>
        <v>53.354524314382481</v>
      </c>
      <c r="F29" s="60">
        <f>J6</f>
        <v>51.399830681450837</v>
      </c>
      <c r="G29" s="60">
        <f>K6</f>
        <v>48.850957978634369</v>
      </c>
      <c r="H29" s="60">
        <f>L6</f>
        <v>41.570630011635352</v>
      </c>
      <c r="I29" s="100">
        <f>E17/E8</f>
        <v>7.896708017401631E-2</v>
      </c>
      <c r="J29" s="100">
        <f>F17/F8</f>
        <v>7.8985274104896808E-2</v>
      </c>
      <c r="K29" s="100">
        <f>G17/G8</f>
        <v>7.7503884421453159E-2</v>
      </c>
      <c r="L29" s="100">
        <f>H17/H8</f>
        <v>6.797000977046129E-2</v>
      </c>
      <c r="M29" s="100" t="str">
        <f>P29</f>
        <v>100% Pass-through</v>
      </c>
      <c r="P29" t="s">
        <v>88</v>
      </c>
    </row>
    <row r="30" spans="2:21" ht="10" customHeight="1">
      <c r="C30" s="104"/>
      <c r="D30" s="56"/>
      <c r="E30" s="57"/>
      <c r="F30" s="30"/>
      <c r="G30" s="30"/>
      <c r="H30" s="30"/>
      <c r="I30" s="100">
        <f>I17/I8</f>
        <v>1.105363005699285E-2</v>
      </c>
      <c r="J30" s="100">
        <f>J17/J8</f>
        <v>1.8498220519201081E-2</v>
      </c>
      <c r="K30" s="100">
        <f>K17/K8</f>
        <v>2.7415719105486111E-2</v>
      </c>
      <c r="L30" s="100">
        <f>L17/L8</f>
        <v>1.4720481091002416E-2</v>
      </c>
      <c r="M30" s="100" t="str">
        <f>P31</f>
        <v>80% Pass-through</v>
      </c>
    </row>
    <row r="31" spans="2:21">
      <c r="B31" t="s">
        <v>28</v>
      </c>
      <c r="C31" s="127" t="str">
        <f>C8</f>
        <v>[MMUSD]</v>
      </c>
      <c r="D31" s="61">
        <f>D8</f>
        <v>12533.4043884767</v>
      </c>
      <c r="E31" s="62">
        <f t="shared" ref="E31:H32" si="8">I8</f>
        <v>16872.428165521884</v>
      </c>
      <c r="F31" s="29">
        <f t="shared" si="8"/>
        <v>16155.777548742641</v>
      </c>
      <c r="G31" s="29">
        <f t="shared" si="8"/>
        <v>15293.3683442524</v>
      </c>
      <c r="H31" s="29">
        <f t="shared" si="8"/>
        <v>13278.075029209476</v>
      </c>
      <c r="I31" s="29"/>
      <c r="J31" s="29"/>
      <c r="K31" s="29"/>
      <c r="L31" s="29"/>
      <c r="P31" t="s">
        <v>89</v>
      </c>
    </row>
    <row r="32" spans="2:21">
      <c r="B32" t="s">
        <v>22</v>
      </c>
      <c r="C32" s="128"/>
      <c r="D32" s="61">
        <f>D9</f>
        <v>6143.604256374444</v>
      </c>
      <c r="E32" s="62">
        <f t="shared" si="8"/>
        <v>8164.3042797890175</v>
      </c>
      <c r="F32" s="29">
        <f t="shared" si="8"/>
        <v>7708.9268531343369</v>
      </c>
      <c r="G32" s="29">
        <f t="shared" si="8"/>
        <v>7163.3586360907348</v>
      </c>
      <c r="H32" s="29">
        <f t="shared" si="8"/>
        <v>5469.6401343820489</v>
      </c>
      <c r="I32" s="29"/>
      <c r="J32" s="29"/>
      <c r="K32" s="29"/>
      <c r="L32" s="29"/>
    </row>
    <row r="33" spans="2:19" ht="10" customHeight="1">
      <c r="C33" s="128"/>
      <c r="D33" s="56"/>
      <c r="E33" s="57"/>
      <c r="F33" s="30"/>
      <c r="G33" s="30"/>
      <c r="H33" s="30"/>
      <c r="I33" s="30"/>
      <c r="J33" s="30"/>
      <c r="K33" s="30"/>
      <c r="L33" s="30"/>
    </row>
    <row r="34" spans="2:19">
      <c r="B34" t="s">
        <v>29</v>
      </c>
      <c r="C34" s="128"/>
      <c r="D34" s="61" t="str">
        <f>D11</f>
        <v>-</v>
      </c>
      <c r="E34" s="62">
        <f t="shared" ref="E34:H35" si="9">I11</f>
        <v>1261.2675035385598</v>
      </c>
      <c r="F34" s="29">
        <f t="shared" si="9"/>
        <v>1073.2620860888899</v>
      </c>
      <c r="G34" s="29">
        <f t="shared" si="9"/>
        <v>908.550440584184</v>
      </c>
      <c r="H34" s="29">
        <f t="shared" si="9"/>
        <v>564.58423336467195</v>
      </c>
      <c r="I34" s="29"/>
      <c r="J34" s="29"/>
      <c r="K34" s="29"/>
      <c r="L34" s="29"/>
      <c r="P34" t="str">
        <f>P29</f>
        <v>100% Pass-through</v>
      </c>
    </row>
    <row r="35" spans="2:19">
      <c r="B35" t="s">
        <v>84</v>
      </c>
      <c r="C35" s="129"/>
      <c r="D35" s="56" t="str">
        <f>D12</f>
        <v>-</v>
      </c>
      <c r="E35" s="62">
        <f t="shared" si="9"/>
        <v>1142.57609455334</v>
      </c>
      <c r="F35" s="29">
        <f t="shared" si="9"/>
        <v>981.63804698751119</v>
      </c>
      <c r="G35" s="29">
        <f t="shared" si="9"/>
        <v>771.77876808359088</v>
      </c>
      <c r="H35" s="29">
        <f t="shared" si="9"/>
        <v>172.35912046830902</v>
      </c>
      <c r="I35" s="29"/>
      <c r="J35" s="29"/>
      <c r="K35" s="29"/>
      <c r="L35" s="29"/>
    </row>
    <row r="36" spans="2:19" ht="10" customHeight="1">
      <c r="C36" s="104"/>
      <c r="D36" s="56"/>
      <c r="E36" s="57"/>
      <c r="F36" s="30"/>
      <c r="G36" s="30"/>
      <c r="H36" s="30"/>
      <c r="I36" s="30"/>
      <c r="J36" s="30"/>
      <c r="K36" s="30"/>
      <c r="L36" s="30"/>
    </row>
    <row r="37" spans="2:19">
      <c r="B37" t="s">
        <v>30</v>
      </c>
      <c r="C37" s="104" t="str">
        <f>C14</f>
        <v>[000 ton CO2]</v>
      </c>
      <c r="D37" s="61">
        <f>D14</f>
        <v>39764.703681774801</v>
      </c>
      <c r="E37" s="62">
        <f t="shared" ref="E37:H38" si="10">I14</f>
        <v>36959.655497231019</v>
      </c>
      <c r="F37" s="29">
        <f t="shared" si="10"/>
        <v>31403.493509956843</v>
      </c>
      <c r="G37" s="29">
        <f t="shared" si="10"/>
        <v>26454.729845819482</v>
      </c>
      <c r="H37" s="29">
        <f t="shared" si="10"/>
        <v>15399.396423869794</v>
      </c>
      <c r="I37" s="29"/>
      <c r="J37" s="29"/>
      <c r="K37" s="29"/>
      <c r="L37" s="29"/>
      <c r="P37" t="str">
        <f>P31</f>
        <v>80% Pass-through</v>
      </c>
    </row>
    <row r="38" spans="2:19">
      <c r="B38" t="s">
        <v>36</v>
      </c>
      <c r="C38" s="104" t="str">
        <f>C31</f>
        <v>[MMUSD]</v>
      </c>
      <c r="D38" s="61">
        <f>D15</f>
        <v>1431.5293325438927</v>
      </c>
      <c r="E38" s="62">
        <f t="shared" si="10"/>
        <v>1330.5475979003165</v>
      </c>
      <c r="F38" s="29">
        <f t="shared" si="10"/>
        <v>1130.5257663584464</v>
      </c>
      <c r="G38" s="29">
        <f t="shared" si="10"/>
        <v>952.37027444950127</v>
      </c>
      <c r="H38" s="29">
        <f t="shared" si="10"/>
        <v>554.37827125931256</v>
      </c>
      <c r="I38" s="29"/>
      <c r="J38" s="29"/>
      <c r="K38" s="29"/>
      <c r="L38" s="29"/>
    </row>
    <row r="39" spans="2:19" ht="10" customHeight="1">
      <c r="C39" s="104"/>
      <c r="D39" s="56"/>
      <c r="E39" s="57"/>
      <c r="F39" s="30"/>
      <c r="G39" s="30"/>
      <c r="H39" s="30"/>
      <c r="I39" s="30"/>
      <c r="J39" s="30"/>
      <c r="K39" s="30"/>
      <c r="L39" s="30"/>
    </row>
    <row r="40" spans="2:19">
      <c r="B40" s="54" t="s">
        <v>81</v>
      </c>
      <c r="C40" s="55" t="str">
        <f>C17</f>
        <v>[MMUSD]</v>
      </c>
      <c r="D40" s="63" t="s">
        <v>86</v>
      </c>
      <c r="E40" s="64">
        <f>I17</f>
        <v>186.50157910486541</v>
      </c>
      <c r="F40" s="65">
        <f>J17</f>
        <v>298.85313575579926</v>
      </c>
      <c r="G40" s="65">
        <f>K17</f>
        <v>419.27869070275699</v>
      </c>
      <c r="H40" s="65">
        <f>L17</f>
        <v>195.45965239238944</v>
      </c>
      <c r="I40" s="29"/>
      <c r="J40" s="29"/>
      <c r="K40" s="29"/>
      <c r="L40" s="29"/>
    </row>
    <row r="41" spans="2:19" ht="10" customHeight="1">
      <c r="C41" s="104"/>
      <c r="D41" s="56"/>
      <c r="E41" s="57"/>
      <c r="F41" s="30"/>
      <c r="G41" s="30"/>
      <c r="H41" s="30"/>
      <c r="I41" s="30"/>
      <c r="J41" s="30"/>
      <c r="K41" s="30"/>
      <c r="L41" s="30"/>
    </row>
    <row r="42" spans="2:19">
      <c r="B42" t="s">
        <v>82</v>
      </c>
      <c r="C42" s="104" t="str">
        <f>C19</f>
        <v>[TWh/year]</v>
      </c>
      <c r="D42" s="61">
        <f>D19</f>
        <v>158.74223539999963</v>
      </c>
      <c r="E42" s="62">
        <f>I19</f>
        <v>154.855341286124</v>
      </c>
      <c r="F42" s="29">
        <f>J19</f>
        <v>148.24490672307249</v>
      </c>
      <c r="G42" s="29">
        <f>K19</f>
        <v>142.22627313400702</v>
      </c>
      <c r="H42" s="29">
        <f>L19</f>
        <v>127.10018733926199</v>
      </c>
      <c r="I42" s="29"/>
      <c r="J42" s="29"/>
      <c r="K42" s="29"/>
      <c r="L42" s="29"/>
    </row>
    <row r="44" spans="2:19">
      <c r="N44">
        <f>I4</f>
        <v>-0.1</v>
      </c>
      <c r="O44">
        <f t="shared" ref="O44:Q44" si="11">J4</f>
        <v>-0.3</v>
      </c>
      <c r="P44">
        <f t="shared" si="11"/>
        <v>-0.5</v>
      </c>
      <c r="Q44">
        <f t="shared" si="11"/>
        <v>-1</v>
      </c>
    </row>
    <row r="45" spans="2:19">
      <c r="M45" t="s">
        <v>129</v>
      </c>
      <c r="N45" s="37">
        <f>E17</f>
        <v>1266.1122105315931</v>
      </c>
      <c r="O45" s="37">
        <f t="shared" ref="O45:Q45" si="12">F17</f>
        <v>1222.719994800904</v>
      </c>
      <c r="P45" s="37">
        <f t="shared" si="12"/>
        <v>1155.8192556873232</v>
      </c>
      <c r="Q45" s="37">
        <f t="shared" si="12"/>
        <v>879.65494883670476</v>
      </c>
      <c r="S45" s="21">
        <f>(N45-N48)/N45</f>
        <v>0.98001828945650982</v>
      </c>
    </row>
    <row r="46" spans="2:19">
      <c r="M46" t="s">
        <v>130</v>
      </c>
      <c r="N46" s="37">
        <f>I17</f>
        <v>186.50157910486541</v>
      </c>
      <c r="O46" s="37">
        <f t="shared" ref="O46:Q46" si="13">J17</f>
        <v>298.85313575579926</v>
      </c>
      <c r="P46" s="37">
        <f t="shared" si="13"/>
        <v>419.27869070275699</v>
      </c>
      <c r="Q46" s="37">
        <f t="shared" si="13"/>
        <v>195.45965239238944</v>
      </c>
    </row>
    <row r="47" spans="2:19">
      <c r="M47" t="s">
        <v>131</v>
      </c>
      <c r="N47" s="37">
        <f>M17</f>
        <v>75.496526592498185</v>
      </c>
      <c r="O47" s="37">
        <f t="shared" ref="O47:Q47" si="14">N17</f>
        <v>239.89682519865255</v>
      </c>
      <c r="P47" s="37">
        <f t="shared" si="14"/>
        <v>425.92560380409293</v>
      </c>
      <c r="Q47" s="37">
        <f t="shared" si="14"/>
        <v>161.45344685582529</v>
      </c>
    </row>
    <row r="48" spans="2:19">
      <c r="M48" t="s">
        <v>132</v>
      </c>
      <c r="N48" s="37">
        <f>Q17</f>
        <v>25.299087706420778</v>
      </c>
      <c r="O48" s="37">
        <f>R17</f>
        <v>265.85887354889519</v>
      </c>
      <c r="P48" s="37">
        <f>S17</f>
        <v>468.09772744718339</v>
      </c>
      <c r="Q48" s="37">
        <f>T17</f>
        <v>347.10112984359409</v>
      </c>
    </row>
    <row r="51" spans="13:17">
      <c r="N51">
        <f t="shared" ref="N51:Q51" si="15">N44</f>
        <v>-0.1</v>
      </c>
      <c r="O51">
        <f t="shared" si="15"/>
        <v>-0.3</v>
      </c>
      <c r="P51">
        <f t="shared" si="15"/>
        <v>-0.5</v>
      </c>
      <c r="Q51">
        <f t="shared" si="15"/>
        <v>-1</v>
      </c>
    </row>
    <row r="52" spans="13:17">
      <c r="M52" t="str">
        <f t="shared" ref="M52:M54" si="16">M45</f>
        <v>Exchange Elasticity = 0</v>
      </c>
      <c r="N52" s="20">
        <f>E17/E8</f>
        <v>7.896708017401631E-2</v>
      </c>
      <c r="O52" s="20">
        <f t="shared" ref="O52:Q52" si="17">F17/F8</f>
        <v>7.8985274104896808E-2</v>
      </c>
      <c r="P52" s="20">
        <f t="shared" si="17"/>
        <v>7.7503884421453159E-2</v>
      </c>
      <c r="Q52" s="20">
        <f t="shared" si="17"/>
        <v>6.797000977046129E-2</v>
      </c>
    </row>
    <row r="53" spans="13:17">
      <c r="M53" t="str">
        <f t="shared" si="16"/>
        <v>Exch. Elast. = -0.1</v>
      </c>
      <c r="N53" s="20">
        <f>I17/I8</f>
        <v>1.105363005699285E-2</v>
      </c>
      <c r="O53" s="20">
        <f t="shared" ref="O53:Q53" si="18">J17/J8</f>
        <v>1.8498220519201081E-2</v>
      </c>
      <c r="P53" s="21">
        <f t="shared" si="18"/>
        <v>2.7415719105486111E-2</v>
      </c>
      <c r="Q53" s="20">
        <f t="shared" si="18"/>
        <v>1.4720481091002416E-2</v>
      </c>
    </row>
    <row r="54" spans="13:17">
      <c r="M54" t="str">
        <f t="shared" si="16"/>
        <v>Exch. Elast. = -0.3</v>
      </c>
      <c r="N54" s="20">
        <f>M17/M8</f>
        <v>4.5729402027270844E-3</v>
      </c>
      <c r="O54" s="20">
        <f t="shared" ref="O54:Q54" si="19">N17/N8</f>
        <v>1.5296093951859685E-2</v>
      </c>
      <c r="P54" s="21">
        <f t="shared" si="19"/>
        <v>2.9114915501575321E-2</v>
      </c>
      <c r="Q54" s="20">
        <f t="shared" si="19"/>
        <v>1.29074632042754E-2</v>
      </c>
    </row>
    <row r="55" spans="13:17">
      <c r="M55" t="str">
        <f>M48</f>
        <v>Exch. Elast. = -0.5</v>
      </c>
      <c r="N55" s="20">
        <f>Q17/Q8</f>
        <v>1.5810742600521354E-3</v>
      </c>
      <c r="O55" s="20">
        <f t="shared" ref="O55:Q55" si="20">R17/R8</f>
        <v>1.7772027545877787E-2</v>
      </c>
      <c r="P55" s="21">
        <f t="shared" si="20"/>
        <v>3.3831457228291263E-2</v>
      </c>
      <c r="Q55" s="20">
        <f t="shared" si="20"/>
        <v>3.0533205555887195E-2</v>
      </c>
    </row>
  </sheetData>
  <mergeCells count="9">
    <mergeCell ref="D26:D27"/>
    <mergeCell ref="E26:H26"/>
    <mergeCell ref="C31:C35"/>
    <mergeCell ref="D3:D4"/>
    <mergeCell ref="E3:H3"/>
    <mergeCell ref="I3:L3"/>
    <mergeCell ref="M3:P3"/>
    <mergeCell ref="Q3:T3"/>
    <mergeCell ref="C8:C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DE14-7ACB-6C4E-A75F-9212227614E6}">
  <sheetPr codeName="Sheet18"/>
  <dimension ref="A1:P47"/>
  <sheetViews>
    <sheetView showGridLines="0" topLeftCell="A11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Master!Q6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Master!Q7</f>
        <v>2028979774.2576301</v>
      </c>
      <c r="E4">
        <f>C24</f>
        <v>283628200.388336</v>
      </c>
      <c r="G4" s="1">
        <f>F42/2</f>
        <v>19882.351840887401</v>
      </c>
    </row>
    <row r="5" spans="1:10">
      <c r="A5" t="s">
        <v>2</v>
      </c>
      <c r="C5">
        <f>Master!Q8</f>
        <v>57400196.505467802</v>
      </c>
    </row>
    <row r="6" spans="1:10">
      <c r="A6" t="s">
        <v>3</v>
      </c>
      <c r="C6">
        <f>Master!Q9</f>
        <v>2171919431.22821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Master!Q10</f>
        <v>7702168.4569703899</v>
      </c>
      <c r="J7" s="20">
        <f>J6/H6</f>
        <v>-0.36090965768927602</v>
      </c>
    </row>
    <row r="8" spans="1:10">
      <c r="A8" t="s">
        <v>5</v>
      </c>
      <c r="C8">
        <f>Master!Q11</f>
        <v>297678605.54315799</v>
      </c>
    </row>
    <row r="9" spans="1:10">
      <c r="A9" t="s">
        <v>6</v>
      </c>
      <c r="C9">
        <f>Master!Q12</f>
        <v>7693815.6487122597</v>
      </c>
    </row>
    <row r="10" spans="1:10">
      <c r="A10" t="s">
        <v>7</v>
      </c>
      <c r="C10">
        <f>Master!Q13</f>
        <v>318649774.545874</v>
      </c>
    </row>
    <row r="11" spans="1:10">
      <c r="A11" t="s">
        <v>8</v>
      </c>
      <c r="C11">
        <f>Master!Q14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Master!Q15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Master!Q16</f>
        <v>82462839.323318899</v>
      </c>
    </row>
    <row r="14" spans="1:10">
      <c r="A14" t="s">
        <v>11</v>
      </c>
      <c r="C14">
        <f>Master!Q17</f>
        <v>3406282258.5759301</v>
      </c>
    </row>
    <row r="15" spans="1:10">
      <c r="A15" t="s">
        <v>12</v>
      </c>
      <c r="C15">
        <f>Master!Q18</f>
        <v>104587743.620995</v>
      </c>
    </row>
    <row r="16" spans="1:10">
      <c r="A16" t="s">
        <v>13</v>
      </c>
      <c r="C16">
        <f>Master!Q19</f>
        <v>634839897.48200595</v>
      </c>
    </row>
    <row r="17" spans="1:16">
      <c r="A17" t="s">
        <v>14</v>
      </c>
      <c r="C17">
        <f>Master!Q20</f>
        <v>59730571.134811699</v>
      </c>
    </row>
    <row r="18" spans="1:16">
      <c r="A18" t="s">
        <v>15</v>
      </c>
      <c r="C18">
        <f>Master!Q21</f>
        <v>333274369.21949297</v>
      </c>
      <c r="G18" s="1">
        <f>G19*1000000</f>
        <v>438763033.5086742</v>
      </c>
    </row>
    <row r="19" spans="1:16">
      <c r="A19" t="s">
        <v>16</v>
      </c>
      <c r="C19">
        <f>Master!Q22</f>
        <v>39764703.681774803</v>
      </c>
      <c r="G19" s="23">
        <f>G20-F20</f>
        <v>438.7630335086742</v>
      </c>
    </row>
    <row r="20" spans="1:16">
      <c r="A20" t="s">
        <v>17</v>
      </c>
      <c r="C20">
        <f>Master!Q23</f>
        <v>21596640.1857244</v>
      </c>
      <c r="F20" s="23">
        <f>F37-F30</f>
        <v>6389.8001321022557</v>
      </c>
      <c r="G20" s="23">
        <f>G37-G30-G39</f>
        <v>6828.5631656109299</v>
      </c>
    </row>
    <row r="21" spans="1:16">
      <c r="A21" t="s">
        <v>18</v>
      </c>
      <c r="C21">
        <f>Master!Q24</f>
        <v>12533404388.4767</v>
      </c>
    </row>
    <row r="22" spans="1:16">
      <c r="A22" t="s">
        <v>19</v>
      </c>
      <c r="C22">
        <f>Master!Q25</f>
        <v>12478472392.3804</v>
      </c>
      <c r="G22" s="47">
        <f>G28-F28</f>
        <v>4.5186601577941374</v>
      </c>
    </row>
    <row r="23" spans="1:16">
      <c r="A23" t="s">
        <v>20</v>
      </c>
      <c r="C23">
        <f>Master!Q26</f>
        <v>777479046.68608105</v>
      </c>
    </row>
    <row r="24" spans="1:16">
      <c r="A24" t="s">
        <v>148</v>
      </c>
      <c r="C24">
        <f>Master!Q27</f>
        <v>283628200.388336</v>
      </c>
    </row>
    <row r="25" spans="1:16">
      <c r="A25" t="s">
        <v>149</v>
      </c>
      <c r="C25">
        <f>Master!Q28</f>
        <v>70365476.0079166</v>
      </c>
    </row>
    <row r="26" spans="1:16">
      <c r="A26" t="s">
        <v>150</v>
      </c>
      <c r="C26">
        <f>Master!Q29</f>
        <v>76175884.8016776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Master!Q30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152</v>
      </c>
      <c r="C28">
        <f>Master!Q31</f>
        <v>2053743512.1217799</v>
      </c>
      <c r="E28" s="9" t="s">
        <v>32</v>
      </c>
      <c r="F28" s="10">
        <f>F37*E11/$E$3</f>
        <v>39.477220277561777</v>
      </c>
      <c r="G28" s="11">
        <f>C22/E4</f>
        <v>43.995880435355915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153</v>
      </c>
      <c r="C29">
        <f>Master!Q32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154</v>
      </c>
      <c r="C30">
        <f>Master!Q33</f>
        <v>3362674875.2126698</v>
      </c>
      <c r="E30" s="9" t="s">
        <v>22</v>
      </c>
      <c r="F30" s="31">
        <f>SUM(F31:F34)</f>
        <v>6143.604256374444</v>
      </c>
      <c r="G30" s="32">
        <f>SUM(G31:G34)</f>
        <v>6230.1258335695065</v>
      </c>
      <c r="H30" s="103"/>
      <c r="I30" s="103"/>
      <c r="J30" s="10">
        <f>((C6+C10+C14+C18)/(C5+C9+C13+C17))-((C16+C12+C8+C4)/(C3+C7+C11+C15))</f>
        <v>5.194579019491055</v>
      </c>
      <c r="M30" t="s">
        <v>27</v>
      </c>
      <c r="N30" s="37">
        <f>F37-G37</f>
        <v>-1302.763657389818</v>
      </c>
    </row>
    <row r="31" spans="1:16">
      <c r="E31" s="14" t="s">
        <v>24</v>
      </c>
      <c r="F31" s="33">
        <f>C8/E11</f>
        <v>297.67860554315797</v>
      </c>
      <c r="G31" s="34">
        <f>C10/E11</f>
        <v>318.64977454587398</v>
      </c>
      <c r="H31" s="138" t="s">
        <v>34</v>
      </c>
      <c r="I31" s="103"/>
      <c r="J31" s="70">
        <f>(C10/C9)-(C8/C7)</f>
        <v>2.7676766570362119</v>
      </c>
      <c r="M31" t="s">
        <v>22</v>
      </c>
      <c r="N31" s="37">
        <f>G30-F30</f>
        <v>86.521577195062491</v>
      </c>
      <c r="P31">
        <f>G31/F31</f>
        <v>1.0704490299679115</v>
      </c>
    </row>
    <row r="32" spans="1:16">
      <c r="A32" t="s">
        <v>144</v>
      </c>
      <c r="C32">
        <f>Master!Q35</f>
        <v>102709124.422034</v>
      </c>
      <c r="E32" s="14" t="s">
        <v>25</v>
      </c>
      <c r="F32" s="33">
        <f>C12/E11</f>
        <v>3182.1059790916502</v>
      </c>
      <c r="G32" s="34">
        <f>C14/E11</f>
        <v>3406.28225857593</v>
      </c>
      <c r="H32" s="138"/>
      <c r="I32" s="103"/>
      <c r="J32" s="70">
        <f>(C14/C13)-(C12/C11)</f>
        <v>2.6582007508771426</v>
      </c>
      <c r="M32" t="s">
        <v>29</v>
      </c>
      <c r="N32" s="37">
        <f>G39</f>
        <v>777.47904668608101</v>
      </c>
      <c r="P32">
        <f>G32/F32</f>
        <v>1.0704490299685971</v>
      </c>
    </row>
    <row r="33" spans="1:16">
      <c r="A33" t="s">
        <v>155</v>
      </c>
      <c r="C33">
        <f>Master!Q36</f>
        <v>632027691.88537598</v>
      </c>
      <c r="E33" s="14" t="s">
        <v>23</v>
      </c>
      <c r="F33" s="33">
        <f>C4/E11</f>
        <v>2028.9797742576302</v>
      </c>
      <c r="G33" s="34">
        <f>C6/E11</f>
        <v>2171.9194312282098</v>
      </c>
      <c r="H33" s="138"/>
      <c r="I33" s="103"/>
      <c r="J33" s="70">
        <f>(C6/C5)-(C4/C3)</f>
        <v>-0.81277960582686859</v>
      </c>
      <c r="M33" t="s">
        <v>85</v>
      </c>
      <c r="N33" s="37">
        <f>G40</f>
        <v>372.04006354601927</v>
      </c>
      <c r="P33">
        <f>G33/F33</f>
        <v>1.0704490299923659</v>
      </c>
    </row>
    <row r="34" spans="1:16">
      <c r="A34" t="s">
        <v>156</v>
      </c>
      <c r="C34">
        <f>Master!Q37</f>
        <v>1878619.19896125</v>
      </c>
      <c r="E34" s="14" t="s">
        <v>26</v>
      </c>
      <c r="F34" s="33">
        <f>C16/E11</f>
        <v>634.83989748200599</v>
      </c>
      <c r="G34" s="34">
        <f>C18/E11</f>
        <v>333.274369219493</v>
      </c>
      <c r="H34" s="138"/>
      <c r="I34" s="103"/>
      <c r="J34" s="69">
        <f>(C18/C17)-(C16/C15)</f>
        <v>-0.49029828291141087</v>
      </c>
      <c r="N34" s="37"/>
      <c r="P34">
        <f>G34/F34</f>
        <v>0.52497388796982369</v>
      </c>
    </row>
    <row r="35" spans="1:16" ht="10" customHeight="1">
      <c r="A35" t="s">
        <v>157</v>
      </c>
      <c r="C35">
        <f>Master!Q38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534.82069740983866</v>
      </c>
    </row>
    <row r="36" spans="1:16" ht="10" customHeight="1">
      <c r="A36" t="s">
        <v>158</v>
      </c>
      <c r="C36">
        <f>Master!Q39</f>
        <v>59036909.917305604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627.73444477622991</v>
      </c>
    </row>
    <row r="37" spans="1:16">
      <c r="A37" t="s">
        <v>159</v>
      </c>
      <c r="C37">
        <f>Master!Q40</f>
        <v>332527705.57681</v>
      </c>
      <c r="E37" s="9" t="s">
        <v>28</v>
      </c>
      <c r="F37" s="31">
        <f>C21/E11</f>
        <v>12533.4043884767</v>
      </c>
      <c r="G37" s="32">
        <f>(C22+C42+C41)/E11</f>
        <v>13836.168045866518</v>
      </c>
      <c r="H37" s="3" t="s">
        <v>34</v>
      </c>
      <c r="I37" s="3"/>
      <c r="J37" s="13"/>
      <c r="M37" t="s">
        <v>81</v>
      </c>
      <c r="N37" s="37">
        <f>SUM(N30:N35)</f>
        <v>468.09772744718339</v>
      </c>
    </row>
    <row r="38" spans="1:16" ht="10" customHeight="1">
      <c r="A38" t="s">
        <v>160</v>
      </c>
      <c r="C38">
        <f>Master!Q41</f>
        <v>693661.21750612103</v>
      </c>
      <c r="E38" s="4"/>
      <c r="F38" s="35"/>
      <c r="G38" s="35"/>
      <c r="H38" s="103"/>
      <c r="I38" s="103"/>
      <c r="J38" s="13"/>
      <c r="N38" s="37">
        <f>SUM(N30:N36)</f>
        <v>1095.8321722234132</v>
      </c>
    </row>
    <row r="39" spans="1:16">
      <c r="A39" t="s">
        <v>161</v>
      </c>
      <c r="C39">
        <f>Master!Q42</f>
        <v>746663.64268333802</v>
      </c>
      <c r="E39" s="4" t="s">
        <v>29</v>
      </c>
      <c r="F39" s="35"/>
      <c r="G39" s="36">
        <f>C23/E11</f>
        <v>777.47904668608101</v>
      </c>
      <c r="H39" s="3" t="s">
        <v>34</v>
      </c>
      <c r="I39" s="3"/>
      <c r="J39" s="13"/>
      <c r="N39" s="37">
        <f>N38-N33</f>
        <v>723.79210867739391</v>
      </c>
    </row>
    <row r="40" spans="1:16">
      <c r="E40" s="9" t="s">
        <v>84</v>
      </c>
      <c r="F40" s="31"/>
      <c r="G40" s="32">
        <f>MIN(17.5394,G28-F28)*C11/E11</f>
        <v>372.04006354601927</v>
      </c>
      <c r="H40" s="3"/>
      <c r="I40" s="3"/>
      <c r="J40" s="13"/>
      <c r="N40" s="20">
        <f>N37/G37</f>
        <v>3.3831457228291263E-2</v>
      </c>
    </row>
    <row r="41" spans="1:16" ht="10" customHeight="1">
      <c r="A41" t="s">
        <v>164</v>
      </c>
      <c r="C41">
        <f>Master!Q44</f>
        <v>1276751788.03181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Master!Q45</f>
        <v>80943865.454307705</v>
      </c>
      <c r="E42" s="4" t="s">
        <v>30</v>
      </c>
      <c r="F42" s="35">
        <f>C19/E12</f>
        <v>39764.703681774801</v>
      </c>
      <c r="G42" s="36">
        <f>(C20/E12)+(F1*(C26-C25)/E12)</f>
        <v>24908.573198168167</v>
      </c>
      <c r="H42" s="103" t="s">
        <v>37</v>
      </c>
      <c r="I42" s="103"/>
      <c r="N42" s="20">
        <f>(G37-F37)/F37</f>
        <v>0.10394331954912331</v>
      </c>
    </row>
    <row r="43" spans="1:16">
      <c r="E43" s="9" t="s">
        <v>36</v>
      </c>
      <c r="F43" s="31">
        <f>F42*36/E12</f>
        <v>1431.5293325438927</v>
      </c>
      <c r="G43" s="32">
        <f>G42*36/E12</f>
        <v>896.70863513405402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141.81410019416799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627.73444477622991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4D2-7AC1-534B-9B23-62DF5097D619}">
  <sheetPr codeName="Sheet19"/>
  <dimension ref="A1:P47"/>
  <sheetViews>
    <sheetView showGridLines="0" topLeftCell="A15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Master!R6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Master!R7</f>
        <v>2028979774.2576301</v>
      </c>
      <c r="E4">
        <f>C24</f>
        <v>251179626.81167799</v>
      </c>
      <c r="G4" s="1">
        <f>F42/2</f>
        <v>19882.351840887401</v>
      </c>
    </row>
    <row r="5" spans="1:10">
      <c r="A5" t="s">
        <v>2</v>
      </c>
      <c r="C5">
        <f>Master!R8</f>
        <v>59373357.934106402</v>
      </c>
    </row>
    <row r="6" spans="1:10">
      <c r="A6" t="s">
        <v>3</v>
      </c>
      <c r="C6">
        <f>Master!R9</f>
        <v>1486302098.5346301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Master!R10</f>
        <v>7702168.4569703899</v>
      </c>
      <c r="J7" s="20">
        <f>J6/H6</f>
        <v>-0.36090965768927602</v>
      </c>
    </row>
    <row r="8" spans="1:10">
      <c r="A8" t="s">
        <v>5</v>
      </c>
      <c r="C8">
        <f>Master!R11</f>
        <v>297678605.54315799</v>
      </c>
    </row>
    <row r="9" spans="1:10">
      <c r="A9" t="s">
        <v>6</v>
      </c>
      <c r="C9">
        <f>Master!R12</f>
        <v>7598113.9295509104</v>
      </c>
    </row>
    <row r="10" spans="1:10">
      <c r="A10" t="s">
        <v>7</v>
      </c>
      <c r="C10">
        <f>Master!R13</f>
        <v>218060496.067269</v>
      </c>
    </row>
    <row r="11" spans="1:10">
      <c r="A11" t="s">
        <v>8</v>
      </c>
      <c r="C11">
        <f>Master!R14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Master!R15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Master!R16</f>
        <v>82277239.5637573</v>
      </c>
    </row>
    <row r="14" spans="1:10">
      <c r="A14" t="s">
        <v>11</v>
      </c>
      <c r="C14">
        <f>Master!R17</f>
        <v>2331009334.9717898</v>
      </c>
    </row>
    <row r="15" spans="1:10">
      <c r="A15" t="s">
        <v>12</v>
      </c>
      <c r="C15">
        <f>Master!R18</f>
        <v>104587743.620995</v>
      </c>
    </row>
    <row r="16" spans="1:10">
      <c r="A16" t="s">
        <v>13</v>
      </c>
      <c r="C16">
        <f>Master!R19</f>
        <v>634839897.48200595</v>
      </c>
    </row>
    <row r="17" spans="1:16">
      <c r="A17" t="s">
        <v>14</v>
      </c>
      <c r="C17">
        <f>Master!R20</f>
        <v>36258754.486268401</v>
      </c>
    </row>
    <row r="18" spans="1:16">
      <c r="A18" t="s">
        <v>15</v>
      </c>
      <c r="C18">
        <f>Master!R21</f>
        <v>155994627.868718</v>
      </c>
      <c r="G18" s="1">
        <f>G19*1000000</f>
        <v>325120014.19993883</v>
      </c>
    </row>
    <row r="19" spans="1:16">
      <c r="A19" t="s">
        <v>16</v>
      </c>
      <c r="C19">
        <f>Master!R22</f>
        <v>39764703.681774803</v>
      </c>
      <c r="G19" s="23">
        <f>G20-F20</f>
        <v>325.12001419993885</v>
      </c>
    </row>
    <row r="20" spans="1:16">
      <c r="A20" t="s">
        <v>17</v>
      </c>
      <c r="C20">
        <f>Master!R23</f>
        <v>12825050.092611101</v>
      </c>
      <c r="F20" s="23">
        <f>F37-F30</f>
        <v>6389.8001321022557</v>
      </c>
      <c r="G20" s="23">
        <f>G37-G30-G39</f>
        <v>6714.9201463021946</v>
      </c>
    </row>
    <row r="21" spans="1:16">
      <c r="A21" t="s">
        <v>18</v>
      </c>
      <c r="C21">
        <f>Master!R24</f>
        <v>12533404388.4767</v>
      </c>
    </row>
    <row r="22" spans="1:16">
      <c r="A22" t="s">
        <v>19</v>
      </c>
      <c r="C22">
        <f>Master!R25</f>
        <v>8625183407.8053703</v>
      </c>
      <c r="G22" s="47">
        <f>G28-F28</f>
        <v>-5.1385140803744349</v>
      </c>
    </row>
    <row r="23" spans="1:16">
      <c r="A23" t="s">
        <v>20</v>
      </c>
      <c r="C23">
        <f>Master!R26</f>
        <v>461701803.33399898</v>
      </c>
    </row>
    <row r="24" spans="1:16">
      <c r="A24" t="s">
        <v>148</v>
      </c>
      <c r="C24">
        <f>Master!R27</f>
        <v>251179626.81167799</v>
      </c>
    </row>
    <row r="25" spans="1:16">
      <c r="A25" t="s">
        <v>149</v>
      </c>
      <c r="C25">
        <f>Master!R28</f>
        <v>70365476.0079166</v>
      </c>
    </row>
    <row r="26" spans="1:16">
      <c r="A26" t="s">
        <v>150</v>
      </c>
      <c r="C26">
        <f>Master!R29</f>
        <v>64251010.7542013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151</v>
      </c>
      <c r="C27">
        <f>Master!R30</f>
        <v>3654859701.6658301</v>
      </c>
      <c r="E27" s="4"/>
      <c r="F27" s="7"/>
      <c r="G27" s="7"/>
      <c r="J27" s="139" t="s">
        <v>43</v>
      </c>
      <c r="K27" s="102"/>
    </row>
    <row r="28" spans="1:16">
      <c r="A28" t="s">
        <v>152</v>
      </c>
      <c r="C28">
        <f>Master!R31</f>
        <v>1267324284.8858199</v>
      </c>
      <c r="E28" s="9" t="s">
        <v>32</v>
      </c>
      <c r="F28" s="10">
        <f>F37*E11/$E$3</f>
        <v>39.477220277561777</v>
      </c>
      <c r="G28" s="11">
        <f>C22/E4</f>
        <v>34.338706197187342</v>
      </c>
      <c r="H28" s="103" t="s">
        <v>33</v>
      </c>
      <c r="I28" s="103"/>
      <c r="J28" s="140"/>
      <c r="M28" t="s">
        <v>38</v>
      </c>
    </row>
    <row r="29" spans="1:16" ht="10" customHeight="1">
      <c r="A29" t="s">
        <v>153</v>
      </c>
      <c r="C29">
        <f>Master!R32</f>
        <v>2734940430.43644</v>
      </c>
      <c r="E29" s="4"/>
      <c r="F29" s="13"/>
      <c r="G29" s="13"/>
      <c r="H29" s="103"/>
      <c r="I29" s="103"/>
      <c r="J29" s="140"/>
    </row>
    <row r="30" spans="1:16">
      <c r="A30" t="s">
        <v>154</v>
      </c>
      <c r="C30">
        <f>Master!R33</f>
        <v>2168181871.7316699</v>
      </c>
      <c r="E30" s="9" t="s">
        <v>22</v>
      </c>
      <c r="F30" s="31">
        <f>SUM(F31:F34)</f>
        <v>6143.604256374444</v>
      </c>
      <c r="G30" s="32">
        <f>SUM(G31:G34)</f>
        <v>4191.3665574424067</v>
      </c>
      <c r="H30" s="103"/>
      <c r="I30" s="103"/>
      <c r="J30" s="10">
        <f>((C6+C10+C14+C18)/(C5+C9+C13+C17))-((C16+C12+C8+C4)/(C3+C7+C11+C15))</f>
        <v>-2.266856114700488</v>
      </c>
      <c r="M30" t="s">
        <v>27</v>
      </c>
      <c r="N30" s="37">
        <f>F37-G37</f>
        <v>1165.4158813980994</v>
      </c>
    </row>
    <row r="31" spans="1:16">
      <c r="E31" s="14" t="s">
        <v>24</v>
      </c>
      <c r="F31" s="33">
        <f>C8/E11</f>
        <v>297.67860554315797</v>
      </c>
      <c r="G31" s="34">
        <f>C10/E11</f>
        <v>218.06049606726899</v>
      </c>
      <c r="H31" s="138" t="s">
        <v>34</v>
      </c>
      <c r="I31" s="103"/>
      <c r="J31" s="70">
        <f>(C10/C9)-(C8/C7)</f>
        <v>-9.9493822498009585</v>
      </c>
      <c r="M31" t="s">
        <v>22</v>
      </c>
      <c r="N31" s="37">
        <f>G30-F30</f>
        <v>-1952.2376989320373</v>
      </c>
      <c r="P31">
        <f>G31/F31</f>
        <v>0.73253667548390267</v>
      </c>
    </row>
    <row r="32" spans="1:16">
      <c r="A32" t="s">
        <v>144</v>
      </c>
      <c r="C32">
        <f>Master!R35</f>
        <v>102709124.422034</v>
      </c>
      <c r="E32" s="14" t="s">
        <v>25</v>
      </c>
      <c r="F32" s="33">
        <f>C12/E11</f>
        <v>3182.1059790916502</v>
      </c>
      <c r="G32" s="34">
        <f>C14/E11</f>
        <v>2331.0093349717899</v>
      </c>
      <c r="H32" s="138"/>
      <c r="I32" s="103"/>
      <c r="J32" s="70">
        <f>(C14/C13)-(C12/C11)</f>
        <v>-10.317518695421583</v>
      </c>
      <c r="M32" t="s">
        <v>29</v>
      </c>
      <c r="N32" s="37">
        <f>G39</f>
        <v>461.70180333399895</v>
      </c>
      <c r="P32">
        <f>G32/F32</f>
        <v>0.73253667548721602</v>
      </c>
    </row>
    <row r="33" spans="1:16">
      <c r="A33" t="s">
        <v>155</v>
      </c>
      <c r="C33">
        <f>Master!R36</f>
        <v>632027691.88537598</v>
      </c>
      <c r="E33" s="14" t="s">
        <v>23</v>
      </c>
      <c r="F33" s="33">
        <f>C4/E11</f>
        <v>2028.9797742576302</v>
      </c>
      <c r="G33" s="34">
        <f>C6/E11</f>
        <v>1486.30209853463</v>
      </c>
      <c r="H33" s="138"/>
      <c r="I33" s="103"/>
      <c r="J33" s="70">
        <f>(C6/C5)-(C4/C3)</f>
        <v>-13.617818976974622</v>
      </c>
      <c r="M33" t="s">
        <v>85</v>
      </c>
      <c r="N33" s="37">
        <f>G40</f>
        <v>-423.0752121725979</v>
      </c>
      <c r="P33">
        <f>G33/F33</f>
        <v>0.73253667552129398</v>
      </c>
    </row>
    <row r="34" spans="1:16">
      <c r="A34" t="s">
        <v>156</v>
      </c>
      <c r="C34">
        <f>Master!R37</f>
        <v>1878619.19896125</v>
      </c>
      <c r="E34" s="14" t="s">
        <v>26</v>
      </c>
      <c r="F34" s="33">
        <f>C16/E11</f>
        <v>634.83989748200599</v>
      </c>
      <c r="G34" s="34">
        <f>C18/E11</f>
        <v>155.994627868718</v>
      </c>
      <c r="H34" s="138"/>
      <c r="I34" s="103"/>
      <c r="J34" s="69">
        <f>(C18/C17)-(C16/C15)</f>
        <v>-1.7676652475116912</v>
      </c>
      <c r="N34" s="37"/>
      <c r="P34">
        <f>G34/F34</f>
        <v>0.245722785362808</v>
      </c>
    </row>
    <row r="35" spans="1:16" ht="10" customHeight="1">
      <c r="A35" t="s">
        <v>157</v>
      </c>
      <c r="C35">
        <f>Master!R38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1095.296356216131</v>
      </c>
    </row>
    <row r="36" spans="1:16" ht="10" customHeight="1">
      <c r="A36" t="s">
        <v>158</v>
      </c>
      <c r="C36">
        <f>Master!R39</f>
        <v>36117335.140407301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-566.75855870477005</v>
      </c>
    </row>
    <row r="37" spans="1:16">
      <c r="A37" t="s">
        <v>159</v>
      </c>
      <c r="C37">
        <f>Master!R40</f>
        <v>155926149.31828001</v>
      </c>
      <c r="E37" s="9" t="s">
        <v>28</v>
      </c>
      <c r="F37" s="31">
        <f>C21/E11</f>
        <v>12533.4043884767</v>
      </c>
      <c r="G37" s="32">
        <f>(C22+C42+C41)/E11</f>
        <v>11367.9885070786</v>
      </c>
      <c r="H37" s="3" t="s">
        <v>34</v>
      </c>
      <c r="I37" s="3"/>
      <c r="J37" s="13"/>
      <c r="M37" t="s">
        <v>81</v>
      </c>
      <c r="N37" s="37">
        <f>SUM(N30:N35)</f>
        <v>347.10112984359409</v>
      </c>
    </row>
    <row r="38" spans="1:16" ht="10" customHeight="1">
      <c r="A38" t="s">
        <v>160</v>
      </c>
      <c r="C38">
        <f>Master!R41</f>
        <v>141419.345861143</v>
      </c>
      <c r="E38" s="4"/>
      <c r="F38" s="35"/>
      <c r="G38" s="35"/>
      <c r="H38" s="103"/>
      <c r="I38" s="103"/>
      <c r="J38" s="13"/>
      <c r="N38" s="37">
        <f>SUM(N30:N36)</f>
        <v>-219.65742886117596</v>
      </c>
    </row>
    <row r="39" spans="1:16">
      <c r="A39" t="s">
        <v>161</v>
      </c>
      <c r="C39">
        <f>Master!R42</f>
        <v>68478.550437954793</v>
      </c>
      <c r="E39" s="4" t="s">
        <v>29</v>
      </c>
      <c r="F39" s="35"/>
      <c r="G39" s="36">
        <f>C23/E11</f>
        <v>461.70180333399895</v>
      </c>
      <c r="H39" s="3" t="s">
        <v>34</v>
      </c>
      <c r="I39" s="3"/>
      <c r="J39" s="13"/>
      <c r="N39" s="37">
        <f>N38-N33</f>
        <v>203.41778331142194</v>
      </c>
    </row>
    <row r="40" spans="1:16">
      <c r="E40" s="9" t="s">
        <v>84</v>
      </c>
      <c r="F40" s="31"/>
      <c r="G40" s="32">
        <f>MIN(17.5394,G28-F28)*C11/E11</f>
        <v>-423.0752121725979</v>
      </c>
      <c r="H40" s="3"/>
      <c r="I40" s="3"/>
      <c r="J40" s="13"/>
      <c r="N40" s="20">
        <f>N37/G37</f>
        <v>3.0533205555887195E-2</v>
      </c>
    </row>
    <row r="41" spans="1:16" ht="10" customHeight="1">
      <c r="A41" t="s">
        <v>164</v>
      </c>
      <c r="C41">
        <f>Master!R44</f>
        <v>2501030992.0638099</v>
      </c>
      <c r="E41" s="4"/>
      <c r="F41" s="35"/>
      <c r="G41" s="35"/>
      <c r="H41" s="103"/>
      <c r="I41" s="103"/>
      <c r="J41" s="25"/>
    </row>
    <row r="42" spans="1:16">
      <c r="A42" t="s">
        <v>165</v>
      </c>
      <c r="C42">
        <f>Master!R45</f>
        <v>241774107.20942</v>
      </c>
      <c r="E42" s="4" t="s">
        <v>30</v>
      </c>
      <c r="F42" s="35">
        <f>C19/E12</f>
        <v>39764.703681774801</v>
      </c>
      <c r="G42" s="36">
        <f>(C20/E12)+(F1*(C26-C25)/E12)</f>
        <v>9339.8048979933792</v>
      </c>
      <c r="H42" s="103" t="s">
        <v>37</v>
      </c>
      <c r="I42" s="103"/>
      <c r="N42" s="20">
        <f>(G37-F37)/F37</f>
        <v>-9.2984782528008986E-2</v>
      </c>
    </row>
    <row r="43" spans="1:16">
      <c r="E43" s="9" t="s">
        <v>36</v>
      </c>
      <c r="F43" s="31">
        <f>F42*36/E12</f>
        <v>1431.5293325438927</v>
      </c>
      <c r="G43" s="32">
        <f>G42*36/E12</f>
        <v>336.23297632776166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125.589813405839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163</v>
      </c>
      <c r="F47" s="31" t="s">
        <v>86</v>
      </c>
      <c r="G47" s="32">
        <f>(C30-C29)/E11</f>
        <v>-566.75855870477005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sheetPr codeName="Sheet20"/>
  <dimension ref="A1:N14"/>
  <sheetViews>
    <sheetView showGridLines="0" zoomScale="117" workbookViewId="0">
      <selection activeCell="H13" sqref="H13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38" customWidth="1"/>
    <col min="9" max="10" width="10.6640625" customWidth="1"/>
    <col min="14" max="14" width="18" customWidth="1"/>
  </cols>
  <sheetData>
    <row r="1" spans="1:14">
      <c r="A1" s="148"/>
      <c r="B1" s="148"/>
      <c r="C1" s="148"/>
      <c r="D1" s="148"/>
      <c r="E1" s="148"/>
      <c r="F1" s="148"/>
      <c r="G1" s="149"/>
      <c r="H1" s="149"/>
      <c r="I1" s="148"/>
      <c r="J1" s="148"/>
      <c r="K1" s="148"/>
    </row>
    <row r="2" spans="1:14">
      <c r="A2" s="148"/>
      <c r="B2" s="148"/>
      <c r="C2" s="148"/>
      <c r="D2" s="148"/>
      <c r="E2" s="148"/>
      <c r="F2" s="108"/>
      <c r="G2" s="174" t="s">
        <v>90</v>
      </c>
      <c r="H2" s="175"/>
      <c r="I2" s="175"/>
      <c r="J2" s="175"/>
      <c r="K2" s="148"/>
    </row>
    <row r="3" spans="1:14">
      <c r="A3" s="148"/>
      <c r="B3" s="148"/>
      <c r="C3" s="148"/>
      <c r="D3" s="148"/>
      <c r="E3" s="148"/>
      <c r="F3" s="150"/>
      <c r="G3" s="151" t="s">
        <v>91</v>
      </c>
      <c r="H3" s="152"/>
      <c r="I3" s="153" t="s">
        <v>92</v>
      </c>
      <c r="J3" s="153"/>
      <c r="K3" s="148"/>
    </row>
    <row r="4" spans="1:14" ht="34">
      <c r="A4" s="148"/>
      <c r="B4" s="148"/>
      <c r="C4" s="148"/>
      <c r="D4" s="154"/>
      <c r="E4" s="148"/>
      <c r="F4" s="155" t="s">
        <v>93</v>
      </c>
      <c r="G4" s="156" t="s">
        <v>63</v>
      </c>
      <c r="H4" s="157" t="s">
        <v>64</v>
      </c>
      <c r="I4" s="158" t="s">
        <v>63</v>
      </c>
      <c r="J4" s="158" t="s">
        <v>64</v>
      </c>
      <c r="K4" s="148"/>
      <c r="N4" s="171"/>
    </row>
    <row r="5" spans="1:14">
      <c r="A5" s="148"/>
      <c r="B5" s="148"/>
      <c r="C5" s="159" t="s">
        <v>171</v>
      </c>
      <c r="D5" s="160">
        <v>0.14879016</v>
      </c>
      <c r="E5" s="148"/>
      <c r="F5" s="161" t="s">
        <v>60</v>
      </c>
      <c r="G5" s="162">
        <v>0.63765031586361098</v>
      </c>
      <c r="H5" s="163">
        <v>2.3236848825557201E-4</v>
      </c>
      <c r="I5" s="162">
        <v>0.63762602158230997</v>
      </c>
      <c r="J5" s="164">
        <v>2.2254683174324299E-8</v>
      </c>
      <c r="K5" s="110"/>
      <c r="N5" s="171"/>
    </row>
    <row r="6" spans="1:14">
      <c r="A6" s="148"/>
      <c r="B6" s="148"/>
      <c r="C6" s="161" t="s">
        <v>172</v>
      </c>
      <c r="D6" s="165">
        <v>-0.13232830000000001</v>
      </c>
      <c r="E6" s="148"/>
      <c r="F6" s="161" t="s">
        <v>61</v>
      </c>
      <c r="G6" s="162">
        <v>1.2178931719978701</v>
      </c>
      <c r="H6" s="163">
        <v>3.9447126644578303E-3</v>
      </c>
      <c r="I6" s="162">
        <v>1.2177997151398401</v>
      </c>
      <c r="J6" s="164">
        <v>2.2570585677098501E-6</v>
      </c>
      <c r="K6" s="110"/>
      <c r="N6" s="171"/>
    </row>
    <row r="7" spans="1:14" ht="17">
      <c r="A7" s="148"/>
      <c r="B7" s="148"/>
      <c r="C7" s="161" t="s">
        <v>173</v>
      </c>
      <c r="D7" s="165">
        <v>-0.70620265999999998</v>
      </c>
      <c r="E7" s="148"/>
      <c r="F7" s="124" t="s">
        <v>62</v>
      </c>
      <c r="G7" s="166">
        <v>3.5534478212382998</v>
      </c>
      <c r="H7" s="167">
        <v>5.5266239378950798E-3</v>
      </c>
      <c r="I7" s="166">
        <v>3.5532190985102998</v>
      </c>
      <c r="J7" s="168">
        <v>3.3262025951773498E-7</v>
      </c>
      <c r="K7" s="110"/>
      <c r="N7" s="18"/>
    </row>
    <row r="8" spans="1:14" ht="17">
      <c r="A8" s="148"/>
      <c r="B8" s="148"/>
      <c r="C8" s="161" t="s">
        <v>174</v>
      </c>
      <c r="D8" s="169">
        <v>-1.10519E-3</v>
      </c>
      <c r="E8" s="148"/>
      <c r="F8" s="148"/>
      <c r="G8" s="149"/>
      <c r="H8" s="149"/>
      <c r="I8" s="148"/>
      <c r="J8" s="148"/>
      <c r="K8" s="148"/>
      <c r="L8" s="18"/>
      <c r="N8" s="46"/>
    </row>
    <row r="9" spans="1:14">
      <c r="A9" s="148"/>
      <c r="B9" s="148"/>
      <c r="C9" s="124" t="s">
        <v>175</v>
      </c>
      <c r="D9" s="170">
        <v>8.2116040000000001E-2</v>
      </c>
      <c r="E9" s="148"/>
      <c r="F9" s="148"/>
      <c r="G9" s="173"/>
      <c r="H9" s="149"/>
      <c r="J9" s="148"/>
      <c r="K9" s="148"/>
    </row>
    <row r="10" spans="1:14">
      <c r="A10" s="148"/>
      <c r="B10" s="148"/>
      <c r="C10" s="172" t="s">
        <v>65</v>
      </c>
      <c r="D10" s="154">
        <v>0.54511573046643602</v>
      </c>
      <c r="E10" s="148"/>
      <c r="F10" s="148"/>
      <c r="G10" s="173"/>
      <c r="H10" s="149"/>
      <c r="J10" s="148"/>
      <c r="K10" s="148"/>
    </row>
    <row r="11" spans="1:14">
      <c r="A11" s="148"/>
      <c r="B11" s="148"/>
      <c r="C11" s="148"/>
      <c r="D11" s="148"/>
      <c r="E11" s="148"/>
      <c r="F11" s="148"/>
      <c r="G11" s="173"/>
      <c r="H11" s="149"/>
      <c r="J11" s="148"/>
      <c r="K11" s="148"/>
    </row>
    <row r="12" spans="1:14">
      <c r="A12" s="148"/>
      <c r="B12" s="148"/>
      <c r="C12" s="148"/>
      <c r="D12" s="148"/>
      <c r="E12" s="148"/>
      <c r="F12" s="148"/>
      <c r="G12" s="149"/>
      <c r="H12" s="149"/>
      <c r="I12" s="148"/>
      <c r="J12" s="148"/>
      <c r="K12" s="148"/>
    </row>
    <row r="13" spans="1:14">
      <c r="A13" s="148"/>
      <c r="B13" s="148"/>
      <c r="C13" s="148"/>
      <c r="D13" s="148"/>
      <c r="E13" s="148"/>
      <c r="F13" s="148"/>
      <c r="G13" s="149"/>
      <c r="H13" s="149"/>
      <c r="I13" s="148"/>
      <c r="J13" s="148"/>
      <c r="K13" s="148"/>
    </row>
    <row r="14" spans="1:14">
      <c r="A14" s="148"/>
      <c r="B14" s="148"/>
      <c r="C14" s="148"/>
      <c r="D14" s="148"/>
      <c r="E14" s="148"/>
      <c r="F14" s="148"/>
      <c r="G14" s="149"/>
      <c r="H14" s="149"/>
      <c r="I14" s="148"/>
      <c r="J14" s="148"/>
      <c r="K14" s="148"/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sheetPr codeName="Sheet21"/>
  <dimension ref="A2:L54"/>
  <sheetViews>
    <sheetView showGridLines="0" topLeftCell="A13" workbookViewId="0">
      <selection activeCell="B51" sqref="B51:C54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2" t="s">
        <v>39</v>
      </c>
      <c r="I5" s="22" t="s">
        <v>23</v>
      </c>
      <c r="J5" s="22" t="s">
        <v>24</v>
      </c>
      <c r="K5" s="22" t="s">
        <v>25</v>
      </c>
      <c r="L5" s="22"/>
    </row>
    <row r="6" spans="1:12">
      <c r="B6" s="20">
        <f>B4/$B$22</f>
        <v>0.38749499939397597</v>
      </c>
      <c r="C6" s="20">
        <f>C4/$B$22</f>
        <v>0.23135234102920427</v>
      </c>
      <c r="D6" s="20">
        <f>D4/$B$22</f>
        <v>3.2162830696683797E-2</v>
      </c>
      <c r="E6" s="20">
        <f>E4/$B$22</f>
        <v>0.321494581534636</v>
      </c>
      <c r="F6" s="20">
        <f>(B22-SUM(B4:E4))/B22</f>
        <v>2.749524734549998E-2</v>
      </c>
      <c r="H6" s="20">
        <f>H4/$H$11</f>
        <v>0.57361354647963092</v>
      </c>
      <c r="I6" s="20">
        <f t="shared" ref="I6:K6" si="0">I4/$H$11</f>
        <v>0.14489826370300277</v>
      </c>
      <c r="J6" s="20">
        <f t="shared" si="0"/>
        <v>4.4520100856254241E-2</v>
      </c>
      <c r="K6" s="20">
        <f t="shared" si="0"/>
        <v>0.13827034083782366</v>
      </c>
      <c r="L6" s="20">
        <f>(H11-SUM(H4:K4))/H11</f>
        <v>9.8697748123288284E-2</v>
      </c>
    </row>
    <row r="8" spans="1:12">
      <c r="F8" s="21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2">
        <f>H6</f>
        <v>0.57361354647963092</v>
      </c>
      <c r="C11" s="22">
        <f t="shared" ref="C11:F11" si="2">I6</f>
        <v>0.14489826370300277</v>
      </c>
      <c r="D11" s="22">
        <f>K6</f>
        <v>0.13827034083782366</v>
      </c>
      <c r="E11" s="22">
        <f>J6</f>
        <v>4.4520100856254241E-2</v>
      </c>
      <c r="F11" s="22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2">
        <f>B6</f>
        <v>0.38749499939397597</v>
      </c>
      <c r="C12" s="22">
        <f t="shared" ref="C12:F12" si="3">C6</f>
        <v>0.23135234102920427</v>
      </c>
      <c r="D12" s="22">
        <f>E6</f>
        <v>0.321494581534636</v>
      </c>
      <c r="E12" s="22">
        <f>D6</f>
        <v>3.2162830696683797E-2</v>
      </c>
      <c r="F12" s="22">
        <f t="shared" si="3"/>
        <v>2.749524734549998E-2</v>
      </c>
    </row>
    <row r="13" spans="1:12">
      <c r="C13" s="19"/>
      <c r="D13" s="19"/>
    </row>
    <row r="14" spans="1:12">
      <c r="C14" s="19"/>
    </row>
    <row r="15" spans="1:12">
      <c r="I15" t="s">
        <v>44</v>
      </c>
      <c r="J15" t="s">
        <v>45</v>
      </c>
    </row>
    <row r="16" spans="1:12">
      <c r="H16" t="s">
        <v>40</v>
      </c>
      <c r="I16" s="19">
        <v>0.57361354647963092</v>
      </c>
      <c r="J16" s="19">
        <v>0.38749499939397597</v>
      </c>
    </row>
    <row r="17" spans="2:10">
      <c r="H17" t="s">
        <v>23</v>
      </c>
      <c r="I17" s="19">
        <v>0.14489826370300277</v>
      </c>
      <c r="J17" s="19">
        <v>0.23135234102920427</v>
      </c>
    </row>
    <row r="18" spans="2:10">
      <c r="H18" t="s">
        <v>24</v>
      </c>
      <c r="I18" s="19">
        <v>4.4520100856254241E-2</v>
      </c>
      <c r="J18" s="19">
        <v>3.2162830696683797E-2</v>
      </c>
    </row>
    <row r="19" spans="2:10">
      <c r="B19">
        <v>127575.993717</v>
      </c>
      <c r="H19" t="s">
        <v>25</v>
      </c>
      <c r="I19" s="19">
        <v>0.13827034083782366</v>
      </c>
      <c r="J19" s="19">
        <v>0.321494581534636</v>
      </c>
    </row>
    <row r="20" spans="2:10">
      <c r="B20">
        <v>0.97250475265449998</v>
      </c>
      <c r="H20" t="s">
        <v>41</v>
      </c>
      <c r="I20" s="19">
        <v>9.8697748123288284E-2</v>
      </c>
      <c r="J20" s="19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108" t="s">
        <v>40</v>
      </c>
      <c r="C51" s="109">
        <f>C48</f>
        <v>0.2589562738087704</v>
      </c>
    </row>
    <row r="52" spans="2:3">
      <c r="B52" s="110" t="s">
        <v>24</v>
      </c>
      <c r="C52" s="111">
        <f>E48</f>
        <v>0.27693500784226627</v>
      </c>
    </row>
    <row r="53" spans="2:3">
      <c r="B53" s="110" t="s">
        <v>23</v>
      </c>
      <c r="C53" s="111">
        <f>D48</f>
        <v>0.61205500131425172</v>
      </c>
    </row>
    <row r="54" spans="2:3">
      <c r="B54" s="112" t="s">
        <v>25</v>
      </c>
      <c r="C54" s="113">
        <f>F48</f>
        <v>0.89130092732543986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sheetPr codeName="Sheet22"/>
  <dimension ref="A4:H18"/>
  <sheetViews>
    <sheetView showGridLines="0" workbookViewId="0">
      <selection activeCell="I12" sqref="I12"/>
    </sheetView>
  </sheetViews>
  <sheetFormatPr baseColWidth="10" defaultRowHeight="16"/>
  <cols>
    <col min="5" max="5" width="18.5" customWidth="1"/>
    <col min="6" max="7" width="14.33203125" customWidth="1"/>
  </cols>
  <sheetData>
    <row r="4" spans="1:8">
      <c r="A4" t="s">
        <v>46</v>
      </c>
      <c r="B4">
        <v>10172.688602288181</v>
      </c>
      <c r="C4">
        <v>1255.8399390243903</v>
      </c>
    </row>
    <row r="5" spans="1:8">
      <c r="A5" t="s">
        <v>47</v>
      </c>
      <c r="B5">
        <v>6827.9021176386268</v>
      </c>
      <c r="C5">
        <v>925.06201875194051</v>
      </c>
    </row>
    <row r="6" spans="1:8">
      <c r="A6" t="s">
        <v>48</v>
      </c>
      <c r="B6">
        <v>56164.710588235299</v>
      </c>
      <c r="C6">
        <v>6904.5280000000002</v>
      </c>
    </row>
    <row r="7" spans="1:8">
      <c r="A7" t="s">
        <v>49</v>
      </c>
      <c r="B7">
        <v>2801.2402118247301</v>
      </c>
      <c r="C7">
        <v>327.43400000000003</v>
      </c>
    </row>
    <row r="8" spans="1:8">
      <c r="B8">
        <v>82</v>
      </c>
      <c r="C8">
        <v>82</v>
      </c>
    </row>
    <row r="10" spans="1:8" ht="24" customHeight="1">
      <c r="E10" s="108"/>
      <c r="F10" s="120" t="s">
        <v>51</v>
      </c>
      <c r="G10" s="120" t="s">
        <v>58</v>
      </c>
    </row>
    <row r="11" spans="1:8">
      <c r="E11" s="115"/>
      <c r="F11" s="121" t="s">
        <v>56</v>
      </c>
      <c r="G11" s="121" t="s">
        <v>57</v>
      </c>
    </row>
    <row r="12" spans="1:8">
      <c r="E12" s="115" t="s">
        <v>52</v>
      </c>
      <c r="F12" s="117">
        <f>B4</f>
        <v>10172.688602288181</v>
      </c>
      <c r="G12" s="117">
        <f>C4</f>
        <v>1255.8399390243903</v>
      </c>
      <c r="H12">
        <f>G12*456/1000000</f>
        <v>0.57266301219512195</v>
      </c>
    </row>
    <row r="13" spans="1:8">
      <c r="E13" s="115" t="s">
        <v>53</v>
      </c>
      <c r="F13" s="117">
        <f t="shared" ref="F13" si="0">B5</f>
        <v>6827.9021176386268</v>
      </c>
      <c r="G13" s="117">
        <f>C5</f>
        <v>925.06201875194051</v>
      </c>
    </row>
    <row r="14" spans="1:8">
      <c r="E14" s="115" t="s">
        <v>54</v>
      </c>
      <c r="F14" s="117">
        <f t="shared" ref="F14" si="1">B6</f>
        <v>56164.710588235299</v>
      </c>
      <c r="G14" s="117">
        <f>C6</f>
        <v>6904.5280000000002</v>
      </c>
      <c r="H14">
        <f>G14*456/1000000</f>
        <v>3.1484647680000002</v>
      </c>
    </row>
    <row r="15" spans="1:8">
      <c r="E15" s="115" t="s">
        <v>55</v>
      </c>
      <c r="F15" s="117">
        <f t="shared" ref="F15" si="2">B7</f>
        <v>2801.2402118247301</v>
      </c>
      <c r="G15" s="117">
        <f>C7</f>
        <v>327.43400000000003</v>
      </c>
    </row>
    <row r="16" spans="1:8">
      <c r="E16" s="122"/>
      <c r="F16" s="123"/>
      <c r="G16" s="123"/>
    </row>
    <row r="17" spans="2:7">
      <c r="E17" s="110"/>
      <c r="F17" s="115" t="s">
        <v>169</v>
      </c>
      <c r="G17" s="117">
        <v>24348.074331609998</v>
      </c>
    </row>
    <row r="18" spans="2:7">
      <c r="B18" s="27" t="s">
        <v>50</v>
      </c>
      <c r="C18">
        <f>B8</f>
        <v>82</v>
      </c>
      <c r="E18" s="112"/>
      <c r="F18" s="118" t="s">
        <v>50</v>
      </c>
      <c r="G18" s="124">
        <f>B8</f>
        <v>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sheetPr codeName="Sheet23"/>
  <dimension ref="A1:N268"/>
  <sheetViews>
    <sheetView topLeftCell="E1" workbookViewId="0">
      <selection activeCell="U13" sqref="U13"/>
    </sheetView>
  </sheetViews>
  <sheetFormatPr baseColWidth="10" defaultRowHeight="16"/>
  <cols>
    <col min="9" max="9" width="12.6640625" bestFit="1" customWidth="1"/>
  </cols>
  <sheetData>
    <row r="1" spans="1:1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J1" t="s">
        <v>72</v>
      </c>
      <c r="K1">
        <v>36</v>
      </c>
      <c r="M1" t="s">
        <v>79</v>
      </c>
    </row>
    <row r="2" spans="1:13">
      <c r="A2">
        <v>1</v>
      </c>
      <c r="B2" t="s">
        <v>73</v>
      </c>
      <c r="C2" s="40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6">
        <f>C2</f>
        <v>21.110130699999999</v>
      </c>
      <c r="J2" t="s">
        <v>74</v>
      </c>
      <c r="K2">
        <v>453.59199999999998</v>
      </c>
      <c r="M2" t="s">
        <v>21</v>
      </c>
    </row>
    <row r="3" spans="1:13">
      <c r="A3">
        <v>2</v>
      </c>
      <c r="B3" t="s">
        <v>73</v>
      </c>
      <c r="C3" s="40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6">
        <f t="shared" ref="I3:I66" si="3">C3+I2</f>
        <v>30.157329560000001</v>
      </c>
      <c r="J3" t="s">
        <v>75</v>
      </c>
      <c r="K3">
        <v>4.3820427111430096</v>
      </c>
    </row>
    <row r="4" spans="1:13">
      <c r="A4">
        <v>3</v>
      </c>
      <c r="B4" t="s">
        <v>73</v>
      </c>
      <c r="C4" s="40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6">
        <f t="shared" si="3"/>
        <v>37.395088649999998</v>
      </c>
    </row>
    <row r="5" spans="1:13">
      <c r="A5">
        <v>4</v>
      </c>
      <c r="B5" t="s">
        <v>73</v>
      </c>
      <c r="C5" s="40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6">
        <f t="shared" si="3"/>
        <v>55.248227749999998</v>
      </c>
    </row>
    <row r="6" spans="1:13">
      <c r="A6">
        <v>5</v>
      </c>
      <c r="B6" t="s">
        <v>73</v>
      </c>
      <c r="C6" s="40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6">
        <f t="shared" si="3"/>
        <v>82.269195049999993</v>
      </c>
    </row>
    <row r="7" spans="1:13">
      <c r="A7">
        <v>6</v>
      </c>
      <c r="B7" t="s">
        <v>73</v>
      </c>
      <c r="C7" s="40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6">
        <f t="shared" si="3"/>
        <v>96.624083949999999</v>
      </c>
    </row>
    <row r="8" spans="1:13">
      <c r="A8">
        <v>7</v>
      </c>
      <c r="B8" t="s">
        <v>73</v>
      </c>
      <c r="C8" s="40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6">
        <f t="shared" si="3"/>
        <v>115.36987995</v>
      </c>
    </row>
    <row r="9" spans="1:13">
      <c r="A9">
        <v>8</v>
      </c>
      <c r="B9" t="s">
        <v>73</v>
      </c>
      <c r="C9" s="40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6">
        <f t="shared" si="3"/>
        <v>118.14435426999999</v>
      </c>
    </row>
    <row r="10" spans="1:13">
      <c r="A10">
        <v>9</v>
      </c>
      <c r="B10" t="s">
        <v>73</v>
      </c>
      <c r="C10" s="40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6">
        <f t="shared" si="3"/>
        <v>195.82963516999999</v>
      </c>
    </row>
    <row r="11" spans="1:13">
      <c r="A11">
        <v>10</v>
      </c>
      <c r="B11" t="s">
        <v>73</v>
      </c>
      <c r="C11" s="40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6">
        <f t="shared" si="3"/>
        <v>247.70024196999998</v>
      </c>
    </row>
    <row r="12" spans="1:13">
      <c r="A12">
        <v>11</v>
      </c>
      <c r="B12" t="s">
        <v>73</v>
      </c>
      <c r="C12" s="40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6">
        <f t="shared" si="3"/>
        <v>251.60863187999999</v>
      </c>
    </row>
    <row r="13" spans="1:13">
      <c r="A13">
        <v>12</v>
      </c>
      <c r="B13" t="s">
        <v>73</v>
      </c>
      <c r="C13" s="40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6">
        <f t="shared" si="3"/>
        <v>259.93205482999997</v>
      </c>
    </row>
    <row r="14" spans="1:13">
      <c r="A14">
        <v>13</v>
      </c>
      <c r="B14" t="s">
        <v>73</v>
      </c>
      <c r="C14" s="40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6">
        <f t="shared" si="3"/>
        <v>283.45477182999997</v>
      </c>
    </row>
    <row r="15" spans="1:13">
      <c r="A15">
        <v>14</v>
      </c>
      <c r="B15" t="s">
        <v>73</v>
      </c>
      <c r="C15" s="40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6">
        <f t="shared" si="3"/>
        <v>307.70126482999996</v>
      </c>
    </row>
    <row r="16" spans="1:13">
      <c r="A16">
        <v>15</v>
      </c>
      <c r="B16" t="s">
        <v>73</v>
      </c>
      <c r="C16" s="40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6">
        <f t="shared" si="3"/>
        <v>333.39530962999993</v>
      </c>
    </row>
    <row r="17" spans="1:9">
      <c r="A17">
        <v>16</v>
      </c>
      <c r="B17" t="s">
        <v>73</v>
      </c>
      <c r="C17" s="40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6">
        <f t="shared" si="3"/>
        <v>357.64180262999992</v>
      </c>
    </row>
    <row r="18" spans="1:9">
      <c r="A18">
        <v>17</v>
      </c>
      <c r="B18" t="s">
        <v>73</v>
      </c>
      <c r="C18" s="40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6">
        <f t="shared" si="3"/>
        <v>377.1837521299999</v>
      </c>
    </row>
    <row r="19" spans="1:9">
      <c r="A19">
        <v>18</v>
      </c>
      <c r="B19" t="s">
        <v>73</v>
      </c>
      <c r="C19" s="40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6">
        <f t="shared" si="3"/>
        <v>407.58234032999991</v>
      </c>
    </row>
    <row r="20" spans="1:9">
      <c r="A20">
        <v>19</v>
      </c>
      <c r="B20" t="s">
        <v>73</v>
      </c>
      <c r="C20" s="40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6">
        <f t="shared" si="3"/>
        <v>411.20121987999988</v>
      </c>
    </row>
    <row r="21" spans="1:9">
      <c r="A21">
        <v>20</v>
      </c>
      <c r="B21" t="s">
        <v>73</v>
      </c>
      <c r="C21" s="40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6">
        <f t="shared" si="3"/>
        <v>416.0263926099999</v>
      </c>
    </row>
    <row r="22" spans="1:9">
      <c r="A22">
        <v>21</v>
      </c>
      <c r="B22" t="s">
        <v>73</v>
      </c>
      <c r="C22" s="40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6">
        <f t="shared" si="3"/>
        <v>438.8012079099999</v>
      </c>
    </row>
    <row r="23" spans="1:9">
      <c r="A23">
        <v>22</v>
      </c>
      <c r="B23" t="s">
        <v>73</v>
      </c>
      <c r="C23" s="40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6">
        <f t="shared" si="3"/>
        <v>439.62148726999988</v>
      </c>
    </row>
    <row r="24" spans="1:9">
      <c r="A24">
        <v>23</v>
      </c>
      <c r="B24" t="s">
        <v>76</v>
      </c>
      <c r="C24" s="40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6">
        <f t="shared" si="3"/>
        <v>1509.0789272699999</v>
      </c>
    </row>
    <row r="25" spans="1:9">
      <c r="A25">
        <v>24</v>
      </c>
      <c r="B25" t="s">
        <v>76</v>
      </c>
      <c r="C25" s="40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6">
        <f t="shared" si="3"/>
        <v>2342.2513132699996</v>
      </c>
    </row>
    <row r="26" spans="1:9">
      <c r="A26">
        <v>25</v>
      </c>
      <c r="B26" t="s">
        <v>76</v>
      </c>
      <c r="C26" s="40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6">
        <f t="shared" si="3"/>
        <v>3068.3956262699994</v>
      </c>
    </row>
    <row r="27" spans="1:9">
      <c r="A27">
        <v>26</v>
      </c>
      <c r="B27" t="s">
        <v>76</v>
      </c>
      <c r="C27" s="40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6">
        <f t="shared" si="3"/>
        <v>4633.5577062699995</v>
      </c>
    </row>
    <row r="28" spans="1:9">
      <c r="A28">
        <v>27</v>
      </c>
      <c r="B28" t="s">
        <v>76</v>
      </c>
      <c r="C28" s="40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6">
        <f t="shared" si="3"/>
        <v>5139.0595292699991</v>
      </c>
    </row>
    <row r="29" spans="1:9">
      <c r="A29">
        <v>28</v>
      </c>
      <c r="B29" t="s">
        <v>77</v>
      </c>
      <c r="C29" s="40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6">
        <f t="shared" si="3"/>
        <v>5141.1200165299988</v>
      </c>
    </row>
    <row r="30" spans="1:9">
      <c r="A30">
        <v>29</v>
      </c>
      <c r="B30" t="s">
        <v>77</v>
      </c>
      <c r="C30" s="40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6">
        <f t="shared" si="3"/>
        <v>5143.4895768799988</v>
      </c>
    </row>
    <row r="31" spans="1:9">
      <c r="A31">
        <v>30</v>
      </c>
      <c r="B31" t="s">
        <v>77</v>
      </c>
      <c r="C31" s="40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6">
        <f t="shared" si="3"/>
        <v>5153.7920131799992</v>
      </c>
    </row>
    <row r="32" spans="1:9">
      <c r="A32">
        <v>31</v>
      </c>
      <c r="B32" t="s">
        <v>77</v>
      </c>
      <c r="C32" s="40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6">
        <f t="shared" si="3"/>
        <v>5158.4281095199995</v>
      </c>
    </row>
    <row r="33" spans="1:9">
      <c r="A33">
        <v>32</v>
      </c>
      <c r="B33" t="s">
        <v>77</v>
      </c>
      <c r="C33" s="40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6">
        <f t="shared" si="3"/>
        <v>5159.4583531499993</v>
      </c>
    </row>
    <row r="34" spans="1:9">
      <c r="A34">
        <v>33</v>
      </c>
      <c r="B34" t="s">
        <v>77</v>
      </c>
      <c r="C34" s="40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6">
        <f t="shared" si="3"/>
        <v>5178.0027385499989</v>
      </c>
    </row>
    <row r="35" spans="1:9">
      <c r="A35">
        <v>34</v>
      </c>
      <c r="B35" t="s">
        <v>77</v>
      </c>
      <c r="C35" s="40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6">
        <f t="shared" si="3"/>
        <v>5181.0934694399984</v>
      </c>
    </row>
    <row r="36" spans="1:9">
      <c r="A36">
        <v>35</v>
      </c>
      <c r="B36" t="s">
        <v>77</v>
      </c>
      <c r="C36" s="40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6">
        <f t="shared" si="3"/>
        <v>5184.0296637899983</v>
      </c>
    </row>
    <row r="37" spans="1:9">
      <c r="A37">
        <v>36</v>
      </c>
      <c r="B37" t="s">
        <v>77</v>
      </c>
      <c r="C37" s="40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6">
        <f t="shared" si="3"/>
        <v>5191.7564910199981</v>
      </c>
    </row>
    <row r="38" spans="1:9">
      <c r="A38">
        <v>37</v>
      </c>
      <c r="B38" t="s">
        <v>77</v>
      </c>
      <c r="C38" s="40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6">
        <f t="shared" si="3"/>
        <v>5706.8783070199979</v>
      </c>
    </row>
    <row r="39" spans="1:9">
      <c r="A39">
        <v>38</v>
      </c>
      <c r="B39" t="s">
        <v>77</v>
      </c>
      <c r="C39" s="40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6">
        <f t="shared" si="3"/>
        <v>5712.9567444399981</v>
      </c>
    </row>
    <row r="40" spans="1:9">
      <c r="A40">
        <v>39</v>
      </c>
      <c r="B40" t="s">
        <v>77</v>
      </c>
      <c r="C40" s="40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6">
        <f t="shared" si="3"/>
        <v>5721.1986934899978</v>
      </c>
    </row>
    <row r="41" spans="1:9">
      <c r="A41">
        <v>40</v>
      </c>
      <c r="B41" t="s">
        <v>77</v>
      </c>
      <c r="C41" s="40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6">
        <f t="shared" si="3"/>
        <v>5724.0318634799978</v>
      </c>
    </row>
    <row r="42" spans="1:9">
      <c r="A42">
        <v>41</v>
      </c>
      <c r="B42" t="s">
        <v>77</v>
      </c>
      <c r="C42" s="40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6">
        <f t="shared" si="3"/>
        <v>5724.5984974799976</v>
      </c>
    </row>
    <row r="43" spans="1:9">
      <c r="A43">
        <v>42</v>
      </c>
      <c r="B43" t="s">
        <v>77</v>
      </c>
      <c r="C43" s="40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6">
        <f t="shared" si="3"/>
        <v>5726.2468872899972</v>
      </c>
    </row>
    <row r="44" spans="1:9">
      <c r="A44">
        <v>43</v>
      </c>
      <c r="B44" t="s">
        <v>77</v>
      </c>
      <c r="C44" s="40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6">
        <f t="shared" si="3"/>
        <v>5727.7922527399969</v>
      </c>
    </row>
    <row r="45" spans="1:9">
      <c r="A45">
        <v>44</v>
      </c>
      <c r="B45" t="s">
        <v>77</v>
      </c>
      <c r="C45" s="40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6">
        <f t="shared" si="3"/>
        <v>5728.6164476399972</v>
      </c>
    </row>
    <row r="46" spans="1:9">
      <c r="A46">
        <v>45</v>
      </c>
      <c r="B46" t="s">
        <v>77</v>
      </c>
      <c r="C46" s="40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6">
        <f t="shared" si="3"/>
        <v>5729.4921547299973</v>
      </c>
    </row>
    <row r="47" spans="1:9">
      <c r="A47">
        <v>46</v>
      </c>
      <c r="B47" t="s">
        <v>77</v>
      </c>
      <c r="C47" s="40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6">
        <f t="shared" si="3"/>
        <v>5748.0365401299969</v>
      </c>
    </row>
    <row r="48" spans="1:9">
      <c r="A48">
        <v>47</v>
      </c>
      <c r="B48" t="s">
        <v>77</v>
      </c>
      <c r="C48" s="40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6">
        <f t="shared" si="3"/>
        <v>5749.7364421199973</v>
      </c>
    </row>
    <row r="49" spans="1:9">
      <c r="A49">
        <v>48</v>
      </c>
      <c r="B49" t="s">
        <v>77</v>
      </c>
      <c r="C49" s="40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6">
        <f t="shared" si="3"/>
        <v>5750.7151735699972</v>
      </c>
    </row>
    <row r="50" spans="1:9">
      <c r="A50">
        <v>49</v>
      </c>
      <c r="B50" t="s">
        <v>77</v>
      </c>
      <c r="C50" s="40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6">
        <f t="shared" si="3"/>
        <v>5756.6905866299976</v>
      </c>
    </row>
    <row r="51" spans="1:9">
      <c r="A51">
        <v>50</v>
      </c>
      <c r="B51" t="s">
        <v>77</v>
      </c>
      <c r="C51" s="40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6">
        <f t="shared" si="3"/>
        <v>5787.0827737299978</v>
      </c>
    </row>
    <row r="52" spans="1:9">
      <c r="A52">
        <v>51</v>
      </c>
      <c r="B52" t="s">
        <v>77</v>
      </c>
      <c r="C52" s="40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6">
        <f t="shared" si="3"/>
        <v>5792.4915527899975</v>
      </c>
    </row>
    <row r="53" spans="1:9">
      <c r="A53">
        <v>52</v>
      </c>
      <c r="B53" t="s">
        <v>77</v>
      </c>
      <c r="C53" s="40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6">
        <f t="shared" si="3"/>
        <v>5794.9641374999974</v>
      </c>
    </row>
    <row r="54" spans="1:9">
      <c r="A54">
        <v>53</v>
      </c>
      <c r="B54" t="s">
        <v>77</v>
      </c>
      <c r="C54" s="40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6">
        <f t="shared" si="3"/>
        <v>5801.1455992899973</v>
      </c>
    </row>
    <row r="55" spans="1:9">
      <c r="A55">
        <v>54</v>
      </c>
      <c r="B55" t="s">
        <v>77</v>
      </c>
      <c r="C55" s="40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6">
        <f t="shared" si="3"/>
        <v>5803.3091109199977</v>
      </c>
    </row>
    <row r="56" spans="1:9">
      <c r="A56">
        <v>55</v>
      </c>
      <c r="B56" t="s">
        <v>77</v>
      </c>
      <c r="C56" s="40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6">
        <f t="shared" si="3"/>
        <v>5803.9272570999974</v>
      </c>
    </row>
    <row r="57" spans="1:9">
      <c r="A57">
        <v>56</v>
      </c>
      <c r="B57" t="s">
        <v>77</v>
      </c>
      <c r="C57" s="40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6">
        <f t="shared" si="3"/>
        <v>5804.8544763699974</v>
      </c>
    </row>
    <row r="58" spans="1:9">
      <c r="A58">
        <v>57</v>
      </c>
      <c r="B58" t="s">
        <v>77</v>
      </c>
      <c r="C58" s="40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6">
        <f t="shared" si="3"/>
        <v>5807.430085449997</v>
      </c>
    </row>
    <row r="59" spans="1:9">
      <c r="A59">
        <v>58</v>
      </c>
      <c r="B59" t="s">
        <v>77</v>
      </c>
      <c r="C59" s="40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6">
        <f t="shared" si="3"/>
        <v>5807.9452072699969</v>
      </c>
    </row>
    <row r="60" spans="1:9">
      <c r="A60">
        <v>59</v>
      </c>
      <c r="B60" t="s">
        <v>77</v>
      </c>
      <c r="C60" s="40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6">
        <f t="shared" si="3"/>
        <v>5819.2778871699966</v>
      </c>
    </row>
    <row r="61" spans="1:9">
      <c r="A61">
        <v>60</v>
      </c>
      <c r="B61" t="s">
        <v>77</v>
      </c>
      <c r="C61" s="40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6">
        <f t="shared" si="3"/>
        <v>5822.3686180599962</v>
      </c>
    </row>
    <row r="62" spans="1:9">
      <c r="A62">
        <v>61</v>
      </c>
      <c r="B62" t="s">
        <v>77</v>
      </c>
      <c r="C62" s="40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6">
        <f t="shared" si="3"/>
        <v>5824.4291053199959</v>
      </c>
    </row>
    <row r="63" spans="1:9">
      <c r="A63">
        <v>62</v>
      </c>
      <c r="B63" t="s">
        <v>77</v>
      </c>
      <c r="C63" s="40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6">
        <f t="shared" si="3"/>
        <v>5825.7169098599961</v>
      </c>
    </row>
    <row r="64" spans="1:9">
      <c r="A64">
        <v>63</v>
      </c>
      <c r="B64" t="s">
        <v>77</v>
      </c>
      <c r="C64" s="40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6">
        <f t="shared" si="3"/>
        <v>5827.2622753099959</v>
      </c>
    </row>
    <row r="65" spans="1:9">
      <c r="A65">
        <v>64</v>
      </c>
      <c r="B65" t="s">
        <v>77</v>
      </c>
      <c r="C65" s="40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6">
        <f t="shared" si="3"/>
        <v>5828.2925189399957</v>
      </c>
    </row>
    <row r="66" spans="1:9">
      <c r="A66">
        <v>65</v>
      </c>
      <c r="B66" t="s">
        <v>77</v>
      </c>
      <c r="C66" s="40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6">
        <f t="shared" si="3"/>
        <v>5830.3530061999954</v>
      </c>
    </row>
    <row r="67" spans="1:9">
      <c r="A67">
        <v>66</v>
      </c>
      <c r="B67" t="s">
        <v>77</v>
      </c>
      <c r="C67" s="40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6">
        <f t="shared" ref="I67:I130" si="7">C67+I66</f>
        <v>5832.928615279995</v>
      </c>
    </row>
    <row r="68" spans="1:9">
      <c r="A68">
        <v>67</v>
      </c>
      <c r="B68" t="s">
        <v>77</v>
      </c>
      <c r="C68" s="40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6">
        <f t="shared" si="7"/>
        <v>5845.2915388799947</v>
      </c>
    </row>
    <row r="69" spans="1:9">
      <c r="A69">
        <v>68</v>
      </c>
      <c r="B69" t="s">
        <v>77</v>
      </c>
      <c r="C69" s="40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6">
        <f t="shared" si="7"/>
        <v>5847.8671479599943</v>
      </c>
    </row>
    <row r="70" spans="1:9">
      <c r="A70">
        <v>69</v>
      </c>
      <c r="B70" t="s">
        <v>77</v>
      </c>
      <c r="C70" s="40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6">
        <f t="shared" si="7"/>
        <v>5849.6185621299946</v>
      </c>
    </row>
    <row r="71" spans="1:9">
      <c r="A71">
        <v>70</v>
      </c>
      <c r="B71" t="s">
        <v>77</v>
      </c>
      <c r="C71" s="40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6">
        <f t="shared" si="7"/>
        <v>5852.1941712099942</v>
      </c>
    </row>
    <row r="72" spans="1:9">
      <c r="A72">
        <v>71</v>
      </c>
      <c r="B72" t="s">
        <v>77</v>
      </c>
      <c r="C72" s="40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6">
        <f t="shared" si="7"/>
        <v>5853.8940731999946</v>
      </c>
    </row>
    <row r="73" spans="1:9">
      <c r="A73">
        <v>72</v>
      </c>
      <c r="B73" t="s">
        <v>77</v>
      </c>
      <c r="C73" s="40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6">
        <f t="shared" si="7"/>
        <v>5854.9243168299945</v>
      </c>
    </row>
    <row r="74" spans="1:9">
      <c r="A74">
        <v>73</v>
      </c>
      <c r="B74" t="s">
        <v>77</v>
      </c>
      <c r="C74" s="40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6">
        <f t="shared" si="7"/>
        <v>5855.6969995499949</v>
      </c>
    </row>
    <row r="75" spans="1:9">
      <c r="A75">
        <v>74</v>
      </c>
      <c r="B75" t="s">
        <v>77</v>
      </c>
      <c r="C75" s="40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6">
        <f t="shared" si="7"/>
        <v>5856.4181700899944</v>
      </c>
    </row>
    <row r="76" spans="1:9">
      <c r="A76">
        <v>75</v>
      </c>
      <c r="B76" t="s">
        <v>77</v>
      </c>
      <c r="C76" s="40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6">
        <f t="shared" si="7"/>
        <v>5857.4484137199943</v>
      </c>
    </row>
    <row r="77" spans="1:9">
      <c r="A77">
        <v>76</v>
      </c>
      <c r="B77" t="s">
        <v>77</v>
      </c>
      <c r="C77" s="40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6">
        <f t="shared" si="7"/>
        <v>5866.7206063999947</v>
      </c>
    </row>
    <row r="78" spans="1:9">
      <c r="A78">
        <v>77</v>
      </c>
      <c r="B78" t="s">
        <v>77</v>
      </c>
      <c r="C78" s="40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6">
        <f t="shared" si="7"/>
        <v>5871.8718245599948</v>
      </c>
    </row>
    <row r="79" spans="1:9">
      <c r="A79">
        <v>78</v>
      </c>
      <c r="B79" t="s">
        <v>77</v>
      </c>
      <c r="C79" s="40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6">
        <f t="shared" si="7"/>
        <v>5874.9625554499944</v>
      </c>
    </row>
    <row r="80" spans="1:9">
      <c r="A80">
        <v>79</v>
      </c>
      <c r="B80" t="s">
        <v>77</v>
      </c>
      <c r="C80" s="40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6">
        <f t="shared" si="7"/>
        <v>5875.6837259899939</v>
      </c>
    </row>
    <row r="81" spans="1:9">
      <c r="A81">
        <v>80</v>
      </c>
      <c r="B81" t="s">
        <v>77</v>
      </c>
      <c r="C81" s="40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6">
        <f t="shared" si="7"/>
        <v>5877.4351401599943</v>
      </c>
    </row>
    <row r="82" spans="1:9">
      <c r="A82">
        <v>81</v>
      </c>
      <c r="B82" t="s">
        <v>77</v>
      </c>
      <c r="C82" s="40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6">
        <f t="shared" si="7"/>
        <v>5881.5561146799946</v>
      </c>
    </row>
    <row r="83" spans="1:9">
      <c r="A83">
        <v>82</v>
      </c>
      <c r="B83" t="s">
        <v>77</v>
      </c>
      <c r="C83" s="40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6">
        <f t="shared" si="7"/>
        <v>5884.3377724799948</v>
      </c>
    </row>
    <row r="84" spans="1:9">
      <c r="A84">
        <v>83</v>
      </c>
      <c r="B84" t="s">
        <v>77</v>
      </c>
      <c r="C84" s="40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6">
        <f t="shared" si="7"/>
        <v>5884.8528942999947</v>
      </c>
    </row>
    <row r="85" spans="1:9">
      <c r="A85">
        <v>84</v>
      </c>
      <c r="B85" t="s">
        <v>77</v>
      </c>
      <c r="C85" s="40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6">
        <f t="shared" si="7"/>
        <v>5886.3982597499944</v>
      </c>
    </row>
    <row r="86" spans="1:9">
      <c r="A86">
        <v>85</v>
      </c>
      <c r="B86" t="s">
        <v>77</v>
      </c>
      <c r="C86" s="40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6">
        <f t="shared" si="7"/>
        <v>5892.5282093499945</v>
      </c>
    </row>
    <row r="87" spans="1:9">
      <c r="A87">
        <v>86</v>
      </c>
      <c r="B87" t="s">
        <v>77</v>
      </c>
      <c r="C87" s="40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6">
        <f t="shared" si="7"/>
        <v>5895.6189402399941</v>
      </c>
    </row>
    <row r="88" spans="1:9">
      <c r="A88">
        <v>87</v>
      </c>
      <c r="B88" t="s">
        <v>77</v>
      </c>
      <c r="C88" s="40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6">
        <f t="shared" si="7"/>
        <v>5903.3457674699939</v>
      </c>
    </row>
    <row r="89" spans="1:9">
      <c r="A89">
        <v>88</v>
      </c>
      <c r="B89" t="s">
        <v>77</v>
      </c>
      <c r="C89" s="40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6">
        <f t="shared" si="7"/>
        <v>5903.8608892899938</v>
      </c>
    </row>
    <row r="90" spans="1:9">
      <c r="A90">
        <v>89</v>
      </c>
      <c r="B90" t="s">
        <v>77</v>
      </c>
      <c r="C90" s="40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6">
        <f t="shared" si="7"/>
        <v>5926.5262491899939</v>
      </c>
    </row>
    <row r="91" spans="1:9">
      <c r="A91">
        <v>90</v>
      </c>
      <c r="B91" t="s">
        <v>77</v>
      </c>
      <c r="C91" s="40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6">
        <f t="shared" si="7"/>
        <v>5928.0716146399936</v>
      </c>
    </row>
    <row r="92" spans="1:9">
      <c r="A92">
        <v>91</v>
      </c>
      <c r="B92" t="s">
        <v>77</v>
      </c>
      <c r="C92" s="40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6">
        <f t="shared" si="7"/>
        <v>5931.1623455299932</v>
      </c>
    </row>
    <row r="93" spans="1:9">
      <c r="A93">
        <v>92</v>
      </c>
      <c r="B93" t="s">
        <v>77</v>
      </c>
      <c r="C93" s="40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6">
        <f t="shared" si="7"/>
        <v>5935.7984418699934</v>
      </c>
    </row>
    <row r="94" spans="1:9">
      <c r="A94">
        <v>93</v>
      </c>
      <c r="B94" t="s">
        <v>77</v>
      </c>
      <c r="C94" s="40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6">
        <f t="shared" si="7"/>
        <v>5937.8589291299932</v>
      </c>
    </row>
    <row r="95" spans="1:9">
      <c r="A95">
        <v>94</v>
      </c>
      <c r="B95" t="s">
        <v>77</v>
      </c>
      <c r="C95" s="40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6">
        <f t="shared" si="7"/>
        <v>5940.9496600199927</v>
      </c>
    </row>
    <row r="96" spans="1:9">
      <c r="A96">
        <v>95</v>
      </c>
      <c r="B96" t="s">
        <v>77</v>
      </c>
      <c r="C96" s="40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6">
        <f t="shared" si="7"/>
        <v>5947.3371705299924</v>
      </c>
    </row>
    <row r="97" spans="1:9">
      <c r="A97">
        <v>96</v>
      </c>
      <c r="B97" t="s">
        <v>77</v>
      </c>
      <c r="C97" s="40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6">
        <f t="shared" si="7"/>
        <v>5947.8522923499922</v>
      </c>
    </row>
    <row r="98" spans="1:9">
      <c r="A98">
        <v>97</v>
      </c>
      <c r="B98" t="s">
        <v>77</v>
      </c>
      <c r="C98" s="40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6">
        <f t="shared" si="7"/>
        <v>5949.8097552499921</v>
      </c>
    </row>
    <row r="99" spans="1:9">
      <c r="A99">
        <v>98</v>
      </c>
      <c r="B99" t="s">
        <v>77</v>
      </c>
      <c r="C99" s="40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6">
        <f t="shared" si="7"/>
        <v>5952.4883886899925</v>
      </c>
    </row>
    <row r="100" spans="1:9">
      <c r="A100">
        <v>99</v>
      </c>
      <c r="B100" t="s">
        <v>77</v>
      </c>
      <c r="C100" s="40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6">
        <f t="shared" si="7"/>
        <v>6076.1176246899922</v>
      </c>
    </row>
    <row r="101" spans="1:9">
      <c r="A101">
        <v>100</v>
      </c>
      <c r="B101" t="s">
        <v>77</v>
      </c>
      <c r="C101" s="40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6">
        <f t="shared" si="7"/>
        <v>6080.2385992099926</v>
      </c>
    </row>
    <row r="102" spans="1:9">
      <c r="A102">
        <v>101</v>
      </c>
      <c r="B102" t="s">
        <v>77</v>
      </c>
      <c r="C102" s="40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6">
        <f t="shared" si="7"/>
        <v>6086.9351828099925</v>
      </c>
    </row>
    <row r="103" spans="1:9">
      <c r="A103">
        <v>102</v>
      </c>
      <c r="B103" t="s">
        <v>77</v>
      </c>
      <c r="C103" s="40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6">
        <f t="shared" si="7"/>
        <v>6088.6350847999929</v>
      </c>
    </row>
    <row r="104" spans="1:9">
      <c r="A104">
        <v>103</v>
      </c>
      <c r="B104" t="s">
        <v>77</v>
      </c>
      <c r="C104" s="40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6">
        <f t="shared" si="7"/>
        <v>6089.1502066199928</v>
      </c>
    </row>
    <row r="105" spans="1:9">
      <c r="A105">
        <v>104</v>
      </c>
      <c r="B105" t="s">
        <v>77</v>
      </c>
      <c r="C105" s="40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6">
        <f t="shared" si="7"/>
        <v>6092.6015227799926</v>
      </c>
    </row>
    <row r="106" spans="1:9">
      <c r="A106">
        <v>105</v>
      </c>
      <c r="B106" t="s">
        <v>77</v>
      </c>
      <c r="C106" s="40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6">
        <f t="shared" si="7"/>
        <v>6095.4346927699926</v>
      </c>
    </row>
    <row r="107" spans="1:9">
      <c r="A107">
        <v>106</v>
      </c>
      <c r="B107" t="s">
        <v>77</v>
      </c>
      <c r="C107" s="40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6">
        <f t="shared" si="7"/>
        <v>6096.9800582199923</v>
      </c>
    </row>
    <row r="108" spans="1:9">
      <c r="A108">
        <v>107</v>
      </c>
      <c r="B108" t="s">
        <v>77</v>
      </c>
      <c r="C108" s="40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6">
        <f t="shared" si="7"/>
        <v>6097.4951800399922</v>
      </c>
    </row>
    <row r="109" spans="1:9">
      <c r="A109">
        <v>108</v>
      </c>
      <c r="B109" t="s">
        <v>77</v>
      </c>
      <c r="C109" s="40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6">
        <f t="shared" si="7"/>
        <v>6098.6284480299919</v>
      </c>
    </row>
    <row r="110" spans="1:9">
      <c r="A110">
        <v>109</v>
      </c>
      <c r="B110" t="s">
        <v>77</v>
      </c>
      <c r="C110" s="40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6">
        <f t="shared" si="7"/>
        <v>6101.7191789199915</v>
      </c>
    </row>
    <row r="111" spans="1:9">
      <c r="A111">
        <v>110</v>
      </c>
      <c r="B111" t="s">
        <v>77</v>
      </c>
      <c r="C111" s="40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6">
        <f t="shared" si="7"/>
        <v>6106.8703970799916</v>
      </c>
    </row>
    <row r="112" spans="1:9">
      <c r="A112">
        <v>111</v>
      </c>
      <c r="B112" t="s">
        <v>77</v>
      </c>
      <c r="C112" s="40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6">
        <f t="shared" si="7"/>
        <v>6108.9308843399913</v>
      </c>
    </row>
    <row r="113" spans="1:9">
      <c r="A113">
        <v>112</v>
      </c>
      <c r="B113" t="s">
        <v>77</v>
      </c>
      <c r="C113" s="40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6">
        <f t="shared" si="7"/>
        <v>6115.4214192199915</v>
      </c>
    </row>
    <row r="114" spans="1:9">
      <c r="A114">
        <v>113</v>
      </c>
      <c r="B114" t="s">
        <v>77</v>
      </c>
      <c r="C114" s="40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6">
        <f t="shared" si="7"/>
        <v>6119.5423937399919</v>
      </c>
    </row>
    <row r="115" spans="1:9">
      <c r="A115">
        <v>114</v>
      </c>
      <c r="B115" t="s">
        <v>77</v>
      </c>
      <c r="C115" s="40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6">
        <f t="shared" si="7"/>
        <v>6121.0877591899916</v>
      </c>
    </row>
    <row r="116" spans="1:9">
      <c r="A116">
        <v>115</v>
      </c>
      <c r="B116" t="s">
        <v>77</v>
      </c>
      <c r="C116" s="40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6">
        <f t="shared" si="7"/>
        <v>6133.9658045899914</v>
      </c>
    </row>
    <row r="117" spans="1:9">
      <c r="A117">
        <v>116</v>
      </c>
      <c r="B117" t="s">
        <v>77</v>
      </c>
      <c r="C117" s="40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6">
        <f t="shared" si="7"/>
        <v>6139.8381932899911</v>
      </c>
    </row>
    <row r="118" spans="1:9">
      <c r="A118">
        <v>117</v>
      </c>
      <c r="B118" t="s">
        <v>77</v>
      </c>
      <c r="C118" s="40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6">
        <f t="shared" si="7"/>
        <v>6140.7139003799912</v>
      </c>
    </row>
    <row r="119" spans="1:9">
      <c r="A119">
        <v>118</v>
      </c>
      <c r="B119" t="s">
        <v>77</v>
      </c>
      <c r="C119" s="40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6">
        <f t="shared" si="7"/>
        <v>6143.2895094599908</v>
      </c>
    </row>
    <row r="120" spans="1:9">
      <c r="A120">
        <v>119</v>
      </c>
      <c r="B120" t="s">
        <v>77</v>
      </c>
      <c r="C120" s="40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6">
        <f t="shared" si="7"/>
        <v>6143.9076556399905</v>
      </c>
    </row>
    <row r="121" spans="1:9">
      <c r="A121">
        <v>120</v>
      </c>
      <c r="B121" t="s">
        <v>77</v>
      </c>
      <c r="C121" s="40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6">
        <f t="shared" si="7"/>
        <v>6144.9378992699903</v>
      </c>
    </row>
    <row r="122" spans="1:9">
      <c r="A122">
        <v>121</v>
      </c>
      <c r="B122" t="s">
        <v>77</v>
      </c>
      <c r="C122" s="40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6">
        <f t="shared" si="7"/>
        <v>6146.7408256199906</v>
      </c>
    </row>
    <row r="123" spans="1:9">
      <c r="A123">
        <v>122</v>
      </c>
      <c r="B123" t="s">
        <v>77</v>
      </c>
      <c r="C123" s="40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6">
        <f t="shared" si="7"/>
        <v>6147.6680448899906</v>
      </c>
    </row>
    <row r="124" spans="1:9">
      <c r="A124">
        <v>123</v>
      </c>
      <c r="B124" t="s">
        <v>77</v>
      </c>
      <c r="C124" s="40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6">
        <f t="shared" si="7"/>
        <v>6150.7587757799902</v>
      </c>
    </row>
    <row r="125" spans="1:9">
      <c r="A125">
        <v>124</v>
      </c>
      <c r="B125" t="s">
        <v>77</v>
      </c>
      <c r="C125" s="40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6">
        <f t="shared" si="7"/>
        <v>6152.3041412299899</v>
      </c>
    </row>
    <row r="126" spans="1:9">
      <c r="A126">
        <v>125</v>
      </c>
      <c r="B126" t="s">
        <v>77</v>
      </c>
      <c r="C126" s="40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6">
        <f t="shared" si="7"/>
        <v>6154.15857976999</v>
      </c>
    </row>
    <row r="127" spans="1:9">
      <c r="A127">
        <v>126</v>
      </c>
      <c r="B127" t="s">
        <v>77</v>
      </c>
      <c r="C127" s="40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6">
        <f t="shared" si="7"/>
        <v>6155.8069695799895</v>
      </c>
    </row>
    <row r="128" spans="1:9">
      <c r="A128">
        <v>127</v>
      </c>
      <c r="B128" t="s">
        <v>77</v>
      </c>
      <c r="C128" s="40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6">
        <f t="shared" si="7"/>
        <v>6157.1977984799896</v>
      </c>
    </row>
    <row r="129" spans="1:9">
      <c r="A129">
        <v>128</v>
      </c>
      <c r="B129" t="s">
        <v>77</v>
      </c>
      <c r="C129" s="40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6">
        <f t="shared" si="7"/>
        <v>6157.7129202999895</v>
      </c>
    </row>
    <row r="130" spans="1:9">
      <c r="A130">
        <v>129</v>
      </c>
      <c r="B130" t="s">
        <v>77</v>
      </c>
      <c r="C130" s="40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6">
        <f t="shared" si="7"/>
        <v>6167.5002347899899</v>
      </c>
    </row>
    <row r="131" spans="1:9">
      <c r="A131">
        <v>130</v>
      </c>
      <c r="B131" t="s">
        <v>77</v>
      </c>
      <c r="C131" s="40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6">
        <f t="shared" ref="I131:I194" si="11">C131+I130</f>
        <v>6171.72423367999</v>
      </c>
    </row>
    <row r="132" spans="1:9">
      <c r="A132">
        <v>131</v>
      </c>
      <c r="B132" t="s">
        <v>77</v>
      </c>
      <c r="C132" s="40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6">
        <f t="shared" si="11"/>
        <v>6184.6022790799898</v>
      </c>
    </row>
    <row r="133" spans="1:9">
      <c r="A133">
        <v>132</v>
      </c>
      <c r="B133" t="s">
        <v>77</v>
      </c>
      <c r="C133" s="40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6">
        <f t="shared" si="11"/>
        <v>6185.6325227099896</v>
      </c>
    </row>
    <row r="134" spans="1:9">
      <c r="A134">
        <v>133</v>
      </c>
      <c r="B134" t="s">
        <v>77</v>
      </c>
      <c r="C134" s="40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6">
        <f t="shared" si="11"/>
        <v>6191.1958383199899</v>
      </c>
    </row>
    <row r="135" spans="1:9">
      <c r="A135">
        <v>134</v>
      </c>
      <c r="B135" t="s">
        <v>77</v>
      </c>
      <c r="C135" s="40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6">
        <f t="shared" si="11"/>
        <v>7442.4782383199899</v>
      </c>
    </row>
    <row r="136" spans="1:9">
      <c r="A136">
        <v>135</v>
      </c>
      <c r="B136" t="s">
        <v>77</v>
      </c>
      <c r="C136" s="40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6">
        <f t="shared" si="11"/>
        <v>7912.2693343199899</v>
      </c>
    </row>
    <row r="137" spans="1:9">
      <c r="A137">
        <v>136</v>
      </c>
      <c r="B137" t="s">
        <v>77</v>
      </c>
      <c r="C137" s="40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6">
        <f t="shared" si="11"/>
        <v>7916.6478697499897</v>
      </c>
    </row>
    <row r="138" spans="1:9">
      <c r="A138">
        <v>137</v>
      </c>
      <c r="B138" t="s">
        <v>77</v>
      </c>
      <c r="C138" s="40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6">
        <f t="shared" si="11"/>
        <v>7924.8898187999894</v>
      </c>
    </row>
    <row r="139" spans="1:9">
      <c r="A139">
        <v>138</v>
      </c>
      <c r="B139" t="s">
        <v>77</v>
      </c>
      <c r="C139" s="40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6">
        <f t="shared" si="11"/>
        <v>7946.5249350999893</v>
      </c>
    </row>
    <row r="140" spans="1:9">
      <c r="A140">
        <v>139</v>
      </c>
      <c r="B140" t="s">
        <v>77</v>
      </c>
      <c r="C140" s="40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6">
        <f t="shared" si="11"/>
        <v>7947.5551787299892</v>
      </c>
    </row>
    <row r="141" spans="1:9">
      <c r="A141">
        <v>140</v>
      </c>
      <c r="B141" t="s">
        <v>77</v>
      </c>
      <c r="C141" s="40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6">
        <f t="shared" si="11"/>
        <v>7948.585422359989</v>
      </c>
    </row>
    <row r="142" spans="1:9">
      <c r="A142">
        <v>141</v>
      </c>
      <c r="B142" t="s">
        <v>77</v>
      </c>
      <c r="C142" s="40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6">
        <f t="shared" si="11"/>
        <v>7967.2843442599888</v>
      </c>
    </row>
    <row r="143" spans="1:9">
      <c r="A143">
        <v>142</v>
      </c>
      <c r="B143" t="s">
        <v>77</v>
      </c>
      <c r="C143" s="40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6">
        <f t="shared" si="11"/>
        <v>7968.8297097099885</v>
      </c>
    </row>
    <row r="144" spans="1:9">
      <c r="A144">
        <v>143</v>
      </c>
      <c r="B144" t="s">
        <v>77</v>
      </c>
      <c r="C144" s="40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6">
        <f t="shared" si="11"/>
        <v>7977.0716587599882</v>
      </c>
    </row>
    <row r="145" spans="1:9">
      <c r="A145">
        <v>144</v>
      </c>
      <c r="B145" t="s">
        <v>77</v>
      </c>
      <c r="C145" s="40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6">
        <f t="shared" si="11"/>
        <v>7987.8892168599878</v>
      </c>
    </row>
    <row r="146" spans="1:9">
      <c r="A146">
        <v>145</v>
      </c>
      <c r="B146" t="s">
        <v>77</v>
      </c>
      <c r="C146" s="40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6">
        <f t="shared" si="11"/>
        <v>7989.9497041199875</v>
      </c>
    </row>
    <row r="147" spans="1:9">
      <c r="A147">
        <v>146</v>
      </c>
      <c r="B147" t="s">
        <v>77</v>
      </c>
      <c r="C147" s="40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6">
        <f t="shared" si="11"/>
        <v>7997.0583851699876</v>
      </c>
    </row>
    <row r="148" spans="1:9">
      <c r="A148">
        <v>147</v>
      </c>
      <c r="B148" t="s">
        <v>77</v>
      </c>
      <c r="C148" s="40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6">
        <f t="shared" si="11"/>
        <v>8025.9052068699875</v>
      </c>
    </row>
    <row r="149" spans="1:9">
      <c r="A149">
        <v>148</v>
      </c>
      <c r="B149" t="s">
        <v>77</v>
      </c>
      <c r="C149" s="40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6">
        <f t="shared" si="11"/>
        <v>8039.2983740699874</v>
      </c>
    </row>
    <row r="150" spans="1:9">
      <c r="A150">
        <v>149</v>
      </c>
      <c r="B150" t="s">
        <v>77</v>
      </c>
      <c r="C150" s="40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6">
        <f t="shared" si="11"/>
        <v>8059.1305639699876</v>
      </c>
    </row>
    <row r="151" spans="1:9">
      <c r="A151">
        <v>150</v>
      </c>
      <c r="B151" t="s">
        <v>77</v>
      </c>
      <c r="C151" s="40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6">
        <f t="shared" si="11"/>
        <v>8060.881978139988</v>
      </c>
    </row>
    <row r="152" spans="1:9">
      <c r="A152">
        <v>151</v>
      </c>
      <c r="B152" t="s">
        <v>77</v>
      </c>
      <c r="C152" s="40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6">
        <f t="shared" si="11"/>
        <v>8061.809197409988</v>
      </c>
    </row>
    <row r="153" spans="1:9">
      <c r="A153">
        <v>152</v>
      </c>
      <c r="B153" t="s">
        <v>77</v>
      </c>
      <c r="C153" s="40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6">
        <f t="shared" si="11"/>
        <v>8069.2269515499884</v>
      </c>
    </row>
    <row r="154" spans="1:9">
      <c r="A154">
        <v>153</v>
      </c>
      <c r="B154" t="s">
        <v>77</v>
      </c>
      <c r="C154" s="40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6">
        <f t="shared" si="11"/>
        <v>8072.3176824399879</v>
      </c>
    </row>
    <row r="155" spans="1:9">
      <c r="A155">
        <v>154</v>
      </c>
      <c r="B155" t="s">
        <v>77</v>
      </c>
      <c r="C155" s="40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6">
        <f t="shared" si="11"/>
        <v>8074.3781696999877</v>
      </c>
    </row>
    <row r="156" spans="1:9">
      <c r="A156">
        <v>155</v>
      </c>
      <c r="B156" t="s">
        <v>77</v>
      </c>
      <c r="C156" s="40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6">
        <f t="shared" si="11"/>
        <v>8077.8809980499873</v>
      </c>
    </row>
    <row r="157" spans="1:9">
      <c r="A157">
        <v>156</v>
      </c>
      <c r="B157" t="s">
        <v>77</v>
      </c>
      <c r="C157" s="40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6">
        <f t="shared" si="11"/>
        <v>8078.4476320499871</v>
      </c>
    </row>
    <row r="158" spans="1:9">
      <c r="A158">
        <v>157</v>
      </c>
      <c r="B158" t="s">
        <v>77</v>
      </c>
      <c r="C158" s="40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6">
        <f t="shared" si="11"/>
        <v>8079.2203147699875</v>
      </c>
    </row>
    <row r="159" spans="1:9">
      <c r="A159">
        <v>158</v>
      </c>
      <c r="B159" t="s">
        <v>77</v>
      </c>
      <c r="C159" s="40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6">
        <f t="shared" si="11"/>
        <v>8081.2808020299872</v>
      </c>
    </row>
    <row r="160" spans="1:9">
      <c r="A160">
        <v>159</v>
      </c>
      <c r="B160" t="s">
        <v>77</v>
      </c>
      <c r="C160" s="40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6">
        <f t="shared" si="11"/>
        <v>8081.9504603899868</v>
      </c>
    </row>
    <row r="161" spans="1:9">
      <c r="A161">
        <v>160</v>
      </c>
      <c r="B161" t="s">
        <v>77</v>
      </c>
      <c r="C161" s="40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6">
        <f t="shared" si="11"/>
        <v>8093.2316281899866</v>
      </c>
    </row>
    <row r="162" spans="1:9">
      <c r="A162">
        <v>161</v>
      </c>
      <c r="B162" t="s">
        <v>77</v>
      </c>
      <c r="C162" s="40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6">
        <f t="shared" si="11"/>
        <v>8094.5709449099868</v>
      </c>
    </row>
    <row r="163" spans="1:9">
      <c r="A163">
        <v>162</v>
      </c>
      <c r="B163" t="s">
        <v>77</v>
      </c>
      <c r="C163" s="40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6">
        <f t="shared" si="11"/>
        <v>8096.1163103599865</v>
      </c>
    </row>
    <row r="164" spans="1:9">
      <c r="A164">
        <v>163</v>
      </c>
      <c r="B164" t="s">
        <v>77</v>
      </c>
      <c r="C164" s="40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6">
        <f t="shared" si="11"/>
        <v>8096.8889930799869</v>
      </c>
    </row>
    <row r="165" spans="1:9">
      <c r="A165">
        <v>164</v>
      </c>
      <c r="B165" t="s">
        <v>77</v>
      </c>
      <c r="C165" s="40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6">
        <f t="shared" si="11"/>
        <v>8105.3369908499872</v>
      </c>
    </row>
    <row r="166" spans="1:9">
      <c r="A166">
        <v>165</v>
      </c>
      <c r="B166" t="s">
        <v>77</v>
      </c>
      <c r="C166" s="40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6">
        <f t="shared" si="11"/>
        <v>8106.1096735699875</v>
      </c>
    </row>
    <row r="167" spans="1:9">
      <c r="A167">
        <v>166</v>
      </c>
      <c r="B167" t="s">
        <v>77</v>
      </c>
      <c r="C167" s="40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6">
        <f t="shared" si="11"/>
        <v>8107.3974781099878</v>
      </c>
    </row>
    <row r="168" spans="1:9">
      <c r="A168">
        <v>167</v>
      </c>
      <c r="B168" t="s">
        <v>77</v>
      </c>
      <c r="C168" s="40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6">
        <f t="shared" si="11"/>
        <v>8111.5184526299881</v>
      </c>
    </row>
    <row r="169" spans="1:9">
      <c r="A169">
        <v>168</v>
      </c>
      <c r="B169" t="s">
        <v>77</v>
      </c>
      <c r="C169" s="40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6">
        <f t="shared" si="11"/>
        <v>8112.3941597199882</v>
      </c>
    </row>
    <row r="170" spans="1:9">
      <c r="A170">
        <v>169</v>
      </c>
      <c r="B170" t="s">
        <v>77</v>
      </c>
      <c r="C170" s="40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6">
        <f t="shared" si="11"/>
        <v>8118.3695727799886</v>
      </c>
    </row>
    <row r="171" spans="1:9">
      <c r="A171">
        <v>170</v>
      </c>
      <c r="B171" t="s">
        <v>77</v>
      </c>
      <c r="C171" s="40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6">
        <f t="shared" si="11"/>
        <v>8119.605865139989</v>
      </c>
    </row>
    <row r="172" spans="1:9">
      <c r="A172">
        <v>171</v>
      </c>
      <c r="B172" t="s">
        <v>77</v>
      </c>
      <c r="C172" s="40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6">
        <f t="shared" si="11"/>
        <v>8120.6361087699888</v>
      </c>
    </row>
    <row r="173" spans="1:9">
      <c r="A173">
        <v>172</v>
      </c>
      <c r="B173" t="s">
        <v>77</v>
      </c>
      <c r="C173" s="40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6">
        <f t="shared" si="11"/>
        <v>8122.1299620299887</v>
      </c>
    </row>
    <row r="174" spans="1:9">
      <c r="A174">
        <v>173</v>
      </c>
      <c r="B174" t="s">
        <v>77</v>
      </c>
      <c r="C174" s="40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6">
        <f t="shared" si="11"/>
        <v>8124.1904492899885</v>
      </c>
    </row>
    <row r="175" spans="1:9">
      <c r="A175">
        <v>174</v>
      </c>
      <c r="B175" t="s">
        <v>77</v>
      </c>
      <c r="C175" s="40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6">
        <f t="shared" si="11"/>
        <v>8128.3629359999886</v>
      </c>
    </row>
    <row r="176" spans="1:9">
      <c r="A176">
        <v>175</v>
      </c>
      <c r="B176" t="s">
        <v>77</v>
      </c>
      <c r="C176" s="40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6">
        <f t="shared" si="11"/>
        <v>8132.2263496199885</v>
      </c>
    </row>
    <row r="177" spans="1:10">
      <c r="A177">
        <v>176</v>
      </c>
      <c r="B177" t="s">
        <v>77</v>
      </c>
      <c r="C177" s="40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6">
        <f t="shared" si="11"/>
        <v>8134.4928856099887</v>
      </c>
      <c r="J177">
        <v>0</v>
      </c>
    </row>
    <row r="178" spans="1:10">
      <c r="A178">
        <v>177</v>
      </c>
      <c r="B178" t="s">
        <v>77</v>
      </c>
      <c r="C178" s="40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6">
        <f t="shared" si="11"/>
        <v>8135.5231292399885</v>
      </c>
      <c r="J178">
        <v>17.621926197795261</v>
      </c>
    </row>
    <row r="179" spans="1:10">
      <c r="A179">
        <v>178</v>
      </c>
      <c r="B179" t="s">
        <v>78</v>
      </c>
      <c r="C179" s="40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6">
        <f t="shared" si="11"/>
        <v>8179.3181306399883</v>
      </c>
      <c r="J179">
        <v>20.21902408692641</v>
      </c>
    </row>
    <row r="180" spans="1:10">
      <c r="A180">
        <v>179</v>
      </c>
      <c r="B180" t="s">
        <v>78</v>
      </c>
      <c r="C180" s="40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6">
        <f t="shared" si="11"/>
        <v>8214.2656570399886</v>
      </c>
      <c r="J180">
        <v>31.962000667659993</v>
      </c>
    </row>
    <row r="181" spans="1:10">
      <c r="A181">
        <v>180</v>
      </c>
      <c r="B181" t="s">
        <v>78</v>
      </c>
      <c r="C181" s="40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6">
        <f t="shared" si="11"/>
        <v>8216.2121015499888</v>
      </c>
      <c r="J181">
        <v>32.585754269836094</v>
      </c>
    </row>
    <row r="182" spans="1:10">
      <c r="A182">
        <v>181</v>
      </c>
      <c r="B182" t="s">
        <v>78</v>
      </c>
      <c r="C182" s="40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6">
        <f t="shared" si="11"/>
        <v>8264.8732141499895</v>
      </c>
      <c r="J182">
        <v>34.378813714638468</v>
      </c>
    </row>
    <row r="183" spans="1:10">
      <c r="A183">
        <v>182</v>
      </c>
      <c r="B183" t="s">
        <v>78</v>
      </c>
      <c r="C183" s="40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6">
        <f t="shared" si="11"/>
        <v>8270.44712341999</v>
      </c>
      <c r="J183">
        <v>35.102020336565346</v>
      </c>
    </row>
    <row r="184" spans="1:10">
      <c r="A184">
        <v>183</v>
      </c>
      <c r="B184" t="s">
        <v>78</v>
      </c>
      <c r="C184" s="40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6">
        <f t="shared" si="11"/>
        <v>8273.8091639299892</v>
      </c>
      <c r="J184">
        <v>35.187982736031429</v>
      </c>
    </row>
    <row r="185" spans="1:10">
      <c r="A185">
        <v>184</v>
      </c>
      <c r="B185" t="s">
        <v>78</v>
      </c>
      <c r="C185" s="40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6">
        <f t="shared" si="11"/>
        <v>8278.9406994499896</v>
      </c>
      <c r="J185">
        <v>35.351226297428148</v>
      </c>
    </row>
    <row r="186" spans="1:10">
      <c r="A186">
        <v>185</v>
      </c>
      <c r="B186" t="s">
        <v>78</v>
      </c>
      <c r="C186" s="40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6">
        <f t="shared" si="11"/>
        <v>8284.6030834699905</v>
      </c>
      <c r="J186">
        <v>35.555189574488928</v>
      </c>
    </row>
    <row r="187" spans="1:10">
      <c r="A187">
        <v>186</v>
      </c>
      <c r="B187" t="s">
        <v>78</v>
      </c>
      <c r="C187" s="40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6">
        <f t="shared" si="11"/>
        <v>8307.0756700699912</v>
      </c>
      <c r="J187">
        <v>35.662201307869452</v>
      </c>
    </row>
    <row r="188" spans="1:10">
      <c r="A188">
        <v>187</v>
      </c>
      <c r="B188" t="s">
        <v>78</v>
      </c>
      <c r="C188" s="40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6">
        <f t="shared" si="11"/>
        <v>8311.1455085799917</v>
      </c>
      <c r="J188">
        <v>36.474386012413206</v>
      </c>
    </row>
    <row r="189" spans="1:10">
      <c r="A189">
        <v>188</v>
      </c>
      <c r="B189" t="s">
        <v>78</v>
      </c>
      <c r="C189" s="40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6">
        <f t="shared" si="11"/>
        <v>8315.2153470899921</v>
      </c>
      <c r="J189">
        <v>36.474473075827056</v>
      </c>
    </row>
    <row r="190" spans="1:10">
      <c r="A190">
        <v>189</v>
      </c>
      <c r="B190" t="s">
        <v>78</v>
      </c>
      <c r="C190" s="40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6">
        <f t="shared" si="11"/>
        <v>8600.104043089992</v>
      </c>
      <c r="J190">
        <v>36.621351256059235</v>
      </c>
    </row>
    <row r="191" spans="1:10">
      <c r="A191">
        <v>190</v>
      </c>
      <c r="B191" t="s">
        <v>78</v>
      </c>
      <c r="C191" s="40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6">
        <f t="shared" si="11"/>
        <v>8616.0294980899926</v>
      </c>
      <c r="J191">
        <v>36.922319897375907</v>
      </c>
    </row>
    <row r="192" spans="1:10">
      <c r="A192">
        <v>191</v>
      </c>
      <c r="B192" t="s">
        <v>78</v>
      </c>
      <c r="C192" s="40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6">
        <f t="shared" si="11"/>
        <v>8657.6126306899932</v>
      </c>
      <c r="J192">
        <v>37.64125870648769</v>
      </c>
    </row>
    <row r="193" spans="1:14">
      <c r="A193">
        <v>192</v>
      </c>
      <c r="B193" t="s">
        <v>78</v>
      </c>
      <c r="C193" s="40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6">
        <f t="shared" si="11"/>
        <v>8678.3157222899936</v>
      </c>
      <c r="J193">
        <v>37.66606425888304</v>
      </c>
    </row>
    <row r="194" spans="1:14">
      <c r="A194">
        <v>193</v>
      </c>
      <c r="B194" t="s">
        <v>78</v>
      </c>
      <c r="C194" s="40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6">
        <f t="shared" si="11"/>
        <v>9639.2399852899944</v>
      </c>
      <c r="J194">
        <v>38.949384953117331</v>
      </c>
    </row>
    <row r="195" spans="1:14">
      <c r="A195">
        <v>194</v>
      </c>
      <c r="B195" t="s">
        <v>78</v>
      </c>
      <c r="C195" s="40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6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78</v>
      </c>
      <c r="C196" s="40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6">
        <f t="shared" si="15"/>
        <v>9738.066281349993</v>
      </c>
      <c r="J196">
        <v>43.040851743558157</v>
      </c>
    </row>
    <row r="197" spans="1:14">
      <c r="A197">
        <v>196</v>
      </c>
      <c r="B197" t="s">
        <v>78</v>
      </c>
      <c r="C197" s="40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6">
        <f t="shared" si="15"/>
        <v>9739.6588268499927</v>
      </c>
      <c r="J197">
        <v>43.43740030441495</v>
      </c>
    </row>
    <row r="198" spans="1:14">
      <c r="A198">
        <v>197</v>
      </c>
      <c r="B198" t="s">
        <v>78</v>
      </c>
      <c r="C198" s="40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6">
        <f t="shared" si="15"/>
        <v>10048.347230849993</v>
      </c>
      <c r="J198">
        <v>44.029767758458775</v>
      </c>
    </row>
    <row r="199" spans="1:14">
      <c r="A199">
        <v>198</v>
      </c>
      <c r="B199" t="s">
        <v>78</v>
      </c>
      <c r="C199" s="40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6">
        <f t="shared" si="15"/>
        <v>11192.414230849994</v>
      </c>
      <c r="J199">
        <v>44.700237150688807</v>
      </c>
    </row>
    <row r="200" spans="1:14">
      <c r="A200">
        <v>199</v>
      </c>
      <c r="B200" t="s">
        <v>78</v>
      </c>
      <c r="C200" s="40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6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78</v>
      </c>
      <c r="C201" s="40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6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78</v>
      </c>
      <c r="C202" s="40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6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78</v>
      </c>
      <c r="C203" s="40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6">
        <f t="shared" si="15"/>
        <v>14437.402648849995</v>
      </c>
      <c r="J203">
        <v>46.156149991499582</v>
      </c>
    </row>
    <row r="204" spans="1:14">
      <c r="A204">
        <v>203</v>
      </c>
      <c r="B204" t="s">
        <v>78</v>
      </c>
      <c r="C204" s="40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6">
        <f t="shared" si="15"/>
        <v>14486.329185749995</v>
      </c>
      <c r="J204">
        <v>47.370415265250834</v>
      </c>
    </row>
    <row r="205" spans="1:14">
      <c r="A205">
        <v>204</v>
      </c>
      <c r="B205" t="s">
        <v>78</v>
      </c>
      <c r="C205" s="40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6">
        <f t="shared" si="15"/>
        <v>14953.475866749995</v>
      </c>
      <c r="J205">
        <v>48.617357970391083</v>
      </c>
    </row>
    <row r="206" spans="1:14">
      <c r="A206">
        <v>205</v>
      </c>
      <c r="B206" t="s">
        <v>78</v>
      </c>
      <c r="C206" s="40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6">
        <f t="shared" si="15"/>
        <v>15587.132027749996</v>
      </c>
      <c r="J206">
        <v>49.151785674716109</v>
      </c>
    </row>
    <row r="207" spans="1:14">
      <c r="A207">
        <v>206</v>
      </c>
      <c r="B207" t="s">
        <v>78</v>
      </c>
      <c r="C207" s="40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6">
        <f t="shared" si="15"/>
        <v>15717.189910749996</v>
      </c>
      <c r="J207">
        <v>51.462173307303736</v>
      </c>
    </row>
    <row r="208" spans="1:14">
      <c r="A208">
        <v>207</v>
      </c>
      <c r="B208" t="s">
        <v>78</v>
      </c>
      <c r="C208" s="40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6">
        <f t="shared" si="15"/>
        <v>15862.288500749995</v>
      </c>
      <c r="J208">
        <v>53.185970441251278</v>
      </c>
    </row>
    <row r="209" spans="1:10">
      <c r="A209">
        <v>208</v>
      </c>
      <c r="B209" t="s">
        <v>78</v>
      </c>
      <c r="C209" s="40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6">
        <f t="shared" si="15"/>
        <v>15906.525875849995</v>
      </c>
      <c r="J209">
        <v>53.275367944913064</v>
      </c>
    </row>
    <row r="210" spans="1:10">
      <c r="A210">
        <v>209</v>
      </c>
      <c r="B210" t="s">
        <v>78</v>
      </c>
      <c r="C210" s="40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6">
        <f t="shared" si="15"/>
        <v>15964.299887749994</v>
      </c>
      <c r="J210">
        <v>53.680410534518913</v>
      </c>
    </row>
    <row r="211" spans="1:10">
      <c r="A211">
        <v>210</v>
      </c>
      <c r="B211" t="s">
        <v>78</v>
      </c>
      <c r="C211" s="40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6">
        <f t="shared" si="15"/>
        <v>16072.769931749994</v>
      </c>
      <c r="J211">
        <v>54.789297901928308</v>
      </c>
    </row>
    <row r="212" spans="1:10">
      <c r="A212">
        <v>211</v>
      </c>
      <c r="B212" t="s">
        <v>78</v>
      </c>
      <c r="C212" s="40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6">
        <f t="shared" si="15"/>
        <v>16163.633500249995</v>
      </c>
      <c r="J212">
        <v>54.879785152835495</v>
      </c>
    </row>
    <row r="213" spans="1:10">
      <c r="A213">
        <v>212</v>
      </c>
      <c r="B213" t="s">
        <v>78</v>
      </c>
      <c r="C213" s="40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6">
        <f t="shared" si="15"/>
        <v>16236.182795449995</v>
      </c>
      <c r="J213">
        <v>54.948884016436033</v>
      </c>
    </row>
    <row r="214" spans="1:10">
      <c r="A214">
        <v>213</v>
      </c>
      <c r="B214" t="s">
        <v>78</v>
      </c>
      <c r="C214" s="40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6">
        <f t="shared" si="15"/>
        <v>16431.977417449994</v>
      </c>
      <c r="J214">
        <v>55.691685867082512</v>
      </c>
    </row>
    <row r="215" spans="1:10">
      <c r="A215">
        <v>214</v>
      </c>
      <c r="B215" t="s">
        <v>78</v>
      </c>
      <c r="C215" s="40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6">
        <f t="shared" si="15"/>
        <v>16583.446189449995</v>
      </c>
      <c r="J215">
        <v>56.447019443584168</v>
      </c>
    </row>
    <row r="216" spans="1:10">
      <c r="A216">
        <v>215</v>
      </c>
      <c r="B216" t="s">
        <v>78</v>
      </c>
      <c r="C216" s="40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6">
        <f t="shared" si="15"/>
        <v>16647.148009649994</v>
      </c>
      <c r="J216">
        <v>56.812502319605592</v>
      </c>
    </row>
    <row r="217" spans="1:10">
      <c r="A217">
        <v>216</v>
      </c>
      <c r="B217" t="s">
        <v>78</v>
      </c>
      <c r="C217" s="40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6">
        <f t="shared" si="15"/>
        <v>16648.740555149994</v>
      </c>
      <c r="J217">
        <v>57.06066540595512</v>
      </c>
    </row>
    <row r="218" spans="1:10">
      <c r="A218">
        <v>217</v>
      </c>
      <c r="B218" t="s">
        <v>78</v>
      </c>
      <c r="C218" s="40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6">
        <f t="shared" si="15"/>
        <v>16726.775284849995</v>
      </c>
      <c r="J218">
        <v>57.150543365728083</v>
      </c>
    </row>
    <row r="219" spans="1:10">
      <c r="A219">
        <v>218</v>
      </c>
      <c r="B219" t="s">
        <v>78</v>
      </c>
      <c r="C219" s="40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6">
        <f t="shared" si="15"/>
        <v>16806.933408549994</v>
      </c>
      <c r="J219">
        <v>57.400401804779818</v>
      </c>
    </row>
    <row r="220" spans="1:10">
      <c r="A220">
        <v>219</v>
      </c>
      <c r="B220" t="s">
        <v>78</v>
      </c>
      <c r="C220" s="40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6">
        <f t="shared" si="15"/>
        <v>16862.584026449993</v>
      </c>
      <c r="J220">
        <v>57.799797196792277</v>
      </c>
    </row>
    <row r="221" spans="1:10">
      <c r="A221">
        <v>220</v>
      </c>
      <c r="B221" t="s">
        <v>78</v>
      </c>
      <c r="C221" s="40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6">
        <f t="shared" si="15"/>
        <v>16922.127533349994</v>
      </c>
      <c r="J221">
        <v>57.968787240286943</v>
      </c>
    </row>
    <row r="222" spans="1:10">
      <c r="A222">
        <v>221</v>
      </c>
      <c r="B222" t="s">
        <v>78</v>
      </c>
      <c r="C222" s="40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6">
        <f t="shared" si="15"/>
        <v>17007.328717849996</v>
      </c>
      <c r="J222">
        <v>58.497425028676751</v>
      </c>
    </row>
    <row r="223" spans="1:10">
      <c r="A223">
        <v>222</v>
      </c>
      <c r="B223" t="s">
        <v>78</v>
      </c>
      <c r="C223" s="40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6">
        <f t="shared" si="15"/>
        <v>17219.668118849997</v>
      </c>
      <c r="J223">
        <v>58.921067437661932</v>
      </c>
    </row>
    <row r="224" spans="1:10">
      <c r="A224">
        <v>223</v>
      </c>
      <c r="B224" t="s">
        <v>78</v>
      </c>
      <c r="C224" s="40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6">
        <f t="shared" si="15"/>
        <v>17270.452625549999</v>
      </c>
      <c r="J224">
        <v>59.202652326917232</v>
      </c>
    </row>
    <row r="225" spans="1:10">
      <c r="A225">
        <v>224</v>
      </c>
      <c r="B225" t="s">
        <v>78</v>
      </c>
      <c r="C225" s="40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6">
        <f t="shared" si="15"/>
        <v>17320.529334249997</v>
      </c>
      <c r="J225">
        <v>59.584803704310886</v>
      </c>
    </row>
    <row r="226" spans="1:10">
      <c r="A226">
        <v>225</v>
      </c>
      <c r="B226" t="s">
        <v>78</v>
      </c>
      <c r="C226" s="40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6">
        <f t="shared" si="15"/>
        <v>17573.213221249996</v>
      </c>
      <c r="J226">
        <v>61.736342523403209</v>
      </c>
    </row>
    <row r="227" spans="1:10">
      <c r="A227">
        <v>226</v>
      </c>
      <c r="B227" t="s">
        <v>78</v>
      </c>
      <c r="C227" s="40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6">
        <f t="shared" si="15"/>
        <v>17665.315436249995</v>
      </c>
      <c r="J227">
        <v>63.41447791267322</v>
      </c>
    </row>
    <row r="228" spans="1:10">
      <c r="A228">
        <v>227</v>
      </c>
      <c r="B228" t="s">
        <v>78</v>
      </c>
      <c r="C228" s="40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6">
        <f t="shared" si="15"/>
        <v>17706.898568849996</v>
      </c>
      <c r="J228">
        <v>63.451872049341134</v>
      </c>
    </row>
    <row r="229" spans="1:10">
      <c r="A229">
        <v>228</v>
      </c>
      <c r="B229" t="s">
        <v>78</v>
      </c>
      <c r="C229" s="40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6">
        <f t="shared" si="15"/>
        <v>17793.426874649995</v>
      </c>
      <c r="J229">
        <v>63.699824279570208</v>
      </c>
    </row>
    <row r="230" spans="1:10">
      <c r="A230">
        <v>229</v>
      </c>
      <c r="B230" t="s">
        <v>78</v>
      </c>
      <c r="C230" s="40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6">
        <f t="shared" si="15"/>
        <v>17835.629330549993</v>
      </c>
      <c r="J230">
        <v>64.055912757946501</v>
      </c>
    </row>
    <row r="231" spans="1:10">
      <c r="A231">
        <v>230</v>
      </c>
      <c r="B231" t="s">
        <v>78</v>
      </c>
      <c r="C231" s="40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6">
        <f t="shared" si="15"/>
        <v>17888.625705949991</v>
      </c>
      <c r="J231">
        <v>64.169533990613587</v>
      </c>
    </row>
    <row r="232" spans="1:10">
      <c r="A232">
        <v>231</v>
      </c>
      <c r="B232" t="s">
        <v>78</v>
      </c>
      <c r="C232" s="40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6">
        <f t="shared" si="15"/>
        <v>20211.08789594999</v>
      </c>
      <c r="J232">
        <v>65.682666268766013</v>
      </c>
    </row>
    <row r="233" spans="1:10">
      <c r="A233">
        <v>232</v>
      </c>
      <c r="B233" t="s">
        <v>78</v>
      </c>
      <c r="C233" s="40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6">
        <f t="shared" si="15"/>
        <v>20299.562646249989</v>
      </c>
      <c r="J233">
        <v>66.685653199708071</v>
      </c>
    </row>
    <row r="234" spans="1:10">
      <c r="A234">
        <v>233</v>
      </c>
      <c r="B234" t="s">
        <v>78</v>
      </c>
      <c r="C234" s="40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6">
        <f t="shared" si="15"/>
        <v>22061.97967624999</v>
      </c>
      <c r="J234">
        <v>66.762804692581554</v>
      </c>
    </row>
    <row r="235" spans="1:10">
      <c r="A235">
        <v>234</v>
      </c>
      <c r="B235" t="s">
        <v>78</v>
      </c>
      <c r="C235" s="40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6">
        <f t="shared" si="15"/>
        <v>22168.149376249989</v>
      </c>
      <c r="J235">
        <v>67.235207894572795</v>
      </c>
    </row>
    <row r="236" spans="1:10">
      <c r="A236">
        <v>235</v>
      </c>
      <c r="B236" t="s">
        <v>78</v>
      </c>
      <c r="C236" s="40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6">
        <f t="shared" si="15"/>
        <v>22276.088571249988</v>
      </c>
      <c r="J236">
        <v>67.571287436469916</v>
      </c>
    </row>
    <row r="237" spans="1:10">
      <c r="A237">
        <v>236</v>
      </c>
      <c r="B237" t="s">
        <v>78</v>
      </c>
      <c r="C237" s="40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6">
        <f t="shared" si="15"/>
        <v>22359.254836549986</v>
      </c>
      <c r="J237">
        <v>67.600216009214691</v>
      </c>
    </row>
    <row r="238" spans="1:10">
      <c r="A238">
        <v>237</v>
      </c>
      <c r="B238" t="s">
        <v>78</v>
      </c>
      <c r="C238" s="40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6">
        <f t="shared" si="15"/>
        <v>22400.837969149987</v>
      </c>
      <c r="J238">
        <v>67.718695854958355</v>
      </c>
    </row>
    <row r="239" spans="1:10">
      <c r="A239">
        <v>238</v>
      </c>
      <c r="B239" t="s">
        <v>78</v>
      </c>
      <c r="C239" s="40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6">
        <f t="shared" si="15"/>
        <v>22442.421101749987</v>
      </c>
      <c r="J239">
        <v>68.398814897792107</v>
      </c>
    </row>
    <row r="240" spans="1:10">
      <c r="A240">
        <v>239</v>
      </c>
      <c r="B240" t="s">
        <v>78</v>
      </c>
      <c r="C240" s="40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6">
        <f t="shared" si="15"/>
        <v>22525.587367049986</v>
      </c>
      <c r="J240">
        <v>68.873145417309232</v>
      </c>
    </row>
    <row r="241" spans="1:10">
      <c r="A241">
        <v>240</v>
      </c>
      <c r="B241" t="s">
        <v>78</v>
      </c>
      <c r="C241" s="40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6">
        <f t="shared" si="15"/>
        <v>23909.332457049986</v>
      </c>
      <c r="J241">
        <v>70.063897068726135</v>
      </c>
    </row>
    <row r="242" spans="1:10">
      <c r="A242">
        <v>241</v>
      </c>
      <c r="B242" t="s">
        <v>78</v>
      </c>
      <c r="C242" s="40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6">
        <f t="shared" si="15"/>
        <v>23962.859680949987</v>
      </c>
      <c r="J242">
        <v>71.380608911125591</v>
      </c>
    </row>
    <row r="243" spans="1:10">
      <c r="A243">
        <v>242</v>
      </c>
      <c r="B243" t="s">
        <v>78</v>
      </c>
      <c r="C243" s="40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6">
        <f t="shared" si="15"/>
        <v>24755.151069949985</v>
      </c>
      <c r="J243">
        <v>72.208591886174204</v>
      </c>
    </row>
    <row r="244" spans="1:10">
      <c r="A244">
        <v>243</v>
      </c>
      <c r="B244" t="s">
        <v>78</v>
      </c>
      <c r="C244" s="40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6">
        <f t="shared" si="15"/>
        <v>24838.317335249983</v>
      </c>
      <c r="J244">
        <v>73.162915324110315</v>
      </c>
    </row>
    <row r="245" spans="1:10">
      <c r="A245">
        <v>244</v>
      </c>
      <c r="B245" t="s">
        <v>78</v>
      </c>
      <c r="C245" s="40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6">
        <f t="shared" si="15"/>
        <v>24921.483600549982</v>
      </c>
      <c r="J245">
        <v>73.173347561321862</v>
      </c>
    </row>
    <row r="246" spans="1:10">
      <c r="A246">
        <v>245</v>
      </c>
      <c r="B246" t="s">
        <v>78</v>
      </c>
      <c r="C246" s="40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6">
        <f t="shared" si="15"/>
        <v>25443.48462754998</v>
      </c>
      <c r="J246">
        <v>73.197787526248533</v>
      </c>
    </row>
    <row r="247" spans="1:10">
      <c r="A247">
        <v>246</v>
      </c>
      <c r="B247" t="s">
        <v>78</v>
      </c>
      <c r="C247" s="40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6">
        <f t="shared" si="15"/>
        <v>26542.341027549981</v>
      </c>
      <c r="J247">
        <v>75.216701425907203</v>
      </c>
    </row>
    <row r="248" spans="1:10">
      <c r="A248">
        <v>247</v>
      </c>
      <c r="B248" t="s">
        <v>78</v>
      </c>
      <c r="C248" s="40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6">
        <f t="shared" si="15"/>
        <v>27017.804335549979</v>
      </c>
      <c r="J248">
        <v>77.610428562523538</v>
      </c>
    </row>
    <row r="249" spans="1:10">
      <c r="A249">
        <v>248</v>
      </c>
      <c r="B249" t="s">
        <v>78</v>
      </c>
      <c r="C249" s="40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6">
        <f t="shared" si="15"/>
        <v>27625.802819549979</v>
      </c>
      <c r="J249">
        <v>77.694714759933831</v>
      </c>
    </row>
    <row r="250" spans="1:10">
      <c r="A250">
        <v>249</v>
      </c>
      <c r="B250" t="s">
        <v>78</v>
      </c>
      <c r="C250" s="40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6">
        <f t="shared" si="15"/>
        <v>28815.788209549981</v>
      </c>
      <c r="J250">
        <v>91.022935344470724</v>
      </c>
    </row>
    <row r="251" spans="1:10">
      <c r="A251">
        <v>250</v>
      </c>
      <c r="B251" t="s">
        <v>78</v>
      </c>
      <c r="C251" s="40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6">
        <f t="shared" si="15"/>
        <v>28834.898755649981</v>
      </c>
      <c r="J251">
        <v>92.120347042150556</v>
      </c>
    </row>
    <row r="252" spans="1:10">
      <c r="A252">
        <v>251</v>
      </c>
      <c r="B252" t="s">
        <v>78</v>
      </c>
      <c r="C252" s="40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6">
        <f t="shared" si="15"/>
        <v>29424.229067649983</v>
      </c>
      <c r="J252">
        <v>94.967098977588108</v>
      </c>
    </row>
    <row r="253" spans="1:10">
      <c r="A253">
        <v>252</v>
      </c>
      <c r="B253" t="s">
        <v>78</v>
      </c>
      <c r="C253" s="40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6">
        <f t="shared" si="15"/>
        <v>29735.660188649985</v>
      </c>
      <c r="J253">
        <v>99.247871286386342</v>
      </c>
    </row>
    <row r="254" spans="1:10">
      <c r="A254">
        <v>253</v>
      </c>
      <c r="B254" t="s">
        <v>78</v>
      </c>
      <c r="C254" s="40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6">
        <f t="shared" si="15"/>
        <v>31412.787558649983</v>
      </c>
      <c r="J254">
        <v>105.3825678539034</v>
      </c>
    </row>
    <row r="255" spans="1:10">
      <c r="A255">
        <v>254</v>
      </c>
      <c r="B255" t="s">
        <v>78</v>
      </c>
      <c r="C255" s="40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6">
        <f t="shared" si="15"/>
        <v>32061.307477649982</v>
      </c>
      <c r="J255">
        <v>116.19376289187366</v>
      </c>
    </row>
    <row r="256" spans="1:10">
      <c r="A256">
        <v>255</v>
      </c>
      <c r="B256" t="s">
        <v>78</v>
      </c>
      <c r="C256" s="40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6">
        <f t="shared" si="15"/>
        <v>32102.448236549983</v>
      </c>
      <c r="J256">
        <v>132.37674669762444</v>
      </c>
    </row>
    <row r="257" spans="1:10">
      <c r="A257">
        <v>256</v>
      </c>
      <c r="B257" t="s">
        <v>78</v>
      </c>
      <c r="C257" s="40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6">
        <f t="shared" si="15"/>
        <v>32401.492892549981</v>
      </c>
      <c r="J257">
        <v>185.082286325403</v>
      </c>
    </row>
    <row r="258" spans="1:10">
      <c r="A258">
        <v>257</v>
      </c>
      <c r="B258" t="s">
        <v>78</v>
      </c>
      <c r="C258" s="40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6">
        <f t="shared" si="15"/>
        <v>32438.563812949982</v>
      </c>
      <c r="J258">
        <v>224.74128859871144</v>
      </c>
    </row>
    <row r="259" spans="1:10">
      <c r="A259">
        <v>258</v>
      </c>
      <c r="B259" t="s">
        <v>78</v>
      </c>
      <c r="C259" s="40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6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78</v>
      </c>
      <c r="C260" s="40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sheetPr codeName="Sheet24"/>
  <dimension ref="A1:I260"/>
  <sheetViews>
    <sheetView workbookViewId="0">
      <selection activeCell="I3" sqref="I3"/>
    </sheetView>
  </sheetViews>
  <sheetFormatPr baseColWidth="10" defaultRowHeight="16"/>
  <sheetData>
    <row r="1" spans="1:9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H1" t="s">
        <v>75</v>
      </c>
      <c r="I1">
        <v>4.3820427111430096</v>
      </c>
    </row>
    <row r="2" spans="1:9">
      <c r="A2">
        <v>1</v>
      </c>
      <c r="B2" t="s">
        <v>73</v>
      </c>
      <c r="C2" s="40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  <c r="I2">
        <f>I1-Parameters!I6</f>
        <v>3.1642429960031695</v>
      </c>
    </row>
    <row r="3" spans="1:9">
      <c r="A3">
        <v>2</v>
      </c>
      <c r="B3" t="s">
        <v>73</v>
      </c>
      <c r="C3" s="40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73</v>
      </c>
      <c r="C4" s="40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73</v>
      </c>
      <c r="C5" s="40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73</v>
      </c>
      <c r="C6" s="40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73</v>
      </c>
      <c r="C7" s="40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73</v>
      </c>
      <c r="C8" s="40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73</v>
      </c>
      <c r="C9" s="40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73</v>
      </c>
      <c r="C10" s="40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73</v>
      </c>
      <c r="C11" s="40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73</v>
      </c>
      <c r="C12" s="40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73</v>
      </c>
      <c r="C13" s="40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73</v>
      </c>
      <c r="C14" s="40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73</v>
      </c>
      <c r="C15" s="40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73</v>
      </c>
      <c r="C16" s="40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73</v>
      </c>
      <c r="C17" s="40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73</v>
      </c>
      <c r="C18" s="40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73</v>
      </c>
      <c r="C19" s="40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73</v>
      </c>
      <c r="C20" s="40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73</v>
      </c>
      <c r="C21" s="40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73</v>
      </c>
      <c r="C22" s="40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73</v>
      </c>
      <c r="C23" s="40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76</v>
      </c>
      <c r="C24" s="40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76</v>
      </c>
      <c r="C25" s="40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76</v>
      </c>
      <c r="C26" s="40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76</v>
      </c>
      <c r="C27" s="40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76</v>
      </c>
      <c r="C28" s="40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77</v>
      </c>
      <c r="C29" s="40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77</v>
      </c>
      <c r="C30" s="40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77</v>
      </c>
      <c r="C31" s="40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77</v>
      </c>
      <c r="C32" s="40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77</v>
      </c>
      <c r="C33" s="40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77</v>
      </c>
      <c r="C34" s="40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77</v>
      </c>
      <c r="C35" s="40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77</v>
      </c>
      <c r="C36" s="40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77</v>
      </c>
      <c r="C37" s="40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77</v>
      </c>
      <c r="C38" s="40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77</v>
      </c>
      <c r="C39" s="40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77</v>
      </c>
      <c r="C40" s="40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77</v>
      </c>
      <c r="C41" s="40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77</v>
      </c>
      <c r="C42" s="40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77</v>
      </c>
      <c r="C43" s="40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77</v>
      </c>
      <c r="C44" s="40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77</v>
      </c>
      <c r="C45" s="40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77</v>
      </c>
      <c r="C46" s="40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77</v>
      </c>
      <c r="C47" s="40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77</v>
      </c>
      <c r="C48" s="40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77</v>
      </c>
      <c r="C49" s="40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77</v>
      </c>
      <c r="C50" s="40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77</v>
      </c>
      <c r="C51" s="40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77</v>
      </c>
      <c r="C52" s="40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77</v>
      </c>
      <c r="C53" s="40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77</v>
      </c>
      <c r="C54" s="40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77</v>
      </c>
      <c r="C55" s="40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77</v>
      </c>
      <c r="C56" s="40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77</v>
      </c>
      <c r="C57" s="40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77</v>
      </c>
      <c r="C58" s="40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77</v>
      </c>
      <c r="C59" s="40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77</v>
      </c>
      <c r="C60" s="40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77</v>
      </c>
      <c r="C61" s="40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77</v>
      </c>
      <c r="C62" s="40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77</v>
      </c>
      <c r="C63" s="40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77</v>
      </c>
      <c r="C64" s="40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77</v>
      </c>
      <c r="C65" s="40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77</v>
      </c>
      <c r="C66" s="40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77</v>
      </c>
      <c r="C67" s="40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77</v>
      </c>
      <c r="C68" s="40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77</v>
      </c>
      <c r="C69" s="40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77</v>
      </c>
      <c r="C70" s="40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77</v>
      </c>
      <c r="C71" s="40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77</v>
      </c>
      <c r="C72" s="40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77</v>
      </c>
      <c r="C73" s="40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77</v>
      </c>
      <c r="C74" s="40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77</v>
      </c>
      <c r="C75" s="40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77</v>
      </c>
      <c r="C76" s="40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77</v>
      </c>
      <c r="C77" s="40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77</v>
      </c>
      <c r="C78" s="40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77</v>
      </c>
      <c r="C79" s="40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77</v>
      </c>
      <c r="C80" s="40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77</v>
      </c>
      <c r="C81" s="40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77</v>
      </c>
      <c r="C82" s="40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77</v>
      </c>
      <c r="C83" s="40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77</v>
      </c>
      <c r="C84" s="40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77</v>
      </c>
      <c r="C85" s="40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77</v>
      </c>
      <c r="C86" s="40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77</v>
      </c>
      <c r="C87" s="40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77</v>
      </c>
      <c r="C88" s="40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77</v>
      </c>
      <c r="C89" s="40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77</v>
      </c>
      <c r="C90" s="40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77</v>
      </c>
      <c r="C91" s="40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77</v>
      </c>
      <c r="C92" s="40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77</v>
      </c>
      <c r="C93" s="40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77</v>
      </c>
      <c r="C94" s="40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77</v>
      </c>
      <c r="C95" s="40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77</v>
      </c>
      <c r="C96" s="40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77</v>
      </c>
      <c r="C97" s="40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77</v>
      </c>
      <c r="C98" s="40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77</v>
      </c>
      <c r="C99" s="40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77</v>
      </c>
      <c r="C100" s="40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77</v>
      </c>
      <c r="C101" s="40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77</v>
      </c>
      <c r="C102" s="40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77</v>
      </c>
      <c r="C103" s="40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77</v>
      </c>
      <c r="C104" s="40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77</v>
      </c>
      <c r="C105" s="40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77</v>
      </c>
      <c r="C106" s="40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77</v>
      </c>
      <c r="C107" s="40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77</v>
      </c>
      <c r="C108" s="40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77</v>
      </c>
      <c r="C109" s="40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77</v>
      </c>
      <c r="C110" s="40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77</v>
      </c>
      <c r="C111" s="40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77</v>
      </c>
      <c r="C112" s="40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77</v>
      </c>
      <c r="C113" s="40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77</v>
      </c>
      <c r="C114" s="40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77</v>
      </c>
      <c r="C115" s="40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77</v>
      </c>
      <c r="C116" s="40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77</v>
      </c>
      <c r="C117" s="40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77</v>
      </c>
      <c r="C118" s="40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77</v>
      </c>
      <c r="C119" s="40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77</v>
      </c>
      <c r="C120" s="40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77</v>
      </c>
      <c r="C121" s="40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77</v>
      </c>
      <c r="C122" s="40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77</v>
      </c>
      <c r="C123" s="40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77</v>
      </c>
      <c r="C124" s="40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77</v>
      </c>
      <c r="C125" s="40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77</v>
      </c>
      <c r="C126" s="40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77</v>
      </c>
      <c r="C127" s="40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77</v>
      </c>
      <c r="C128" s="40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77</v>
      </c>
      <c r="C129" s="40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77</v>
      </c>
      <c r="C130" s="40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77</v>
      </c>
      <c r="C131" s="40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77</v>
      </c>
      <c r="C132" s="40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77</v>
      </c>
      <c r="C133" s="40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77</v>
      </c>
      <c r="C134" s="40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77</v>
      </c>
      <c r="C135" s="40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77</v>
      </c>
      <c r="C136" s="40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77</v>
      </c>
      <c r="C137" s="40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77</v>
      </c>
      <c r="C138" s="40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77</v>
      </c>
      <c r="C139" s="40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77</v>
      </c>
      <c r="C140" s="40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77</v>
      </c>
      <c r="C141" s="40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77</v>
      </c>
      <c r="C142" s="40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77</v>
      </c>
      <c r="C143" s="40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77</v>
      </c>
      <c r="C144" s="40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77</v>
      </c>
      <c r="C145" s="40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77</v>
      </c>
      <c r="C146" s="40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77</v>
      </c>
      <c r="C147" s="40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77</v>
      </c>
      <c r="C148" s="40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77</v>
      </c>
      <c r="C149" s="40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77</v>
      </c>
      <c r="C150" s="40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77</v>
      </c>
      <c r="C151" s="40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77</v>
      </c>
      <c r="C152" s="40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77</v>
      </c>
      <c r="C153" s="40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77</v>
      </c>
      <c r="C154" s="40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77</v>
      </c>
      <c r="C155" s="40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77</v>
      </c>
      <c r="C156" s="40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77</v>
      </c>
      <c r="C157" s="40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77</v>
      </c>
      <c r="C158" s="40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77</v>
      </c>
      <c r="C159" s="40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77</v>
      </c>
      <c r="C160" s="40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77</v>
      </c>
      <c r="C161" s="40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77</v>
      </c>
      <c r="C162" s="40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77</v>
      </c>
      <c r="C163" s="40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77</v>
      </c>
      <c r="C164" s="40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77</v>
      </c>
      <c r="C165" s="40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77</v>
      </c>
      <c r="C166" s="40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77</v>
      </c>
      <c r="C167" s="40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77</v>
      </c>
      <c r="C168" s="40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77</v>
      </c>
      <c r="C169" s="40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77</v>
      </c>
      <c r="C170" s="40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77</v>
      </c>
      <c r="C171" s="40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77</v>
      </c>
      <c r="C172" s="40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77</v>
      </c>
      <c r="C173" s="40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77</v>
      </c>
      <c r="C174" s="40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77</v>
      </c>
      <c r="C175" s="40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77</v>
      </c>
      <c r="C176" s="40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77</v>
      </c>
      <c r="C177" s="40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77</v>
      </c>
      <c r="C178" s="40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78</v>
      </c>
      <c r="C179" s="40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78</v>
      </c>
      <c r="C180" s="40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78</v>
      </c>
      <c r="C181" s="40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78</v>
      </c>
      <c r="C182" s="40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78</v>
      </c>
      <c r="C183" s="40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78</v>
      </c>
      <c r="C184" s="40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78</v>
      </c>
      <c r="C185" s="40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78</v>
      </c>
      <c r="C186" s="40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78</v>
      </c>
      <c r="C187" s="40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78</v>
      </c>
      <c r="C188" s="40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78</v>
      </c>
      <c r="C189" s="40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78</v>
      </c>
      <c r="C190" s="40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78</v>
      </c>
      <c r="C191" s="40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78</v>
      </c>
      <c r="C192" s="40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78</v>
      </c>
      <c r="C193" s="40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78</v>
      </c>
      <c r="C194" s="40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78</v>
      </c>
      <c r="C195" s="40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78</v>
      </c>
      <c r="C196" s="40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78</v>
      </c>
      <c r="C197" s="40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78</v>
      </c>
      <c r="C198" s="40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78</v>
      </c>
      <c r="C199" s="40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78</v>
      </c>
      <c r="C200" s="40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78</v>
      </c>
      <c r="C201" s="40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78</v>
      </c>
      <c r="C202" s="40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78</v>
      </c>
      <c r="C203" s="40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78</v>
      </c>
      <c r="C204" s="40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78</v>
      </c>
      <c r="C205" s="40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78</v>
      </c>
      <c r="C206" s="40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78</v>
      </c>
      <c r="C207" s="40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78</v>
      </c>
      <c r="C208" s="40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78</v>
      </c>
      <c r="C209" s="40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78</v>
      </c>
      <c r="C210" s="40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78</v>
      </c>
      <c r="C211" s="40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78</v>
      </c>
      <c r="C212" s="40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78</v>
      </c>
      <c r="C213" s="40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78</v>
      </c>
      <c r="C214" s="40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78</v>
      </c>
      <c r="C215" s="40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78</v>
      </c>
      <c r="C216" s="40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78</v>
      </c>
      <c r="C217" s="40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78</v>
      </c>
      <c r="C218" s="40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78</v>
      </c>
      <c r="C219" s="40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78</v>
      </c>
      <c r="C220" s="40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78</v>
      </c>
      <c r="C221" s="40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78</v>
      </c>
      <c r="C222" s="40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78</v>
      </c>
      <c r="C223" s="40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78</v>
      </c>
      <c r="C224" s="40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78</v>
      </c>
      <c r="C225" s="40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78</v>
      </c>
      <c r="C226" s="40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78</v>
      </c>
      <c r="C227" s="40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78</v>
      </c>
      <c r="C228" s="40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78</v>
      </c>
      <c r="C229" s="40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78</v>
      </c>
      <c r="C230" s="40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78</v>
      </c>
      <c r="C231" s="40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78</v>
      </c>
      <c r="C232" s="40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78</v>
      </c>
      <c r="C233" s="40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78</v>
      </c>
      <c r="C234" s="40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78</v>
      </c>
      <c r="C235" s="40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78</v>
      </c>
      <c r="C236" s="40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78</v>
      </c>
      <c r="C237" s="40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78</v>
      </c>
      <c r="C238" s="40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78</v>
      </c>
      <c r="C239" s="40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78</v>
      </c>
      <c r="C240" s="40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78</v>
      </c>
      <c r="C241" s="40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78</v>
      </c>
      <c r="C242" s="40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78</v>
      </c>
      <c r="C243" s="40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78</v>
      </c>
      <c r="C244" s="40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78</v>
      </c>
      <c r="C245" s="40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78</v>
      </c>
      <c r="C246" s="40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78</v>
      </c>
      <c r="C247" s="40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78</v>
      </c>
      <c r="C248" s="40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78</v>
      </c>
      <c r="C249" s="40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78</v>
      </c>
      <c r="C250" s="40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78</v>
      </c>
      <c r="C251" s="40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78</v>
      </c>
      <c r="C252" s="40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78</v>
      </c>
      <c r="C253" s="40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78</v>
      </c>
      <c r="C254" s="40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78</v>
      </c>
      <c r="C255" s="40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78</v>
      </c>
      <c r="C256" s="40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78</v>
      </c>
      <c r="C257" s="40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78</v>
      </c>
      <c r="C258" s="40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78</v>
      </c>
      <c r="C259" s="40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78</v>
      </c>
      <c r="C260" s="40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sheetPr codeName="Sheet25"/>
  <dimension ref="A1:D168"/>
  <sheetViews>
    <sheetView topLeftCell="B1" workbookViewId="0">
      <selection activeCell="L26" sqref="L26"/>
    </sheetView>
  </sheetViews>
  <sheetFormatPr baseColWidth="10" defaultRowHeight="16"/>
  <cols>
    <col min="4" max="4" width="15.1640625" bestFit="1" customWidth="1"/>
  </cols>
  <sheetData>
    <row r="1" spans="1:4">
      <c r="A1" s="41">
        <v>17312.7</v>
      </c>
      <c r="B1" s="41">
        <v>1</v>
      </c>
      <c r="C1" s="41">
        <v>0</v>
      </c>
      <c r="D1" s="42">
        <v>42743</v>
      </c>
    </row>
    <row r="2" spans="1:4">
      <c r="A2" s="41">
        <v>16711.400000000001</v>
      </c>
      <c r="B2" s="41">
        <v>2</v>
      </c>
      <c r="C2" s="41">
        <v>0</v>
      </c>
      <c r="D2" s="42">
        <v>42743.041666666701</v>
      </c>
    </row>
    <row r="3" spans="1:4">
      <c r="A3" s="41">
        <v>16364.6</v>
      </c>
      <c r="B3" s="41">
        <v>3</v>
      </c>
      <c r="C3" s="41">
        <v>0</v>
      </c>
      <c r="D3" s="42">
        <v>42743.083333333299</v>
      </c>
    </row>
    <row r="4" spans="1:4">
      <c r="A4" s="41">
        <v>16202.3</v>
      </c>
      <c r="B4" s="41">
        <v>4</v>
      </c>
      <c r="C4" s="41">
        <v>0</v>
      </c>
      <c r="D4" s="42">
        <v>42743.125</v>
      </c>
    </row>
    <row r="5" spans="1:4">
      <c r="A5" s="41">
        <v>16202.3</v>
      </c>
      <c r="B5" s="41">
        <v>5</v>
      </c>
      <c r="C5" s="41">
        <v>0</v>
      </c>
      <c r="D5" s="42">
        <v>42743.166666666701</v>
      </c>
    </row>
    <row r="6" spans="1:4">
      <c r="A6" s="41">
        <v>16442</v>
      </c>
      <c r="B6" s="41">
        <v>6</v>
      </c>
      <c r="C6" s="41">
        <v>0</v>
      </c>
      <c r="D6" s="42">
        <v>42743.208333333299</v>
      </c>
    </row>
    <row r="7" spans="1:4">
      <c r="A7" s="41">
        <v>16962.099999999999</v>
      </c>
      <c r="B7" s="41">
        <v>7</v>
      </c>
      <c r="C7" s="41">
        <v>0</v>
      </c>
      <c r="D7" s="42">
        <v>42743.25</v>
      </c>
    </row>
    <row r="8" spans="1:4">
      <c r="A8" s="41">
        <v>17555.400000000001</v>
      </c>
      <c r="B8" s="41">
        <v>8</v>
      </c>
      <c r="C8" s="41">
        <v>0</v>
      </c>
      <c r="D8" s="42">
        <v>42743.291666666701</v>
      </c>
    </row>
    <row r="9" spans="1:4">
      <c r="A9" s="41">
        <v>18336.2</v>
      </c>
      <c r="B9" s="41">
        <v>9</v>
      </c>
      <c r="C9" s="41">
        <v>0</v>
      </c>
      <c r="D9" s="42">
        <v>42743.333333333299</v>
      </c>
    </row>
    <row r="10" spans="1:4">
      <c r="A10" s="41">
        <v>19036.400000000001</v>
      </c>
      <c r="B10" s="41">
        <v>10</v>
      </c>
      <c r="C10" s="41">
        <v>0</v>
      </c>
      <c r="D10" s="42">
        <v>42743.375</v>
      </c>
    </row>
    <row r="11" spans="1:4">
      <c r="A11" s="41">
        <v>19528.8</v>
      </c>
      <c r="B11" s="41">
        <v>11</v>
      </c>
      <c r="C11" s="41">
        <v>0</v>
      </c>
      <c r="D11" s="42">
        <v>42743.416666666701</v>
      </c>
    </row>
    <row r="12" spans="1:4">
      <c r="A12" s="41">
        <v>19776.099999999999</v>
      </c>
      <c r="B12" s="41">
        <v>12</v>
      </c>
      <c r="C12" s="41">
        <v>0</v>
      </c>
      <c r="D12" s="42">
        <v>42743.458333333299</v>
      </c>
    </row>
    <row r="13" spans="1:4">
      <c r="A13" s="41">
        <v>19990.599999999999</v>
      </c>
      <c r="B13" s="41">
        <v>13</v>
      </c>
      <c r="C13" s="41">
        <v>0</v>
      </c>
      <c r="D13" s="42">
        <v>42743.5</v>
      </c>
    </row>
    <row r="14" spans="1:4">
      <c r="A14" s="41">
        <v>20025.5</v>
      </c>
      <c r="B14" s="41">
        <v>14</v>
      </c>
      <c r="C14" s="41">
        <v>0</v>
      </c>
      <c r="D14" s="42">
        <v>42743.541666666701</v>
      </c>
    </row>
    <row r="15" spans="1:4">
      <c r="A15" s="41">
        <v>19982.7</v>
      </c>
      <c r="B15" s="41">
        <v>15</v>
      </c>
      <c r="C15" s="41">
        <v>0</v>
      </c>
      <c r="D15" s="42">
        <v>42743.583333333299</v>
      </c>
    </row>
    <row r="16" spans="1:4">
      <c r="A16" s="41">
        <v>20214.599999999999</v>
      </c>
      <c r="B16" s="41">
        <v>16</v>
      </c>
      <c r="C16" s="41">
        <v>0</v>
      </c>
      <c r="D16" s="42">
        <v>42743.625</v>
      </c>
    </row>
    <row r="17" spans="1:4">
      <c r="A17" s="41">
        <v>20952.099999999999</v>
      </c>
      <c r="B17" s="41">
        <v>17</v>
      </c>
      <c r="C17" s="41">
        <v>0</v>
      </c>
      <c r="D17" s="42">
        <v>42743.666666666701</v>
      </c>
    </row>
    <row r="18" spans="1:4">
      <c r="A18" s="41">
        <v>22171.5</v>
      </c>
      <c r="B18" s="41">
        <v>18</v>
      </c>
      <c r="C18" s="41">
        <v>0</v>
      </c>
      <c r="D18" s="42">
        <v>42743.708333333299</v>
      </c>
    </row>
    <row r="19" spans="1:4">
      <c r="A19" s="41">
        <v>22225.8</v>
      </c>
      <c r="B19" s="41">
        <v>19</v>
      </c>
      <c r="C19" s="41">
        <v>0</v>
      </c>
      <c r="D19" s="42">
        <v>42743.75</v>
      </c>
    </row>
    <row r="20" spans="1:4">
      <c r="A20" s="41">
        <v>21904.7</v>
      </c>
      <c r="B20" s="41">
        <v>20</v>
      </c>
      <c r="C20" s="41">
        <v>0</v>
      </c>
      <c r="D20" s="42">
        <v>42743.791666666701</v>
      </c>
    </row>
    <row r="21" spans="1:4">
      <c r="A21" s="41">
        <v>21429.1</v>
      </c>
      <c r="B21" s="41">
        <v>21</v>
      </c>
      <c r="C21" s="41">
        <v>0</v>
      </c>
      <c r="D21" s="42">
        <v>42743.833333333299</v>
      </c>
    </row>
    <row r="22" spans="1:4">
      <c r="A22" s="41">
        <v>20566.5</v>
      </c>
      <c r="B22" s="41">
        <v>22</v>
      </c>
      <c r="C22" s="41">
        <v>0</v>
      </c>
      <c r="D22" s="42">
        <v>42743.875</v>
      </c>
    </row>
    <row r="23" spans="1:4">
      <c r="A23" s="41">
        <v>19398.3</v>
      </c>
      <c r="B23" s="41">
        <v>23</v>
      </c>
      <c r="C23" s="41">
        <v>0</v>
      </c>
      <c r="D23" s="42">
        <v>42743.916666666701</v>
      </c>
    </row>
    <row r="24" spans="1:4">
      <c r="A24" s="41">
        <v>18220.5</v>
      </c>
      <c r="B24" s="41">
        <v>24</v>
      </c>
      <c r="C24" s="41">
        <v>1</v>
      </c>
      <c r="D24" s="42">
        <v>42743.958333333299</v>
      </c>
    </row>
    <row r="25" spans="1:4">
      <c r="A25" s="41">
        <v>17413.900000000001</v>
      </c>
      <c r="B25" s="41">
        <v>1</v>
      </c>
      <c r="C25" s="41">
        <v>0</v>
      </c>
      <c r="D25" s="42">
        <v>42744</v>
      </c>
    </row>
    <row r="26" spans="1:4">
      <c r="A26" s="41">
        <v>16961.900000000001</v>
      </c>
      <c r="B26" s="41">
        <v>2</v>
      </c>
      <c r="C26" s="41">
        <v>0</v>
      </c>
      <c r="D26" s="42">
        <v>42744.041666666701</v>
      </c>
    </row>
    <row r="27" spans="1:4">
      <c r="A27" s="41">
        <v>16733.8</v>
      </c>
      <c r="B27" s="41">
        <v>3</v>
      </c>
      <c r="C27" s="41">
        <v>0</v>
      </c>
      <c r="D27" s="42">
        <v>42744.083333333299</v>
      </c>
    </row>
    <row r="28" spans="1:4">
      <c r="A28" s="41">
        <v>16787.099999999999</v>
      </c>
      <c r="B28" s="41">
        <v>4</v>
      </c>
      <c r="C28" s="41">
        <v>0</v>
      </c>
      <c r="D28" s="42">
        <v>42744.125</v>
      </c>
    </row>
    <row r="29" spans="1:4">
      <c r="A29" s="41">
        <v>17071.7</v>
      </c>
      <c r="B29" s="41">
        <v>5</v>
      </c>
      <c r="C29" s="41">
        <v>0</v>
      </c>
      <c r="D29" s="42">
        <v>42744.166666666701</v>
      </c>
    </row>
    <row r="30" spans="1:4">
      <c r="A30" s="41">
        <v>18021.900000000001</v>
      </c>
      <c r="B30" s="41">
        <v>6</v>
      </c>
      <c r="C30" s="41">
        <v>0</v>
      </c>
      <c r="D30" s="42">
        <v>42744.208333333299</v>
      </c>
    </row>
    <row r="31" spans="1:4">
      <c r="A31" s="41">
        <v>19816.3</v>
      </c>
      <c r="B31" s="41">
        <v>7</v>
      </c>
      <c r="C31" s="41">
        <v>0</v>
      </c>
      <c r="D31" s="42">
        <v>42744.25</v>
      </c>
    </row>
    <row r="32" spans="1:4">
      <c r="A32" s="41">
        <v>21202.9</v>
      </c>
      <c r="B32" s="41">
        <v>8</v>
      </c>
      <c r="C32" s="41">
        <v>0</v>
      </c>
      <c r="D32" s="42">
        <v>42744.291666666701</v>
      </c>
    </row>
    <row r="33" spans="1:4">
      <c r="A33" s="41">
        <v>21620.5</v>
      </c>
      <c r="B33" s="41">
        <v>9</v>
      </c>
      <c r="C33" s="41">
        <v>0</v>
      </c>
      <c r="D33" s="42">
        <v>42744.333333333299</v>
      </c>
    </row>
    <row r="34" spans="1:4">
      <c r="A34" s="41">
        <v>21959.3</v>
      </c>
      <c r="B34" s="41">
        <v>10</v>
      </c>
      <c r="C34" s="41">
        <v>0</v>
      </c>
      <c r="D34" s="42">
        <v>42744.375</v>
      </c>
    </row>
    <row r="35" spans="1:4">
      <c r="A35" s="41">
        <v>22144.7</v>
      </c>
      <c r="B35" s="41">
        <v>11</v>
      </c>
      <c r="C35" s="41">
        <v>0</v>
      </c>
      <c r="D35" s="42">
        <v>42744.416666666701</v>
      </c>
    </row>
    <row r="36" spans="1:4">
      <c r="A36" s="41">
        <v>22129.200000000001</v>
      </c>
      <c r="B36" s="41">
        <v>12</v>
      </c>
      <c r="C36" s="41">
        <v>0</v>
      </c>
      <c r="D36" s="42">
        <v>42744.458333333299</v>
      </c>
    </row>
    <row r="37" spans="1:4">
      <c r="A37" s="41">
        <v>21984.3</v>
      </c>
      <c r="B37" s="41">
        <v>13</v>
      </c>
      <c r="C37" s="41">
        <v>0</v>
      </c>
      <c r="D37" s="42">
        <v>42744.5</v>
      </c>
    </row>
    <row r="38" spans="1:4">
      <c r="A38" s="41">
        <v>21880.400000000001</v>
      </c>
      <c r="B38" s="41">
        <v>14</v>
      </c>
      <c r="C38" s="41">
        <v>0</v>
      </c>
      <c r="D38" s="42">
        <v>42744.541666666701</v>
      </c>
    </row>
    <row r="39" spans="1:4">
      <c r="A39" s="41">
        <v>21727.5</v>
      </c>
      <c r="B39" s="41">
        <v>15</v>
      </c>
      <c r="C39" s="41">
        <v>0</v>
      </c>
      <c r="D39" s="42">
        <v>42744.583333333299</v>
      </c>
    </row>
    <row r="40" spans="1:4">
      <c r="A40" s="41">
        <v>21705.599999999999</v>
      </c>
      <c r="B40" s="41">
        <v>16</v>
      </c>
      <c r="C40" s="41">
        <v>0</v>
      </c>
      <c r="D40" s="42">
        <v>42744.625</v>
      </c>
    </row>
    <row r="41" spans="1:4">
      <c r="A41" s="41">
        <v>22311.3</v>
      </c>
      <c r="B41" s="41">
        <v>17</v>
      </c>
      <c r="C41" s="41">
        <v>0</v>
      </c>
      <c r="D41" s="42">
        <v>42744.666666666701</v>
      </c>
    </row>
    <row r="42" spans="1:4">
      <c r="A42" s="41">
        <v>23525.7</v>
      </c>
      <c r="B42" s="41">
        <v>18</v>
      </c>
      <c r="C42" s="41">
        <v>0</v>
      </c>
      <c r="D42" s="42">
        <v>42744.708333333299</v>
      </c>
    </row>
    <row r="43" spans="1:4">
      <c r="A43" s="41">
        <v>23511.200000000001</v>
      </c>
      <c r="B43" s="41">
        <v>19</v>
      </c>
      <c r="C43" s="41">
        <v>0</v>
      </c>
      <c r="D43" s="42">
        <v>42744.75</v>
      </c>
    </row>
    <row r="44" spans="1:4">
      <c r="A44" s="41">
        <v>23121.4</v>
      </c>
      <c r="B44" s="41">
        <v>20</v>
      </c>
      <c r="C44" s="41">
        <v>0</v>
      </c>
      <c r="D44" s="42">
        <v>42744.791666666701</v>
      </c>
    </row>
    <row r="45" spans="1:4">
      <c r="A45" s="41">
        <v>22484.9</v>
      </c>
      <c r="B45" s="41">
        <v>21</v>
      </c>
      <c r="C45" s="41">
        <v>0</v>
      </c>
      <c r="D45" s="42">
        <v>42744.833333333299</v>
      </c>
    </row>
    <row r="46" spans="1:4">
      <c r="A46" s="41">
        <v>21493.8</v>
      </c>
      <c r="B46" s="41">
        <v>22</v>
      </c>
      <c r="C46" s="41">
        <v>0</v>
      </c>
      <c r="D46" s="42">
        <v>42744.875</v>
      </c>
    </row>
    <row r="47" spans="1:4">
      <c r="A47" s="41">
        <v>20072.3</v>
      </c>
      <c r="B47" s="41">
        <v>23</v>
      </c>
      <c r="C47" s="41">
        <v>0</v>
      </c>
      <c r="D47" s="42">
        <v>42744.916666666701</v>
      </c>
    </row>
    <row r="48" spans="1:4">
      <c r="A48" s="41">
        <v>18669.7</v>
      </c>
      <c r="B48" s="41">
        <v>24</v>
      </c>
      <c r="C48" s="41">
        <v>1</v>
      </c>
      <c r="D48" s="42">
        <v>42744.958333333299</v>
      </c>
    </row>
    <row r="49" spans="1:4">
      <c r="A49" s="41">
        <v>17663.2</v>
      </c>
      <c r="B49" s="41">
        <v>1</v>
      </c>
      <c r="C49" s="41">
        <v>0</v>
      </c>
      <c r="D49" s="42">
        <v>42745</v>
      </c>
    </row>
    <row r="50" spans="1:4">
      <c r="A50" s="41">
        <v>17043.5</v>
      </c>
      <c r="B50" s="41">
        <v>2</v>
      </c>
      <c r="C50" s="41">
        <v>0</v>
      </c>
      <c r="D50" s="42">
        <v>42745.041666666701</v>
      </c>
    </row>
    <row r="51" spans="1:4">
      <c r="A51" s="41">
        <v>16696.3</v>
      </c>
      <c r="B51" s="41">
        <v>3</v>
      </c>
      <c r="C51" s="41">
        <v>0</v>
      </c>
      <c r="D51" s="42">
        <v>42745.083333333299</v>
      </c>
    </row>
    <row r="52" spans="1:4">
      <c r="A52" s="41">
        <v>16597.599999999999</v>
      </c>
      <c r="B52" s="41">
        <v>4</v>
      </c>
      <c r="C52" s="41">
        <v>0</v>
      </c>
      <c r="D52" s="42">
        <v>42745.125</v>
      </c>
    </row>
    <row r="53" spans="1:4">
      <c r="A53" s="41">
        <v>16856.8</v>
      </c>
      <c r="B53" s="41">
        <v>5</v>
      </c>
      <c r="C53" s="41">
        <v>0</v>
      </c>
      <c r="D53" s="42">
        <v>42745.166666666701</v>
      </c>
    </row>
    <row r="54" spans="1:4">
      <c r="A54" s="41">
        <v>17801.400000000001</v>
      </c>
      <c r="B54" s="41">
        <v>6</v>
      </c>
      <c r="C54" s="41">
        <v>0</v>
      </c>
      <c r="D54" s="42">
        <v>42745.208333333299</v>
      </c>
    </row>
    <row r="55" spans="1:4">
      <c r="A55" s="41">
        <v>19620.099999999999</v>
      </c>
      <c r="B55" s="41">
        <v>7</v>
      </c>
      <c r="C55" s="41">
        <v>0</v>
      </c>
      <c r="D55" s="42">
        <v>42745.25</v>
      </c>
    </row>
    <row r="56" spans="1:4">
      <c r="A56" s="41">
        <v>20910.5</v>
      </c>
      <c r="B56" s="41">
        <v>8</v>
      </c>
      <c r="C56" s="41">
        <v>0</v>
      </c>
      <c r="D56" s="42">
        <v>42745.291666666701</v>
      </c>
    </row>
    <row r="57" spans="1:4">
      <c r="A57" s="41">
        <v>21217.9</v>
      </c>
      <c r="B57" s="41">
        <v>9</v>
      </c>
      <c r="C57" s="41">
        <v>0</v>
      </c>
      <c r="D57" s="42">
        <v>42745.333333333299</v>
      </c>
    </row>
    <row r="58" spans="1:4">
      <c r="A58" s="41">
        <v>21434.7</v>
      </c>
      <c r="B58" s="41">
        <v>10</v>
      </c>
      <c r="C58" s="41">
        <v>0</v>
      </c>
      <c r="D58" s="42">
        <v>42745.375</v>
      </c>
    </row>
    <row r="59" spans="1:4">
      <c r="A59" s="41">
        <v>21582.7</v>
      </c>
      <c r="B59" s="41">
        <v>11</v>
      </c>
      <c r="C59" s="41">
        <v>0</v>
      </c>
      <c r="D59" s="42">
        <v>42745.416666666701</v>
      </c>
    </row>
    <row r="60" spans="1:4">
      <c r="A60" s="41">
        <v>21450.2</v>
      </c>
      <c r="B60" s="41">
        <v>12</v>
      </c>
      <c r="C60" s="41">
        <v>0</v>
      </c>
      <c r="D60" s="42">
        <v>42745.458333333299</v>
      </c>
    </row>
    <row r="61" spans="1:4">
      <c r="A61" s="41">
        <v>21219.9</v>
      </c>
      <c r="B61" s="41">
        <v>13</v>
      </c>
      <c r="C61" s="41">
        <v>0</v>
      </c>
      <c r="D61" s="42">
        <v>42745.5</v>
      </c>
    </row>
    <row r="62" spans="1:4">
      <c r="A62" s="41">
        <v>21163.599999999999</v>
      </c>
      <c r="B62" s="41">
        <v>14</v>
      </c>
      <c r="C62" s="41">
        <v>0</v>
      </c>
      <c r="D62" s="42">
        <v>42745.541666666701</v>
      </c>
    </row>
    <row r="63" spans="1:4">
      <c r="A63" s="41">
        <v>21098.3</v>
      </c>
      <c r="B63" s="41">
        <v>15</v>
      </c>
      <c r="C63" s="41">
        <v>0</v>
      </c>
      <c r="D63" s="42">
        <v>42745.583333333299</v>
      </c>
    </row>
    <row r="64" spans="1:4">
      <c r="A64" s="41">
        <v>21191.8</v>
      </c>
      <c r="B64" s="41">
        <v>16</v>
      </c>
      <c r="C64" s="41">
        <v>0</v>
      </c>
      <c r="D64" s="42">
        <v>42745.625</v>
      </c>
    </row>
    <row r="65" spans="1:4">
      <c r="A65" s="41">
        <v>21827.5</v>
      </c>
      <c r="B65" s="41">
        <v>17</v>
      </c>
      <c r="C65" s="41">
        <v>0</v>
      </c>
      <c r="D65" s="42">
        <v>42745.666666666701</v>
      </c>
    </row>
    <row r="66" spans="1:4">
      <c r="A66" s="41">
        <v>22636.400000000001</v>
      </c>
      <c r="B66" s="41">
        <v>18</v>
      </c>
      <c r="C66" s="41">
        <v>0</v>
      </c>
      <c r="D66" s="42">
        <v>42745.708333333299</v>
      </c>
    </row>
    <row r="67" spans="1:4">
      <c r="A67" s="41">
        <v>22398.6</v>
      </c>
      <c r="B67" s="41">
        <v>19</v>
      </c>
      <c r="C67" s="41">
        <v>0</v>
      </c>
      <c r="D67" s="42">
        <v>42745.75</v>
      </c>
    </row>
    <row r="68" spans="1:4">
      <c r="A68" s="41">
        <v>21880.2</v>
      </c>
      <c r="B68" s="41">
        <v>20</v>
      </c>
      <c r="C68" s="41">
        <v>0</v>
      </c>
      <c r="D68" s="42">
        <v>42745.791666666701</v>
      </c>
    </row>
    <row r="69" spans="1:4">
      <c r="A69" s="41">
        <v>21140.2</v>
      </c>
      <c r="B69" s="41">
        <v>21</v>
      </c>
      <c r="C69" s="41">
        <v>0</v>
      </c>
      <c r="D69" s="42">
        <v>42745.833333333299</v>
      </c>
    </row>
    <row r="70" spans="1:4">
      <c r="A70" s="41">
        <v>19958.2</v>
      </c>
      <c r="B70" s="41">
        <v>22</v>
      </c>
      <c r="C70" s="41">
        <v>0</v>
      </c>
      <c r="D70" s="42">
        <v>42745.875</v>
      </c>
    </row>
    <row r="71" spans="1:4">
      <c r="A71" s="41">
        <v>18530.400000000009</v>
      </c>
      <c r="B71" s="41">
        <v>23</v>
      </c>
      <c r="C71" s="41">
        <v>0</v>
      </c>
      <c r="D71" s="42">
        <v>42745.916666666701</v>
      </c>
    </row>
    <row r="72" spans="1:4">
      <c r="A72" s="41">
        <v>17028.8</v>
      </c>
      <c r="B72" s="41">
        <v>24</v>
      </c>
      <c r="C72" s="41">
        <v>1</v>
      </c>
      <c r="D72" s="42">
        <v>42745.958333333299</v>
      </c>
    </row>
    <row r="73" spans="1:4">
      <c r="A73" s="41">
        <v>16005.3</v>
      </c>
      <c r="B73" s="41">
        <v>1</v>
      </c>
      <c r="C73" s="41">
        <v>0</v>
      </c>
      <c r="D73" s="42">
        <v>42746</v>
      </c>
    </row>
    <row r="74" spans="1:4">
      <c r="A74" s="41">
        <v>15411.3</v>
      </c>
      <c r="B74" s="41">
        <v>2</v>
      </c>
      <c r="C74" s="41">
        <v>0</v>
      </c>
      <c r="D74" s="42">
        <v>42746.041666666701</v>
      </c>
    </row>
    <row r="75" spans="1:4">
      <c r="A75" s="41">
        <v>15086.1</v>
      </c>
      <c r="B75" s="41">
        <v>3</v>
      </c>
      <c r="C75" s="41">
        <v>0</v>
      </c>
      <c r="D75" s="42">
        <v>42746.083333333299</v>
      </c>
    </row>
    <row r="76" spans="1:4">
      <c r="A76" s="41">
        <v>14932.8</v>
      </c>
      <c r="B76" s="41">
        <v>4</v>
      </c>
      <c r="C76" s="41">
        <v>0</v>
      </c>
      <c r="D76" s="42">
        <v>42746.125</v>
      </c>
    </row>
    <row r="77" spans="1:4">
      <c r="A77" s="41">
        <v>15092.4</v>
      </c>
      <c r="B77" s="41">
        <v>5</v>
      </c>
      <c r="C77" s="41">
        <v>0</v>
      </c>
      <c r="D77" s="42">
        <v>42746.166666666701</v>
      </c>
    </row>
    <row r="78" spans="1:4">
      <c r="A78" s="41">
        <v>15912.5</v>
      </c>
      <c r="B78" s="41">
        <v>6</v>
      </c>
      <c r="C78" s="41">
        <v>0</v>
      </c>
      <c r="D78" s="42">
        <v>42746.208333333299</v>
      </c>
    </row>
    <row r="79" spans="1:4">
      <c r="A79" s="41">
        <v>17673.8</v>
      </c>
      <c r="B79" s="41">
        <v>7</v>
      </c>
      <c r="C79" s="41">
        <v>0</v>
      </c>
      <c r="D79" s="42">
        <v>42746.25</v>
      </c>
    </row>
    <row r="80" spans="1:4">
      <c r="A80" s="41">
        <v>18973.5</v>
      </c>
      <c r="B80" s="41">
        <v>8</v>
      </c>
      <c r="C80" s="41">
        <v>0</v>
      </c>
      <c r="D80" s="42">
        <v>42746.291666666701</v>
      </c>
    </row>
    <row r="81" spans="1:4">
      <c r="A81" s="41">
        <v>19177.5</v>
      </c>
      <c r="B81" s="41">
        <v>9</v>
      </c>
      <c r="C81" s="41">
        <v>0</v>
      </c>
      <c r="D81" s="42">
        <v>42746.333333333299</v>
      </c>
    </row>
    <row r="82" spans="1:4">
      <c r="A82" s="41">
        <v>19168.3</v>
      </c>
      <c r="B82" s="41">
        <v>10</v>
      </c>
      <c r="C82" s="41">
        <v>0</v>
      </c>
      <c r="D82" s="42">
        <v>42746.375</v>
      </c>
    </row>
    <row r="83" spans="1:4">
      <c r="A83" s="41">
        <v>19050</v>
      </c>
      <c r="B83" s="41">
        <v>11</v>
      </c>
      <c r="C83" s="41">
        <v>0</v>
      </c>
      <c r="D83" s="42">
        <v>42746.416666666701</v>
      </c>
    </row>
    <row r="84" spans="1:4">
      <c r="A84" s="41">
        <v>19058.7</v>
      </c>
      <c r="B84" s="41">
        <v>12</v>
      </c>
      <c r="C84" s="41">
        <v>0</v>
      </c>
      <c r="D84" s="42">
        <v>42746.458333333299</v>
      </c>
    </row>
    <row r="85" spans="1:4">
      <c r="A85" s="41">
        <v>18857.3</v>
      </c>
      <c r="B85" s="41">
        <v>13</v>
      </c>
      <c r="C85" s="41">
        <v>0</v>
      </c>
      <c r="D85" s="42">
        <v>42746.5</v>
      </c>
    </row>
    <row r="86" spans="1:4">
      <c r="A86" s="41">
        <v>18816.099999999999</v>
      </c>
      <c r="B86" s="41">
        <v>14</v>
      </c>
      <c r="C86" s="41">
        <v>0</v>
      </c>
      <c r="D86" s="42">
        <v>42746.541666666701</v>
      </c>
    </row>
    <row r="87" spans="1:4">
      <c r="A87" s="41">
        <v>18700.7</v>
      </c>
      <c r="B87" s="41">
        <v>15</v>
      </c>
      <c r="C87" s="41">
        <v>0</v>
      </c>
      <c r="D87" s="42">
        <v>42746.583333333299</v>
      </c>
    </row>
    <row r="88" spans="1:4">
      <c r="A88" s="41">
        <v>18804.100000000009</v>
      </c>
      <c r="B88" s="41">
        <v>16</v>
      </c>
      <c r="C88" s="41">
        <v>0</v>
      </c>
      <c r="D88" s="42">
        <v>42746.625</v>
      </c>
    </row>
    <row r="89" spans="1:4">
      <c r="A89" s="41">
        <v>19507.599999999999</v>
      </c>
      <c r="B89" s="41">
        <v>17</v>
      </c>
      <c r="C89" s="41">
        <v>0</v>
      </c>
      <c r="D89" s="42">
        <v>42746.666666666701</v>
      </c>
    </row>
    <row r="90" spans="1:4">
      <c r="A90" s="41">
        <v>20612</v>
      </c>
      <c r="B90" s="41">
        <v>18</v>
      </c>
      <c r="C90" s="41">
        <v>0</v>
      </c>
      <c r="D90" s="42">
        <v>42746.708333333299</v>
      </c>
    </row>
    <row r="91" spans="1:4">
      <c r="A91" s="41">
        <v>20540.900000000001</v>
      </c>
      <c r="B91" s="41">
        <v>19</v>
      </c>
      <c r="C91" s="41">
        <v>0</v>
      </c>
      <c r="D91" s="42">
        <v>42746.75</v>
      </c>
    </row>
    <row r="92" spans="1:4">
      <c r="A92" s="41">
        <v>20115.7</v>
      </c>
      <c r="B92" s="41">
        <v>20</v>
      </c>
      <c r="C92" s="41">
        <v>0</v>
      </c>
      <c r="D92" s="42">
        <v>42746.791666666701</v>
      </c>
    </row>
    <row r="93" spans="1:4">
      <c r="A93" s="41">
        <v>19469.7</v>
      </c>
      <c r="B93" s="41">
        <v>21</v>
      </c>
      <c r="C93" s="41">
        <v>0</v>
      </c>
      <c r="D93" s="42">
        <v>42746.833333333299</v>
      </c>
    </row>
    <row r="94" spans="1:4">
      <c r="A94" s="41">
        <v>18506.2</v>
      </c>
      <c r="B94" s="41">
        <v>22</v>
      </c>
      <c r="C94" s="41">
        <v>0</v>
      </c>
      <c r="D94" s="42">
        <v>42746.875</v>
      </c>
    </row>
    <row r="95" spans="1:4">
      <c r="A95" s="41">
        <v>17166.400000000001</v>
      </c>
      <c r="B95" s="41">
        <v>23</v>
      </c>
      <c r="C95" s="41">
        <v>0</v>
      </c>
      <c r="D95" s="42">
        <v>42746.916666666701</v>
      </c>
    </row>
    <row r="96" spans="1:4">
      <c r="A96" s="41">
        <v>15828.6</v>
      </c>
      <c r="B96" s="41">
        <v>24</v>
      </c>
      <c r="C96" s="41">
        <v>1</v>
      </c>
      <c r="D96" s="42">
        <v>42746.958333333299</v>
      </c>
    </row>
    <row r="97" spans="1:4">
      <c r="A97" s="41">
        <v>14844.3</v>
      </c>
      <c r="B97" s="41">
        <v>1</v>
      </c>
      <c r="C97" s="41">
        <v>0</v>
      </c>
      <c r="D97" s="42">
        <v>42747</v>
      </c>
    </row>
    <row r="98" spans="1:4">
      <c r="A98" s="41">
        <v>14266.7</v>
      </c>
      <c r="B98" s="41">
        <v>2</v>
      </c>
      <c r="C98" s="41">
        <v>0</v>
      </c>
      <c r="D98" s="42">
        <v>42747.041666666701</v>
      </c>
    </row>
    <row r="99" spans="1:4">
      <c r="A99" s="41">
        <v>13944.8</v>
      </c>
      <c r="B99" s="41">
        <v>3</v>
      </c>
      <c r="C99" s="41">
        <v>0</v>
      </c>
      <c r="D99" s="42">
        <v>42747.083333333299</v>
      </c>
    </row>
    <row r="100" spans="1:4">
      <c r="A100" s="41">
        <v>13839.1</v>
      </c>
      <c r="B100" s="41">
        <v>4</v>
      </c>
      <c r="C100" s="41">
        <v>0</v>
      </c>
      <c r="D100" s="42">
        <v>42747.125</v>
      </c>
    </row>
    <row r="101" spans="1:4">
      <c r="A101" s="41">
        <v>14043.5</v>
      </c>
      <c r="B101" s="41">
        <v>5</v>
      </c>
      <c r="C101" s="41">
        <v>0</v>
      </c>
      <c r="D101" s="42">
        <v>42747.166666666701</v>
      </c>
    </row>
    <row r="102" spans="1:4">
      <c r="A102" s="41">
        <v>14914.7</v>
      </c>
      <c r="B102" s="41">
        <v>6</v>
      </c>
      <c r="C102" s="41">
        <v>0</v>
      </c>
      <c r="D102" s="42">
        <v>42747.208333333299</v>
      </c>
    </row>
    <row r="103" spans="1:4">
      <c r="A103" s="41">
        <v>16732.7</v>
      </c>
      <c r="B103" s="41">
        <v>7</v>
      </c>
      <c r="C103" s="41">
        <v>0</v>
      </c>
      <c r="D103" s="42">
        <v>42747.25</v>
      </c>
    </row>
    <row r="104" spans="1:4">
      <c r="A104" s="41">
        <v>18095</v>
      </c>
      <c r="B104" s="41">
        <v>8</v>
      </c>
      <c r="C104" s="41">
        <v>0</v>
      </c>
      <c r="D104" s="42">
        <v>42747.291666666701</v>
      </c>
    </row>
    <row r="105" spans="1:4">
      <c r="A105" s="41">
        <v>18483.400000000001</v>
      </c>
      <c r="B105" s="41">
        <v>9</v>
      </c>
      <c r="C105" s="41">
        <v>0</v>
      </c>
      <c r="D105" s="42">
        <v>42747.333333333299</v>
      </c>
    </row>
    <row r="106" spans="1:4">
      <c r="A106" s="41">
        <v>18725.3</v>
      </c>
      <c r="B106" s="41">
        <v>10</v>
      </c>
      <c r="C106" s="41">
        <v>0</v>
      </c>
      <c r="D106" s="42">
        <v>42747.375</v>
      </c>
    </row>
    <row r="107" spans="1:4">
      <c r="A107" s="41">
        <v>18752.099999999999</v>
      </c>
      <c r="B107" s="41">
        <v>11</v>
      </c>
      <c r="C107" s="41">
        <v>0</v>
      </c>
      <c r="D107" s="42">
        <v>42747.416666666701</v>
      </c>
    </row>
    <row r="108" spans="1:4">
      <c r="A108" s="41">
        <v>18724</v>
      </c>
      <c r="B108" s="41">
        <v>12</v>
      </c>
      <c r="C108" s="41">
        <v>0</v>
      </c>
      <c r="D108" s="42">
        <v>42747.458333333299</v>
      </c>
    </row>
    <row r="109" spans="1:4">
      <c r="A109" s="41">
        <v>18655.2</v>
      </c>
      <c r="B109" s="41">
        <v>13</v>
      </c>
      <c r="C109" s="41">
        <v>0</v>
      </c>
      <c r="D109" s="42">
        <v>42747.5</v>
      </c>
    </row>
    <row r="110" spans="1:4">
      <c r="A110" s="41">
        <v>18608.900000000001</v>
      </c>
      <c r="B110" s="41">
        <v>14</v>
      </c>
      <c r="C110" s="41">
        <v>0</v>
      </c>
      <c r="D110" s="42">
        <v>42747.541666666701</v>
      </c>
    </row>
    <row r="111" spans="1:4">
      <c r="A111" s="41">
        <v>18552.599999999999</v>
      </c>
      <c r="B111" s="41">
        <v>15</v>
      </c>
      <c r="C111" s="41">
        <v>0</v>
      </c>
      <c r="D111" s="42">
        <v>42747.583333333299</v>
      </c>
    </row>
    <row r="112" spans="1:4">
      <c r="A112" s="41">
        <v>18649.3</v>
      </c>
      <c r="B112" s="41">
        <v>16</v>
      </c>
      <c r="C112" s="41">
        <v>0</v>
      </c>
      <c r="D112" s="42">
        <v>42747.625</v>
      </c>
    </row>
    <row r="113" spans="1:4">
      <c r="A113" s="41">
        <v>19201.099999999999</v>
      </c>
      <c r="B113" s="41">
        <v>17</v>
      </c>
      <c r="C113" s="41">
        <v>0</v>
      </c>
      <c r="D113" s="42">
        <v>42747.666666666701</v>
      </c>
    </row>
    <row r="114" spans="1:4">
      <c r="A114" s="41">
        <v>20079.099999999999</v>
      </c>
      <c r="B114" s="41">
        <v>18</v>
      </c>
      <c r="C114" s="41">
        <v>0</v>
      </c>
      <c r="D114" s="42">
        <v>42747.708333333299</v>
      </c>
    </row>
    <row r="115" spans="1:4">
      <c r="A115" s="41">
        <v>19948.099999999999</v>
      </c>
      <c r="B115" s="41">
        <v>19</v>
      </c>
      <c r="C115" s="41">
        <v>0</v>
      </c>
      <c r="D115" s="42">
        <v>42747.75</v>
      </c>
    </row>
    <row r="116" spans="1:4">
      <c r="A116" s="41">
        <v>19502.099999999999</v>
      </c>
      <c r="B116" s="41">
        <v>20</v>
      </c>
      <c r="C116" s="41">
        <v>0</v>
      </c>
      <c r="D116" s="42">
        <v>42747.791666666701</v>
      </c>
    </row>
    <row r="117" spans="1:4">
      <c r="A117" s="41">
        <v>18878.099999999999</v>
      </c>
      <c r="B117" s="41">
        <v>21</v>
      </c>
      <c r="C117" s="41">
        <v>0</v>
      </c>
      <c r="D117" s="42">
        <v>42747.833333333299</v>
      </c>
    </row>
    <row r="118" spans="1:4">
      <c r="A118" s="41">
        <v>17954.900000000001</v>
      </c>
      <c r="B118" s="41">
        <v>22</v>
      </c>
      <c r="C118" s="41">
        <v>0</v>
      </c>
      <c r="D118" s="42">
        <v>42747.875</v>
      </c>
    </row>
    <row r="119" spans="1:4">
      <c r="A119" s="41">
        <v>16674.599999999999</v>
      </c>
      <c r="B119" s="41">
        <v>23</v>
      </c>
      <c r="C119" s="41">
        <v>0</v>
      </c>
      <c r="D119" s="42">
        <v>42747.916666666701</v>
      </c>
    </row>
    <row r="120" spans="1:4">
      <c r="A120" s="41">
        <v>15368.6</v>
      </c>
      <c r="B120" s="41">
        <v>24</v>
      </c>
      <c r="C120" s="41">
        <v>1</v>
      </c>
      <c r="D120" s="42">
        <v>42747.958333333299</v>
      </c>
    </row>
    <row r="121" spans="1:4">
      <c r="A121" s="41">
        <v>14467.1</v>
      </c>
      <c r="B121" s="41">
        <v>1</v>
      </c>
      <c r="C121" s="41">
        <v>0</v>
      </c>
      <c r="D121" s="42">
        <v>42748</v>
      </c>
    </row>
    <row r="122" spans="1:4">
      <c r="A122" s="41">
        <v>13918.6</v>
      </c>
      <c r="B122" s="41">
        <v>2</v>
      </c>
      <c r="C122" s="41">
        <v>0</v>
      </c>
      <c r="D122" s="42">
        <v>42748.041666666701</v>
      </c>
    </row>
    <row r="123" spans="1:4">
      <c r="A123" s="41">
        <v>13617.6</v>
      </c>
      <c r="B123" s="41">
        <v>3</v>
      </c>
      <c r="C123" s="41">
        <v>0</v>
      </c>
      <c r="D123" s="42">
        <v>42748.083333333299</v>
      </c>
    </row>
    <row r="124" spans="1:4">
      <c r="A124" s="41">
        <v>13568.6</v>
      </c>
      <c r="B124" s="41">
        <v>4</v>
      </c>
      <c r="C124" s="41">
        <v>0</v>
      </c>
      <c r="D124" s="42">
        <v>42748.125</v>
      </c>
    </row>
    <row r="125" spans="1:4">
      <c r="A125" s="41">
        <v>13838.4</v>
      </c>
      <c r="B125" s="41">
        <v>5</v>
      </c>
      <c r="C125" s="41">
        <v>0</v>
      </c>
      <c r="D125" s="42">
        <v>42748.166666666701</v>
      </c>
    </row>
    <row r="126" spans="1:4">
      <c r="A126" s="41">
        <v>14756.2</v>
      </c>
      <c r="B126" s="41">
        <v>6</v>
      </c>
      <c r="C126" s="41">
        <v>0</v>
      </c>
      <c r="D126" s="42">
        <v>42748.208333333299</v>
      </c>
    </row>
    <row r="127" spans="1:4">
      <c r="A127" s="41">
        <v>16650.599999999999</v>
      </c>
      <c r="B127" s="41">
        <v>7</v>
      </c>
      <c r="C127" s="41">
        <v>0</v>
      </c>
      <c r="D127" s="42">
        <v>42748.25</v>
      </c>
    </row>
    <row r="128" spans="1:4">
      <c r="A128" s="41">
        <v>18062.400000000001</v>
      </c>
      <c r="B128" s="41">
        <v>8</v>
      </c>
      <c r="C128" s="41">
        <v>0</v>
      </c>
      <c r="D128" s="42">
        <v>42748.291666666701</v>
      </c>
    </row>
    <row r="129" spans="1:4">
      <c r="A129" s="41">
        <v>18509.3</v>
      </c>
      <c r="B129" s="41">
        <v>9</v>
      </c>
      <c r="C129" s="41">
        <v>0</v>
      </c>
      <c r="D129" s="42">
        <v>42748.333333333299</v>
      </c>
    </row>
    <row r="130" spans="1:4">
      <c r="A130" s="41">
        <v>18750.7</v>
      </c>
      <c r="B130" s="41">
        <v>10</v>
      </c>
      <c r="C130" s="41">
        <v>0</v>
      </c>
      <c r="D130" s="42">
        <v>42748.375</v>
      </c>
    </row>
    <row r="131" spans="1:4">
      <c r="A131" s="41">
        <v>18882.7</v>
      </c>
      <c r="B131" s="41">
        <v>11</v>
      </c>
      <c r="C131" s="41">
        <v>0</v>
      </c>
      <c r="D131" s="42">
        <v>42748.416666666701</v>
      </c>
    </row>
    <row r="132" spans="1:4">
      <c r="A132" s="41">
        <v>18774.900000000001</v>
      </c>
      <c r="B132" s="41">
        <v>12</v>
      </c>
      <c r="C132" s="41">
        <v>0</v>
      </c>
      <c r="D132" s="42">
        <v>42748.458333333299</v>
      </c>
    </row>
    <row r="133" spans="1:4">
      <c r="A133" s="41">
        <v>18610.5</v>
      </c>
      <c r="B133" s="41">
        <v>13</v>
      </c>
      <c r="C133" s="41">
        <v>0</v>
      </c>
      <c r="D133" s="42">
        <v>42748.5</v>
      </c>
    </row>
    <row r="134" spans="1:4">
      <c r="A134" s="41">
        <v>18581.900000000001</v>
      </c>
      <c r="B134" s="41">
        <v>14</v>
      </c>
      <c r="C134" s="41">
        <v>0</v>
      </c>
      <c r="D134" s="42">
        <v>42748.541666666701</v>
      </c>
    </row>
    <row r="135" spans="1:4">
      <c r="A135" s="41">
        <v>18574.2</v>
      </c>
      <c r="B135" s="41">
        <v>15</v>
      </c>
      <c r="C135" s="41">
        <v>0</v>
      </c>
      <c r="D135" s="42">
        <v>42748.583333333299</v>
      </c>
    </row>
    <row r="136" spans="1:4">
      <c r="A136" s="41">
        <v>18827.5</v>
      </c>
      <c r="B136" s="41">
        <v>16</v>
      </c>
      <c r="C136" s="41">
        <v>0</v>
      </c>
      <c r="D136" s="42">
        <v>42748.625</v>
      </c>
    </row>
    <row r="137" spans="1:4">
      <c r="A137" s="41">
        <v>19512</v>
      </c>
      <c r="B137" s="41">
        <v>17</v>
      </c>
      <c r="C137" s="41">
        <v>0</v>
      </c>
      <c r="D137" s="42">
        <v>42748.666666666701</v>
      </c>
    </row>
    <row r="138" spans="1:4">
      <c r="A138" s="41">
        <v>20576.400000000001</v>
      </c>
      <c r="B138" s="41">
        <v>18</v>
      </c>
      <c r="C138" s="41">
        <v>0</v>
      </c>
      <c r="D138" s="42">
        <v>42748.708333333299</v>
      </c>
    </row>
    <row r="139" spans="1:4">
      <c r="A139" s="41">
        <v>20478.7</v>
      </c>
      <c r="B139" s="41">
        <v>19</v>
      </c>
      <c r="C139" s="41">
        <v>0</v>
      </c>
      <c r="D139" s="42">
        <v>42748.75</v>
      </c>
    </row>
    <row r="140" spans="1:4">
      <c r="A140" s="41">
        <v>20038.599999999999</v>
      </c>
      <c r="B140" s="41">
        <v>20</v>
      </c>
      <c r="C140" s="41">
        <v>0</v>
      </c>
      <c r="D140" s="42">
        <v>42748.791666666701</v>
      </c>
    </row>
    <row r="141" spans="1:4">
      <c r="A141" s="41">
        <v>19529.3</v>
      </c>
      <c r="B141" s="41">
        <v>21</v>
      </c>
      <c r="C141" s="41">
        <v>0</v>
      </c>
      <c r="D141" s="42">
        <v>42748.833333333299</v>
      </c>
    </row>
    <row r="142" spans="1:4">
      <c r="A142" s="41">
        <v>18842.599999999999</v>
      </c>
      <c r="B142" s="41">
        <v>22</v>
      </c>
      <c r="C142" s="41">
        <v>0</v>
      </c>
      <c r="D142" s="42">
        <v>42748.875</v>
      </c>
    </row>
    <row r="143" spans="1:4">
      <c r="A143" s="41">
        <v>17851.599999999999</v>
      </c>
      <c r="B143" s="41">
        <v>23</v>
      </c>
      <c r="C143" s="41">
        <v>0</v>
      </c>
      <c r="D143" s="42">
        <v>42748.916666666701</v>
      </c>
    </row>
    <row r="144" spans="1:4">
      <c r="A144" s="41">
        <v>16752.599999999999</v>
      </c>
      <c r="B144" s="41">
        <v>24</v>
      </c>
      <c r="C144" s="41">
        <v>1</v>
      </c>
      <c r="D144" s="42">
        <v>42748.958333333299</v>
      </c>
    </row>
    <row r="145" spans="1:4">
      <c r="A145" s="41">
        <v>15869.3</v>
      </c>
      <c r="B145" s="41">
        <v>1</v>
      </c>
      <c r="C145" s="41">
        <v>0</v>
      </c>
      <c r="D145" s="42">
        <v>42749</v>
      </c>
    </row>
    <row r="146" spans="1:4">
      <c r="A146" s="41">
        <v>15311</v>
      </c>
      <c r="B146" s="41">
        <v>2</v>
      </c>
      <c r="C146" s="41">
        <v>0</v>
      </c>
      <c r="D146" s="42">
        <v>42749.041666666701</v>
      </c>
    </row>
    <row r="147" spans="1:4">
      <c r="A147" s="41">
        <v>14991.2</v>
      </c>
      <c r="B147" s="41">
        <v>3</v>
      </c>
      <c r="C147" s="41">
        <v>0</v>
      </c>
      <c r="D147" s="42">
        <v>42749.083333333299</v>
      </c>
    </row>
    <row r="148" spans="1:4">
      <c r="A148" s="41">
        <v>14869.4</v>
      </c>
      <c r="B148" s="41">
        <v>4</v>
      </c>
      <c r="C148" s="41">
        <v>0</v>
      </c>
      <c r="D148" s="42">
        <v>42749.125</v>
      </c>
    </row>
    <row r="149" spans="1:4">
      <c r="A149" s="41">
        <v>14945.3</v>
      </c>
      <c r="B149" s="41">
        <v>5</v>
      </c>
      <c r="C149" s="41">
        <v>0</v>
      </c>
      <c r="D149" s="42">
        <v>42749.166666666701</v>
      </c>
    </row>
    <row r="150" spans="1:4">
      <c r="A150" s="41">
        <v>15330.9</v>
      </c>
      <c r="B150" s="41">
        <v>6</v>
      </c>
      <c r="C150" s="41">
        <v>0</v>
      </c>
      <c r="D150" s="42">
        <v>42749.208333333299</v>
      </c>
    </row>
    <row r="151" spans="1:4">
      <c r="A151" s="41">
        <v>16055.3</v>
      </c>
      <c r="B151" s="41">
        <v>7</v>
      </c>
      <c r="C151" s="41">
        <v>0</v>
      </c>
      <c r="D151" s="42">
        <v>42749.25</v>
      </c>
    </row>
    <row r="152" spans="1:4">
      <c r="A152" s="41">
        <v>16844.900000000001</v>
      </c>
      <c r="B152" s="41">
        <v>8</v>
      </c>
      <c r="C152" s="41">
        <v>0</v>
      </c>
      <c r="D152" s="42">
        <v>42749.291666666701</v>
      </c>
    </row>
    <row r="153" spans="1:4">
      <c r="A153" s="41">
        <v>17575</v>
      </c>
      <c r="B153" s="41">
        <v>9</v>
      </c>
      <c r="C153" s="41">
        <v>0</v>
      </c>
      <c r="D153" s="42">
        <v>42749.333333333299</v>
      </c>
    </row>
    <row r="154" spans="1:4">
      <c r="A154" s="41">
        <v>18152.400000000001</v>
      </c>
      <c r="B154" s="41">
        <v>10</v>
      </c>
      <c r="C154" s="41">
        <v>0</v>
      </c>
      <c r="D154" s="42">
        <v>42749.375</v>
      </c>
    </row>
    <row r="155" spans="1:4">
      <c r="A155" s="41">
        <v>18456.5</v>
      </c>
      <c r="B155" s="41">
        <v>11</v>
      </c>
      <c r="C155" s="41">
        <v>0</v>
      </c>
      <c r="D155" s="42">
        <v>42749.416666666701</v>
      </c>
    </row>
    <row r="156" spans="1:4">
      <c r="A156" s="41">
        <v>18531.3</v>
      </c>
      <c r="B156" s="41">
        <v>12</v>
      </c>
      <c r="C156" s="41">
        <v>0</v>
      </c>
      <c r="D156" s="42">
        <v>42749.458333333299</v>
      </c>
    </row>
    <row r="157" spans="1:4">
      <c r="A157" s="41">
        <v>18637.3</v>
      </c>
      <c r="B157" s="41">
        <v>13</v>
      </c>
      <c r="C157" s="41">
        <v>0</v>
      </c>
      <c r="D157" s="42">
        <v>42749.5</v>
      </c>
    </row>
    <row r="158" spans="1:4">
      <c r="A158" s="41">
        <v>18622.7</v>
      </c>
      <c r="B158" s="41">
        <v>14</v>
      </c>
      <c r="C158" s="41">
        <v>0</v>
      </c>
      <c r="D158" s="42">
        <v>42749.541666666701</v>
      </c>
    </row>
    <row r="159" spans="1:4">
      <c r="A159" s="41">
        <v>18630.2</v>
      </c>
      <c r="B159" s="41">
        <v>15</v>
      </c>
      <c r="C159" s="41">
        <v>0</v>
      </c>
      <c r="D159" s="42">
        <v>42749.583333333299</v>
      </c>
    </row>
    <row r="160" spans="1:4">
      <c r="A160" s="41">
        <v>18808.5</v>
      </c>
      <c r="B160" s="41">
        <v>16</v>
      </c>
      <c r="C160" s="41">
        <v>0</v>
      </c>
      <c r="D160" s="42">
        <v>42749.625</v>
      </c>
    </row>
    <row r="161" spans="1:4">
      <c r="A161" s="41">
        <v>19317.5</v>
      </c>
      <c r="B161" s="41">
        <v>17</v>
      </c>
      <c r="C161" s="41">
        <v>0</v>
      </c>
      <c r="D161" s="42">
        <v>42749.666666666701</v>
      </c>
    </row>
    <row r="162" spans="1:4">
      <c r="A162" s="41">
        <v>20071.3</v>
      </c>
      <c r="B162" s="41">
        <v>18</v>
      </c>
      <c r="C162" s="41">
        <v>0</v>
      </c>
      <c r="D162" s="42">
        <v>42749.708333333299</v>
      </c>
    </row>
    <row r="163" spans="1:4">
      <c r="A163" s="41">
        <v>20064.3</v>
      </c>
      <c r="B163" s="41">
        <v>19</v>
      </c>
      <c r="C163" s="41">
        <v>0</v>
      </c>
      <c r="D163" s="42">
        <v>42749.75</v>
      </c>
    </row>
    <row r="164" spans="1:4">
      <c r="A164" s="41">
        <v>19664.500000000011</v>
      </c>
      <c r="B164" s="41">
        <v>20</v>
      </c>
      <c r="C164" s="41">
        <v>0</v>
      </c>
      <c r="D164" s="42">
        <v>42749.791666666701</v>
      </c>
    </row>
    <row r="165" spans="1:4">
      <c r="A165" s="41">
        <v>19210</v>
      </c>
      <c r="B165" s="41">
        <v>21</v>
      </c>
      <c r="C165" s="41">
        <v>0</v>
      </c>
      <c r="D165" s="42">
        <v>42749.833333333299</v>
      </c>
    </row>
    <row r="166" spans="1:4">
      <c r="A166" s="41">
        <v>18530.900000000001</v>
      </c>
      <c r="B166" s="41">
        <v>22</v>
      </c>
      <c r="C166" s="41">
        <v>0</v>
      </c>
      <c r="D166" s="42">
        <v>42749.875</v>
      </c>
    </row>
    <row r="167" spans="1:4">
      <c r="A167" s="41">
        <v>17661.099999999999</v>
      </c>
      <c r="B167" s="41">
        <v>23</v>
      </c>
      <c r="C167" s="41">
        <v>0</v>
      </c>
      <c r="D167" s="42">
        <v>42749.916666666701</v>
      </c>
    </row>
    <row r="168" spans="1:4">
      <c r="A168" s="41">
        <v>16728.7</v>
      </c>
      <c r="B168" s="41">
        <v>24</v>
      </c>
      <c r="C168" s="41">
        <v>1</v>
      </c>
      <c r="D168" s="42">
        <v>42749.958333333299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sheetPr codeName="Sheet26"/>
  <dimension ref="B3:D9"/>
  <sheetViews>
    <sheetView showGridLines="0" workbookViewId="0">
      <selection activeCell="H8" sqref="H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108"/>
      <c r="C3" s="114" t="s">
        <v>167</v>
      </c>
      <c r="D3" s="114" t="s">
        <v>168</v>
      </c>
    </row>
    <row r="4" spans="2:4">
      <c r="B4" s="115" t="s">
        <v>52</v>
      </c>
      <c r="C4" s="116">
        <v>33.642937136035123</v>
      </c>
      <c r="D4" s="117">
        <v>18121.259748858403</v>
      </c>
    </row>
    <row r="5" spans="2:4">
      <c r="B5" s="115" t="s">
        <v>55</v>
      </c>
      <c r="C5" s="116">
        <v>0</v>
      </c>
      <c r="D5" s="117">
        <v>11830.5</v>
      </c>
    </row>
    <row r="6" spans="2:4">
      <c r="B6" s="115" t="s">
        <v>54</v>
      </c>
      <c r="C6" s="116">
        <v>1188.6803584851809</v>
      </c>
      <c r="D6" s="117">
        <v>31860.9</v>
      </c>
    </row>
    <row r="7" spans="2:4">
      <c r="B7" s="115" t="s">
        <v>53</v>
      </c>
      <c r="C7" s="116">
        <v>33.431224860070749</v>
      </c>
      <c r="D7" s="117">
        <v>3301.5450243005662</v>
      </c>
    </row>
    <row r="8" spans="2:4" ht="11" customHeight="1">
      <c r="B8" s="115"/>
      <c r="C8" s="116"/>
      <c r="D8" s="117"/>
    </row>
    <row r="9" spans="2:4">
      <c r="B9" s="118" t="s">
        <v>80</v>
      </c>
      <c r="C9" s="119">
        <f>365*2*24</f>
        <v>17520</v>
      </c>
      <c r="D9" s="1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849A-E290-364B-AB2D-6CE1A0216E24}">
  <dimension ref="B3:D8"/>
  <sheetViews>
    <sheetView showGridLines="0" workbookViewId="0">
      <selection activeCell="G20" sqref="G20"/>
    </sheetView>
  </sheetViews>
  <sheetFormatPr baseColWidth="10" defaultRowHeight="16"/>
  <cols>
    <col min="2" max="2" width="17.33203125" customWidth="1"/>
    <col min="3" max="3" width="13.1640625" customWidth="1"/>
    <col min="4" max="4" width="7.6640625" customWidth="1"/>
  </cols>
  <sheetData>
    <row r="3" spans="2:4">
      <c r="B3" s="141" t="s">
        <v>52</v>
      </c>
      <c r="C3" s="142">
        <v>4016.2942926893002</v>
      </c>
      <c r="D3" s="143" t="s">
        <v>166</v>
      </c>
    </row>
    <row r="4" spans="2:4">
      <c r="B4" s="115" t="s">
        <v>55</v>
      </c>
      <c r="C4" s="117">
        <v>124.283333333333</v>
      </c>
      <c r="D4" s="144"/>
    </row>
    <row r="5" spans="2:4">
      <c r="B5" s="115" t="s">
        <v>54</v>
      </c>
      <c r="C5" s="117">
        <v>7656.32</v>
      </c>
      <c r="D5" s="144"/>
    </row>
    <row r="6" spans="2:4">
      <c r="B6" s="115" t="s">
        <v>53</v>
      </c>
      <c r="C6" s="117">
        <v>1100.50644595125</v>
      </c>
      <c r="D6" s="144"/>
    </row>
    <row r="7" spans="2:4" ht="11" customHeight="1">
      <c r="B7" s="115"/>
      <c r="C7" s="116"/>
      <c r="D7" s="117"/>
    </row>
    <row r="8" spans="2:4">
      <c r="B8" s="118" t="s">
        <v>80</v>
      </c>
      <c r="C8" s="119">
        <f>365*2*24</f>
        <v>17520</v>
      </c>
      <c r="D8" s="112"/>
    </row>
  </sheetData>
  <mergeCells count="1">
    <mergeCell ref="D3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A858-38C7-324D-8D51-C0446A9DF1F0}">
  <dimension ref="A2:R45"/>
  <sheetViews>
    <sheetView topLeftCell="A13" workbookViewId="0">
      <selection activeCell="A6" sqref="A6:A45"/>
    </sheetView>
  </sheetViews>
  <sheetFormatPr baseColWidth="10" defaultRowHeight="16"/>
  <cols>
    <col min="1" max="1" width="15.83203125" bestFit="1" customWidth="1"/>
  </cols>
  <sheetData>
    <row r="2" spans="1:18">
      <c r="A2" t="s">
        <v>145</v>
      </c>
      <c r="C2">
        <v>-0.1</v>
      </c>
      <c r="D2">
        <v>-0.3</v>
      </c>
      <c r="E2">
        <v>-0.5</v>
      </c>
      <c r="F2">
        <v>-1</v>
      </c>
      <c r="G2">
        <v>-0.1</v>
      </c>
      <c r="H2">
        <v>-0.3</v>
      </c>
      <c r="I2">
        <v>-0.5</v>
      </c>
      <c r="J2">
        <v>-1</v>
      </c>
      <c r="K2">
        <v>-0.1</v>
      </c>
      <c r="L2">
        <v>-0.3</v>
      </c>
      <c r="M2">
        <v>-0.5</v>
      </c>
      <c r="N2">
        <v>-1</v>
      </c>
      <c r="O2">
        <v>-0.1</v>
      </c>
      <c r="P2">
        <v>-0.3</v>
      </c>
      <c r="Q2">
        <v>-0.5</v>
      </c>
      <c r="R2">
        <v>-1</v>
      </c>
    </row>
    <row r="3" spans="1:18">
      <c r="A3" t="s">
        <v>146</v>
      </c>
      <c r="C3" s="106">
        <v>-1.0000000000000001E-15</v>
      </c>
      <c r="D3" s="106">
        <v>-1.0000000000000001E-15</v>
      </c>
      <c r="E3" s="106">
        <v>-1.0000000000000001E-15</v>
      </c>
      <c r="F3" s="106">
        <v>-1.0000000000000001E-15</v>
      </c>
      <c r="G3">
        <v>-0.1</v>
      </c>
      <c r="H3">
        <v>-0.1</v>
      </c>
      <c r="I3">
        <v>-0.1</v>
      </c>
      <c r="J3">
        <v>-0.1</v>
      </c>
      <c r="K3">
        <v>-0.3</v>
      </c>
      <c r="L3">
        <v>-0.3</v>
      </c>
      <c r="M3">
        <v>-0.3</v>
      </c>
      <c r="N3">
        <v>-0.3</v>
      </c>
      <c r="O3">
        <v>-0.5</v>
      </c>
      <c r="P3">
        <v>-0.5</v>
      </c>
      <c r="Q3">
        <v>-0.5</v>
      </c>
      <c r="R3">
        <v>-0.5</v>
      </c>
    </row>
    <row r="4" spans="1:18">
      <c r="A4" t="s">
        <v>147</v>
      </c>
    </row>
    <row r="6" spans="1:18">
      <c r="A6" t="s">
        <v>0</v>
      </c>
      <c r="C6">
        <v>52494928.218277298</v>
      </c>
      <c r="D6">
        <v>52494928.218277298</v>
      </c>
      <c r="E6">
        <v>52494928.218277298</v>
      </c>
      <c r="F6">
        <v>52494928.218277298</v>
      </c>
      <c r="G6">
        <v>52494928.218277298</v>
      </c>
      <c r="H6">
        <v>52494928.218277298</v>
      </c>
      <c r="I6">
        <v>52494928.218277298</v>
      </c>
      <c r="J6">
        <v>52494928.218277298</v>
      </c>
      <c r="K6">
        <v>52494928.218277298</v>
      </c>
      <c r="L6">
        <v>52494928.218277298</v>
      </c>
      <c r="M6">
        <v>52494928.218277298</v>
      </c>
      <c r="N6">
        <v>52494928.218277298</v>
      </c>
      <c r="O6">
        <v>52494928.218277298</v>
      </c>
      <c r="P6">
        <v>52494928.218277298</v>
      </c>
      <c r="Q6">
        <v>52494928.218277298</v>
      </c>
      <c r="R6">
        <v>52494928.218277298</v>
      </c>
    </row>
    <row r="7" spans="1:18">
      <c r="A7" t="s">
        <v>1</v>
      </c>
      <c r="C7">
        <v>2028979774.2576301</v>
      </c>
      <c r="D7">
        <v>2028979774.2576301</v>
      </c>
      <c r="E7">
        <v>2028979774.2576301</v>
      </c>
      <c r="F7">
        <v>2028979774.2576301</v>
      </c>
      <c r="G7">
        <v>2028979774.2576301</v>
      </c>
      <c r="H7">
        <v>2028979774.2576301</v>
      </c>
      <c r="I7">
        <v>2028979774.2576301</v>
      </c>
      <c r="J7">
        <v>2028979774.2576301</v>
      </c>
      <c r="K7">
        <v>2028979774.2576301</v>
      </c>
      <c r="L7">
        <v>2028979774.2576301</v>
      </c>
      <c r="M7">
        <v>2028979774.2576301</v>
      </c>
      <c r="N7">
        <v>2028979774.2576301</v>
      </c>
      <c r="O7">
        <v>2028979774.2576301</v>
      </c>
      <c r="P7">
        <v>2028979774.2576301</v>
      </c>
      <c r="Q7">
        <v>2028979774.2576301</v>
      </c>
      <c r="R7">
        <v>2028979774.2576301</v>
      </c>
    </row>
    <row r="8" spans="1:18">
      <c r="A8" t="s">
        <v>2</v>
      </c>
      <c r="C8">
        <v>52490961.823324598</v>
      </c>
      <c r="D8">
        <v>52437206.682191603</v>
      </c>
      <c r="E8">
        <v>52229649.709516399</v>
      </c>
      <c r="F8">
        <v>49107477.418081097</v>
      </c>
      <c r="G8">
        <v>52515801.7473571</v>
      </c>
      <c r="H8">
        <v>52562570.4964213</v>
      </c>
      <c r="I8">
        <v>52560358.958670303</v>
      </c>
      <c r="J8">
        <v>50113895.0212745</v>
      </c>
      <c r="K8">
        <v>52872744.026247598</v>
      </c>
      <c r="L8">
        <v>53435306.834329598</v>
      </c>
      <c r="M8">
        <v>54168925.079844601</v>
      </c>
      <c r="N8">
        <v>53772155.466818899</v>
      </c>
      <c r="O8">
        <v>54194245.998881601</v>
      </c>
      <c r="P8">
        <v>55785913.372374102</v>
      </c>
      <c r="Q8">
        <v>57400196.505467802</v>
      </c>
      <c r="R8">
        <v>59373357.934106402</v>
      </c>
    </row>
    <row r="9" spans="1:18">
      <c r="A9" t="s">
        <v>3</v>
      </c>
      <c r="C9">
        <v>2764195752.5707502</v>
      </c>
      <c r="D9">
        <v>2660927623.7425699</v>
      </c>
      <c r="E9">
        <v>2535649881.3977399</v>
      </c>
      <c r="F9">
        <v>2024860687.7304699</v>
      </c>
      <c r="G9">
        <v>2738896110.3191199</v>
      </c>
      <c r="H9">
        <v>2627562511.1149702</v>
      </c>
      <c r="I9">
        <v>2477933464.9311099</v>
      </c>
      <c r="J9">
        <v>1932078576.3259399</v>
      </c>
      <c r="K9">
        <v>2672421913.0615602</v>
      </c>
      <c r="L9">
        <v>2535700298.3836098</v>
      </c>
      <c r="M9">
        <v>2344764620.7214298</v>
      </c>
      <c r="N9">
        <v>1729170108.5697401</v>
      </c>
      <c r="O9">
        <v>2576810761.38835</v>
      </c>
      <c r="P9">
        <v>2396738786.7140899</v>
      </c>
      <c r="Q9">
        <v>2171919431.22821</v>
      </c>
      <c r="R9">
        <v>1486302098.5346301</v>
      </c>
    </row>
    <row r="10" spans="1:18">
      <c r="A10" t="s">
        <v>4</v>
      </c>
      <c r="C10">
        <v>7702168.4569703899</v>
      </c>
      <c r="D10">
        <v>7702168.4569703899</v>
      </c>
      <c r="E10">
        <v>7702168.4569703899</v>
      </c>
      <c r="F10">
        <v>7702168.4569703899</v>
      </c>
      <c r="G10">
        <v>7702168.4569703899</v>
      </c>
      <c r="H10">
        <v>7702168.4569703899</v>
      </c>
      <c r="I10">
        <v>7702168.4569703899</v>
      </c>
      <c r="J10">
        <v>7702168.4569703899</v>
      </c>
      <c r="K10">
        <v>7702168.4569703899</v>
      </c>
      <c r="L10">
        <v>7702168.4569703899</v>
      </c>
      <c r="M10">
        <v>7702168.4569703899</v>
      </c>
      <c r="N10">
        <v>7702168.4569703899</v>
      </c>
      <c r="O10">
        <v>7702168.4569703899</v>
      </c>
      <c r="P10">
        <v>7702168.4569703899</v>
      </c>
      <c r="Q10">
        <v>7702168.4569703899</v>
      </c>
      <c r="R10">
        <v>7702168.4569703899</v>
      </c>
    </row>
    <row r="11" spans="1:18">
      <c r="A11" t="s">
        <v>5</v>
      </c>
      <c r="C11">
        <v>297678605.54315799</v>
      </c>
      <c r="D11">
        <v>297678605.54315799</v>
      </c>
      <c r="E11">
        <v>297678605.54315799</v>
      </c>
      <c r="F11">
        <v>297678605.54315799</v>
      </c>
      <c r="G11">
        <v>297678605.54315799</v>
      </c>
      <c r="H11">
        <v>297678605.54315799</v>
      </c>
      <c r="I11">
        <v>297678605.54315799</v>
      </c>
      <c r="J11">
        <v>297678605.54315799</v>
      </c>
      <c r="K11">
        <v>297678605.54315799</v>
      </c>
      <c r="L11">
        <v>297678605.54315799</v>
      </c>
      <c r="M11">
        <v>297678605.54315799</v>
      </c>
      <c r="N11">
        <v>297678605.54315799</v>
      </c>
      <c r="O11">
        <v>297678605.54315799</v>
      </c>
      <c r="P11">
        <v>297678605.54315799</v>
      </c>
      <c r="Q11">
        <v>297678605.54315799</v>
      </c>
      <c r="R11">
        <v>297678605.54315799</v>
      </c>
    </row>
    <row r="12" spans="1:18">
      <c r="A12" t="s">
        <v>6</v>
      </c>
      <c r="C12">
        <v>7702168.4569703899</v>
      </c>
      <c r="D12">
        <v>7702168.4569703899</v>
      </c>
      <c r="E12">
        <v>7702168.4569703899</v>
      </c>
      <c r="F12">
        <v>7625674.3181854105</v>
      </c>
      <c r="G12">
        <v>7702168.4569703899</v>
      </c>
      <c r="H12">
        <v>7702168.4569703899</v>
      </c>
      <c r="I12">
        <v>7702168.4569703899</v>
      </c>
      <c r="J12">
        <v>7616002.6454654699</v>
      </c>
      <c r="K12">
        <v>7702168.4569703899</v>
      </c>
      <c r="L12">
        <v>7702168.4569703899</v>
      </c>
      <c r="M12">
        <v>7702168.4569703899</v>
      </c>
      <c r="N12">
        <v>7600420.7482743096</v>
      </c>
      <c r="O12">
        <v>7702168.4569703899</v>
      </c>
      <c r="P12">
        <v>7702168.4569703899</v>
      </c>
      <c r="Q12">
        <v>7693815.6487122597</v>
      </c>
      <c r="R12">
        <v>7598113.9295509104</v>
      </c>
    </row>
    <row r="13" spans="1:18">
      <c r="A13" t="s">
        <v>7</v>
      </c>
      <c r="C13">
        <v>405544672.01362598</v>
      </c>
      <c r="D13">
        <v>390393849.429546</v>
      </c>
      <c r="E13">
        <v>372013920.69919199</v>
      </c>
      <c r="F13">
        <v>297074280.18686801</v>
      </c>
      <c r="G13">
        <v>401832874.42853898</v>
      </c>
      <c r="H13">
        <v>385498738.92762899</v>
      </c>
      <c r="I13">
        <v>363546146.60420001</v>
      </c>
      <c r="J13">
        <v>283461897.30565</v>
      </c>
      <c r="K13">
        <v>392080216.17321801</v>
      </c>
      <c r="L13">
        <v>372021317.546933</v>
      </c>
      <c r="M13">
        <v>344008487.15886497</v>
      </c>
      <c r="N13">
        <v>253692497.67333001</v>
      </c>
      <c r="O13">
        <v>378052775.057495</v>
      </c>
      <c r="P13">
        <v>351633795.921646</v>
      </c>
      <c r="Q13">
        <v>318649774.545874</v>
      </c>
      <c r="R13">
        <v>218060496.067269</v>
      </c>
    </row>
    <row r="14" spans="1:18">
      <c r="A14" t="s">
        <v>8</v>
      </c>
      <c r="C14">
        <v>82334154.495839998</v>
      </c>
      <c r="D14">
        <v>82334154.495839998</v>
      </c>
      <c r="E14">
        <v>82334154.495839998</v>
      </c>
      <c r="F14">
        <v>82334154.495839998</v>
      </c>
      <c r="G14">
        <v>82334154.495839998</v>
      </c>
      <c r="H14">
        <v>82334154.495839998</v>
      </c>
      <c r="I14">
        <v>82334154.495839998</v>
      </c>
      <c r="J14">
        <v>82334154.495839998</v>
      </c>
      <c r="K14">
        <v>82334154.495839998</v>
      </c>
      <c r="L14">
        <v>82334154.495839998</v>
      </c>
      <c r="M14">
        <v>82334154.495839998</v>
      </c>
      <c r="N14">
        <v>82334154.495839998</v>
      </c>
      <c r="O14">
        <v>82334154.495839998</v>
      </c>
      <c r="P14">
        <v>82334154.495839998</v>
      </c>
      <c r="Q14">
        <v>82334154.495839998</v>
      </c>
      <c r="R14">
        <v>82334154.495839998</v>
      </c>
    </row>
    <row r="15" spans="1:18">
      <c r="A15" t="s">
        <v>9</v>
      </c>
      <c r="C15">
        <v>3182105979.09165</v>
      </c>
      <c r="D15">
        <v>3182105979.09165</v>
      </c>
      <c r="E15">
        <v>3182105979.09165</v>
      </c>
      <c r="F15">
        <v>3182105979.09165</v>
      </c>
      <c r="G15">
        <v>3182105979.09165</v>
      </c>
      <c r="H15">
        <v>3182105979.09165</v>
      </c>
      <c r="I15">
        <v>3182105979.09165</v>
      </c>
      <c r="J15">
        <v>3182105979.09165</v>
      </c>
      <c r="K15">
        <v>3182105979.09165</v>
      </c>
      <c r="L15">
        <v>3182105979.09165</v>
      </c>
      <c r="M15">
        <v>3182105979.09165</v>
      </c>
      <c r="N15">
        <v>3182105979.09165</v>
      </c>
      <c r="O15">
        <v>3182105979.09165</v>
      </c>
      <c r="P15">
        <v>3182105979.09165</v>
      </c>
      <c r="Q15">
        <v>3182105979.09165</v>
      </c>
      <c r="R15">
        <v>3182105979.09165</v>
      </c>
    </row>
    <row r="16" spans="1:18">
      <c r="A16" t="s">
        <v>10</v>
      </c>
      <c r="C16">
        <v>82334154.495839998</v>
      </c>
      <c r="D16">
        <v>82334154.495839998</v>
      </c>
      <c r="E16">
        <v>82334154.495839998</v>
      </c>
      <c r="F16">
        <v>81516452.276531994</v>
      </c>
      <c r="G16">
        <v>82334154.495839998</v>
      </c>
      <c r="H16">
        <v>82334154.495839998</v>
      </c>
      <c r="I16">
        <v>82334154.495839998</v>
      </c>
      <c r="J16">
        <v>81454648.003730804</v>
      </c>
      <c r="K16">
        <v>82334154.495839998</v>
      </c>
      <c r="L16">
        <v>82334154.495839998</v>
      </c>
      <c r="M16">
        <v>82334154.495839998</v>
      </c>
      <c r="N16">
        <v>81338261.462758899</v>
      </c>
      <c r="O16">
        <v>82334154.495839998</v>
      </c>
      <c r="P16">
        <v>82334154.495839998</v>
      </c>
      <c r="Q16">
        <v>82462839.323318899</v>
      </c>
      <c r="R16">
        <v>82277239.5637573</v>
      </c>
    </row>
    <row r="17" spans="1:18">
      <c r="A17" t="s">
        <v>11</v>
      </c>
      <c r="C17">
        <v>4335165851.9383297</v>
      </c>
      <c r="D17">
        <v>4173207544.4375701</v>
      </c>
      <c r="E17">
        <v>3976730941.7558999</v>
      </c>
      <c r="F17">
        <v>3175645900.0206099</v>
      </c>
      <c r="G17">
        <v>4295487712.2643995</v>
      </c>
      <c r="H17">
        <v>4120880100.9921699</v>
      </c>
      <c r="I17">
        <v>3886212664.4074001</v>
      </c>
      <c r="J17">
        <v>3030133108.2065902</v>
      </c>
      <c r="K17">
        <v>4191234361.2730899</v>
      </c>
      <c r="L17">
        <v>3976810012.1122599</v>
      </c>
      <c r="M17">
        <v>3677360224.9617801</v>
      </c>
      <c r="N17">
        <v>2711906057.9589701</v>
      </c>
      <c r="O17">
        <v>4041284706.1265602</v>
      </c>
      <c r="P17">
        <v>3758872769.5472102</v>
      </c>
      <c r="Q17">
        <v>3406282258.5759301</v>
      </c>
      <c r="R17">
        <v>2331009334.9717898</v>
      </c>
    </row>
    <row r="18" spans="1:18">
      <c r="A18" t="s">
        <v>12</v>
      </c>
      <c r="C18">
        <v>104587743.620995</v>
      </c>
      <c r="D18">
        <v>104587743.620995</v>
      </c>
      <c r="E18">
        <v>104587743.620995</v>
      </c>
      <c r="F18">
        <v>104587743.620995</v>
      </c>
      <c r="G18">
        <v>104587743.620995</v>
      </c>
      <c r="H18">
        <v>104587743.620995</v>
      </c>
      <c r="I18">
        <v>104587743.620995</v>
      </c>
      <c r="J18">
        <v>104587743.620995</v>
      </c>
      <c r="K18">
        <v>104587743.620995</v>
      </c>
      <c r="L18">
        <v>104587743.620995</v>
      </c>
      <c r="M18">
        <v>104587743.620995</v>
      </c>
      <c r="N18">
        <v>104587743.620995</v>
      </c>
      <c r="O18">
        <v>104587743.620995</v>
      </c>
      <c r="P18">
        <v>104587743.620995</v>
      </c>
      <c r="Q18">
        <v>104587743.620995</v>
      </c>
      <c r="R18">
        <v>104587743.620995</v>
      </c>
    </row>
    <row r="19" spans="1:18">
      <c r="A19" t="s">
        <v>13</v>
      </c>
      <c r="C19">
        <v>634839897.48200595</v>
      </c>
      <c r="D19">
        <v>634839897.48200595</v>
      </c>
      <c r="E19">
        <v>634839897.48200595</v>
      </c>
      <c r="F19">
        <v>634839897.48200595</v>
      </c>
      <c r="G19">
        <v>634839897.48200595</v>
      </c>
      <c r="H19">
        <v>634839897.48200595</v>
      </c>
      <c r="I19">
        <v>634839897.48200595</v>
      </c>
      <c r="J19">
        <v>634839897.48200595</v>
      </c>
      <c r="K19">
        <v>634839897.48200595</v>
      </c>
      <c r="L19">
        <v>634839897.48200595</v>
      </c>
      <c r="M19">
        <v>634839897.48200595</v>
      </c>
      <c r="N19">
        <v>634839897.48200595</v>
      </c>
      <c r="O19">
        <v>634839897.48200595</v>
      </c>
      <c r="P19">
        <v>634839897.48200595</v>
      </c>
      <c r="Q19">
        <v>634839897.48200595</v>
      </c>
      <c r="R19">
        <v>634839897.48200595</v>
      </c>
    </row>
    <row r="20" spans="1:18">
      <c r="A20" t="s">
        <v>14</v>
      </c>
      <c r="C20">
        <v>96676744.295320004</v>
      </c>
      <c r="D20">
        <v>83388300.730003506</v>
      </c>
      <c r="E20">
        <v>71992151.346977502</v>
      </c>
      <c r="F20">
        <v>45900671.535320297</v>
      </c>
      <c r="G20">
        <v>93416858.942051604</v>
      </c>
      <c r="H20">
        <v>80734816.295549497</v>
      </c>
      <c r="I20">
        <v>69354918.862002999</v>
      </c>
      <c r="J20">
        <v>44211826.923332803</v>
      </c>
      <c r="K20">
        <v>87206269.278414294</v>
      </c>
      <c r="L20">
        <v>75471940.879182398</v>
      </c>
      <c r="M20">
        <v>64391552.358564697</v>
      </c>
      <c r="N20">
        <v>40865002.325575702</v>
      </c>
      <c r="O20">
        <v>81445949.506301299</v>
      </c>
      <c r="P20">
        <v>70295971.007047296</v>
      </c>
      <c r="Q20">
        <v>59730571.134811699</v>
      </c>
      <c r="R20">
        <v>36258754.486268401</v>
      </c>
    </row>
    <row r="21" spans="1:18">
      <c r="A21" t="s">
        <v>15</v>
      </c>
      <c r="C21">
        <v>768872957.06563103</v>
      </c>
      <c r="D21">
        <v>601863221.98059702</v>
      </c>
      <c r="E21">
        <v>474452010.54303199</v>
      </c>
      <c r="F21">
        <v>240087567.88642401</v>
      </c>
      <c r="G21">
        <v>728087582.77696002</v>
      </c>
      <c r="H21">
        <v>574985502.09956706</v>
      </c>
      <c r="I21">
        <v>435666360.14802402</v>
      </c>
      <c r="J21">
        <v>223966552.54386899</v>
      </c>
      <c r="K21">
        <v>655486705.84663999</v>
      </c>
      <c r="L21">
        <v>515928582.42480803</v>
      </c>
      <c r="M21">
        <v>381541641.22489202</v>
      </c>
      <c r="N21">
        <v>189385280.828509</v>
      </c>
      <c r="O21">
        <v>584767543.31471097</v>
      </c>
      <c r="P21">
        <v>442365857.49788398</v>
      </c>
      <c r="Q21">
        <v>333274369.21949297</v>
      </c>
      <c r="R21">
        <v>155994627.868718</v>
      </c>
    </row>
    <row r="22" spans="1:18">
      <c r="A22" t="s">
        <v>16</v>
      </c>
      <c r="C22">
        <v>39764703.681774803</v>
      </c>
      <c r="D22">
        <v>39764703.681774803</v>
      </c>
      <c r="E22">
        <v>39764703.681774803</v>
      </c>
      <c r="F22">
        <v>39764703.681774803</v>
      </c>
      <c r="G22">
        <v>39764703.681774803</v>
      </c>
      <c r="H22">
        <v>39764703.681774803</v>
      </c>
      <c r="I22">
        <v>39764703.681774803</v>
      </c>
      <c r="J22">
        <v>39764703.681774803</v>
      </c>
      <c r="K22">
        <v>39764703.681774803</v>
      </c>
      <c r="L22">
        <v>39764703.681774803</v>
      </c>
      <c r="M22">
        <v>39764703.681774803</v>
      </c>
      <c r="N22">
        <v>39764703.681774803</v>
      </c>
      <c r="O22">
        <v>39764703.681774803</v>
      </c>
      <c r="P22">
        <v>39764703.681774803</v>
      </c>
      <c r="Q22">
        <v>39764703.681774803</v>
      </c>
      <c r="R22">
        <v>39764703.681774803</v>
      </c>
    </row>
    <row r="23" spans="1:18">
      <c r="A23" t="s">
        <v>17</v>
      </c>
      <c r="C23">
        <v>36376652.689870201</v>
      </c>
      <c r="D23">
        <v>30868166.211297799</v>
      </c>
      <c r="E23">
        <v>26277030.090278801</v>
      </c>
      <c r="F23">
        <v>16295720.2522639</v>
      </c>
      <c r="G23">
        <v>35035208.431626603</v>
      </c>
      <c r="H23">
        <v>29812835.7246916</v>
      </c>
      <c r="I23">
        <v>25237512.238449499</v>
      </c>
      <c r="J23">
        <v>15682895.3712408</v>
      </c>
      <c r="K23">
        <v>32505241.962973401</v>
      </c>
      <c r="L23">
        <v>27732529.224844199</v>
      </c>
      <c r="M23">
        <v>23342049.8326062</v>
      </c>
      <c r="N23">
        <v>14481812.276179399</v>
      </c>
      <c r="O23">
        <v>30190071.543589301</v>
      </c>
      <c r="P23">
        <v>25712564.297335099</v>
      </c>
      <c r="Q23">
        <v>21596640.1857244</v>
      </c>
      <c r="R23">
        <v>12825050.092611101</v>
      </c>
    </row>
    <row r="24" spans="1:18">
      <c r="A24" t="s">
        <v>18</v>
      </c>
      <c r="C24">
        <v>12533404388.4767</v>
      </c>
      <c r="D24">
        <v>12533404388.4767</v>
      </c>
      <c r="E24">
        <v>12533404388.4767</v>
      </c>
      <c r="F24">
        <v>12533404388.4767</v>
      </c>
      <c r="G24">
        <v>12533404388.4767</v>
      </c>
      <c r="H24">
        <v>12533404388.4767</v>
      </c>
      <c r="I24">
        <v>12533404388.4767</v>
      </c>
      <c r="J24">
        <v>12533404388.4767</v>
      </c>
      <c r="K24">
        <v>12533404388.4767</v>
      </c>
      <c r="L24">
        <v>12533404388.4767</v>
      </c>
      <c r="M24">
        <v>12533404388.4767</v>
      </c>
      <c r="N24">
        <v>12533404388.4767</v>
      </c>
      <c r="O24">
        <v>12533404388.4767</v>
      </c>
      <c r="P24">
        <v>12533404388.4767</v>
      </c>
      <c r="Q24">
        <v>12533404388.4767</v>
      </c>
      <c r="R24">
        <v>12533404388.4767</v>
      </c>
    </row>
    <row r="25" spans="1:18">
      <c r="A25" t="s">
        <v>19</v>
      </c>
      <c r="C25">
        <v>15677236279.381201</v>
      </c>
      <c r="D25">
        <v>14546415351.4268</v>
      </c>
      <c r="E25">
        <v>13505899370.648199</v>
      </c>
      <c r="F25">
        <v>10607265755.028299</v>
      </c>
      <c r="G25">
        <v>16524466143.725</v>
      </c>
      <c r="H25">
        <v>15239526209.906799</v>
      </c>
      <c r="I25">
        <v>13895779384.654301</v>
      </c>
      <c r="J25">
        <v>10567269724.58</v>
      </c>
      <c r="K25">
        <v>16176944108.4914</v>
      </c>
      <c r="L25">
        <v>14796876314.864799</v>
      </c>
      <c r="M25">
        <v>13259434012.635799</v>
      </c>
      <c r="N25">
        <v>9762396451.4861107</v>
      </c>
      <c r="O25">
        <v>15682948546.6595</v>
      </c>
      <c r="P25">
        <v>14094181078.004999</v>
      </c>
      <c r="Q25">
        <v>12478472392.3804</v>
      </c>
      <c r="R25">
        <v>8625183407.8053703</v>
      </c>
    </row>
    <row r="26" spans="1:18">
      <c r="A26" t="s">
        <v>20</v>
      </c>
      <c r="C26">
        <v>1309559496.83532</v>
      </c>
      <c r="D26">
        <v>1111253983.60672</v>
      </c>
      <c r="E26">
        <v>945973083.25003803</v>
      </c>
      <c r="F26">
        <v>586645929.08150196</v>
      </c>
      <c r="G26">
        <v>1261267503.5385599</v>
      </c>
      <c r="H26">
        <v>1073262086.08889</v>
      </c>
      <c r="I26">
        <v>908550440.58418405</v>
      </c>
      <c r="J26">
        <v>564584233.36467195</v>
      </c>
      <c r="K26">
        <v>1170188710.6670401</v>
      </c>
      <c r="L26">
        <v>998371052.09439397</v>
      </c>
      <c r="M26">
        <v>840313793.97382605</v>
      </c>
      <c r="N26">
        <v>521345241.94245899</v>
      </c>
      <c r="O26">
        <v>1086842575.5692101</v>
      </c>
      <c r="P26">
        <v>925652314.70406497</v>
      </c>
      <c r="Q26">
        <v>777479046.68608105</v>
      </c>
      <c r="R26">
        <v>461701803.33399898</v>
      </c>
    </row>
    <row r="27" spans="1:18">
      <c r="A27" t="s">
        <v>148</v>
      </c>
      <c r="C27">
        <v>309569505.07937098</v>
      </c>
      <c r="D27">
        <v>296227306.372922</v>
      </c>
      <c r="E27">
        <v>284623600.01722097</v>
      </c>
      <c r="F27">
        <v>254693204.344203</v>
      </c>
      <c r="G27">
        <v>309710682.57224798</v>
      </c>
      <c r="H27">
        <v>296489813.446145</v>
      </c>
      <c r="I27">
        <v>284452546.26801401</v>
      </c>
      <c r="J27">
        <v>254200374.67852399</v>
      </c>
      <c r="K27">
        <v>309956164.42345202</v>
      </c>
      <c r="L27">
        <v>296772777.134435</v>
      </c>
      <c r="M27">
        <v>284125993.60294002</v>
      </c>
      <c r="N27">
        <v>253211724.43787101</v>
      </c>
      <c r="O27">
        <v>310126673.26101798</v>
      </c>
      <c r="P27">
        <v>296606541.9465</v>
      </c>
      <c r="Q27">
        <v>283628200.388336</v>
      </c>
      <c r="R27">
        <v>251179626.81167799</v>
      </c>
    </row>
    <row r="28" spans="1:18">
      <c r="A28" t="s">
        <v>149</v>
      </c>
      <c r="C28">
        <v>70365476.0079166</v>
      </c>
      <c r="D28">
        <v>70365476.0079166</v>
      </c>
      <c r="E28">
        <v>70365476.0079166</v>
      </c>
      <c r="F28">
        <v>70365476.0079166</v>
      </c>
      <c r="G28">
        <v>70365476.0079166</v>
      </c>
      <c r="H28">
        <v>70365476.0079166</v>
      </c>
      <c r="I28">
        <v>70365476.0079166</v>
      </c>
      <c r="J28">
        <v>70365476.0079166</v>
      </c>
      <c r="K28">
        <v>70365476.0079166</v>
      </c>
      <c r="L28">
        <v>70365476.0079166</v>
      </c>
      <c r="M28">
        <v>70365476.0079166</v>
      </c>
      <c r="N28">
        <v>70365476.0079166</v>
      </c>
      <c r="O28">
        <v>70365476.0079166</v>
      </c>
      <c r="P28">
        <v>70365476.0079166</v>
      </c>
      <c r="Q28">
        <v>70365476.0079166</v>
      </c>
      <c r="R28">
        <v>70365476.0079166</v>
      </c>
    </row>
    <row r="29" spans="1:18">
      <c r="A29" t="s">
        <v>150</v>
      </c>
      <c r="C29">
        <v>70365476.007916704</v>
      </c>
      <c r="D29">
        <v>70365476.007916704</v>
      </c>
      <c r="E29">
        <v>70365476.0079166</v>
      </c>
      <c r="F29">
        <v>69708519.184583306</v>
      </c>
      <c r="G29">
        <v>73741698.930029601</v>
      </c>
      <c r="H29">
        <v>73156103.701364398</v>
      </c>
      <c r="I29">
        <v>72500945.494530603</v>
      </c>
      <c r="J29">
        <v>69868109.433581501</v>
      </c>
      <c r="K29">
        <v>79840828.165980399</v>
      </c>
      <c r="L29">
        <v>77829206.468113095</v>
      </c>
      <c r="M29">
        <v>75529193.211721197</v>
      </c>
      <c r="N29">
        <v>68392100.895269707</v>
      </c>
      <c r="O29">
        <v>84450154.803025305</v>
      </c>
      <c r="P29">
        <v>80488334.614268705</v>
      </c>
      <c r="Q29">
        <v>76175884.8016776</v>
      </c>
      <c r="R29">
        <v>64251010.7542013</v>
      </c>
    </row>
    <row r="30" spans="1:18">
      <c r="A30" t="s">
        <v>151</v>
      </c>
      <c r="C30">
        <v>3654859701.6658301</v>
      </c>
      <c r="D30">
        <v>3654859701.6658301</v>
      </c>
      <c r="E30">
        <v>3654859701.6658301</v>
      </c>
      <c r="F30">
        <v>3654859701.6658301</v>
      </c>
      <c r="G30">
        <v>3654859701.6658301</v>
      </c>
      <c r="H30">
        <v>3654859701.6658301</v>
      </c>
      <c r="I30">
        <v>3654859701.6658301</v>
      </c>
      <c r="J30">
        <v>3654859701.6658301</v>
      </c>
      <c r="K30">
        <v>3654859701.6658301</v>
      </c>
      <c r="L30">
        <v>3654859701.6658301</v>
      </c>
      <c r="M30">
        <v>3654859701.6658301</v>
      </c>
      <c r="N30">
        <v>3654859701.6658301</v>
      </c>
      <c r="O30">
        <v>3654859701.6658301</v>
      </c>
      <c r="P30">
        <v>3654859701.6658301</v>
      </c>
      <c r="Q30">
        <v>3654859701.6658301</v>
      </c>
      <c r="R30">
        <v>3654859701.6658301</v>
      </c>
    </row>
    <row r="31" spans="1:18">
      <c r="A31" t="s">
        <v>152</v>
      </c>
      <c r="C31">
        <v>3358957118.5211701</v>
      </c>
      <c r="D31">
        <v>2873828697.7934098</v>
      </c>
      <c r="E31">
        <v>2466139102.5658698</v>
      </c>
      <c r="F31">
        <v>1568065880.7871799</v>
      </c>
      <c r="G31">
        <v>3242347833.4964399</v>
      </c>
      <c r="H31">
        <v>2781354595.3599401</v>
      </c>
      <c r="I31">
        <v>2375808478.2250199</v>
      </c>
      <c r="J31">
        <v>1513467854.40906</v>
      </c>
      <c r="K31">
        <v>3021983622.3528299</v>
      </c>
      <c r="L31">
        <v>2599523692.35674</v>
      </c>
      <c r="M31">
        <v>2208826665.4971199</v>
      </c>
      <c r="N31">
        <v>1407050981.3202701</v>
      </c>
      <c r="O31">
        <v>2819796937.9960499</v>
      </c>
      <c r="P31">
        <v>2422936393.3999801</v>
      </c>
      <c r="Q31">
        <v>2053743512.1217799</v>
      </c>
      <c r="R31">
        <v>1267324284.8858199</v>
      </c>
    </row>
    <row r="32" spans="1:18">
      <c r="A32" t="s">
        <v>153</v>
      </c>
      <c r="C32">
        <v>2734940430.43644</v>
      </c>
      <c r="D32">
        <v>2734940430.43644</v>
      </c>
      <c r="E32">
        <v>2734940430.43644</v>
      </c>
      <c r="F32">
        <v>2734940430.43644</v>
      </c>
      <c r="G32">
        <v>2734940430.43644</v>
      </c>
      <c r="H32">
        <v>2734940430.43644</v>
      </c>
      <c r="I32">
        <v>2734940430.43644</v>
      </c>
      <c r="J32">
        <v>2734940430.43644</v>
      </c>
      <c r="K32">
        <v>2734940430.43644</v>
      </c>
      <c r="L32">
        <v>2734940430.43644</v>
      </c>
      <c r="M32">
        <v>2734940430.43644</v>
      </c>
      <c r="N32">
        <v>2734940430.43644</v>
      </c>
      <c r="O32">
        <v>2734940430.43644</v>
      </c>
      <c r="P32">
        <v>2734940430.43644</v>
      </c>
      <c r="Q32">
        <v>2734940430.43644</v>
      </c>
      <c r="R32">
        <v>2734940430.43644</v>
      </c>
    </row>
    <row r="33" spans="1:18">
      <c r="A33" t="s">
        <v>154</v>
      </c>
      <c r="C33">
        <v>2734940430.43644</v>
      </c>
      <c r="D33">
        <v>2734940430.43644</v>
      </c>
      <c r="E33">
        <v>2734940430.43644</v>
      </c>
      <c r="F33">
        <v>2714885509.3352699</v>
      </c>
      <c r="G33">
        <v>3856546526.90099</v>
      </c>
      <c r="H33">
        <v>3675982675.3236098</v>
      </c>
      <c r="I33">
        <v>3448061829.7544298</v>
      </c>
      <c r="J33">
        <v>2684655740.4842501</v>
      </c>
      <c r="K33">
        <v>4073548579.1170802</v>
      </c>
      <c r="L33">
        <v>3798521359.9460602</v>
      </c>
      <c r="M33">
        <v>3462618579.0978899</v>
      </c>
      <c r="N33">
        <v>2489362861.7054901</v>
      </c>
      <c r="O33">
        <v>4195393247.20713</v>
      </c>
      <c r="P33">
        <v>3795981160.2201099</v>
      </c>
      <c r="Q33">
        <v>3362674875.2126698</v>
      </c>
      <c r="R33">
        <v>2168181871.7316699</v>
      </c>
    </row>
    <row r="35" spans="1:18">
      <c r="A35" t="s">
        <v>144</v>
      </c>
      <c r="C35">
        <v>102709124.422034</v>
      </c>
      <c r="D35">
        <v>102709124.422034</v>
      </c>
      <c r="E35">
        <v>102709124.422034</v>
      </c>
      <c r="F35">
        <v>102709124.422034</v>
      </c>
      <c r="G35">
        <v>102709124.422034</v>
      </c>
      <c r="H35">
        <v>102709124.422034</v>
      </c>
      <c r="I35">
        <v>102709124.422034</v>
      </c>
      <c r="J35">
        <v>102709124.422034</v>
      </c>
      <c r="K35">
        <v>102709124.422034</v>
      </c>
      <c r="L35">
        <v>102709124.422034</v>
      </c>
      <c r="M35">
        <v>102709124.422034</v>
      </c>
      <c r="N35">
        <v>102709124.422034</v>
      </c>
      <c r="O35">
        <v>102709124.422034</v>
      </c>
      <c r="P35">
        <v>102709124.422034</v>
      </c>
      <c r="Q35">
        <v>102709124.422034</v>
      </c>
      <c r="R35">
        <v>102709124.422034</v>
      </c>
    </row>
    <row r="36" spans="1:18">
      <c r="A36" t="s">
        <v>155</v>
      </c>
      <c r="C36">
        <v>632027691.88537598</v>
      </c>
      <c r="D36">
        <v>632027691.88537598</v>
      </c>
      <c r="E36">
        <v>632027691.88537598</v>
      </c>
      <c r="F36">
        <v>632027691.88537598</v>
      </c>
      <c r="G36">
        <v>632027691.88537598</v>
      </c>
      <c r="H36">
        <v>632027691.88537598</v>
      </c>
      <c r="I36">
        <v>632027691.88537598</v>
      </c>
      <c r="J36">
        <v>632027691.88537598</v>
      </c>
      <c r="K36">
        <v>632027691.88537598</v>
      </c>
      <c r="L36">
        <v>632027691.88537598</v>
      </c>
      <c r="M36">
        <v>632027691.88537598</v>
      </c>
      <c r="N36">
        <v>632027691.88537598</v>
      </c>
      <c r="O36">
        <v>632027691.88537598</v>
      </c>
      <c r="P36">
        <v>632027691.88537598</v>
      </c>
      <c r="Q36">
        <v>632027691.88537598</v>
      </c>
      <c r="R36">
        <v>632027691.88537598</v>
      </c>
    </row>
    <row r="37" spans="1:18">
      <c r="A37" t="s">
        <v>156</v>
      </c>
      <c r="C37">
        <v>1878619.19896125</v>
      </c>
      <c r="D37">
        <v>1878619.19896125</v>
      </c>
      <c r="E37">
        <v>1878619.19896125</v>
      </c>
      <c r="F37">
        <v>1878619.19896125</v>
      </c>
      <c r="G37">
        <v>1878619.19896125</v>
      </c>
      <c r="H37">
        <v>1878619.19896125</v>
      </c>
      <c r="I37">
        <v>1878619.19896125</v>
      </c>
      <c r="J37">
        <v>1878619.19896125</v>
      </c>
      <c r="K37">
        <v>1878619.19896125</v>
      </c>
      <c r="L37">
        <v>1878619.19896125</v>
      </c>
      <c r="M37">
        <v>1878619.19896125</v>
      </c>
      <c r="N37">
        <v>1878619.19896125</v>
      </c>
      <c r="O37">
        <v>1878619.19896125</v>
      </c>
      <c r="P37">
        <v>1878619.19896125</v>
      </c>
      <c r="Q37">
        <v>1878619.19896125</v>
      </c>
      <c r="R37">
        <v>1878619.19896125</v>
      </c>
    </row>
    <row r="38" spans="1:18">
      <c r="A38" t="s">
        <v>157</v>
      </c>
      <c r="C38">
        <v>2812205.59663032</v>
      </c>
      <c r="D38">
        <v>2812205.59663032</v>
      </c>
      <c r="E38">
        <v>2812205.59663032</v>
      </c>
      <c r="F38">
        <v>2812205.59663032</v>
      </c>
      <c r="G38">
        <v>2812205.59663032</v>
      </c>
      <c r="H38">
        <v>2812205.59663032</v>
      </c>
      <c r="I38">
        <v>2812205.59663032</v>
      </c>
      <c r="J38">
        <v>2812205.59663032</v>
      </c>
      <c r="K38">
        <v>2812205.59663032</v>
      </c>
      <c r="L38">
        <v>2812205.59663032</v>
      </c>
      <c r="M38">
        <v>2812205.59663032</v>
      </c>
      <c r="N38">
        <v>2812205.59663032</v>
      </c>
      <c r="O38">
        <v>2812205.59663032</v>
      </c>
      <c r="P38">
        <v>2812205.59663032</v>
      </c>
      <c r="Q38">
        <v>2812205.59663032</v>
      </c>
      <c r="R38">
        <v>2812205.59663032</v>
      </c>
    </row>
    <row r="39" spans="1:18">
      <c r="A39" t="s">
        <v>158</v>
      </c>
      <c r="C39">
        <v>93225055.806359395</v>
      </c>
      <c r="D39">
        <v>81392193.328210101</v>
      </c>
      <c r="E39">
        <v>70851479.764655501</v>
      </c>
      <c r="F39">
        <v>45636315.854972497</v>
      </c>
      <c r="G39">
        <v>90280548.132795304</v>
      </c>
      <c r="H39">
        <v>78903083.526778698</v>
      </c>
      <c r="I39">
        <v>68317696.462901697</v>
      </c>
      <c r="J39">
        <v>43970635.402149297</v>
      </c>
      <c r="K39">
        <v>84615149.845390305</v>
      </c>
      <c r="L39">
        <v>73955206.664010599</v>
      </c>
      <c r="M39">
        <v>63542798.898512401</v>
      </c>
      <c r="N39">
        <v>40673768.409307398</v>
      </c>
      <c r="O39">
        <v>79302305.037004098</v>
      </c>
      <c r="P39">
        <v>69051150.1900177</v>
      </c>
      <c r="Q39">
        <v>59036909.917305604</v>
      </c>
      <c r="R39">
        <v>36117335.140407301</v>
      </c>
    </row>
    <row r="40" spans="1:18">
      <c r="A40" t="s">
        <v>159</v>
      </c>
      <c r="C40">
        <v>760872619.94322097</v>
      </c>
      <c r="D40">
        <v>598511871.79083204</v>
      </c>
      <c r="E40">
        <v>473095741.51537901</v>
      </c>
      <c r="F40">
        <v>239964132.420636</v>
      </c>
      <c r="G40">
        <v>721137922.99942195</v>
      </c>
      <c r="H40">
        <v>572063268.56111097</v>
      </c>
      <c r="I40">
        <v>434421643.56356299</v>
      </c>
      <c r="J40">
        <v>223858545.46533999</v>
      </c>
      <c r="K40">
        <v>650151732.31162405</v>
      </c>
      <c r="L40">
        <v>513752450.75288302</v>
      </c>
      <c r="M40">
        <v>380571324.831716</v>
      </c>
      <c r="N40">
        <v>189295501.21596399</v>
      </c>
      <c r="O40">
        <v>580803233.68368304</v>
      </c>
      <c r="P40">
        <v>440639605.636967</v>
      </c>
      <c r="Q40">
        <v>332527705.57681</v>
      </c>
      <c r="R40">
        <v>155926149.31828001</v>
      </c>
    </row>
    <row r="41" spans="1:18">
      <c r="A41" t="s">
        <v>160</v>
      </c>
      <c r="C41">
        <v>3451688.4889606098</v>
      </c>
      <c r="D41">
        <v>1996107.4017934401</v>
      </c>
      <c r="E41">
        <v>1140671.5823220499</v>
      </c>
      <c r="F41">
        <v>264355.68034789799</v>
      </c>
      <c r="G41">
        <v>3136310.8092563199</v>
      </c>
      <c r="H41">
        <v>1831732.7687707799</v>
      </c>
      <c r="I41">
        <v>1037222.39910132</v>
      </c>
      <c r="J41">
        <v>241191.52118354599</v>
      </c>
      <c r="K41">
        <v>2591119.4330239901</v>
      </c>
      <c r="L41">
        <v>1516734.2151718801</v>
      </c>
      <c r="M41">
        <v>848753.46005230001</v>
      </c>
      <c r="N41">
        <v>191233.91626830999</v>
      </c>
      <c r="O41">
        <v>2143644.4692971702</v>
      </c>
      <c r="P41">
        <v>1244820.81702958</v>
      </c>
      <c r="Q41">
        <v>693661.21750612103</v>
      </c>
      <c r="R41">
        <v>141419.345861143</v>
      </c>
    </row>
    <row r="42" spans="1:18">
      <c r="A42" t="s">
        <v>161</v>
      </c>
      <c r="C42">
        <v>8000337.1224092301</v>
      </c>
      <c r="D42">
        <v>3351350.1897652</v>
      </c>
      <c r="E42">
        <v>1356269.0276536101</v>
      </c>
      <c r="F42">
        <v>123435.465788103</v>
      </c>
      <c r="G42">
        <v>6949659.7775374502</v>
      </c>
      <c r="H42">
        <v>2922233.5384557601</v>
      </c>
      <c r="I42">
        <v>1244716.5844612201</v>
      </c>
      <c r="J42">
        <v>108007.078528559</v>
      </c>
      <c r="K42">
        <v>5334973.5350155504</v>
      </c>
      <c r="L42">
        <v>2176131.6719244299</v>
      </c>
      <c r="M42">
        <v>970316.39317577204</v>
      </c>
      <c r="N42">
        <v>89779.612544322605</v>
      </c>
      <c r="O42">
        <v>3964309.6310277702</v>
      </c>
      <c r="P42">
        <v>1726251.8609164299</v>
      </c>
      <c r="Q42">
        <v>746663.64268333802</v>
      </c>
      <c r="R42">
        <v>68478.550437954793</v>
      </c>
    </row>
    <row r="44" spans="1:18">
      <c r="A44" t="s">
        <v>164</v>
      </c>
      <c r="C44">
        <v>298804530.00214601</v>
      </c>
      <c r="D44">
        <v>800239329.00550497</v>
      </c>
      <c r="E44">
        <v>1238617904.23491</v>
      </c>
      <c r="F44">
        <v>2313679203.8167801</v>
      </c>
      <c r="G44">
        <v>293386092.06121802</v>
      </c>
      <c r="H44">
        <v>790322027.28131998</v>
      </c>
      <c r="I44">
        <v>1246675798.4985399</v>
      </c>
      <c r="J44">
        <v>2389186259.4131899</v>
      </c>
      <c r="K44">
        <v>283983447.32529199</v>
      </c>
      <c r="L44">
        <v>779614316.29781306</v>
      </c>
      <c r="M44">
        <v>1259460955.4298699</v>
      </c>
      <c r="N44">
        <v>2425731887.7286</v>
      </c>
      <c r="O44">
        <v>277175008.29337901</v>
      </c>
      <c r="P44">
        <v>785236792.27785397</v>
      </c>
      <c r="Q44">
        <v>1276751788.03181</v>
      </c>
      <c r="R44">
        <v>2501030992.0638099</v>
      </c>
    </row>
    <row r="45" spans="1:18">
      <c r="A45" t="s">
        <v>165</v>
      </c>
      <c r="C45">
        <v>57377264.851090796</v>
      </c>
      <c r="D45">
        <v>133699203.977394</v>
      </c>
      <c r="E45">
        <v>168532107.28942201</v>
      </c>
      <c r="F45">
        <v>20864992.445957601</v>
      </c>
      <c r="G45">
        <v>54575929.7356636</v>
      </c>
      <c r="H45">
        <v>125929311.55452199</v>
      </c>
      <c r="I45">
        <v>150913161.099558</v>
      </c>
      <c r="J45">
        <v>321619045.216286</v>
      </c>
      <c r="K45">
        <v>48478481.785907596</v>
      </c>
      <c r="L45">
        <v>107044391.155037</v>
      </c>
      <c r="M45">
        <v>110225414.61403801</v>
      </c>
      <c r="N45">
        <v>320406010.30381501</v>
      </c>
      <c r="O45">
        <v>41077872.225213803</v>
      </c>
      <c r="P45">
        <v>79982393.001178995</v>
      </c>
      <c r="Q45">
        <v>80943865.454307705</v>
      </c>
      <c r="R45">
        <v>241774107.20942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5AF-537F-724A-8647-2E18CB993101}">
  <dimension ref="B3:D8"/>
  <sheetViews>
    <sheetView showGridLines="0" workbookViewId="0">
      <selection activeCell="G12" sqref="G12"/>
    </sheetView>
  </sheetViews>
  <sheetFormatPr baseColWidth="10" defaultRowHeight="16"/>
  <cols>
    <col min="2" max="2" width="17.33203125" customWidth="1"/>
    <col min="3" max="3" width="13.1640625" customWidth="1"/>
    <col min="4" max="4" width="9.83203125" customWidth="1"/>
  </cols>
  <sheetData>
    <row r="3" spans="2:4">
      <c r="B3" s="141" t="s">
        <v>52</v>
      </c>
      <c r="C3" s="145">
        <v>3.7840958904109501</v>
      </c>
      <c r="D3" s="146" t="s">
        <v>170</v>
      </c>
    </row>
    <row r="4" spans="2:4">
      <c r="B4" s="115" t="s">
        <v>55</v>
      </c>
      <c r="C4" s="116">
        <v>2.33</v>
      </c>
      <c r="D4" s="147"/>
    </row>
    <row r="5" spans="2:4">
      <c r="B5" s="115" t="s">
        <v>54</v>
      </c>
      <c r="C5" s="116">
        <v>8.2100000000000009</v>
      </c>
      <c r="D5" s="147"/>
    </row>
    <row r="6" spans="2:4">
      <c r="B6" s="115" t="s">
        <v>53</v>
      </c>
      <c r="C6" s="116">
        <v>1.3372162114947901</v>
      </c>
      <c r="D6" s="147"/>
    </row>
    <row r="7" spans="2:4" ht="11" customHeight="1">
      <c r="B7" s="115"/>
      <c r="C7" s="116"/>
      <c r="D7" s="117"/>
    </row>
    <row r="8" spans="2:4">
      <c r="B8" s="118" t="s">
        <v>80</v>
      </c>
      <c r="C8" s="119">
        <f>365*2*24</f>
        <v>17520</v>
      </c>
      <c r="D8" s="112"/>
    </row>
  </sheetData>
  <mergeCells count="1">
    <mergeCell ref="D3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sheetPr codeName="Sheet2"/>
  <dimension ref="A1:X13"/>
  <sheetViews>
    <sheetView showGridLines="0" tabSelected="1" topLeftCell="A7" zoomScale="91" zoomScaleNormal="91" workbookViewId="0">
      <selection activeCell="N11" sqref="N11:P13"/>
    </sheetView>
  </sheetViews>
  <sheetFormatPr baseColWidth="10" defaultRowHeight="16"/>
  <cols>
    <col min="14" max="14" width="13.5" bestFit="1" customWidth="1"/>
  </cols>
  <sheetData>
    <row r="1" spans="1:24">
      <c r="D1">
        <f>'0 -0.1'!C16</f>
        <v>634839897.48200595</v>
      </c>
      <c r="P1">
        <v>1000000</v>
      </c>
      <c r="U1" t="s">
        <v>140</v>
      </c>
      <c r="V1">
        <v>-0.1</v>
      </c>
      <c r="X1">
        <v>-0.3</v>
      </c>
    </row>
    <row r="2" spans="1:24">
      <c r="U2" t="s">
        <v>141</v>
      </c>
      <c r="V2">
        <v>-0.5</v>
      </c>
      <c r="X2">
        <v>-0.5</v>
      </c>
    </row>
    <row r="3" spans="1:24">
      <c r="B3" t="s">
        <v>95</v>
      </c>
      <c r="D3" t="s">
        <v>96</v>
      </c>
      <c r="R3" t="s">
        <v>94</v>
      </c>
      <c r="S3" t="s">
        <v>133</v>
      </c>
      <c r="T3">
        <v>102741605.82683399</v>
      </c>
      <c r="V3">
        <v>102709124.422034</v>
      </c>
      <c r="X3">
        <v>102741605.82683399</v>
      </c>
    </row>
    <row r="4" spans="1:24">
      <c r="A4" t="s">
        <v>94</v>
      </c>
      <c r="B4" s="73" t="s">
        <v>128</v>
      </c>
      <c r="C4" s="73" t="s">
        <v>125</v>
      </c>
      <c r="D4" s="73" t="s">
        <v>126</v>
      </c>
      <c r="E4" s="73" t="s">
        <v>127</v>
      </c>
      <c r="O4" t="s">
        <v>95</v>
      </c>
      <c r="P4" t="s">
        <v>96</v>
      </c>
      <c r="S4" t="s">
        <v>134</v>
      </c>
      <c r="T4">
        <v>632117129.82570398</v>
      </c>
      <c r="V4">
        <v>632027691.88537598</v>
      </c>
      <c r="X4">
        <v>632117129.82570398</v>
      </c>
    </row>
    <row r="5" spans="1:24">
      <c r="A5">
        <v>0</v>
      </c>
      <c r="B5">
        <f>'0 -0.1'!C15</f>
        <v>104587743.620995</v>
      </c>
      <c r="C5">
        <f>B5</f>
        <v>104587743.620995</v>
      </c>
      <c r="D5">
        <f>'0 -0.1'!C16-D1</f>
        <v>0</v>
      </c>
      <c r="E5">
        <f>'0 -0.5'!C16-D1</f>
        <v>0</v>
      </c>
      <c r="G5">
        <f>B5/1000000</f>
        <v>104.587743620995</v>
      </c>
      <c r="H5">
        <f t="shared" ref="H5:J5" si="0">C5/1000000</f>
        <v>104.587743620995</v>
      </c>
      <c r="I5">
        <f t="shared" si="0"/>
        <v>0</v>
      </c>
      <c r="J5">
        <f t="shared" si="0"/>
        <v>0</v>
      </c>
      <c r="M5" t="s">
        <v>94</v>
      </c>
      <c r="N5" t="s">
        <v>137</v>
      </c>
      <c r="O5">
        <f>T3/P1</f>
        <v>102.74160582683399</v>
      </c>
      <c r="P5">
        <f>T4/P1</f>
        <v>632.11712982570396</v>
      </c>
      <c r="S5" t="s">
        <v>135</v>
      </c>
      <c r="T5">
        <v>1846137.7941608699</v>
      </c>
      <c r="V5">
        <v>1878619.19896125</v>
      </c>
      <c r="X5">
        <v>1846137.7941608699</v>
      </c>
    </row>
    <row r="6" spans="1:24">
      <c r="A6">
        <v>-0.1</v>
      </c>
      <c r="B6">
        <f>'0 -0.1'!C17</f>
        <v>96676744.295320004</v>
      </c>
      <c r="C6">
        <f>'-0.5 -0.1'!C17</f>
        <v>81445949.506301299</v>
      </c>
      <c r="D6">
        <f>'0 -0.1'!C18-D1</f>
        <v>134033059.58362508</v>
      </c>
      <c r="E6">
        <f>'-0.5 -0.1'!$C$18-D1</f>
        <v>-50072354.167294979</v>
      </c>
      <c r="F6">
        <f>'0 -0.3'!$C$18</f>
        <v>601863221.98059702</v>
      </c>
      <c r="G6" t="e">
        <f>#REF!</f>
        <v>#REF!</v>
      </c>
      <c r="N6" t="s">
        <v>138</v>
      </c>
      <c r="O6">
        <f>T5/P1</f>
        <v>1.8461377941608699</v>
      </c>
      <c r="P6">
        <f>T6/P1</f>
        <v>2.7227676563024699</v>
      </c>
      <c r="S6" t="s">
        <v>136</v>
      </c>
      <c r="T6">
        <v>2722767.6563024698</v>
      </c>
      <c r="V6">
        <v>2812205.59663032</v>
      </c>
      <c r="X6">
        <v>2722767.6563024698</v>
      </c>
    </row>
    <row r="7" spans="1:24">
      <c r="A7">
        <v>-0.3</v>
      </c>
      <c r="B7">
        <f>'0 -0.3'!C17</f>
        <v>83388300.730003506</v>
      </c>
      <c r="C7">
        <f>'-0.5 -0.3'!C17</f>
        <v>70295971.007047296</v>
      </c>
      <c r="D7">
        <f>'0 -0.3'!C18-D1</f>
        <v>-32976675.501408935</v>
      </c>
      <c r="E7">
        <f>'-0.5 -0.3'!$C$18-D1</f>
        <v>-192474039.98412198</v>
      </c>
      <c r="F7">
        <f>'0 -0.5'!$C$18</f>
        <v>474452010.54303199</v>
      </c>
      <c r="G7" t="e">
        <f>#REF!</f>
        <v>#REF!</v>
      </c>
      <c r="M7" t="s">
        <v>139</v>
      </c>
      <c r="N7" t="str">
        <f>N5</f>
        <v>Baseload</v>
      </c>
      <c r="O7">
        <f>T7/P1</f>
        <v>69.974169861745992</v>
      </c>
      <c r="P7">
        <f>T8/P1</f>
        <v>515.77104003479099</v>
      </c>
      <c r="R7" t="s">
        <v>72</v>
      </c>
      <c r="T7">
        <v>69974169.861745998</v>
      </c>
      <c r="V7">
        <v>79297678.132753894</v>
      </c>
      <c r="X7">
        <v>69974169.861745998</v>
      </c>
    </row>
    <row r="8" spans="1:24">
      <c r="A8">
        <v>-0.5</v>
      </c>
      <c r="B8">
        <f>'0 -0.5'!C17</f>
        <v>71992151.346977502</v>
      </c>
      <c r="C8">
        <f>'-0.5 -0.5'!C17</f>
        <v>59730571.134811699</v>
      </c>
      <c r="D8">
        <f>'0 -0.5'!C18-D1</f>
        <v>-160387886.93897396</v>
      </c>
      <c r="E8">
        <f>'-0.5 -0.5'!$C$18-D1</f>
        <v>-301565528.26251298</v>
      </c>
      <c r="F8">
        <f>'0 -1'!$C$18</f>
        <v>240087567.88642401</v>
      </c>
      <c r="G8" t="e">
        <f>#REF!</f>
        <v>#REF!</v>
      </c>
      <c r="N8" t="str">
        <f>N6</f>
        <v>Peakers</v>
      </c>
      <c r="O8">
        <f>T9/P1</f>
        <v>0.31960534099418503</v>
      </c>
      <c r="P8">
        <f>T10/P1</f>
        <v>0.34502647982294898</v>
      </c>
      <c r="T8">
        <v>515771040.03479099</v>
      </c>
      <c r="V8">
        <v>631113618.94682598</v>
      </c>
      <c r="X8">
        <v>515771040.03479099</v>
      </c>
    </row>
    <row r="9" spans="1:24">
      <c r="A9">
        <v>-1</v>
      </c>
      <c r="B9">
        <f>'0 -1'!C17</f>
        <v>45900671.535320297</v>
      </c>
      <c r="C9">
        <f>'-0.5 -1'!C17</f>
        <v>36258754.486268401</v>
      </c>
      <c r="D9">
        <f>'0 -1'!C18-D1</f>
        <v>-394752329.59558195</v>
      </c>
      <c r="E9">
        <f>'-0.5 -1'!$C$18-D1</f>
        <v>-478845269.61328793</v>
      </c>
      <c r="F9">
        <f>'-0.1 -0.1'!$C$18</f>
        <v>728087582.77696002</v>
      </c>
      <c r="G9" t="e">
        <f>#REF!</f>
        <v>#REF!</v>
      </c>
      <c r="T9">
        <v>319605.34099418501</v>
      </c>
      <c r="V9">
        <v>2149183.2281484399</v>
      </c>
      <c r="X9">
        <v>319605.34099418501</v>
      </c>
    </row>
    <row r="10" spans="1:24">
      <c r="T10">
        <v>345026.47982294898</v>
      </c>
      <c r="V10">
        <v>4498926.7672524201</v>
      </c>
      <c r="X10">
        <v>345026.47982294898</v>
      </c>
    </row>
    <row r="11" spans="1:24">
      <c r="N11" s="236"/>
      <c r="O11" s="114" t="s">
        <v>143</v>
      </c>
      <c r="P11" s="237" t="s">
        <v>142</v>
      </c>
    </row>
    <row r="12" spans="1:24">
      <c r="N12" s="214" t="s">
        <v>137</v>
      </c>
      <c r="O12" s="238">
        <f>-(O5-O7)/O5</f>
        <v>-0.31893054134579057</v>
      </c>
      <c r="P12" s="239">
        <f>-(P5-P7)/P5</f>
        <v>-0.18405780242499284</v>
      </c>
    </row>
    <row r="13" spans="1:24">
      <c r="N13" s="240" t="s">
        <v>183</v>
      </c>
      <c r="O13" s="241">
        <f>-(O6-O8)/O6</f>
        <v>-0.82687893503666876</v>
      </c>
      <c r="P13" s="242">
        <f>-(P6-P8)/P6</f>
        <v>-0.87328096871420302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sheetPr codeName="Sheet3"/>
  <dimension ref="A2:R35"/>
  <sheetViews>
    <sheetView showGridLines="0" topLeftCell="E1" workbookViewId="0">
      <selection activeCell="F46" sqref="F46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100</v>
      </c>
      <c r="I2" t="s">
        <v>101</v>
      </c>
      <c r="J2" t="s">
        <v>46</v>
      </c>
      <c r="L2" t="s">
        <v>102</v>
      </c>
      <c r="M2">
        <v>36</v>
      </c>
      <c r="O2" t="s">
        <v>103</v>
      </c>
    </row>
    <row r="3" spans="1:17">
      <c r="A3" t="s">
        <v>97</v>
      </c>
      <c r="B3">
        <f>'0 -0.3'!C24</f>
        <v>296227306.372922</v>
      </c>
      <c r="L3" t="s">
        <v>104</v>
      </c>
      <c r="Q3">
        <v>1000000</v>
      </c>
    </row>
    <row r="4" spans="1:17">
      <c r="A4" t="s">
        <v>98</v>
      </c>
      <c r="B4" s="75">
        <f>'0 -0.3'!F28</f>
        <v>39.477220277561777</v>
      </c>
      <c r="E4" t="s">
        <v>99</v>
      </c>
      <c r="H4" s="37">
        <f>Summary!D14</f>
        <v>39764.703681774801</v>
      </c>
      <c r="I4">
        <f>'0 -0.3'!E3-Imports!B3</f>
        <v>21257164.427077234</v>
      </c>
      <c r="J4">
        <f>('Gas Gen'!G12*0.456)/1000</f>
        <v>0.57266301219512206</v>
      </c>
      <c r="M4" t="s">
        <v>63</v>
      </c>
    </row>
    <row r="5" spans="1:17">
      <c r="A5" t="s">
        <v>98</v>
      </c>
      <c r="B5" s="75">
        <f>Summary!E$6</f>
        <v>54.105676644262033</v>
      </c>
      <c r="C5">
        <v>-0.3</v>
      </c>
      <c r="E5">
        <f>$B$3/($B$4^C5)</f>
        <v>892337324.58628404</v>
      </c>
      <c r="F5">
        <f>E5*(($B$4-(B5-$B$4))^C5)</f>
        <v>340359300.18717062</v>
      </c>
      <c r="H5" s="37">
        <f>Summary!$E$14</f>
        <v>36376.6526898702</v>
      </c>
      <c r="I5">
        <f>'0 -0.3'!E4-B3</f>
        <v>0</v>
      </c>
      <c r="J5" t="e">
        <f>(H5*1000)/I5</f>
        <v>#DIV/0!</v>
      </c>
      <c r="L5" t="e">
        <f>(F5-$B$3)*($J$4-J5)</f>
        <v>#DIV/0!</v>
      </c>
      <c r="M5" t="e">
        <f>L5*$M$2</f>
        <v>#DIV/0!</v>
      </c>
      <c r="O5" s="37">
        <f>Summary!$E$17</f>
        <v>1266.1122105315931</v>
      </c>
      <c r="Q5" s="76" t="e">
        <f>(M5/$Q$3)/O5</f>
        <v>#DIV/0!</v>
      </c>
    </row>
    <row r="6" spans="1:17">
      <c r="B6" s="75">
        <f>Summary!F$6</f>
        <v>52.295135047397601</v>
      </c>
      <c r="C6">
        <v>-0.3</v>
      </c>
      <c r="E6">
        <f t="shared" ref="E6:E8" si="0">$B$3/($B$4^C6)</f>
        <v>892337324.58628404</v>
      </c>
      <c r="F6">
        <f t="shared" ref="F6:F8" si="1">E6*(($B$4-(B6-$B$4))^C6)</f>
        <v>333253262.29327422</v>
      </c>
      <c r="H6" s="37">
        <f>Summary!$F$14</f>
        <v>30868.166211297797</v>
      </c>
      <c r="I6">
        <f>'0 -0.5'!E4-B3</f>
        <v>-11603706.355701029</v>
      </c>
      <c r="J6">
        <f t="shared" ref="J6:J8" si="2">(H6*1000)/I6</f>
        <v>-2.6601988420822047</v>
      </c>
      <c r="L6">
        <f t="shared" ref="L6:L8" si="3">(F6-$B$3)*($J$4-J6)</f>
        <v>119699800.51306045</v>
      </c>
      <c r="M6">
        <f t="shared" ref="M6:M8" si="4">L6*$M$2</f>
        <v>4309192818.4701767</v>
      </c>
      <c r="O6" s="37">
        <f>Summary!$F$17</f>
        <v>1222.719994800904</v>
      </c>
      <c r="Q6" s="76">
        <f t="shared" ref="Q6:Q8" si="5">(M6/$Q$3)/O6</f>
        <v>3.5242678919075368</v>
      </c>
    </row>
    <row r="7" spans="1:17">
      <c r="B7" s="75">
        <f>Summary!G$6</f>
        <v>50.270947671249189</v>
      </c>
      <c r="C7">
        <v>-0.3</v>
      </c>
      <c r="E7">
        <f t="shared" si="0"/>
        <v>892337324.58628404</v>
      </c>
      <c r="F7">
        <f t="shared" si="1"/>
        <v>326016400.61382926</v>
      </c>
      <c r="H7" s="37">
        <f>Summary!$G$14</f>
        <v>26277.0300902788</v>
      </c>
      <c r="I7">
        <f>'0 -1'!E4-B3</f>
        <v>-41534102.028719008</v>
      </c>
      <c r="J7">
        <f t="shared" si="2"/>
        <v>-0.6326615674057281</v>
      </c>
      <c r="L7">
        <f t="shared" si="3"/>
        <v>35905527.492611639</v>
      </c>
      <c r="M7">
        <f t="shared" si="4"/>
        <v>1292598989.734019</v>
      </c>
      <c r="O7" s="37">
        <f>Summary!$G$17</f>
        <v>1155.8192556873232</v>
      </c>
      <c r="Q7" s="76">
        <f t="shared" si="5"/>
        <v>1.1183400720948866</v>
      </c>
    </row>
    <row r="8" spans="1:17">
      <c r="B8" s="75">
        <f>Summary!H$6</f>
        <v>42.665046778779811</v>
      </c>
      <c r="C8">
        <v>-0.3</v>
      </c>
      <c r="E8">
        <f t="shared" si="0"/>
        <v>892337324.58628404</v>
      </c>
      <c r="F8">
        <f t="shared" si="1"/>
        <v>303805159.38069803</v>
      </c>
      <c r="H8" s="37">
        <f>Summary!$H$14</f>
        <v>16295.7202522639</v>
      </c>
      <c r="I8">
        <f>'-0.1 -0.1'!E4-B3</f>
        <v>13483376.199325979</v>
      </c>
      <c r="J8">
        <f t="shared" si="2"/>
        <v>1.2085786238819405</v>
      </c>
      <c r="L8">
        <f t="shared" si="3"/>
        <v>-4818875.0307126855</v>
      </c>
      <c r="M8">
        <f t="shared" si="4"/>
        <v>-173479501.10565668</v>
      </c>
      <c r="O8" s="37">
        <f>Summary!$H$17</f>
        <v>879.65494883670476</v>
      </c>
      <c r="Q8" s="76">
        <f t="shared" si="5"/>
        <v>-0.1972131246860758</v>
      </c>
    </row>
    <row r="10" spans="1:17">
      <c r="F10" s="20">
        <f>(F5-$B$3)/$B$3</f>
        <v>0.14898016781305987</v>
      </c>
    </row>
    <row r="11" spans="1:17">
      <c r="F11" s="20">
        <f t="shared" ref="F11:F13" si="6">(F6-$B$3)/$B$3</f>
        <v>0.12499170442356203</v>
      </c>
    </row>
    <row r="12" spans="1:17">
      <c r="F12" s="20">
        <f t="shared" si="6"/>
        <v>0.10056160792754743</v>
      </c>
    </row>
    <row r="13" spans="1:17">
      <c r="F13" s="20">
        <f t="shared" si="6"/>
        <v>2.5581210255600898E-2</v>
      </c>
    </row>
    <row r="15" spans="1:17" ht="51">
      <c r="C15" s="132" t="s">
        <v>124</v>
      </c>
      <c r="D15" s="88" t="s">
        <v>111</v>
      </c>
      <c r="E15" s="87" t="s">
        <v>112</v>
      </c>
      <c r="F15" s="87" t="s">
        <v>113</v>
      </c>
      <c r="G15" s="133" t="s">
        <v>107</v>
      </c>
      <c r="H15" s="132"/>
    </row>
    <row r="16" spans="1:17">
      <c r="A16" s="38"/>
      <c r="B16" s="38"/>
      <c r="C16" s="134"/>
      <c r="D16" s="99" t="s">
        <v>110</v>
      </c>
      <c r="E16" s="89" t="s">
        <v>108</v>
      </c>
      <c r="F16" s="90" t="s">
        <v>109</v>
      </c>
      <c r="G16" s="92" t="s">
        <v>108</v>
      </c>
      <c r="H16" s="91" t="s">
        <v>34</v>
      </c>
    </row>
    <row r="17" spans="3:18">
      <c r="C17" s="85" t="s">
        <v>94</v>
      </c>
      <c r="D17" s="86">
        <f>B4</f>
        <v>39.477220277561777</v>
      </c>
      <c r="E17" s="85" t="s">
        <v>86</v>
      </c>
      <c r="F17" s="85" t="s">
        <v>86</v>
      </c>
      <c r="G17" s="93" t="s">
        <v>86</v>
      </c>
      <c r="H17" s="85" t="s">
        <v>86</v>
      </c>
    </row>
    <row r="18" spans="3:18">
      <c r="C18" s="30">
        <v>-0.1</v>
      </c>
      <c r="D18" s="83">
        <f t="shared" ref="D18:D21" si="7">B5</f>
        <v>54.105676644262033</v>
      </c>
      <c r="E18" s="78">
        <f>F10</f>
        <v>0.14898016781305987</v>
      </c>
      <c r="F18" s="39" t="e">
        <f>J5</f>
        <v>#DIV/0!</v>
      </c>
      <c r="G18" s="94" t="e">
        <f>Q5</f>
        <v>#DIV/0!</v>
      </c>
      <c r="H18" s="79" t="e">
        <f>G18*O5</f>
        <v>#DIV/0!</v>
      </c>
    </row>
    <row r="19" spans="3:18">
      <c r="C19" s="30">
        <v>-0.3</v>
      </c>
      <c r="D19" s="83">
        <f t="shared" si="7"/>
        <v>52.295135047397601</v>
      </c>
      <c r="E19" s="78">
        <f>F11</f>
        <v>0.12499170442356203</v>
      </c>
      <c r="F19" s="39">
        <f t="shared" ref="F19:F21" si="8">J6</f>
        <v>-2.6601988420822047</v>
      </c>
      <c r="G19" s="94">
        <f t="shared" ref="G19:G21" si="9">Q6</f>
        <v>3.5242678919075368</v>
      </c>
      <c r="H19" s="79">
        <f t="shared" ref="H19:H21" si="10">G19*O6</f>
        <v>4309.1928184701765</v>
      </c>
    </row>
    <row r="20" spans="3:18">
      <c r="C20" s="30">
        <v>-0.5</v>
      </c>
      <c r="D20" s="83">
        <f t="shared" si="7"/>
        <v>50.270947671249189</v>
      </c>
      <c r="E20" s="78">
        <f>F12</f>
        <v>0.10056160792754743</v>
      </c>
      <c r="F20" s="39">
        <f t="shared" si="8"/>
        <v>-0.6326615674057281</v>
      </c>
      <c r="G20" s="94">
        <f t="shared" si="9"/>
        <v>1.1183400720948866</v>
      </c>
      <c r="H20" s="79">
        <f t="shared" si="10"/>
        <v>1292.5989897340191</v>
      </c>
    </row>
    <row r="21" spans="3:18">
      <c r="C21" s="28">
        <v>-1</v>
      </c>
      <c r="D21" s="84">
        <f t="shared" si="7"/>
        <v>42.665046778779811</v>
      </c>
      <c r="E21" s="81">
        <f>F13</f>
        <v>2.5581210255600898E-2</v>
      </c>
      <c r="F21" s="80">
        <f t="shared" si="8"/>
        <v>1.2085786238819405</v>
      </c>
      <c r="G21" s="95">
        <f t="shared" si="9"/>
        <v>-0.1972131246860758</v>
      </c>
      <c r="H21" s="82">
        <f t="shared" si="10"/>
        <v>-173.47950110565668</v>
      </c>
    </row>
    <row r="22" spans="3:18">
      <c r="E22" s="77"/>
    </row>
    <row r="23" spans="3:18">
      <c r="E23" s="97" t="s">
        <v>106</v>
      </c>
      <c r="F23" s="98">
        <f>J4</f>
        <v>0.57266301219512206</v>
      </c>
      <c r="G23" s="96" t="str">
        <f>F16</f>
        <v>[CO2 ton/MWh]</v>
      </c>
    </row>
    <row r="24" spans="3:18">
      <c r="E24" s="97"/>
      <c r="F24" s="98"/>
      <c r="G24" s="96"/>
      <c r="L24" t="s">
        <v>24</v>
      </c>
      <c r="O24" t="s">
        <v>114</v>
      </c>
    </row>
    <row r="25" spans="3:18">
      <c r="D25" t="s">
        <v>117</v>
      </c>
      <c r="E25" s="97"/>
      <c r="F25" s="98" t="s">
        <v>118</v>
      </c>
      <c r="G25" s="96"/>
      <c r="J25" t="s">
        <v>122</v>
      </c>
      <c r="K25" t="s">
        <v>121</v>
      </c>
      <c r="L25" t="s">
        <v>123</v>
      </c>
      <c r="M25" t="s">
        <v>117</v>
      </c>
      <c r="N25" t="s">
        <v>121</v>
      </c>
      <c r="O25" t="s">
        <v>123</v>
      </c>
      <c r="P25" t="s">
        <v>117</v>
      </c>
    </row>
    <row r="26" spans="3:18">
      <c r="C26" s="27" t="s">
        <v>24</v>
      </c>
      <c r="D26">
        <v>1624</v>
      </c>
      <c r="E26" t="s">
        <v>115</v>
      </c>
      <c r="F26" s="73">
        <v>0.35</v>
      </c>
      <c r="G26" t="s">
        <v>119</v>
      </c>
      <c r="I26" s="37">
        <f>D26/F26</f>
        <v>4640</v>
      </c>
      <c r="J26" s="37">
        <f>I26*1000</f>
        <v>4640000</v>
      </c>
      <c r="K26">
        <v>1</v>
      </c>
      <c r="L26" s="37">
        <f>$K$26*(24*365)*$D32</f>
        <v>473965.72740373539</v>
      </c>
      <c r="M26" s="37">
        <f>((((((K26-1)*1.1)+2)/2)*(K26-1))+1)*$J$26</f>
        <v>4640000</v>
      </c>
      <c r="N26">
        <v>1</v>
      </c>
      <c r="O26" s="37">
        <f>$N$26*(24*365)*$D32</f>
        <v>473965.72740373539</v>
      </c>
      <c r="P26" s="37">
        <f>((((((N26-1)*1.1)+2)/2)*(N26-1))+1)*$J$27</f>
        <v>7132000</v>
      </c>
      <c r="R26">
        <f>(L26-M26)+(O26-P26)</f>
        <v>-10824068.545192529</v>
      </c>
    </row>
    <row r="27" spans="3:18">
      <c r="C27" s="27" t="s">
        <v>116</v>
      </c>
      <c r="D27">
        <v>1783</v>
      </c>
      <c r="E27" t="s">
        <v>115</v>
      </c>
      <c r="F27" s="73">
        <v>0.25</v>
      </c>
      <c r="G27" t="s">
        <v>120</v>
      </c>
      <c r="I27" s="37">
        <f>D27/F27</f>
        <v>7132</v>
      </c>
      <c r="J27" s="37">
        <f>I27*1000</f>
        <v>7132000</v>
      </c>
      <c r="K27">
        <v>1</v>
      </c>
      <c r="L27" s="37">
        <f>$K$27*(24*365)*$D33</f>
        <v>458105.383015203</v>
      </c>
      <c r="M27" s="37">
        <f t="shared" ref="M27:M29" si="11">((((((K27-1)*1.1)+2)/2)*(K27-1))+1)*$J$26</f>
        <v>4640000</v>
      </c>
      <c r="N27">
        <v>1</v>
      </c>
      <c r="O27" s="37">
        <f>$N$27*(24*365)*$D33</f>
        <v>458105.383015203</v>
      </c>
      <c r="P27" s="37">
        <f t="shared" ref="P27:P29" si="12">((((((N27-1)*1.1)+2)/2)*(N27-1))+1)*$J$27</f>
        <v>7132000</v>
      </c>
    </row>
    <row r="28" spans="3:18">
      <c r="K28">
        <v>1</v>
      </c>
      <c r="L28" s="37">
        <f>$K$28*(24*365)*$D34</f>
        <v>440373.50160014292</v>
      </c>
      <c r="M28" s="37">
        <f t="shared" si="11"/>
        <v>4640000</v>
      </c>
      <c r="N28">
        <v>1</v>
      </c>
      <c r="O28" s="37">
        <f>$N$28*(24*365)*$D34</f>
        <v>440373.50160014292</v>
      </c>
      <c r="P28" s="37">
        <f t="shared" si="12"/>
        <v>7132000</v>
      </c>
    </row>
    <row r="29" spans="3:18" ht="34">
      <c r="C29" s="135" t="s">
        <v>105</v>
      </c>
      <c r="D29" s="88" t="s">
        <v>111</v>
      </c>
      <c r="K29">
        <v>1</v>
      </c>
      <c r="L29" s="37">
        <f>$K$29*(24*365)*$D35</f>
        <v>373745.80978211114</v>
      </c>
      <c r="M29" s="37">
        <f t="shared" si="11"/>
        <v>4640000</v>
      </c>
      <c r="N29">
        <v>1</v>
      </c>
      <c r="O29" s="37">
        <f>$N$29*(24*365)*$D35</f>
        <v>373745.80978211114</v>
      </c>
      <c r="P29" s="37">
        <f t="shared" si="12"/>
        <v>7132000</v>
      </c>
    </row>
    <row r="30" spans="3:18">
      <c r="C30" s="136"/>
      <c r="D30" s="99" t="s">
        <v>110</v>
      </c>
    </row>
    <row r="31" spans="3:18">
      <c r="C31" s="85" t="s">
        <v>94</v>
      </c>
      <c r="D31" s="86">
        <f>D17</f>
        <v>39.477220277561777</v>
      </c>
    </row>
    <row r="32" spans="3:18">
      <c r="C32" s="30">
        <v>-0.1</v>
      </c>
      <c r="D32" s="83">
        <f>D18</f>
        <v>54.105676644262033</v>
      </c>
    </row>
    <row r="33" spans="3:4">
      <c r="C33" s="30">
        <v>-0.3</v>
      </c>
      <c r="D33" s="83">
        <f>D19</f>
        <v>52.295135047397601</v>
      </c>
    </row>
    <row r="34" spans="3:4">
      <c r="C34" s="30">
        <v>-0.5</v>
      </c>
      <c r="D34" s="83">
        <f t="shared" ref="D34:D35" si="13">D20</f>
        <v>50.270947671249189</v>
      </c>
    </row>
    <row r="35" spans="3:4">
      <c r="C35" s="28">
        <v>-1</v>
      </c>
      <c r="D35" s="83">
        <f t="shared" si="13"/>
        <v>42.665046778779811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sheetPr codeName="Sheet4"/>
  <dimension ref="A1:P47"/>
  <sheetViews>
    <sheetView showGridLines="0" topLeftCell="A15" workbookViewId="0">
      <selection activeCell="G37" sqref="G37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3">
      <c r="E1">
        <v>2734940430.43644</v>
      </c>
    </row>
    <row r="3" spans="1:13">
      <c r="A3" t="s">
        <v>0</v>
      </c>
      <c r="C3">
        <f>Master!C6</f>
        <v>52494928.218277298</v>
      </c>
      <c r="E3">
        <f>C3+C7+C11+C15+C25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f>Master!C7</f>
        <v>2028979774.2576301</v>
      </c>
      <c r="E4">
        <f>C24</f>
        <v>309569505.07937098</v>
      </c>
      <c r="G4" s="1">
        <f>F42/2</f>
        <v>19882.351840887401</v>
      </c>
      <c r="M4">
        <v>2028979774.2576301</v>
      </c>
    </row>
    <row r="5" spans="1:13">
      <c r="A5" t="s">
        <v>2</v>
      </c>
      <c r="C5">
        <f>Master!C8</f>
        <v>52490961.823324598</v>
      </c>
      <c r="M5">
        <v>52490961.823324598</v>
      </c>
    </row>
    <row r="6" spans="1:13">
      <c r="A6" t="s">
        <v>3</v>
      </c>
      <c r="C6">
        <f>Master!C9</f>
        <v>2764195752.5707502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2764195752.5707502</v>
      </c>
    </row>
    <row r="7" spans="1:13">
      <c r="A7" t="s">
        <v>4</v>
      </c>
      <c r="C7">
        <f>Master!C10</f>
        <v>7702168.4569703899</v>
      </c>
      <c r="J7" s="20">
        <f>J6/H6</f>
        <v>-0.36090965768927602</v>
      </c>
      <c r="M7">
        <v>7702168.4569703899</v>
      </c>
    </row>
    <row r="8" spans="1:13">
      <c r="A8" t="s">
        <v>5</v>
      </c>
      <c r="C8">
        <f>Master!C11</f>
        <v>297678605.54315799</v>
      </c>
      <c r="M8">
        <v>297678605.54315799</v>
      </c>
    </row>
    <row r="9" spans="1:13">
      <c r="A9" t="s">
        <v>6</v>
      </c>
      <c r="C9">
        <f>Master!C12</f>
        <v>7702168.4569703899</v>
      </c>
      <c r="M9">
        <v>7702168.4569703899</v>
      </c>
    </row>
    <row r="10" spans="1:13">
      <c r="A10" t="s">
        <v>7</v>
      </c>
      <c r="C10">
        <f>Master!C13</f>
        <v>405544672.01362598</v>
      </c>
      <c r="M10">
        <v>405544672.01362598</v>
      </c>
    </row>
    <row r="11" spans="1:13">
      <c r="A11" t="s">
        <v>8</v>
      </c>
      <c r="C11">
        <f>Master!C14</f>
        <v>82334154.495839998</v>
      </c>
      <c r="E11">
        <v>1000000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f>Master!C15</f>
        <v>3182105979.09165</v>
      </c>
      <c r="E12">
        <v>1000</v>
      </c>
      <c r="H12" s="1">
        <v>42.141114695835299</v>
      </c>
      <c r="M12">
        <v>3182105979.09165</v>
      </c>
    </row>
    <row r="13" spans="1:13">
      <c r="A13" t="s">
        <v>10</v>
      </c>
      <c r="C13">
        <f>Master!C16</f>
        <v>82334154.495839998</v>
      </c>
      <c r="M13">
        <v>82334154.495839998</v>
      </c>
    </row>
    <row r="14" spans="1:13">
      <c r="A14" t="s">
        <v>11</v>
      </c>
      <c r="C14">
        <f>Master!C17</f>
        <v>4335165851.9383297</v>
      </c>
      <c r="M14">
        <v>4335165851.9383297</v>
      </c>
    </row>
    <row r="15" spans="1:13">
      <c r="A15" t="s">
        <v>12</v>
      </c>
      <c r="C15">
        <f>Master!C18</f>
        <v>104587743.620995</v>
      </c>
      <c r="M15">
        <v>104587743.620995</v>
      </c>
    </row>
    <row r="16" spans="1:13">
      <c r="A16" t="s">
        <v>13</v>
      </c>
      <c r="C16">
        <f>Master!C19</f>
        <v>634839897.48200595</v>
      </c>
      <c r="M16">
        <v>634839897.48200595</v>
      </c>
    </row>
    <row r="17" spans="1:16">
      <c r="A17" t="s">
        <v>14</v>
      </c>
      <c r="C17">
        <f>Master!C20</f>
        <v>96676744.295320004</v>
      </c>
      <c r="M17">
        <v>96676744.295320004</v>
      </c>
    </row>
    <row r="18" spans="1:16">
      <c r="A18" t="s">
        <v>15</v>
      </c>
      <c r="C18">
        <f>Master!C21</f>
        <v>768872957.06563103</v>
      </c>
      <c r="M18">
        <v>768872957.06563103</v>
      </c>
    </row>
    <row r="19" spans="1:16">
      <c r="A19" t="s">
        <v>16</v>
      </c>
      <c r="C19">
        <f>Master!C22</f>
        <v>39764703.681774803</v>
      </c>
      <c r="G19" s="23"/>
      <c r="M19">
        <v>39764703.681774803</v>
      </c>
    </row>
    <row r="20" spans="1:16">
      <c r="A20" t="s">
        <v>17</v>
      </c>
      <c r="C20">
        <f>Master!C23</f>
        <v>36376652.689870201</v>
      </c>
      <c r="F20" s="23"/>
      <c r="G20" s="23"/>
      <c r="M20">
        <v>36376652.689870201</v>
      </c>
    </row>
    <row r="21" spans="1:16">
      <c r="A21" t="s">
        <v>18</v>
      </c>
      <c r="C21">
        <f>Master!C24</f>
        <v>12533404388.4767</v>
      </c>
      <c r="M21">
        <v>12533404388.4767</v>
      </c>
    </row>
    <row r="22" spans="1:16">
      <c r="A22" t="s">
        <v>19</v>
      </c>
      <c r="C22">
        <f>Master!C25</f>
        <v>15677236279.381201</v>
      </c>
      <c r="G22" s="47">
        <f>C3+C7+C11+C15</f>
        <v>247118994.79208267</v>
      </c>
      <c r="M22">
        <v>15677236279.381201</v>
      </c>
    </row>
    <row r="23" spans="1:16">
      <c r="A23" t="s">
        <v>20</v>
      </c>
      <c r="C23">
        <f>Master!C26</f>
        <v>1309559496.83532</v>
      </c>
      <c r="G23" s="47">
        <f>G22-G24</f>
        <v>7914965.7206276953</v>
      </c>
      <c r="M23">
        <v>1309559496.83532</v>
      </c>
    </row>
    <row r="24" spans="1:16">
      <c r="A24" t="s">
        <v>148</v>
      </c>
      <c r="C24">
        <f>Master!C27</f>
        <v>309569505.07937098</v>
      </c>
      <c r="G24" s="47">
        <f>C5+C9+C13+C17</f>
        <v>239204029.07145497</v>
      </c>
      <c r="M24">
        <v>309569505.07937098</v>
      </c>
    </row>
    <row r="25" spans="1:16">
      <c r="A25" t="s">
        <v>149</v>
      </c>
      <c r="C25">
        <f>Master!C28</f>
        <v>70365476.0079166</v>
      </c>
    </row>
    <row r="26" spans="1:16">
      <c r="A26" t="s">
        <v>150</v>
      </c>
      <c r="C26">
        <f>Master!C29</f>
        <v>70365476.007916704</v>
      </c>
      <c r="E26" s="4"/>
      <c r="F26" s="5" t="s">
        <v>21</v>
      </c>
      <c r="G26" s="6" t="s">
        <v>31</v>
      </c>
      <c r="H26" s="67"/>
      <c r="I26" s="67"/>
      <c r="J26" s="43" t="s">
        <v>42</v>
      </c>
    </row>
    <row r="27" spans="1:16" ht="10" customHeight="1">
      <c r="A27" t="s">
        <v>151</v>
      </c>
      <c r="C27">
        <f>Master!C30</f>
        <v>3654859701.6658301</v>
      </c>
      <c r="E27" s="4"/>
      <c r="F27" s="7"/>
      <c r="G27" s="7"/>
      <c r="J27" s="137" t="s">
        <v>43</v>
      </c>
      <c r="K27" s="67"/>
      <c r="N27" s="37">
        <f>N28+SUM(N31:N35)</f>
        <v>1252.455895291147</v>
      </c>
    </row>
    <row r="28" spans="1:16">
      <c r="A28" t="s">
        <v>152</v>
      </c>
      <c r="C28">
        <f>Master!C31</f>
        <v>3358957118.5211701</v>
      </c>
      <c r="E28" s="9" t="s">
        <v>32</v>
      </c>
      <c r="F28" s="10">
        <f>F37*E11/$E$3</f>
        <v>39.477220277561777</v>
      </c>
      <c r="G28" s="11">
        <f>(C22-C30)/(C24-C26)</f>
        <v>54.105676644262033</v>
      </c>
      <c r="H28" s="68" t="s">
        <v>33</v>
      </c>
      <c r="I28" s="68"/>
      <c r="J28" s="137"/>
      <c r="M28" t="s">
        <v>38</v>
      </c>
      <c r="N28">
        <f>-(C22-(F28*C24)+C42)/E11</f>
        <v>-3513.6700009981837</v>
      </c>
    </row>
    <row r="29" spans="1:16" ht="10" customHeight="1">
      <c r="A29" t="s">
        <v>153</v>
      </c>
      <c r="C29">
        <f>Master!C32</f>
        <v>2734940430.43644</v>
      </c>
      <c r="E29" s="4"/>
      <c r="F29" s="13"/>
      <c r="G29" s="13"/>
      <c r="H29" s="68"/>
      <c r="I29" s="68"/>
      <c r="J29" s="137"/>
    </row>
    <row r="30" spans="1:16">
      <c r="A30" t="s">
        <v>154</v>
      </c>
      <c r="C30">
        <f>Master!C33</f>
        <v>2734940430.43644</v>
      </c>
      <c r="E30" s="9" t="s">
        <v>22</v>
      </c>
      <c r="F30" s="31">
        <f>SUM(F31:F34)</f>
        <v>6143.604256374444</v>
      </c>
      <c r="G30" s="32">
        <f>SUM(G31:G34)</f>
        <v>8273.7792335883369</v>
      </c>
      <c r="H30" s="68"/>
      <c r="I30" s="68"/>
      <c r="J30" s="10">
        <f>((C6+C10+C14+C18)/(C5+C9+C13+C17))-((C16+C12+C8+C4)/(C3+C7+C11+C15))</f>
        <v>9.7278807304206119</v>
      </c>
      <c r="M30" t="s">
        <v>27</v>
      </c>
      <c r="N30" s="37">
        <f>F37-G37</f>
        <v>-3500.0136857577381</v>
      </c>
    </row>
    <row r="31" spans="1:16">
      <c r="E31" s="14" t="s">
        <v>24</v>
      </c>
      <c r="F31" s="33">
        <f>C8/E11</f>
        <v>297.67860554315797</v>
      </c>
      <c r="G31" s="34">
        <f>C10/E11</f>
        <v>405.54467201362598</v>
      </c>
      <c r="H31" s="138" t="s">
        <v>34</v>
      </c>
      <c r="I31" s="68"/>
      <c r="J31" s="15">
        <f>(C10/C9)-(C8/C7)</f>
        <v>14.004636106452615</v>
      </c>
      <c r="M31" t="s">
        <v>22</v>
      </c>
      <c r="N31" s="37">
        <f>G30-F30</f>
        <v>2130.1749772138928</v>
      </c>
      <c r="P31">
        <f>G31/F31</f>
        <v>1.3623574703114814</v>
      </c>
    </row>
    <row r="32" spans="1:16">
      <c r="A32" t="s">
        <v>144</v>
      </c>
      <c r="C32">
        <f>Master!C35</f>
        <v>102709124.422034</v>
      </c>
      <c r="E32" s="14" t="s">
        <v>25</v>
      </c>
      <c r="F32" s="33">
        <f>C12/E11</f>
        <v>3182.1059790916502</v>
      </c>
      <c r="G32" s="34">
        <f>C14/E11</f>
        <v>4335.16585193833</v>
      </c>
      <c r="H32" s="138"/>
      <c r="I32" s="68"/>
      <c r="J32" s="15">
        <f>(C14/C13)-(C12/C11)</f>
        <v>14.004636106452509</v>
      </c>
      <c r="M32" t="s">
        <v>29</v>
      </c>
      <c r="N32" s="37">
        <f>G39</f>
        <v>1309.55949683532</v>
      </c>
      <c r="P32">
        <f>G32/F32</f>
        <v>1.3623574703114782</v>
      </c>
    </row>
    <row r="33" spans="1:16">
      <c r="A33" t="s">
        <v>155</v>
      </c>
      <c r="C33">
        <f>Master!C36</f>
        <v>632027691.88537598</v>
      </c>
      <c r="E33" s="14" t="s">
        <v>23</v>
      </c>
      <c r="F33" s="33">
        <f>C4/E11</f>
        <v>2028.9797742576302</v>
      </c>
      <c r="G33" s="34">
        <f>C6/E11</f>
        <v>2764.1957525707503</v>
      </c>
      <c r="H33" s="138"/>
      <c r="I33" s="68"/>
      <c r="J33" s="15">
        <f>(C6/C5)-(C4/C3)</f>
        <v>14.009445774520046</v>
      </c>
      <c r="M33" t="s">
        <v>59</v>
      </c>
      <c r="N33" s="37">
        <f>G40</f>
        <v>1204.421586531553</v>
      </c>
      <c r="P33">
        <f>G33/F33</f>
        <v>1.362357470311464</v>
      </c>
    </row>
    <row r="34" spans="1:16">
      <c r="A34" t="s">
        <v>156</v>
      </c>
      <c r="C34">
        <f>Master!C37</f>
        <v>1878619.19896125</v>
      </c>
      <c r="E34" s="14" t="s">
        <v>26</v>
      </c>
      <c r="F34" s="33">
        <f>C16/E11</f>
        <v>634.83989748200599</v>
      </c>
      <c r="G34" s="34">
        <f>C18/E11</f>
        <v>768.872957065631</v>
      </c>
      <c r="H34" s="138"/>
      <c r="I34" s="68"/>
      <c r="J34" s="69">
        <f>(C18/C17)-(C16/C15)</f>
        <v>1.8831027452818789</v>
      </c>
      <c r="N34" s="37"/>
      <c r="P34">
        <f>G34/F34</f>
        <v>1.2111289163066883</v>
      </c>
    </row>
    <row r="35" spans="1:16" ht="10" customHeight="1">
      <c r="A35" t="s">
        <v>157</v>
      </c>
      <c r="C35">
        <f>Master!C38</f>
        <v>2812205.59663032</v>
      </c>
      <c r="E35" s="4"/>
      <c r="F35" s="35"/>
      <c r="G35" s="35"/>
      <c r="H35" s="68"/>
      <c r="I35" s="68"/>
      <c r="J35" s="13"/>
      <c r="M35" t="s">
        <v>35</v>
      </c>
      <c r="N35" s="37">
        <f>F43-G43</f>
        <v>121.96983570856537</v>
      </c>
    </row>
    <row r="36" spans="1:16" ht="10" customHeight="1">
      <c r="A36" t="s">
        <v>158</v>
      </c>
      <c r="C36">
        <f>Master!C39</f>
        <v>93225055.806359395</v>
      </c>
      <c r="E36" s="4"/>
      <c r="F36" s="35"/>
      <c r="G36" s="35"/>
      <c r="H36" s="68"/>
      <c r="I36" s="68"/>
      <c r="J36" s="13"/>
      <c r="N36" s="37"/>
    </row>
    <row r="37" spans="1:16">
      <c r="A37" t="s">
        <v>159</v>
      </c>
      <c r="C37">
        <f>Master!C40</f>
        <v>760872619.94322097</v>
      </c>
      <c r="E37" s="9" t="s">
        <v>28</v>
      </c>
      <c r="F37" s="31">
        <f>C21/E11</f>
        <v>12533.4043884767</v>
      </c>
      <c r="G37" s="32">
        <f>(C22+C42+C41)/E11</f>
        <v>16033.418074234438</v>
      </c>
      <c r="H37" s="3" t="s">
        <v>34</v>
      </c>
      <c r="I37" s="3"/>
      <c r="J37" s="13"/>
      <c r="M37" t="s">
        <v>81</v>
      </c>
      <c r="N37" s="37">
        <f>SUM(N30:N35)</f>
        <v>1266.1122105315931</v>
      </c>
    </row>
    <row r="38" spans="1:16" ht="10" customHeight="1">
      <c r="A38" t="s">
        <v>160</v>
      </c>
      <c r="C38">
        <f>Master!C41</f>
        <v>3451688.4889606098</v>
      </c>
      <c r="E38" s="4"/>
      <c r="F38" s="35"/>
      <c r="G38" s="35"/>
      <c r="H38" s="68"/>
      <c r="I38" s="68"/>
      <c r="J38" s="13"/>
    </row>
    <row r="39" spans="1:16">
      <c r="A39" t="s">
        <v>161</v>
      </c>
      <c r="C39">
        <f>Master!C42</f>
        <v>8000337.1224092301</v>
      </c>
      <c r="E39" s="4" t="s">
        <v>29</v>
      </c>
      <c r="F39" s="35"/>
      <c r="G39" s="36">
        <f>C23/E11</f>
        <v>1309.55949683532</v>
      </c>
      <c r="H39" s="3" t="s">
        <v>34</v>
      </c>
      <c r="I39" s="3"/>
      <c r="J39" s="13"/>
    </row>
    <row r="40" spans="1:16">
      <c r="E40" s="9" t="s">
        <v>84</v>
      </c>
      <c r="F40" s="31"/>
      <c r="G40" s="32">
        <f>MIN(17.5394,G28-F28)*C11/E11</f>
        <v>1204.421586531553</v>
      </c>
      <c r="H40" s="3"/>
      <c r="I40" s="3"/>
      <c r="J40" s="13"/>
      <c r="N40" s="20">
        <f>N37/G37</f>
        <v>7.896708017401631E-2</v>
      </c>
    </row>
    <row r="41" spans="1:16" ht="10" customHeight="1">
      <c r="A41" t="s">
        <v>164</v>
      </c>
      <c r="C41">
        <f>Master!C44</f>
        <v>298804530.00214601</v>
      </c>
      <c r="E41" s="4"/>
      <c r="F41" s="35"/>
      <c r="G41" s="35"/>
      <c r="H41" s="68"/>
      <c r="I41" s="68"/>
      <c r="J41" s="25"/>
    </row>
    <row r="42" spans="1:16">
      <c r="A42" t="s">
        <v>165</v>
      </c>
      <c r="C42">
        <f>Master!C45</f>
        <v>57377264.851090796</v>
      </c>
      <c r="E42" s="4" t="s">
        <v>30</v>
      </c>
      <c r="F42" s="35">
        <f>C19/E12</f>
        <v>39764.703681774801</v>
      </c>
      <c r="G42" s="36">
        <f>C20/E12</f>
        <v>36376.6526898702</v>
      </c>
      <c r="H42" s="68" t="s">
        <v>37</v>
      </c>
      <c r="I42" s="68"/>
      <c r="N42" s="20">
        <f>(G37-F37)/F37</f>
        <v>0.27925482792015194</v>
      </c>
    </row>
    <row r="43" spans="1:16">
      <c r="E43" s="9" t="s">
        <v>36</v>
      </c>
      <c r="F43" s="31">
        <f>F42*36/E12</f>
        <v>1431.5293325438927</v>
      </c>
      <c r="G43" s="32">
        <f>G42*36/E12</f>
        <v>1309.5594968353273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154.78475253968548</v>
      </c>
      <c r="H45" s="3" t="s">
        <v>83</v>
      </c>
      <c r="I45" s="2"/>
      <c r="J45" s="16"/>
    </row>
    <row r="46" spans="1:16">
      <c r="H46" s="2"/>
      <c r="I46" s="2"/>
    </row>
    <row r="47" spans="1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sheetPr codeName="Sheet5"/>
  <dimension ref="A1:Q47"/>
  <sheetViews>
    <sheetView showGridLines="0" topLeftCell="A38" zoomScaleNormal="100" workbookViewId="0">
      <selection activeCell="K42" sqref="K42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f>Master!D6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Master!D7</f>
        <v>2028979774.2576301</v>
      </c>
      <c r="D4">
        <f>C3-C5</f>
        <v>57721.536085695028</v>
      </c>
      <c r="E4">
        <f>C24</f>
        <v>296227306.372922</v>
      </c>
      <c r="G4" s="1">
        <f>F42/2</f>
        <v>19882.351840887401</v>
      </c>
    </row>
    <row r="5" spans="1:10">
      <c r="A5" t="s">
        <v>2</v>
      </c>
      <c r="C5">
        <f>Master!D8</f>
        <v>52437206.682191603</v>
      </c>
    </row>
    <row r="6" spans="1:10">
      <c r="A6" t="s">
        <v>3</v>
      </c>
      <c r="C6">
        <f>Master!D9</f>
        <v>2660927623.7425699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Master!D10</f>
        <v>7702168.4569703899</v>
      </c>
      <c r="J7" s="20">
        <f>J6/H6</f>
        <v>-0.36090965768927602</v>
      </c>
    </row>
    <row r="8" spans="1:10">
      <c r="A8" t="s">
        <v>5</v>
      </c>
      <c r="C8">
        <f>Master!D11</f>
        <v>297678605.54315799</v>
      </c>
      <c r="D8">
        <f>C7-C9</f>
        <v>0</v>
      </c>
    </row>
    <row r="9" spans="1:10">
      <c r="A9" t="s">
        <v>6</v>
      </c>
      <c r="C9">
        <f>Master!D12</f>
        <v>7702168.4569703899</v>
      </c>
    </row>
    <row r="10" spans="1:10">
      <c r="A10" t="s">
        <v>7</v>
      </c>
      <c r="C10">
        <f>Master!D13</f>
        <v>390393849.429546</v>
      </c>
    </row>
    <row r="11" spans="1:10">
      <c r="A11" t="s">
        <v>8</v>
      </c>
      <c r="C11">
        <f>Master!D14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Master!D15</f>
        <v>3182105979.09165</v>
      </c>
      <c r="D12">
        <f>C11-C13</f>
        <v>0</v>
      </c>
      <c r="E12">
        <v>1000</v>
      </c>
      <c r="H12" s="1">
        <v>42.141114695835299</v>
      </c>
    </row>
    <row r="13" spans="1:10">
      <c r="A13" t="s">
        <v>10</v>
      </c>
      <c r="C13">
        <f>Master!D16</f>
        <v>82334154.495839998</v>
      </c>
    </row>
    <row r="14" spans="1:10">
      <c r="A14" t="s">
        <v>11</v>
      </c>
      <c r="C14">
        <f>Master!D17</f>
        <v>4173207544.4375701</v>
      </c>
    </row>
    <row r="15" spans="1:10">
      <c r="A15" t="s">
        <v>12</v>
      </c>
      <c r="C15">
        <f>Master!D18</f>
        <v>104587743.620995</v>
      </c>
    </row>
    <row r="16" spans="1:10">
      <c r="A16" t="s">
        <v>13</v>
      </c>
      <c r="C16">
        <f>Master!D19</f>
        <v>634839897.48200595</v>
      </c>
    </row>
    <row r="17" spans="1:16">
      <c r="A17" t="s">
        <v>14</v>
      </c>
      <c r="C17">
        <f>Master!D20</f>
        <v>83388300.730003506</v>
      </c>
    </row>
    <row r="18" spans="1:16">
      <c r="A18" t="s">
        <v>15</v>
      </c>
      <c r="C18">
        <f>Master!D21</f>
        <v>601863221.98059702</v>
      </c>
      <c r="G18" s="1">
        <f>G19*1000000</f>
        <v>152907529.11044002</v>
      </c>
    </row>
    <row r="19" spans="1:16">
      <c r="A19" t="s">
        <v>16</v>
      </c>
      <c r="C19">
        <f>Master!D22</f>
        <v>39764703.681774803</v>
      </c>
      <c r="G19" s="23">
        <f>G20-F20</f>
        <v>152.90752911044001</v>
      </c>
    </row>
    <row r="20" spans="1:16">
      <c r="A20" t="s">
        <v>17</v>
      </c>
      <c r="C20">
        <f>Master!D23</f>
        <v>30868166.211297799</v>
      </c>
      <c r="F20" s="23">
        <f>F37-F30</f>
        <v>6389.8001321022557</v>
      </c>
      <c r="G20" s="23">
        <f>G37-G30-G39</f>
        <v>6542.7076612126957</v>
      </c>
    </row>
    <row r="21" spans="1:16">
      <c r="A21" t="s">
        <v>18</v>
      </c>
      <c r="C21">
        <f>Master!D24</f>
        <v>12533404388.4767</v>
      </c>
      <c r="D21">
        <v>12533409814.1101</v>
      </c>
    </row>
    <row r="22" spans="1:16">
      <c r="A22" t="s">
        <v>19</v>
      </c>
      <c r="C22">
        <f>Master!D25</f>
        <v>14546415351.4268</v>
      </c>
      <c r="D22">
        <v>15710349551.438299</v>
      </c>
      <c r="E22">
        <v>16706710641.534901</v>
      </c>
      <c r="G22" s="47">
        <f>C3+C7+C11+C15</f>
        <v>247118994.79208267</v>
      </c>
    </row>
    <row r="23" spans="1:16">
      <c r="A23" t="s">
        <v>20</v>
      </c>
      <c r="C23">
        <f>Master!D26</f>
        <v>1111253983.60672</v>
      </c>
      <c r="G23" s="47">
        <f>G22-G24</f>
        <v>21257164.427077174</v>
      </c>
    </row>
    <row r="24" spans="1:16">
      <c r="A24" t="s">
        <v>148</v>
      </c>
      <c r="C24">
        <f>Master!D27</f>
        <v>296227306.372922</v>
      </c>
      <c r="G24" s="47">
        <f>C5+C9+C13+C17</f>
        <v>225861830.36500549</v>
      </c>
    </row>
    <row r="25" spans="1:16">
      <c r="A25" t="s">
        <v>149</v>
      </c>
      <c r="C25">
        <f>Master!D28</f>
        <v>70365476.0079166</v>
      </c>
    </row>
    <row r="26" spans="1:16">
      <c r="A26" t="s">
        <v>150</v>
      </c>
      <c r="C26">
        <f>Master!D29</f>
        <v>70365476.007916704</v>
      </c>
      <c r="E26" s="176"/>
      <c r="F26" s="177" t="s">
        <v>21</v>
      </c>
      <c r="G26" s="6" t="s">
        <v>31</v>
      </c>
      <c r="H26" s="178"/>
      <c r="I26" s="178"/>
      <c r="J26" s="179" t="s">
        <v>42</v>
      </c>
    </row>
    <row r="27" spans="1:16" ht="10" customHeight="1">
      <c r="A27" t="s">
        <v>151</v>
      </c>
      <c r="C27">
        <f>Master!D30</f>
        <v>3654859701.6658301</v>
      </c>
      <c r="E27" s="176"/>
      <c r="F27" s="180"/>
      <c r="G27" s="7"/>
      <c r="H27" s="154"/>
      <c r="I27" s="154"/>
      <c r="J27" s="181" t="s">
        <v>43</v>
      </c>
      <c r="K27" s="24"/>
      <c r="N27" s="37">
        <f>N28+SUM(N31:N35)</f>
        <v>1183.7855612423309</v>
      </c>
    </row>
    <row r="28" spans="1:16">
      <c r="A28" t="s">
        <v>152</v>
      </c>
      <c r="C28">
        <f>Master!D31</f>
        <v>2873828697.7934098</v>
      </c>
      <c r="E28" s="182" t="s">
        <v>32</v>
      </c>
      <c r="F28" s="183">
        <f>F37*E11/$E$3</f>
        <v>39.477220277561777</v>
      </c>
      <c r="G28" s="11">
        <f>(C22-C30)/(C24-C26)</f>
        <v>52.295135047397601</v>
      </c>
      <c r="H28" s="196" t="s">
        <v>33</v>
      </c>
      <c r="I28" s="184"/>
      <c r="J28" s="181"/>
      <c r="M28" t="s">
        <v>38</v>
      </c>
      <c r="N28">
        <f>-(C22-(F28*C24)+C42)/E11</f>
        <v>-2985.8839294915715</v>
      </c>
    </row>
    <row r="29" spans="1:16" ht="10" customHeight="1">
      <c r="A29" t="s">
        <v>153</v>
      </c>
      <c r="C29">
        <f>Master!D32</f>
        <v>2734940430.43644</v>
      </c>
      <c r="E29" s="176"/>
      <c r="F29" s="185"/>
      <c r="G29" s="13"/>
      <c r="H29" s="196"/>
      <c r="I29" s="184"/>
      <c r="J29" s="181"/>
    </row>
    <row r="30" spans="1:16">
      <c r="A30" t="s">
        <v>154</v>
      </c>
      <c r="C30">
        <f>Master!D33</f>
        <v>2734940430.43644</v>
      </c>
      <c r="E30" s="182" t="s">
        <v>22</v>
      </c>
      <c r="F30" s="186">
        <f>SUM(F31:F34)</f>
        <v>6143.604256374444</v>
      </c>
      <c r="G30" s="32">
        <f>SUM(G31:G34)</f>
        <v>7826.3922395902828</v>
      </c>
      <c r="H30" s="196"/>
      <c r="I30" s="184"/>
      <c r="J30" s="183">
        <f>((C6+C10+C14+C18)/(C5+C9+C13+C17))-((C16+C12+C8+C4)/(C3+C7+C11+C15))</f>
        <v>9.7903241630175764</v>
      </c>
      <c r="M30" t="s">
        <v>27</v>
      </c>
      <c r="N30" s="37">
        <f>F37-G37</f>
        <v>-2946.9494959329986</v>
      </c>
    </row>
    <row r="31" spans="1:16">
      <c r="E31" s="187" t="s">
        <v>24</v>
      </c>
      <c r="F31" s="188">
        <f>C8/E11</f>
        <v>297.67860554315797</v>
      </c>
      <c r="G31" s="34">
        <f>C10/E11</f>
        <v>390.39384942954598</v>
      </c>
      <c r="H31" s="197" t="s">
        <v>34</v>
      </c>
      <c r="I31" s="184"/>
      <c r="J31" s="189">
        <f>(C10/C9)-(C8/C7)</f>
        <v>12.037550776039126</v>
      </c>
      <c r="M31" t="s">
        <v>22</v>
      </c>
      <c r="N31" s="37">
        <f>G30-F30</f>
        <v>1682.7879832158387</v>
      </c>
      <c r="P31">
        <f>G31/F31</f>
        <v>1.31146089157874</v>
      </c>
    </row>
    <row r="32" spans="1:16">
      <c r="A32" t="s">
        <v>144</v>
      </c>
      <c r="C32">
        <f>Master!D35</f>
        <v>102709124.422034</v>
      </c>
      <c r="E32" s="187" t="s">
        <v>25</v>
      </c>
      <c r="F32" s="188">
        <f>C12/E11</f>
        <v>3182.1059790916502</v>
      </c>
      <c r="G32" s="34">
        <f>C14/E11</f>
        <v>4173.2075444375705</v>
      </c>
      <c r="H32" s="197"/>
      <c r="I32" s="184"/>
      <c r="J32" s="189">
        <f>(C14/C13)-(C12/C11)</f>
        <v>12.037550776039083</v>
      </c>
      <c r="M32" t="s">
        <v>29</v>
      </c>
      <c r="N32" s="37">
        <f>G39</f>
        <v>1111.2539836067199</v>
      </c>
      <c r="P32">
        <f>G32/F32</f>
        <v>1.3114608915787387</v>
      </c>
    </row>
    <row r="33" spans="1:17">
      <c r="A33" t="s">
        <v>155</v>
      </c>
      <c r="C33">
        <f>Master!D36</f>
        <v>632027691.88537598</v>
      </c>
      <c r="E33" s="187" t="s">
        <v>23</v>
      </c>
      <c r="F33" s="188">
        <f>C4/E11</f>
        <v>2028.9797742576302</v>
      </c>
      <c r="G33" s="34">
        <f>C6/E11</f>
        <v>2660.9276237425697</v>
      </c>
      <c r="H33" s="197"/>
      <c r="I33" s="184"/>
      <c r="J33" s="189">
        <f>(C6/C5)-(C4/C3)</f>
        <v>12.09406226679053</v>
      </c>
      <c r="M33" t="str">
        <f>E40</f>
        <v>ZEC's Savings</v>
      </c>
      <c r="N33" s="37">
        <f>G40</f>
        <v>1055.3521749741722</v>
      </c>
      <c r="O33">
        <v>0</v>
      </c>
      <c r="P33">
        <f>G33/F33</f>
        <v>1.3114608915784578</v>
      </c>
    </row>
    <row r="34" spans="1:17">
      <c r="A34" t="s">
        <v>156</v>
      </c>
      <c r="C34">
        <f>Master!D37</f>
        <v>1878619.19896125</v>
      </c>
      <c r="E34" s="187" t="s">
        <v>26</v>
      </c>
      <c r="F34" s="188">
        <f>C16/E11</f>
        <v>634.83989748200599</v>
      </c>
      <c r="G34" s="34">
        <f>C18/E11</f>
        <v>601.86322198059702</v>
      </c>
      <c r="H34" s="197"/>
      <c r="I34" s="184"/>
      <c r="J34" s="190">
        <f>(C18/C17)-(C16/C15)</f>
        <v>1.1476715555889951</v>
      </c>
      <c r="N34" s="37"/>
      <c r="P34">
        <f>G34/F34</f>
        <v>0.94805513069955771</v>
      </c>
    </row>
    <row r="35" spans="1:17" ht="10" customHeight="1">
      <c r="A35" t="s">
        <v>157</v>
      </c>
      <c r="C35">
        <f>Master!D38</f>
        <v>2812205.59663032</v>
      </c>
      <c r="E35" s="176"/>
      <c r="F35" s="191"/>
      <c r="G35" s="35"/>
      <c r="H35" s="196"/>
      <c r="I35" s="184"/>
      <c r="J35" s="185"/>
      <c r="M35" t="s">
        <v>35</v>
      </c>
      <c r="N35" s="37">
        <f>F43-G43</f>
        <v>320.27534893717188</v>
      </c>
    </row>
    <row r="36" spans="1:17" ht="10" customHeight="1">
      <c r="A36" t="s">
        <v>158</v>
      </c>
      <c r="C36">
        <f>Master!D39</f>
        <v>81392193.328210101</v>
      </c>
      <c r="E36" s="176"/>
      <c r="F36" s="191"/>
      <c r="G36" s="35"/>
      <c r="H36" s="196"/>
      <c r="I36" s="184"/>
      <c r="J36" s="185"/>
      <c r="N36" s="37"/>
    </row>
    <row r="37" spans="1:17">
      <c r="A37" t="s">
        <v>159</v>
      </c>
      <c r="C37">
        <f>Master!D40</f>
        <v>598511871.79083204</v>
      </c>
      <c r="E37" s="182" t="s">
        <v>28</v>
      </c>
      <c r="F37" s="31">
        <f>C21/E11</f>
        <v>12533.4043884767</v>
      </c>
      <c r="G37" s="32">
        <f>(C22+C42+C41)/E11</f>
        <v>15480.353884409698</v>
      </c>
      <c r="H37" s="198" t="s">
        <v>34</v>
      </c>
      <c r="I37" s="192"/>
      <c r="J37" s="193"/>
      <c r="M37" t="s">
        <v>81</v>
      </c>
      <c r="N37" s="37">
        <f>SUM(N30:N35)</f>
        <v>1222.719994800904</v>
      </c>
      <c r="O37" s="37">
        <f>N37-N33</f>
        <v>167.36781982673187</v>
      </c>
      <c r="Q37" t="s">
        <v>177</v>
      </c>
    </row>
    <row r="38" spans="1:17" ht="10" customHeight="1">
      <c r="A38" t="s">
        <v>160</v>
      </c>
      <c r="C38">
        <f>Master!D41</f>
        <v>1996107.4017934401</v>
      </c>
      <c r="E38" s="176"/>
      <c r="F38" s="191"/>
      <c r="G38" s="35"/>
      <c r="H38" s="196"/>
      <c r="I38" s="184"/>
      <c r="J38" s="185"/>
    </row>
    <row r="39" spans="1:17">
      <c r="A39" t="s">
        <v>161</v>
      </c>
      <c r="C39">
        <f>Master!D42</f>
        <v>3351350.1897652</v>
      </c>
      <c r="E39" s="176" t="s">
        <v>29</v>
      </c>
      <c r="F39" s="191"/>
      <c r="G39" s="36">
        <f>C23/E11</f>
        <v>1111.2539836067199</v>
      </c>
      <c r="H39" s="198" t="s">
        <v>34</v>
      </c>
      <c r="I39" s="192"/>
      <c r="J39" s="185"/>
    </row>
    <row r="40" spans="1:17">
      <c r="E40" s="182" t="s">
        <v>176</v>
      </c>
      <c r="F40" s="186"/>
      <c r="G40" s="32">
        <f>MIN(17.5394,G28-F28)*C11/E11</f>
        <v>1055.3521749741722</v>
      </c>
      <c r="H40" s="198"/>
      <c r="I40" s="192"/>
      <c r="J40" s="185"/>
      <c r="N40" s="20">
        <f>N37/G37</f>
        <v>7.8985274104896808E-2</v>
      </c>
    </row>
    <row r="41" spans="1:17" ht="10" customHeight="1">
      <c r="A41" t="s">
        <v>164</v>
      </c>
      <c r="C41">
        <f>Master!D44</f>
        <v>800239329.00550497</v>
      </c>
      <c r="E41" s="176"/>
      <c r="F41" s="191"/>
      <c r="G41" s="35"/>
      <c r="H41" s="196"/>
      <c r="I41" s="184"/>
      <c r="J41" s="110"/>
    </row>
    <row r="42" spans="1:17">
      <c r="A42" t="s">
        <v>165</v>
      </c>
      <c r="C42">
        <f>Master!D45</f>
        <v>133699203.977394</v>
      </c>
      <c r="E42" s="176" t="s">
        <v>30</v>
      </c>
      <c r="F42" s="191">
        <f>C19/E12</f>
        <v>39764.703681774801</v>
      </c>
      <c r="G42" s="36">
        <f>C20/E12</f>
        <v>30868.166211297797</v>
      </c>
      <c r="H42" s="196" t="s">
        <v>37</v>
      </c>
      <c r="I42" s="184"/>
      <c r="J42" s="148"/>
      <c r="N42" s="20">
        <f>(G37-F37)/F37</f>
        <v>0.23512761613615887</v>
      </c>
    </row>
    <row r="43" spans="1:17">
      <c r="E43" s="182" t="s">
        <v>36</v>
      </c>
      <c r="F43" s="186">
        <f>F42*36/E12</f>
        <v>1431.5293325438927</v>
      </c>
      <c r="G43" s="32">
        <f>G42*36/E12</f>
        <v>1111.2539836067208</v>
      </c>
      <c r="H43" s="198" t="s">
        <v>34</v>
      </c>
      <c r="I43" s="192"/>
      <c r="J43" s="148"/>
      <c r="N43" s="20">
        <f>(G42-F42)/F42</f>
        <v>-0.22372950498194002</v>
      </c>
    </row>
    <row r="44" spans="1:17" ht="10" customHeight="1">
      <c r="E44" s="148"/>
      <c r="F44" s="154"/>
      <c r="H44" s="199"/>
      <c r="I44" s="194"/>
      <c r="J44" s="148"/>
    </row>
    <row r="45" spans="1:17">
      <c r="E45" s="182" t="s">
        <v>82</v>
      </c>
      <c r="F45" s="186">
        <f>E3/(2*E11)</f>
        <v>158.74223539999963</v>
      </c>
      <c r="G45" s="32">
        <f>E4/(2*E11)</f>
        <v>148.11365318646099</v>
      </c>
      <c r="H45" s="198" t="s">
        <v>83</v>
      </c>
      <c r="I45" s="194"/>
      <c r="J45" s="195"/>
      <c r="N45" s="107">
        <f>(G28-F28)/F28</f>
        <v>0.32469142152648783</v>
      </c>
    </row>
    <row r="46" spans="1:17">
      <c r="H46" s="2"/>
      <c r="I46" s="2"/>
    </row>
    <row r="47" spans="1:17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sheetPr codeName="Sheet6"/>
  <dimension ref="A1:P50"/>
  <sheetViews>
    <sheetView showGridLines="0" topLeftCell="A16" workbookViewId="0">
      <selection activeCell="G37" sqref="G37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f>Master!E6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Master!E7</f>
        <v>2028979774.2576301</v>
      </c>
      <c r="E4">
        <f>C24</f>
        <v>284623600.01722097</v>
      </c>
      <c r="G4" s="1">
        <f>F42/2</f>
        <v>19882.351840887401</v>
      </c>
    </row>
    <row r="5" spans="1:10">
      <c r="A5" t="s">
        <v>2</v>
      </c>
      <c r="C5">
        <f>Master!E8</f>
        <v>52229649.709516399</v>
      </c>
    </row>
    <row r="6" spans="1:10">
      <c r="A6" t="s">
        <v>3</v>
      </c>
      <c r="C6">
        <f>Master!E9</f>
        <v>2535649881.3977399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Master!E10</f>
        <v>7702168.4569703899</v>
      </c>
      <c r="J7" s="20">
        <f>J6/H6</f>
        <v>-0.36090965768927602</v>
      </c>
    </row>
    <row r="8" spans="1:10">
      <c r="A8" t="s">
        <v>5</v>
      </c>
      <c r="C8">
        <f>Master!E11</f>
        <v>297678605.54315799</v>
      </c>
      <c r="F8"/>
    </row>
    <row r="9" spans="1:10">
      <c r="A9" t="s">
        <v>6</v>
      </c>
      <c r="C9">
        <f>Master!E12</f>
        <v>7702168.4569703899</v>
      </c>
      <c r="F9">
        <f>E3</f>
        <v>317484470.79999924</v>
      </c>
    </row>
    <row r="10" spans="1:10">
      <c r="A10" t="s">
        <v>7</v>
      </c>
      <c r="C10">
        <f>Master!E13</f>
        <v>372013920.69919199</v>
      </c>
      <c r="F10">
        <f>F9-C15</f>
        <v>212896727.17900425</v>
      </c>
    </row>
    <row r="11" spans="1:10">
      <c r="A11" t="s">
        <v>8</v>
      </c>
      <c r="C11">
        <f>Master!E14</f>
        <v>82334154.495839998</v>
      </c>
      <c r="E11">
        <v>1000000</v>
      </c>
      <c r="F11">
        <f>1-(F10/F9)</f>
        <v>0.32942632865618326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Master!E15</f>
        <v>3182105979.09165</v>
      </c>
      <c r="E12">
        <v>1000</v>
      </c>
      <c r="F12" s="19">
        <f>C24/F9</f>
        <v>0.89649613192111333</v>
      </c>
      <c r="H12" s="1">
        <v>42.141114695835299</v>
      </c>
    </row>
    <row r="13" spans="1:10">
      <c r="A13" t="s">
        <v>10</v>
      </c>
      <c r="C13">
        <f>Master!E16</f>
        <v>82334154.495839998</v>
      </c>
    </row>
    <row r="14" spans="1:10">
      <c r="A14" t="s">
        <v>11</v>
      </c>
      <c r="C14">
        <f>Master!E17</f>
        <v>3976730941.7558999</v>
      </c>
    </row>
    <row r="15" spans="1:10">
      <c r="A15" t="s">
        <v>12</v>
      </c>
      <c r="C15">
        <f>Master!E18</f>
        <v>104587743.620995</v>
      </c>
    </row>
    <row r="16" spans="1:10">
      <c r="A16" t="s">
        <v>13</v>
      </c>
      <c r="C16">
        <f>Master!E19</f>
        <v>634839897.48200595</v>
      </c>
    </row>
    <row r="17" spans="1:16">
      <c r="A17" t="s">
        <v>14</v>
      </c>
      <c r="C17">
        <f>Master!E20</f>
        <v>71992151.346977502</v>
      </c>
    </row>
    <row r="18" spans="1:16">
      <c r="A18" t="s">
        <v>15</v>
      </c>
      <c r="C18">
        <f>Master!E21</f>
        <v>474452010.54303199</v>
      </c>
      <c r="G18" s="1">
        <f>G19*1000000</f>
        <v>218429412.42437246</v>
      </c>
    </row>
    <row r="19" spans="1:16">
      <c r="A19" t="s">
        <v>16</v>
      </c>
      <c r="C19">
        <f>Master!E22</f>
        <v>39764703.681774803</v>
      </c>
      <c r="G19" s="23">
        <f>G20-F20</f>
        <v>218.42941242437246</v>
      </c>
    </row>
    <row r="20" spans="1:16">
      <c r="A20" t="s">
        <v>17</v>
      </c>
      <c r="C20">
        <f>Master!E23</f>
        <v>26277030.090278801</v>
      </c>
      <c r="F20" s="23">
        <f>F37-F30</f>
        <v>6389.8001321022557</v>
      </c>
      <c r="G20" s="23">
        <f>G37-G30-G39</f>
        <v>6608.2295445266282</v>
      </c>
    </row>
    <row r="21" spans="1:16">
      <c r="A21" t="s">
        <v>18</v>
      </c>
      <c r="C21">
        <f>Master!E24</f>
        <v>12533404388.4767</v>
      </c>
    </row>
    <row r="22" spans="1:16">
      <c r="A22" t="s">
        <v>19</v>
      </c>
      <c r="C22">
        <f>Master!E25</f>
        <v>13505899370.648199</v>
      </c>
      <c r="G22" s="47">
        <f>C3+C7+C11+C15</f>
        <v>247118994.79208267</v>
      </c>
    </row>
    <row r="23" spans="1:16">
      <c r="A23" t="s">
        <v>20</v>
      </c>
      <c r="C23">
        <f>Master!E26</f>
        <v>945973083.25003803</v>
      </c>
      <c r="G23" s="47">
        <f>G22-G24</f>
        <v>32860870.782778382</v>
      </c>
    </row>
    <row r="24" spans="1:16">
      <c r="A24" t="s">
        <v>148</v>
      </c>
      <c r="C24">
        <f>Master!E27</f>
        <v>284623600.01722097</v>
      </c>
      <c r="G24" s="47">
        <f>C5+C9+C13+C17</f>
        <v>214258124.00930429</v>
      </c>
    </row>
    <row r="25" spans="1:16">
      <c r="A25" t="s">
        <v>149</v>
      </c>
      <c r="C25">
        <f>Master!E28</f>
        <v>70365476.0079166</v>
      </c>
    </row>
    <row r="26" spans="1:16">
      <c r="A26" t="s">
        <v>150</v>
      </c>
      <c r="C26">
        <f>Master!E29</f>
        <v>70365476.0079166</v>
      </c>
      <c r="E26" s="4"/>
      <c r="F26" s="5" t="s">
        <v>21</v>
      </c>
      <c r="G26" s="6" t="s">
        <v>31</v>
      </c>
      <c r="H26" s="8"/>
      <c r="I26" s="8"/>
      <c r="J26" s="43" t="s">
        <v>42</v>
      </c>
    </row>
    <row r="27" spans="1:16" ht="10" customHeight="1">
      <c r="A27" t="s">
        <v>151</v>
      </c>
      <c r="C27">
        <f>Master!E30</f>
        <v>3654859701.6658301</v>
      </c>
      <c r="E27" s="4"/>
      <c r="F27" s="7"/>
      <c r="G27" s="7"/>
      <c r="J27" s="137" t="s">
        <v>43</v>
      </c>
      <c r="K27" s="8"/>
      <c r="N27" s="37">
        <f>N28+SUM(N31:N35)</f>
        <v>1097.1813255180009</v>
      </c>
    </row>
    <row r="28" spans="1:16">
      <c r="A28" t="s">
        <v>152</v>
      </c>
      <c r="C28">
        <f>Master!E31</f>
        <v>2466139102.5658698</v>
      </c>
      <c r="E28" s="9" t="s">
        <v>32</v>
      </c>
      <c r="F28" s="10">
        <f>F37*E11/$E$3</f>
        <v>39.477220277561777</v>
      </c>
      <c r="G28" s="11">
        <f>(C22-C30)/(C24-C26)</f>
        <v>50.270947671249189</v>
      </c>
      <c r="H28" s="12" t="s">
        <v>33</v>
      </c>
      <c r="I28" s="12"/>
      <c r="J28" s="137"/>
      <c r="M28" t="s">
        <v>38</v>
      </c>
      <c r="N28">
        <f>-(C22-(F28*C24)+C42)/E11</f>
        <v>-2438.2829238651534</v>
      </c>
    </row>
    <row r="29" spans="1:16" ht="10" customHeight="1">
      <c r="A29" t="s">
        <v>153</v>
      </c>
      <c r="C29">
        <f>Master!E32</f>
        <v>2734940430.43644</v>
      </c>
      <c r="E29" s="4"/>
      <c r="F29" s="13"/>
      <c r="G29" s="13"/>
      <c r="H29" s="12"/>
      <c r="I29" s="12"/>
      <c r="J29" s="137"/>
    </row>
    <row r="30" spans="1:16">
      <c r="A30" t="s">
        <v>154</v>
      </c>
      <c r="C30">
        <f>Master!E33</f>
        <v>2734940430.43644</v>
      </c>
      <c r="E30" s="9" t="s">
        <v>22</v>
      </c>
      <c r="F30" s="31">
        <f>SUM(F31:F34)</f>
        <v>6143.604256374444</v>
      </c>
      <c r="G30" s="32">
        <f>SUM(G31:G34)</f>
        <v>7358.8467543958641</v>
      </c>
      <c r="H30" s="12"/>
      <c r="I30" s="12"/>
      <c r="J30" s="10">
        <f>((C6+C10+C14+C18)/(C5+C9+C13+C17))-((C16+C12+C8+C4)/(C3+C7+C11+C15))</f>
        <v>9.4847922977358401</v>
      </c>
      <c r="M30" t="s">
        <v>27</v>
      </c>
      <c r="N30" s="37">
        <f>F37-G37</f>
        <v>-2379.6449936958306</v>
      </c>
    </row>
    <row r="31" spans="1:16">
      <c r="E31" s="14" t="s">
        <v>24</v>
      </c>
      <c r="F31" s="33">
        <f>C8/E11</f>
        <v>297.67860554315797</v>
      </c>
      <c r="G31" s="34">
        <f>C10/E11</f>
        <v>372.013920699192</v>
      </c>
      <c r="H31" s="138" t="s">
        <v>34</v>
      </c>
      <c r="I31" s="12"/>
      <c r="J31" s="15">
        <f>(C10/C9)-(C8/C7)</f>
        <v>9.6512190782793397</v>
      </c>
      <c r="M31" t="s">
        <v>22</v>
      </c>
      <c r="N31" s="37">
        <f>G30-F30</f>
        <v>1215.24249802142</v>
      </c>
      <c r="P31">
        <f>G31/F31</f>
        <v>1.2497166869631038</v>
      </c>
    </row>
    <row r="32" spans="1:16">
      <c r="A32" t="s">
        <v>144</v>
      </c>
      <c r="C32">
        <f>Master!E35</f>
        <v>102709124.422034</v>
      </c>
      <c r="E32" s="14" t="s">
        <v>25</v>
      </c>
      <c r="F32" s="33">
        <f>C12/E11</f>
        <v>3182.1059790916502</v>
      </c>
      <c r="G32" s="34">
        <f>C14/E11</f>
        <v>3976.7309417558999</v>
      </c>
      <c r="H32" s="138"/>
      <c r="I32" s="12"/>
      <c r="J32" s="15">
        <f>(C14/C13)-(C12/C11)</f>
        <v>9.6512190782793468</v>
      </c>
      <c r="M32" t="s">
        <v>29</v>
      </c>
      <c r="N32" s="37">
        <f>G39</f>
        <v>945.97308325003803</v>
      </c>
      <c r="P32">
        <f>G32/F32</f>
        <v>1.2497166869631036</v>
      </c>
    </row>
    <row r="33" spans="1:16">
      <c r="A33" t="s">
        <v>155</v>
      </c>
      <c r="C33">
        <f>Master!E36</f>
        <v>632027691.88537598</v>
      </c>
      <c r="E33" s="14" t="s">
        <v>23</v>
      </c>
      <c r="F33" s="33">
        <f>C4/E11</f>
        <v>2028.9797742576302</v>
      </c>
      <c r="G33" s="34">
        <f>C6/E11</f>
        <v>2535.64988139774</v>
      </c>
      <c r="H33" s="138"/>
      <c r="I33" s="12"/>
      <c r="J33" s="15">
        <f>(C6/C5)-(C4/C3)</f>
        <v>9.8971251211723867</v>
      </c>
      <c r="M33" t="s">
        <v>85</v>
      </c>
      <c r="N33" s="37">
        <f>G40</f>
        <v>888.69241881783978</v>
      </c>
      <c r="P33">
        <f>G33/F33</f>
        <v>1.2497166869617968</v>
      </c>
    </row>
    <row r="34" spans="1:16">
      <c r="A34" t="s">
        <v>156</v>
      </c>
      <c r="C34">
        <f>Master!E37</f>
        <v>1878619.19896125</v>
      </c>
      <c r="E34" s="14" t="s">
        <v>26</v>
      </c>
      <c r="F34" s="33">
        <f>C16/E11</f>
        <v>634.83989748200599</v>
      </c>
      <c r="G34" s="34">
        <f>C18/E11</f>
        <v>474.45201054303197</v>
      </c>
      <c r="H34" s="138"/>
      <c r="I34" s="12"/>
      <c r="J34" s="69">
        <f>(C18/C17)-(C16/C15)</f>
        <v>0.52040334585340542</v>
      </c>
      <c r="N34" s="37"/>
      <c r="P34">
        <f>G34/F34</f>
        <v>0.74735695161074833</v>
      </c>
    </row>
    <row r="35" spans="1:16" ht="10" customHeight="1">
      <c r="A35" t="s">
        <v>157</v>
      </c>
      <c r="C35">
        <f>Master!E38</f>
        <v>2812205.59663032</v>
      </c>
      <c r="E35" s="4"/>
      <c r="F35" s="35"/>
      <c r="G35" s="35"/>
      <c r="H35" s="12"/>
      <c r="I35" s="12"/>
      <c r="J35" s="13"/>
      <c r="M35" t="s">
        <v>35</v>
      </c>
      <c r="N35" s="37">
        <f>F43-G43</f>
        <v>485.5562492938559</v>
      </c>
    </row>
    <row r="36" spans="1:16" ht="10" customHeight="1">
      <c r="A36" t="s">
        <v>158</v>
      </c>
      <c r="C36">
        <f>Master!E39</f>
        <v>70851479.764655501</v>
      </c>
      <c r="E36" s="4"/>
      <c r="F36" s="35"/>
      <c r="G36" s="35"/>
      <c r="H36" s="12"/>
      <c r="I36" s="12"/>
      <c r="J36" s="13"/>
      <c r="N36" s="37"/>
    </row>
    <row r="37" spans="1:16">
      <c r="A37" t="s">
        <v>159</v>
      </c>
      <c r="C37">
        <f>Master!E40</f>
        <v>473095741.51537901</v>
      </c>
      <c r="E37" s="9" t="s">
        <v>28</v>
      </c>
      <c r="F37" s="31">
        <f>C21/E11</f>
        <v>12533.4043884767</v>
      </c>
      <c r="G37" s="32">
        <f>(C22+C42+C41)/E11</f>
        <v>14913.04938217253</v>
      </c>
      <c r="H37" s="3" t="s">
        <v>34</v>
      </c>
      <c r="I37" s="3"/>
      <c r="M37" t="s">
        <v>81</v>
      </c>
      <c r="N37" s="37">
        <f>SUM(N30:N35)</f>
        <v>1155.8192556873232</v>
      </c>
    </row>
    <row r="38" spans="1:16" ht="10" customHeight="1">
      <c r="A38" t="s">
        <v>160</v>
      </c>
      <c r="C38">
        <f>Master!E41</f>
        <v>1140671.5823220499</v>
      </c>
      <c r="E38" s="4"/>
      <c r="F38" s="35"/>
      <c r="G38" s="35"/>
      <c r="H38" s="12"/>
      <c r="I38" s="12"/>
    </row>
    <row r="39" spans="1:16">
      <c r="A39" t="s">
        <v>161</v>
      </c>
      <c r="C39">
        <f>Master!E42</f>
        <v>1356269.0276536101</v>
      </c>
      <c r="E39" s="4" t="s">
        <v>29</v>
      </c>
      <c r="F39" s="35"/>
      <c r="G39" s="36">
        <f>C23/E11</f>
        <v>945.97308325003803</v>
      </c>
      <c r="H39" s="3" t="s">
        <v>34</v>
      </c>
      <c r="I39" s="3"/>
    </row>
    <row r="40" spans="1:16">
      <c r="E40" s="9" t="s">
        <v>84</v>
      </c>
      <c r="F40" s="31"/>
      <c r="G40" s="32">
        <f>MIN(17.5394,G28-F28)*C11/E11</f>
        <v>888.69241881783978</v>
      </c>
      <c r="H40" s="3"/>
      <c r="I40" s="3"/>
      <c r="N40" s="20">
        <f>N37/G37</f>
        <v>7.7503884421453159E-2</v>
      </c>
    </row>
    <row r="41" spans="1:16" ht="10" customHeight="1">
      <c r="A41" t="s">
        <v>164</v>
      </c>
      <c r="C41">
        <f>Master!E44</f>
        <v>1238617904.23491</v>
      </c>
      <c r="E41" s="4"/>
      <c r="F41" s="35"/>
      <c r="G41" s="35"/>
      <c r="H41" s="12"/>
      <c r="I41" s="12"/>
    </row>
    <row r="42" spans="1:16">
      <c r="A42" t="s">
        <v>165</v>
      </c>
      <c r="C42">
        <f>Master!E45</f>
        <v>168532107.28942201</v>
      </c>
      <c r="E42" s="4" t="s">
        <v>30</v>
      </c>
      <c r="F42" s="35">
        <f>C19/E12</f>
        <v>39764.703681774801</v>
      </c>
      <c r="G42" s="36">
        <f>C20/E12</f>
        <v>26277.0300902788</v>
      </c>
      <c r="H42" s="12" t="s">
        <v>37</v>
      </c>
      <c r="I42" s="12"/>
      <c r="N42" s="20">
        <f>(G37-F37)/F37</f>
        <v>0.18986421565426334</v>
      </c>
    </row>
    <row r="43" spans="1:16">
      <c r="E43" s="9" t="s">
        <v>36</v>
      </c>
      <c r="F43" s="31">
        <f>F42*36/E12</f>
        <v>1431.5293325438927</v>
      </c>
      <c r="G43" s="32">
        <f>G42*36/E12</f>
        <v>945.97308325003678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142.31180000861048</v>
      </c>
      <c r="H45" s="3" t="s">
        <v>83</v>
      </c>
      <c r="I45" s="2"/>
      <c r="J45" s="16"/>
      <c r="N45" s="71"/>
    </row>
    <row r="46" spans="1:16">
      <c r="H46" s="2"/>
      <c r="I46" s="2"/>
      <c r="N46" s="13"/>
    </row>
    <row r="47" spans="1:16">
      <c r="H47" s="2"/>
      <c r="I47" s="2"/>
      <c r="N47" s="13"/>
    </row>
    <row r="48" spans="1:16">
      <c r="N48" s="13"/>
    </row>
    <row r="49" spans="14:14">
      <c r="N49" s="25"/>
    </row>
    <row r="50" spans="14:14">
      <c r="N50" s="72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sheetPr codeName="Sheet7"/>
  <dimension ref="A1:P47"/>
  <sheetViews>
    <sheetView showGridLines="0" topLeftCell="A44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f>Master!F6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Master!F7</f>
        <v>2028979774.2576301</v>
      </c>
      <c r="E4">
        <f>C24</f>
        <v>254693204.344203</v>
      </c>
      <c r="G4" s="1">
        <f>F42/2</f>
        <v>19882.351840887401</v>
      </c>
    </row>
    <row r="5" spans="1:10">
      <c r="A5" t="s">
        <v>2</v>
      </c>
      <c r="C5">
        <f>Master!F8</f>
        <v>49107477.418081097</v>
      </c>
    </row>
    <row r="6" spans="1:10">
      <c r="A6" t="s">
        <v>3</v>
      </c>
      <c r="C6">
        <f>Master!F9</f>
        <v>2024860687.7304699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Master!F10</f>
        <v>7702168.4569703899</v>
      </c>
      <c r="J7" s="20">
        <f>J6/H6</f>
        <v>-0.36090965768927602</v>
      </c>
    </row>
    <row r="8" spans="1:10">
      <c r="A8" t="s">
        <v>5</v>
      </c>
      <c r="C8">
        <f>Master!F11</f>
        <v>297678605.54315799</v>
      </c>
    </row>
    <row r="9" spans="1:10">
      <c r="A9" t="s">
        <v>6</v>
      </c>
      <c r="C9">
        <f>Master!F12</f>
        <v>7625674.3181854105</v>
      </c>
    </row>
    <row r="10" spans="1:10">
      <c r="A10" t="s">
        <v>7</v>
      </c>
      <c r="C10">
        <f>Master!F13</f>
        <v>297074280.18686801</v>
      </c>
    </row>
    <row r="11" spans="1:10">
      <c r="A11" t="s">
        <v>8</v>
      </c>
      <c r="C11">
        <f>Master!F14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Master!F15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Master!F16</f>
        <v>81516452.276531994</v>
      </c>
    </row>
    <row r="14" spans="1:10">
      <c r="A14" t="s">
        <v>11</v>
      </c>
      <c r="C14">
        <f>Master!F17</f>
        <v>3175645900.0206099</v>
      </c>
    </row>
    <row r="15" spans="1:10">
      <c r="A15" t="s">
        <v>12</v>
      </c>
      <c r="C15">
        <f>Master!F18</f>
        <v>104587743.620995</v>
      </c>
    </row>
    <row r="16" spans="1:10">
      <c r="A16" t="s">
        <v>13</v>
      </c>
      <c r="C16">
        <f>Master!F19</f>
        <v>634839897.48200595</v>
      </c>
    </row>
    <row r="17" spans="1:16">
      <c r="A17" t="s">
        <v>14</v>
      </c>
      <c r="C17">
        <f>Master!F20</f>
        <v>45900671.535320297</v>
      </c>
    </row>
    <row r="18" spans="1:16">
      <c r="A18" t="s">
        <v>15</v>
      </c>
      <c r="C18">
        <f>Master!F21</f>
        <v>240087567.88642401</v>
      </c>
      <c r="G18" s="1">
        <f>G19*1000000</f>
        <v>227695454.2829062</v>
      </c>
    </row>
    <row r="19" spans="1:16">
      <c r="A19" t="s">
        <v>16</v>
      </c>
      <c r="C19">
        <f>Master!F22</f>
        <v>39764703.681774803</v>
      </c>
      <c r="G19" s="23">
        <f>G20-F20</f>
        <v>227.69545428290621</v>
      </c>
    </row>
    <row r="20" spans="1:16">
      <c r="A20" t="s">
        <v>17</v>
      </c>
      <c r="C20">
        <f>Master!F23</f>
        <v>16295720.2522639</v>
      </c>
      <c r="F20" s="23">
        <f>F37-F30</f>
        <v>6389.8001321022557</v>
      </c>
      <c r="G20" s="23">
        <f>G37-G30-G39</f>
        <v>6617.4955863851619</v>
      </c>
    </row>
    <row r="21" spans="1:16">
      <c r="A21" t="s">
        <v>18</v>
      </c>
      <c r="C21">
        <f>Master!F24</f>
        <v>12533404388.4767</v>
      </c>
    </row>
    <row r="22" spans="1:16">
      <c r="A22" t="s">
        <v>19</v>
      </c>
      <c r="C22">
        <f>Master!F25</f>
        <v>10607265755.028299</v>
      </c>
      <c r="E22">
        <v>14636149394.487101</v>
      </c>
      <c r="G22" s="47">
        <f>C3+C7+C11+C15</f>
        <v>247118994.79208267</v>
      </c>
    </row>
    <row r="23" spans="1:16">
      <c r="A23" t="s">
        <v>20</v>
      </c>
      <c r="C23">
        <f>Master!F26</f>
        <v>586645929.08150196</v>
      </c>
      <c r="G23" s="47">
        <f>G22-G24</f>
        <v>62968719.243963897</v>
      </c>
    </row>
    <row r="24" spans="1:16">
      <c r="A24" t="s">
        <v>148</v>
      </c>
      <c r="C24">
        <f>Master!F27</f>
        <v>254693204.344203</v>
      </c>
      <c r="G24" s="47">
        <f>C5+C9+C13+C17</f>
        <v>184150275.54811877</v>
      </c>
    </row>
    <row r="25" spans="1:16">
      <c r="A25" t="s">
        <v>149</v>
      </c>
      <c r="C25">
        <f>Master!F28</f>
        <v>70365476.0079166</v>
      </c>
    </row>
    <row r="26" spans="1:16">
      <c r="A26" t="s">
        <v>150</v>
      </c>
      <c r="C26">
        <f>Master!F29</f>
        <v>69708519.184583306</v>
      </c>
      <c r="D26" s="37">
        <f>C26-C25</f>
        <v>-656956.8233332932</v>
      </c>
      <c r="E26" s="4"/>
      <c r="F26" s="5" t="s">
        <v>21</v>
      </c>
      <c r="G26" s="6" t="s">
        <v>31</v>
      </c>
      <c r="H26" s="24"/>
      <c r="I26" s="24"/>
      <c r="J26" s="43" t="s">
        <v>42</v>
      </c>
    </row>
    <row r="27" spans="1:16" ht="10" customHeight="1">
      <c r="A27" t="s">
        <v>151</v>
      </c>
      <c r="C27">
        <f>Master!F30</f>
        <v>3654859701.6658301</v>
      </c>
      <c r="E27" s="4"/>
      <c r="F27" s="7"/>
      <c r="G27" s="7"/>
      <c r="J27" s="137" t="s">
        <v>43</v>
      </c>
      <c r="K27" s="24"/>
      <c r="N27" s="37">
        <f>N28+SUM(N31:N35)</f>
        <v>714.50949527094008</v>
      </c>
    </row>
    <row r="28" spans="1:16">
      <c r="A28" t="s">
        <v>152</v>
      </c>
      <c r="C28">
        <f>Master!F31</f>
        <v>1568065880.7871799</v>
      </c>
      <c r="E28" s="9" t="s">
        <v>32</v>
      </c>
      <c r="F28" s="10">
        <f>F37*E11/$E$3</f>
        <v>39.477220277561777</v>
      </c>
      <c r="G28" s="11">
        <f>(C22-C30)/(C24-C26)</f>
        <v>42.665046778779811</v>
      </c>
      <c r="H28" s="17" t="s">
        <v>33</v>
      </c>
      <c r="I28" s="17"/>
      <c r="J28" s="137"/>
      <c r="M28" t="s">
        <v>38</v>
      </c>
      <c r="N28">
        <f>-(C22-(F28*C24)+C42)/E11</f>
        <v>-573.55101638010069</v>
      </c>
    </row>
    <row r="29" spans="1:16" ht="10" customHeight="1">
      <c r="A29" t="s">
        <v>153</v>
      </c>
      <c r="C29">
        <f>Master!F32</f>
        <v>2734940430.43644</v>
      </c>
      <c r="E29" s="4"/>
      <c r="F29" s="13"/>
      <c r="G29" s="13"/>
      <c r="H29" s="17"/>
      <c r="I29" s="17"/>
      <c r="J29" s="137"/>
    </row>
    <row r="30" spans="1:16">
      <c r="A30" t="s">
        <v>154</v>
      </c>
      <c r="C30">
        <f>Master!F33</f>
        <v>2714885509.3352699</v>
      </c>
      <c r="E30" s="9" t="s">
        <v>22</v>
      </c>
      <c r="F30" s="31">
        <f>SUM(F31:F34)</f>
        <v>6143.604256374444</v>
      </c>
      <c r="G30" s="32">
        <f>SUM(G31:G34)</f>
        <v>5737.668435824372</v>
      </c>
      <c r="H30" s="17"/>
      <c r="I30" s="17"/>
      <c r="J30" s="10">
        <f>((C6+C10+C14+C18)/(C5+C9+C13+C17))-((C16+C12+C8+C4)/(C3+C7+C11+C15))</f>
        <v>6.2966190815902614</v>
      </c>
      <c r="M30" t="s">
        <v>27</v>
      </c>
      <c r="N30" s="37">
        <f>F37-G37</f>
        <v>-408.40556281433601</v>
      </c>
    </row>
    <row r="31" spans="1:16">
      <c r="E31" s="14" t="s">
        <v>24</v>
      </c>
      <c r="F31" s="33">
        <f>C8/E11</f>
        <v>297.67860554315797</v>
      </c>
      <c r="G31" s="34">
        <f>C10/E11</f>
        <v>297.07428018686801</v>
      </c>
      <c r="H31" s="138" t="s">
        <v>34</v>
      </c>
      <c r="I31" s="17"/>
      <c r="J31" s="15">
        <f>(C10/C9)-(C8/C7)</f>
        <v>0.3084411496498447</v>
      </c>
      <c r="M31" t="s">
        <v>22</v>
      </c>
      <c r="N31" s="37">
        <f>G30-F30</f>
        <v>-405.93582055007209</v>
      </c>
      <c r="P31">
        <f>G31/F31</f>
        <v>0.99796987306095686</v>
      </c>
    </row>
    <row r="32" spans="1:16">
      <c r="A32" t="s">
        <v>144</v>
      </c>
      <c r="C32">
        <f>Master!F35</f>
        <v>102709124.422034</v>
      </c>
      <c r="E32" s="14" t="s">
        <v>25</v>
      </c>
      <c r="F32" s="33">
        <f>C12/E11</f>
        <v>3182.1059790916502</v>
      </c>
      <c r="G32" s="34">
        <f>C14/E11</f>
        <v>3175.64590002061</v>
      </c>
      <c r="H32" s="138"/>
      <c r="I32" s="17"/>
      <c r="J32" s="15">
        <f>(C14/C13)-(C12/C11)</f>
        <v>0.30844114964990865</v>
      </c>
      <c r="M32" t="s">
        <v>29</v>
      </c>
      <c r="N32" s="37">
        <f>G39</f>
        <v>586.645929081502</v>
      </c>
      <c r="P32">
        <f>G32/F32</f>
        <v>0.99796987306095819</v>
      </c>
    </row>
    <row r="33" spans="1:16">
      <c r="A33" t="s">
        <v>155</v>
      </c>
      <c r="C33">
        <f>Master!F36</f>
        <v>632027691.88537598</v>
      </c>
      <c r="E33" s="14" t="s">
        <v>23</v>
      </c>
      <c r="F33" s="33">
        <f>C4/E11</f>
        <v>2028.9797742576302</v>
      </c>
      <c r="G33" s="34">
        <f>C6/E11</f>
        <v>2024.8606877304699</v>
      </c>
      <c r="H33" s="138"/>
      <c r="I33" s="17"/>
      <c r="J33" s="15">
        <f>(C6/C5)-(C4/C3)</f>
        <v>2.5822781286533356</v>
      </c>
      <c r="M33" t="s">
        <v>85</v>
      </c>
      <c r="N33" s="37">
        <f>G40</f>
        <v>262.46699965721865</v>
      </c>
      <c r="P33">
        <f>G33/F33</f>
        <v>0.99796987304682849</v>
      </c>
    </row>
    <row r="34" spans="1:16">
      <c r="A34" t="s">
        <v>156</v>
      </c>
      <c r="C34">
        <f>Master!F37</f>
        <v>1878619.19896125</v>
      </c>
      <c r="E34" s="14" t="s">
        <v>26</v>
      </c>
      <c r="F34" s="33">
        <f>C16/E11</f>
        <v>634.83989748200599</v>
      </c>
      <c r="G34" s="34">
        <f>C18/E11</f>
        <v>240.08756788642401</v>
      </c>
      <c r="H34" s="138"/>
      <c r="I34" s="17"/>
      <c r="J34" s="69">
        <f>(C18/C17)-(C16/C15)</f>
        <v>-0.8393368759814388</v>
      </c>
      <c r="N34" s="37"/>
      <c r="P34">
        <f>G34/F34</f>
        <v>0.3781860101085236</v>
      </c>
    </row>
    <row r="35" spans="1:16" ht="10" customHeight="1">
      <c r="A35" t="s">
        <v>157</v>
      </c>
      <c r="C35">
        <f>Master!F38</f>
        <v>2812205.59663032</v>
      </c>
      <c r="E35" s="4"/>
      <c r="F35" s="35"/>
      <c r="G35" s="35"/>
      <c r="H35" s="17"/>
      <c r="I35" s="17"/>
      <c r="J35" s="13"/>
      <c r="M35" t="s">
        <v>35</v>
      </c>
      <c r="N35" s="37">
        <f>F43-G43</f>
        <v>844.88340346239227</v>
      </c>
    </row>
    <row r="36" spans="1:16" ht="10" customHeight="1">
      <c r="A36" t="s">
        <v>158</v>
      </c>
      <c r="C36">
        <f>Master!F39</f>
        <v>45636315.854972497</v>
      </c>
      <c r="E36" s="4"/>
      <c r="F36" s="35"/>
      <c r="G36" s="35"/>
      <c r="H36" s="17"/>
      <c r="I36" s="17"/>
      <c r="J36" s="13"/>
      <c r="N36" s="37"/>
    </row>
    <row r="37" spans="1:16">
      <c r="A37" t="s">
        <v>159</v>
      </c>
      <c r="C37">
        <f>Master!F40</f>
        <v>239964132.420636</v>
      </c>
      <c r="E37" s="9" t="s">
        <v>162</v>
      </c>
      <c r="F37" s="31">
        <f>C21/E11</f>
        <v>12533.4043884767</v>
      </c>
      <c r="G37" s="32">
        <f>(C22+C42+C41)/E11</f>
        <v>12941.809951291036</v>
      </c>
      <c r="H37" s="3" t="s">
        <v>34</v>
      </c>
      <c r="I37" s="3"/>
      <c r="J37" s="13"/>
      <c r="M37" t="s">
        <v>81</v>
      </c>
      <c r="N37" s="37">
        <f>SUM(N30:N35)</f>
        <v>879.65494883670476</v>
      </c>
    </row>
    <row r="38" spans="1:16" ht="10" customHeight="1">
      <c r="A38" t="s">
        <v>160</v>
      </c>
      <c r="C38">
        <f>Master!F41</f>
        <v>264355.68034789799</v>
      </c>
      <c r="E38" s="4"/>
      <c r="F38" s="35"/>
      <c r="G38" s="35"/>
      <c r="H38" s="17"/>
      <c r="I38" s="17"/>
      <c r="J38" s="13"/>
    </row>
    <row r="39" spans="1:16">
      <c r="A39" t="s">
        <v>161</v>
      </c>
      <c r="C39">
        <f>Master!F42</f>
        <v>123435.465788103</v>
      </c>
      <c r="E39" s="4" t="s">
        <v>29</v>
      </c>
      <c r="F39" s="35"/>
      <c r="G39" s="36">
        <f>C23/E11</f>
        <v>586.645929081502</v>
      </c>
      <c r="H39" s="3" t="s">
        <v>34</v>
      </c>
      <c r="I39" s="3"/>
      <c r="J39" s="13"/>
    </row>
    <row r="40" spans="1:16">
      <c r="E40" s="9" t="s">
        <v>84</v>
      </c>
      <c r="F40" s="31"/>
      <c r="G40" s="32">
        <f>MIN(17.5394,G28-F28)*C11/E11</f>
        <v>262.46699965721865</v>
      </c>
      <c r="H40" s="3"/>
      <c r="I40" s="3"/>
      <c r="J40" s="13"/>
      <c r="N40" s="20">
        <f>N37/G37</f>
        <v>6.797000977046129E-2</v>
      </c>
    </row>
    <row r="41" spans="1:16" ht="10" customHeight="1">
      <c r="A41" t="s">
        <v>164</v>
      </c>
      <c r="C41">
        <f>Master!F44</f>
        <v>2313679203.8167801</v>
      </c>
      <c r="E41" s="4"/>
      <c r="F41" s="35"/>
      <c r="G41" s="35"/>
      <c r="H41" s="17"/>
      <c r="I41" s="17"/>
      <c r="J41" s="25"/>
    </row>
    <row r="42" spans="1:16">
      <c r="A42" t="s">
        <v>165</v>
      </c>
      <c r="C42">
        <f>Master!F45</f>
        <v>20864992.445957601</v>
      </c>
      <c r="E42" s="4" t="s">
        <v>30</v>
      </c>
      <c r="F42" s="35">
        <f>C19/E12</f>
        <v>39764.703681774801</v>
      </c>
      <c r="G42" s="36">
        <f>C20/E12</f>
        <v>16295.7202522639</v>
      </c>
      <c r="H42" s="17" t="s">
        <v>37</v>
      </c>
      <c r="I42" s="17"/>
      <c r="N42" s="20">
        <f>(G37-F37)/F37</f>
        <v>3.2585365488552093E-2</v>
      </c>
    </row>
    <row r="43" spans="1:16">
      <c r="E43" s="9" t="s">
        <v>36</v>
      </c>
      <c r="F43" s="31">
        <f>F42*36/E12</f>
        <v>1431.5293325438927</v>
      </c>
      <c r="G43" s="32">
        <f>G42*36/E12</f>
        <v>586.64592908150041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127.3466021721015</v>
      </c>
      <c r="H45" s="3" t="s">
        <v>83</v>
      </c>
      <c r="I45" s="2"/>
      <c r="J45" s="16"/>
    </row>
    <row r="46" spans="1:16">
      <c r="H46" s="2"/>
      <c r="I46" s="2"/>
    </row>
    <row r="47" spans="1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Summary (2)</vt:lpstr>
      <vt:lpstr>Master</vt:lpstr>
      <vt:lpstr>GasProd</vt:lpstr>
      <vt:lpstr>Imports</vt:lpstr>
      <vt:lpstr>0 -0.1</vt:lpstr>
      <vt:lpstr>0 -0.3</vt:lpstr>
      <vt:lpstr>0 -0.5</vt:lpstr>
      <vt:lpstr>0 -1</vt:lpstr>
      <vt:lpstr>-0.1 -0.1</vt:lpstr>
      <vt:lpstr>-0.1 -0.3</vt:lpstr>
      <vt:lpstr>-0.1 -0.5</vt:lpstr>
      <vt:lpstr>-0.1 -1</vt:lpstr>
      <vt:lpstr>-0.3 -0.1</vt:lpstr>
      <vt:lpstr>-0.3 -0.3</vt:lpstr>
      <vt:lpstr>-0.3 -0.5</vt:lpstr>
      <vt:lpstr>-0.3 -1</vt:lpstr>
      <vt:lpstr>-0.5 -0.1</vt:lpstr>
      <vt:lpstr>-0.5 -0.3</vt:lpstr>
      <vt:lpstr>-0.5 -0.5</vt:lpstr>
      <vt:lpstr>-0.5 -1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  <vt:lpstr>DescImports</vt:lpstr>
      <vt:lpstr>DescNGPri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2019-07-10T22:57:08Z</dcterms:modified>
</cp:coreProperties>
</file>