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617070FC-8B71-0A4B-8AC5-6394B8061C21}" xr6:coauthVersionLast="43" xr6:coauthVersionMax="43" xr10:uidLastSave="{00000000-0000-0000-0000-000000000000}"/>
  <bookViews>
    <workbookView xWindow="0" yWindow="0" windowWidth="25600" windowHeight="16000" xr2:uid="{392C2453-E47A-3548-8320-C75D9244874E}"/>
  </bookViews>
  <sheets>
    <sheet name="Summary" sheetId="10" r:id="rId1"/>
    <sheet name="Summary (2)" sheetId="37" r:id="rId2"/>
    <sheet name="GasProd" sheetId="22" r:id="rId3"/>
    <sheet name="Imports" sheetId="23" r:id="rId4"/>
    <sheet name="0 -0.1" sheetId="24" r:id="rId5"/>
    <sheet name="0 -0.3" sheetId="14" r:id="rId6"/>
    <sheet name="0 -0.5" sheetId="2" r:id="rId7"/>
    <sheet name="0 -1" sheetId="15" r:id="rId8"/>
    <sheet name="-0.1 -0.1" sheetId="21" r:id="rId9"/>
    <sheet name="-0.1 -0.3" sheetId="26" r:id="rId10"/>
    <sheet name="-0.1 -0.5" sheetId="27" r:id="rId11"/>
    <sheet name="-0.1 -1" sheetId="28" r:id="rId12"/>
    <sheet name="-0.3 -0.1" sheetId="29" r:id="rId13"/>
    <sheet name="-0.3 -0.3" sheetId="30" r:id="rId14"/>
    <sheet name="-0.3 -0.5" sheetId="31" r:id="rId15"/>
    <sheet name="-0.3 -1" sheetId="32" r:id="rId16"/>
    <sheet name="-0.5 -0.1" sheetId="33" r:id="rId17"/>
    <sheet name="-0.5 -0.3" sheetId="34" r:id="rId18"/>
    <sheet name="-0.5 -0.5" sheetId="35" r:id="rId19"/>
    <sheet name="-0.5 -1" sheetId="36" r:id="rId20"/>
    <sheet name="Parameters" sheetId="5" r:id="rId21"/>
    <sheet name="NYCA" sheetId="3" r:id="rId22"/>
    <sheet name="Gas Gen" sheetId="4" r:id="rId23"/>
    <sheet name="Supply Curves" sheetId="6" r:id="rId24"/>
    <sheet name="SupplyCurvesAux" sheetId="7" r:id="rId25"/>
    <sheet name="LoadProf" sheetId="8" r:id="rId26"/>
    <sheet name="DescPricLoad" sheetId="9" r:id="rId27"/>
  </sheets>
  <externalReferences>
    <externalReference r:id="rId28"/>
  </externalReferences>
  <definedNames>
    <definedName name="_2014_eGRID_Subregion_File" localSheetId="8">#REF!</definedName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3">#REF!</definedName>
    <definedName name="_2014_eGRID_Subregion_File" localSheetId="14">#REF!</definedName>
    <definedName name="_2014_eGRID_Subregion_File" localSheetId="15">#REF!</definedName>
    <definedName name="_2014_eGRID_Subregion_File" localSheetId="16">#REF!</definedName>
    <definedName name="_2014_eGRID_Subregion_File" localSheetId="17">#REF!</definedName>
    <definedName name="_2014_eGRID_Subregion_File" localSheetId="18">#REF!</definedName>
    <definedName name="_2014_eGRID_Subregion_File" localSheetId="19">#REF!</definedName>
    <definedName name="_2014_eGRID_Subregion_File" localSheetId="4">#REF!</definedName>
    <definedName name="_2014_eGRID_Subregion_File" localSheetId="5">#REF!</definedName>
    <definedName name="_2014_eGRID_Subregion_File" localSheetId="7">#REF!</definedName>
    <definedName name="_2014_eGRID_Subregion_File" localSheetId="1">#REF!</definedName>
    <definedName name="_2014_eGRID_Subregion_File" localSheetId="24">#REF!</definedName>
    <definedName name="_2014_eGRID_Subregion_File">#REF!</definedName>
    <definedName name="_xlnm._FilterDatabase" localSheetId="23" hidden="1">'Supply Curves'!$D$1:$I$1</definedName>
    <definedName name="plant_final" localSheetId="8">#REF!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3">#REF!</definedName>
    <definedName name="plant_final" localSheetId="14">#REF!</definedName>
    <definedName name="plant_final" localSheetId="15">#REF!</definedName>
    <definedName name="plant_final" localSheetId="16">#REF!</definedName>
    <definedName name="plant_final" localSheetId="17">#REF!</definedName>
    <definedName name="plant_final" localSheetId="18">#REF!</definedName>
    <definedName name="plant_final" localSheetId="19">#REF!</definedName>
    <definedName name="plant_final" localSheetId="4">#REF!</definedName>
    <definedName name="plant_final" localSheetId="5">#REF!</definedName>
    <definedName name="plant_final" localSheetId="7">#REF!</definedName>
    <definedName name="plant_final" localSheetId="1">#REF!</definedName>
    <definedName name="plant_final" localSheetId="24">#REF!</definedName>
    <definedName name="plant_final">#REF!</definedName>
    <definedName name="Renewable_and_Non_Renewable_Generation" localSheetId="8">[1]Contents!#REF!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3">[1]Contents!#REF!</definedName>
    <definedName name="Renewable_and_Non_Renewable_Generation" localSheetId="14">[1]Contents!#REF!</definedName>
    <definedName name="Renewable_and_Non_Renewable_Generation" localSheetId="15">[1]Contents!#REF!</definedName>
    <definedName name="Renewable_and_Non_Renewable_Generation" localSheetId="16">[1]Contents!#REF!</definedName>
    <definedName name="Renewable_and_Non_Renewable_Generation" localSheetId="17">[1]Contents!#REF!</definedName>
    <definedName name="Renewable_and_Non_Renewable_Generation" localSheetId="18">[1]Contents!#REF!</definedName>
    <definedName name="Renewable_and_Non_Renewable_Generation" localSheetId="19">[1]Contents!#REF!</definedName>
    <definedName name="Renewable_and_Non_Renewable_Generation" localSheetId="4">[1]Contents!#REF!</definedName>
    <definedName name="Renewable_and_Non_Renewable_Generation" localSheetId="5">[1]Contents!#REF!</definedName>
    <definedName name="Renewable_and_Non_Renewable_Generation" localSheetId="7">[1]Contents!#REF!</definedName>
    <definedName name="Renewable_and_Non_Renewable_Generation" localSheetId="1">[1]Contents!#REF!</definedName>
    <definedName name="Renewable_and_Non_Renewable_Generation" localSheetId="24">[1]Contents!#REF!</definedName>
    <definedName name="Renewable_and_Non_Renewable_Generation">[1]Contents!#REF!</definedName>
    <definedName name="What" localSheetId="8">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 localSheetId="13">#REF!</definedName>
    <definedName name="What" localSheetId="14">#REF!</definedName>
    <definedName name="What" localSheetId="15">#REF!</definedName>
    <definedName name="What" localSheetId="16">#REF!</definedName>
    <definedName name="What" localSheetId="17">#REF!</definedName>
    <definedName name="What" localSheetId="18">#REF!</definedName>
    <definedName name="What" localSheetId="19">#REF!</definedName>
    <definedName name="What" localSheetId="4">#REF!</definedName>
    <definedName name="What" localSheetId="1">#REF!</definedName>
    <definedName name="What">#REF!</definedName>
    <definedName name="what2" localSheetId="8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 localSheetId="13">#REF!</definedName>
    <definedName name="what2" localSheetId="14">#REF!</definedName>
    <definedName name="what2" localSheetId="15">#REF!</definedName>
    <definedName name="what2" localSheetId="16">#REF!</definedName>
    <definedName name="what2" localSheetId="17">#REF!</definedName>
    <definedName name="what2" localSheetId="18">#REF!</definedName>
    <definedName name="what2" localSheetId="19">#REF!</definedName>
    <definedName name="what2" localSheetId="4">#REF!</definedName>
    <definedName name="what2" localSheetId="1">#REF!</definedName>
    <definedName name="what2">#REF!</definedName>
    <definedName name="What3" localSheetId="8">[1]Contents!#REF!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 localSheetId="13">[1]Contents!#REF!</definedName>
    <definedName name="What3" localSheetId="14">[1]Contents!#REF!</definedName>
    <definedName name="What3" localSheetId="15">[1]Contents!#REF!</definedName>
    <definedName name="What3" localSheetId="16">[1]Contents!#REF!</definedName>
    <definedName name="What3" localSheetId="17">[1]Contents!#REF!</definedName>
    <definedName name="What3" localSheetId="18">[1]Contents!#REF!</definedName>
    <definedName name="What3" localSheetId="19">[1]Contents!#REF!</definedName>
    <definedName name="What3" localSheetId="4">[1]Contents!#REF!</definedName>
    <definedName name="What3" localSheetId="1">[1]Contents!#REF!</definedName>
    <definedName name="What3">[1]Contents!#REF!</definedName>
    <definedName name="what5" localSheetId="8">#REF!</definedName>
    <definedName name="what5" localSheetId="9">#REF!</definedName>
    <definedName name="what5" localSheetId="10">#REF!</definedName>
    <definedName name="what5" localSheetId="11">#REF!</definedName>
    <definedName name="what5" localSheetId="12">#REF!</definedName>
    <definedName name="what5" localSheetId="13">#REF!</definedName>
    <definedName name="what5" localSheetId="14">#REF!</definedName>
    <definedName name="what5" localSheetId="15">#REF!</definedName>
    <definedName name="what5" localSheetId="16">#REF!</definedName>
    <definedName name="what5" localSheetId="17">#REF!</definedName>
    <definedName name="what5" localSheetId="18">#REF!</definedName>
    <definedName name="what5" localSheetId="19">#REF!</definedName>
    <definedName name="what5" localSheetId="4">#REF!</definedName>
    <definedName name="what5" localSheetId="1">#REF!</definedName>
    <definedName name="what5">#REF!</definedName>
    <definedName name="what6" localSheetId="8">#REF!</definedName>
    <definedName name="what6" localSheetId="9">#REF!</definedName>
    <definedName name="what6" localSheetId="10">#REF!</definedName>
    <definedName name="what6" localSheetId="11">#REF!</definedName>
    <definedName name="what6" localSheetId="12">#REF!</definedName>
    <definedName name="what6" localSheetId="13">#REF!</definedName>
    <definedName name="what6" localSheetId="14">#REF!</definedName>
    <definedName name="what6" localSheetId="15">#REF!</definedName>
    <definedName name="what6" localSheetId="16">#REF!</definedName>
    <definedName name="what6" localSheetId="17">#REF!</definedName>
    <definedName name="what6" localSheetId="18">#REF!</definedName>
    <definedName name="what6" localSheetId="19">#REF!</definedName>
    <definedName name="what6" localSheetId="4">#REF!</definedName>
    <definedName name="what6" localSheetId="1">#REF!</definedName>
    <definedName name="what6">#REF!</definedName>
    <definedName name="what7" localSheetId="8">[1]Contents!#REF!</definedName>
    <definedName name="what7" localSheetId="9">[1]Contents!#REF!</definedName>
    <definedName name="what7" localSheetId="10">[1]Contents!#REF!</definedName>
    <definedName name="what7" localSheetId="11">[1]Contents!#REF!</definedName>
    <definedName name="what7" localSheetId="12">[1]Contents!#REF!</definedName>
    <definedName name="what7" localSheetId="13">[1]Contents!#REF!</definedName>
    <definedName name="what7" localSheetId="14">[1]Contents!#REF!</definedName>
    <definedName name="what7" localSheetId="15">[1]Contents!#REF!</definedName>
    <definedName name="what7" localSheetId="16">[1]Contents!#REF!</definedName>
    <definedName name="what7" localSheetId="17">[1]Contents!#REF!</definedName>
    <definedName name="what7" localSheetId="18">[1]Contents!#REF!</definedName>
    <definedName name="what7" localSheetId="19">[1]Contents!#REF!</definedName>
    <definedName name="what7" localSheetId="4">[1]Contents!#REF!</definedName>
    <definedName name="what7" localSheetId="1">[1]Contents!#REF!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0" l="1"/>
  <c r="W11" i="37" l="1"/>
  <c r="G40" i="26"/>
  <c r="P13" i="22"/>
  <c r="O13" i="22"/>
  <c r="P12" i="22"/>
  <c r="O12" i="22"/>
  <c r="M52" i="37"/>
  <c r="M51" i="37"/>
  <c r="M50" i="37"/>
  <c r="M49" i="37"/>
  <c r="P34" i="37"/>
  <c r="D32" i="37"/>
  <c r="P31" i="37"/>
  <c r="D31" i="37"/>
  <c r="M27" i="37"/>
  <c r="M26" i="37"/>
  <c r="K25" i="37"/>
  <c r="G24" i="37"/>
  <c r="T19" i="37"/>
  <c r="S19" i="37"/>
  <c r="R19" i="37"/>
  <c r="Q19" i="37"/>
  <c r="P19" i="37"/>
  <c r="O19" i="37"/>
  <c r="N19" i="37"/>
  <c r="M19" i="37"/>
  <c r="L19" i="37"/>
  <c r="H39" i="37" s="1"/>
  <c r="K19" i="37"/>
  <c r="G39" i="37" s="1"/>
  <c r="J19" i="37"/>
  <c r="F39" i="37" s="1"/>
  <c r="I19" i="37"/>
  <c r="E39" i="37" s="1"/>
  <c r="H19" i="37"/>
  <c r="G19" i="37"/>
  <c r="F19" i="37"/>
  <c r="E19" i="37"/>
  <c r="D19" i="37"/>
  <c r="D39" i="37" s="1"/>
  <c r="C19" i="37"/>
  <c r="C39" i="37" s="1"/>
  <c r="T15" i="37"/>
  <c r="S15" i="37"/>
  <c r="R15" i="37"/>
  <c r="Q15" i="37"/>
  <c r="P15" i="37"/>
  <c r="O15" i="37"/>
  <c r="N15" i="37"/>
  <c r="M15" i="37"/>
  <c r="L15" i="37"/>
  <c r="H35" i="37" s="1"/>
  <c r="K15" i="37"/>
  <c r="G35" i="37" s="1"/>
  <c r="J15" i="37"/>
  <c r="F35" i="37" s="1"/>
  <c r="I15" i="37"/>
  <c r="E35" i="37" s="1"/>
  <c r="H15" i="37"/>
  <c r="G15" i="37"/>
  <c r="F15" i="37"/>
  <c r="E15" i="37"/>
  <c r="D15" i="37"/>
  <c r="D35" i="37" s="1"/>
  <c r="T14" i="37"/>
  <c r="S14" i="37"/>
  <c r="R14" i="37"/>
  <c r="Q14" i="37"/>
  <c r="P14" i="37"/>
  <c r="O14" i="37"/>
  <c r="N14" i="37"/>
  <c r="M14" i="37"/>
  <c r="L14" i="37"/>
  <c r="H34" i="37" s="1"/>
  <c r="K14" i="37"/>
  <c r="G34" i="37" s="1"/>
  <c r="J14" i="37"/>
  <c r="F34" i="37" s="1"/>
  <c r="I14" i="37"/>
  <c r="E34" i="37" s="1"/>
  <c r="H14" i="37"/>
  <c r="G14" i="37"/>
  <c r="F14" i="37"/>
  <c r="E14" i="37"/>
  <c r="D14" i="37"/>
  <c r="D34" i="37" s="1"/>
  <c r="C14" i="37"/>
  <c r="C34" i="37" s="1"/>
  <c r="T12" i="37"/>
  <c r="S12" i="37"/>
  <c r="R12" i="37"/>
  <c r="Q12" i="37"/>
  <c r="P12" i="37"/>
  <c r="O12" i="37"/>
  <c r="N12" i="37"/>
  <c r="M12" i="37"/>
  <c r="L12" i="37"/>
  <c r="H32" i="37" s="1"/>
  <c r="K12" i="37"/>
  <c r="G32" i="37" s="1"/>
  <c r="J12" i="37"/>
  <c r="F32" i="37" s="1"/>
  <c r="I12" i="37"/>
  <c r="E32" i="37" s="1"/>
  <c r="H12" i="37"/>
  <c r="G12" i="37"/>
  <c r="F12" i="37"/>
  <c r="E12" i="37"/>
  <c r="T11" i="37"/>
  <c r="S11" i="37"/>
  <c r="R11" i="37"/>
  <c r="Q11" i="37"/>
  <c r="P11" i="37"/>
  <c r="O11" i="37"/>
  <c r="N11" i="37"/>
  <c r="M11" i="37"/>
  <c r="L11" i="37"/>
  <c r="H31" i="37" s="1"/>
  <c r="K11" i="37"/>
  <c r="G31" i="37" s="1"/>
  <c r="J11" i="37"/>
  <c r="F31" i="37" s="1"/>
  <c r="I11" i="37"/>
  <c r="E31" i="37" s="1"/>
  <c r="H11" i="37"/>
  <c r="G11" i="37"/>
  <c r="F11" i="37"/>
  <c r="E11" i="37"/>
  <c r="T9" i="37"/>
  <c r="S9" i="37"/>
  <c r="R9" i="37"/>
  <c r="Q9" i="37"/>
  <c r="P9" i="37"/>
  <c r="O9" i="37"/>
  <c r="N9" i="37"/>
  <c r="M9" i="37"/>
  <c r="L9" i="37"/>
  <c r="H29" i="37" s="1"/>
  <c r="K9" i="37"/>
  <c r="G29" i="37" s="1"/>
  <c r="J9" i="37"/>
  <c r="F29" i="37" s="1"/>
  <c r="I9" i="37"/>
  <c r="E29" i="37" s="1"/>
  <c r="H9" i="37"/>
  <c r="G9" i="37"/>
  <c r="F9" i="37"/>
  <c r="E9" i="37"/>
  <c r="D9" i="37"/>
  <c r="T8" i="37"/>
  <c r="S8" i="37"/>
  <c r="R8" i="37"/>
  <c r="Q8" i="37"/>
  <c r="P8" i="37"/>
  <c r="O8" i="37"/>
  <c r="N8" i="37"/>
  <c r="M8" i="37"/>
  <c r="L8" i="37"/>
  <c r="H28" i="37" s="1"/>
  <c r="K8" i="37"/>
  <c r="G28" i="37" s="1"/>
  <c r="J8" i="37"/>
  <c r="F28" i="37" s="1"/>
  <c r="I8" i="37"/>
  <c r="E28" i="37" s="1"/>
  <c r="H8" i="37"/>
  <c r="G8" i="37"/>
  <c r="F8" i="37"/>
  <c r="E8" i="37"/>
  <c r="D8" i="37"/>
  <c r="D28" i="37" s="1"/>
  <c r="C8" i="37"/>
  <c r="C15" i="37" s="1"/>
  <c r="C17" i="37" s="1"/>
  <c r="C37" i="37" s="1"/>
  <c r="T6" i="37"/>
  <c r="S6" i="37"/>
  <c r="R6" i="37"/>
  <c r="Q6" i="37"/>
  <c r="P6" i="37"/>
  <c r="O6" i="37"/>
  <c r="N6" i="37"/>
  <c r="M6" i="37"/>
  <c r="L6" i="37"/>
  <c r="H26" i="37" s="1"/>
  <c r="K6" i="37"/>
  <c r="G26" i="37" s="1"/>
  <c r="J6" i="37"/>
  <c r="F26" i="37" s="1"/>
  <c r="I6" i="37"/>
  <c r="E26" i="37" s="1"/>
  <c r="H6" i="37"/>
  <c r="G6" i="37"/>
  <c r="F6" i="37"/>
  <c r="E6" i="37"/>
  <c r="D6" i="37"/>
  <c r="D26" i="37" s="1"/>
  <c r="C6" i="37"/>
  <c r="C26" i="37" s="1"/>
  <c r="L4" i="37"/>
  <c r="Q41" i="37" s="1"/>
  <c r="Q48" i="37" s="1"/>
  <c r="K4" i="37"/>
  <c r="P41" i="37" s="1"/>
  <c r="P48" i="37" s="1"/>
  <c r="J4" i="37"/>
  <c r="J25" i="37" s="1"/>
  <c r="I4" i="37"/>
  <c r="M4" i="37" s="1"/>
  <c r="Q4" i="37" s="1"/>
  <c r="J12" i="10"/>
  <c r="P8" i="22"/>
  <c r="P7" i="22"/>
  <c r="P6" i="22"/>
  <c r="P5" i="22"/>
  <c r="O8" i="22"/>
  <c r="O7" i="22"/>
  <c r="O6" i="22"/>
  <c r="O5" i="22"/>
  <c r="N8" i="22"/>
  <c r="N7" i="22"/>
  <c r="J37" i="14"/>
  <c r="G40" i="34"/>
  <c r="G40" i="30"/>
  <c r="M57" i="10"/>
  <c r="M54" i="10"/>
  <c r="M55" i="10"/>
  <c r="M56" i="10"/>
  <c r="N53" i="10"/>
  <c r="O53" i="10"/>
  <c r="P53" i="10"/>
  <c r="Q53" i="10"/>
  <c r="G42" i="36"/>
  <c r="G42" i="35"/>
  <c r="G42" i="34"/>
  <c r="G42" i="33"/>
  <c r="G42" i="32"/>
  <c r="G42" i="31"/>
  <c r="G42" i="30"/>
  <c r="G42" i="29"/>
  <c r="G42" i="28"/>
  <c r="G42" i="27"/>
  <c r="G42" i="21"/>
  <c r="G42" i="26"/>
  <c r="C26" i="36"/>
  <c r="C26" i="35"/>
  <c r="C26" i="34"/>
  <c r="C26" i="33"/>
  <c r="C26" i="32"/>
  <c r="C26" i="30"/>
  <c r="C26" i="29"/>
  <c r="C26" i="28"/>
  <c r="C26" i="27"/>
  <c r="C26" i="26"/>
  <c r="F1" i="26"/>
  <c r="F1" i="27"/>
  <c r="F1" i="28"/>
  <c r="F1" i="29"/>
  <c r="F1" i="36"/>
  <c r="F1" i="35"/>
  <c r="F1" i="34"/>
  <c r="F1" i="33"/>
  <c r="F1" i="32"/>
  <c r="F1" i="31"/>
  <c r="F1" i="30"/>
  <c r="D9" i="22"/>
  <c r="E9" i="22"/>
  <c r="E7" i="22"/>
  <c r="E6" i="22"/>
  <c r="E5" i="22"/>
  <c r="D7" i="22"/>
  <c r="D6" i="22"/>
  <c r="D5" i="22"/>
  <c r="D1" i="22"/>
  <c r="E8" i="22" s="1"/>
  <c r="B5" i="22"/>
  <c r="C5" i="22" s="1"/>
  <c r="C9" i="22"/>
  <c r="C8" i="22"/>
  <c r="C7" i="22"/>
  <c r="C6" i="22"/>
  <c r="B9" i="22"/>
  <c r="B8" i="22"/>
  <c r="B7" i="22"/>
  <c r="B6" i="22"/>
  <c r="C26" i="15"/>
  <c r="C26" i="14"/>
  <c r="G28" i="14" s="1"/>
  <c r="G28" i="15"/>
  <c r="G28" i="2"/>
  <c r="G28" i="24"/>
  <c r="E4" i="36"/>
  <c r="E3" i="36"/>
  <c r="E4" i="35"/>
  <c r="E3" i="35"/>
  <c r="E4" i="34"/>
  <c r="E3" i="34"/>
  <c r="G45" i="34"/>
  <c r="T14" i="10"/>
  <c r="T11" i="10"/>
  <c r="T9" i="10"/>
  <c r="T8" i="10"/>
  <c r="S14" i="10"/>
  <c r="S11" i="10"/>
  <c r="S9" i="10"/>
  <c r="S8" i="10"/>
  <c r="R19" i="10"/>
  <c r="R14" i="10"/>
  <c r="R11" i="10"/>
  <c r="R9" i="10"/>
  <c r="R8" i="10"/>
  <c r="Q19" i="10"/>
  <c r="Q14" i="10"/>
  <c r="Q12" i="10"/>
  <c r="Q11" i="10"/>
  <c r="Q9" i="10"/>
  <c r="Q8" i="10"/>
  <c r="Q6" i="10"/>
  <c r="P19" i="10"/>
  <c r="P14" i="10"/>
  <c r="P12" i="10"/>
  <c r="P11" i="10"/>
  <c r="P9" i="10"/>
  <c r="P8" i="10"/>
  <c r="P6" i="10"/>
  <c r="O19" i="10"/>
  <c r="O14" i="10"/>
  <c r="O12" i="10"/>
  <c r="O11" i="10"/>
  <c r="O9" i="10"/>
  <c r="O8" i="10"/>
  <c r="O6" i="10"/>
  <c r="N19" i="10"/>
  <c r="N14" i="10"/>
  <c r="N12" i="10"/>
  <c r="N11" i="10"/>
  <c r="N9" i="10"/>
  <c r="N8" i="10"/>
  <c r="N6" i="10"/>
  <c r="M19" i="10"/>
  <c r="M14" i="10"/>
  <c r="M12" i="10"/>
  <c r="M11" i="10"/>
  <c r="M9" i="10"/>
  <c r="M8" i="10"/>
  <c r="M6" i="10"/>
  <c r="I6" i="10"/>
  <c r="L19" i="10"/>
  <c r="L14" i="10"/>
  <c r="L12" i="10"/>
  <c r="L11" i="10"/>
  <c r="L9" i="10"/>
  <c r="L8" i="10"/>
  <c r="L6" i="10"/>
  <c r="K19" i="10"/>
  <c r="K14" i="10"/>
  <c r="K12" i="10"/>
  <c r="K11" i="10"/>
  <c r="K9" i="10"/>
  <c r="K8" i="10"/>
  <c r="K6" i="10"/>
  <c r="J19" i="10"/>
  <c r="J11" i="10"/>
  <c r="J9" i="10"/>
  <c r="J8" i="10"/>
  <c r="J6" i="10"/>
  <c r="I19" i="10"/>
  <c r="I14" i="10"/>
  <c r="I12" i="10"/>
  <c r="I11" i="10"/>
  <c r="I9" i="10"/>
  <c r="I8" i="10"/>
  <c r="E6" i="10"/>
  <c r="G19" i="10"/>
  <c r="G15" i="10"/>
  <c r="G14" i="10"/>
  <c r="G11" i="10"/>
  <c r="G9" i="10"/>
  <c r="G8" i="10"/>
  <c r="G6" i="10"/>
  <c r="F19" i="10"/>
  <c r="F15" i="10"/>
  <c r="F14" i="10"/>
  <c r="F11" i="10"/>
  <c r="F9" i="10"/>
  <c r="F8" i="10"/>
  <c r="E19" i="10"/>
  <c r="E15" i="10"/>
  <c r="E14" i="10"/>
  <c r="E11" i="10"/>
  <c r="E9" i="10"/>
  <c r="E8" i="10"/>
  <c r="G37" i="31"/>
  <c r="C26" i="31"/>
  <c r="G34" i="31"/>
  <c r="G34" i="27"/>
  <c r="G40" i="27"/>
  <c r="G40" i="21"/>
  <c r="C26" i="21"/>
  <c r="C26" i="24"/>
  <c r="K17" i="37" l="1"/>
  <c r="P43" i="37" s="1"/>
  <c r="D8" i="22"/>
  <c r="K27" i="37"/>
  <c r="P50" i="37"/>
  <c r="G37" i="37"/>
  <c r="G17" i="37"/>
  <c r="O17" i="37"/>
  <c r="D29" i="37"/>
  <c r="N4" i="37"/>
  <c r="R4" i="37" s="1"/>
  <c r="H17" i="37"/>
  <c r="L17" i="37"/>
  <c r="P17" i="37"/>
  <c r="T17" i="37"/>
  <c r="H24" i="37"/>
  <c r="L25" i="37"/>
  <c r="O41" i="37"/>
  <c r="O48" i="37" s="1"/>
  <c r="S17" i="37"/>
  <c r="N41" i="37"/>
  <c r="N48" i="37" s="1"/>
  <c r="O4" i="37"/>
  <c r="S4" i="37" s="1"/>
  <c r="E17" i="37"/>
  <c r="I17" i="37"/>
  <c r="M17" i="37"/>
  <c r="Q17" i="37"/>
  <c r="E24" i="37"/>
  <c r="I25" i="37"/>
  <c r="C28" i="37"/>
  <c r="C35" i="37" s="1"/>
  <c r="P4" i="37"/>
  <c r="T4" i="37" s="1"/>
  <c r="F17" i="37"/>
  <c r="J17" i="37"/>
  <c r="N17" i="37"/>
  <c r="R17" i="37"/>
  <c r="F24" i="37"/>
  <c r="J14" i="10"/>
  <c r="G40" i="14"/>
  <c r="F12" i="10" s="1"/>
  <c r="F6" i="10"/>
  <c r="G34" i="14"/>
  <c r="G31" i="14"/>
  <c r="E3" i="2"/>
  <c r="C26" i="2"/>
  <c r="E4" i="33"/>
  <c r="E3" i="33"/>
  <c r="E4" i="32"/>
  <c r="E3" i="32"/>
  <c r="G3" i="32" s="1"/>
  <c r="E4" i="31"/>
  <c r="G45" i="31" s="1"/>
  <c r="E3" i="31"/>
  <c r="E4" i="30"/>
  <c r="G45" i="30" s="1"/>
  <c r="E3" i="30"/>
  <c r="G3" i="30" s="1"/>
  <c r="E4" i="29"/>
  <c r="E3" i="29"/>
  <c r="F45" i="29" s="1"/>
  <c r="E4" i="28"/>
  <c r="G45" i="28" s="1"/>
  <c r="E3" i="28"/>
  <c r="F45" i="28" s="1"/>
  <c r="E4" i="27"/>
  <c r="E3" i="27"/>
  <c r="F45" i="27" s="1"/>
  <c r="E4" i="26"/>
  <c r="G45" i="26" s="1"/>
  <c r="E3" i="26"/>
  <c r="F45" i="26" s="1"/>
  <c r="E4" i="21"/>
  <c r="E3" i="21"/>
  <c r="E4" i="15"/>
  <c r="E3" i="15"/>
  <c r="E4" i="2"/>
  <c r="E4" i="14"/>
  <c r="E3" i="14"/>
  <c r="E4" i="24"/>
  <c r="E3" i="24"/>
  <c r="F43" i="36"/>
  <c r="G43" i="36"/>
  <c r="T15" i="10" s="1"/>
  <c r="F42" i="36"/>
  <c r="G39" i="36"/>
  <c r="N32" i="36" s="1"/>
  <c r="G37" i="36"/>
  <c r="N42" i="36" s="1"/>
  <c r="F37" i="36"/>
  <c r="G34" i="36"/>
  <c r="P34" i="36" s="1"/>
  <c r="F34" i="36"/>
  <c r="G33" i="36"/>
  <c r="J33" i="36" s="1"/>
  <c r="F33" i="36"/>
  <c r="G32" i="36"/>
  <c r="J32" i="36" s="1"/>
  <c r="F32" i="36"/>
  <c r="G31" i="36"/>
  <c r="P31" i="36" s="1"/>
  <c r="F31" i="36"/>
  <c r="G30" i="36"/>
  <c r="G45" i="36"/>
  <c r="T19" i="10" s="1"/>
  <c r="J11" i="36"/>
  <c r="H6" i="36"/>
  <c r="G4" i="36"/>
  <c r="J6" i="36" s="1"/>
  <c r="J7" i="36" s="1"/>
  <c r="F45" i="36"/>
  <c r="F43" i="35"/>
  <c r="G43" i="35"/>
  <c r="S15" i="10" s="1"/>
  <c r="F42" i="35"/>
  <c r="G39" i="35"/>
  <c r="G37" i="35"/>
  <c r="G20" i="35" s="1"/>
  <c r="F37" i="35"/>
  <c r="P34" i="35"/>
  <c r="J34" i="35"/>
  <c r="G34" i="35"/>
  <c r="F34" i="35"/>
  <c r="P33" i="35"/>
  <c r="J33" i="35"/>
  <c r="G33" i="35"/>
  <c r="F33" i="35"/>
  <c r="N32" i="35"/>
  <c r="G32" i="35"/>
  <c r="J32" i="35" s="1"/>
  <c r="F32" i="35"/>
  <c r="P32" i="35" s="1"/>
  <c r="P31" i="35"/>
  <c r="G31" i="35"/>
  <c r="F31" i="35"/>
  <c r="J31" i="35" s="1"/>
  <c r="N30" i="35"/>
  <c r="G30" i="35"/>
  <c r="J11" i="35"/>
  <c r="H6" i="35"/>
  <c r="G4" i="35"/>
  <c r="J6" i="35" s="1"/>
  <c r="J7" i="35" s="1"/>
  <c r="G45" i="35"/>
  <c r="S19" i="10" s="1"/>
  <c r="G43" i="34"/>
  <c r="R15" i="10" s="1"/>
  <c r="F43" i="34"/>
  <c r="F42" i="34"/>
  <c r="G39" i="34"/>
  <c r="N32" i="34" s="1"/>
  <c r="G37" i="34"/>
  <c r="N42" i="34" s="1"/>
  <c r="F37" i="34"/>
  <c r="G34" i="34"/>
  <c r="P34" i="34" s="1"/>
  <c r="F34" i="34"/>
  <c r="G33" i="34"/>
  <c r="F33" i="34"/>
  <c r="P33" i="34" s="1"/>
  <c r="G32" i="34"/>
  <c r="J32" i="34" s="1"/>
  <c r="F32" i="34"/>
  <c r="G31" i="34"/>
  <c r="F31" i="34"/>
  <c r="G30" i="34"/>
  <c r="J11" i="34"/>
  <c r="H6" i="34"/>
  <c r="G4" i="34"/>
  <c r="J6" i="34" s="1"/>
  <c r="J7" i="34" s="1"/>
  <c r="F45" i="34"/>
  <c r="G43" i="33"/>
  <c r="Q15" i="10" s="1"/>
  <c r="F42" i="33"/>
  <c r="F43" i="33" s="1"/>
  <c r="G39" i="33"/>
  <c r="N32" i="33" s="1"/>
  <c r="G37" i="33"/>
  <c r="F37" i="33"/>
  <c r="P34" i="33"/>
  <c r="G34" i="33"/>
  <c r="J34" i="33" s="1"/>
  <c r="F34" i="33"/>
  <c r="G33" i="33"/>
  <c r="J33" i="33" s="1"/>
  <c r="F33" i="33"/>
  <c r="G32" i="33"/>
  <c r="F32" i="33"/>
  <c r="F30" i="33" s="1"/>
  <c r="F20" i="33" s="1"/>
  <c r="G31" i="33"/>
  <c r="P31" i="33" s="1"/>
  <c r="F31" i="33"/>
  <c r="G45" i="33"/>
  <c r="J11" i="33"/>
  <c r="H6" i="33"/>
  <c r="G4" i="33"/>
  <c r="J6" i="33" s="1"/>
  <c r="J7" i="33" s="1"/>
  <c r="F45" i="33"/>
  <c r="F43" i="32"/>
  <c r="G43" i="32"/>
  <c r="P15" i="10" s="1"/>
  <c r="F42" i="32"/>
  <c r="G39" i="32"/>
  <c r="N32" i="32" s="1"/>
  <c r="G37" i="32"/>
  <c r="F37" i="32"/>
  <c r="G34" i="32"/>
  <c r="P34" i="32" s="1"/>
  <c r="F34" i="32"/>
  <c r="G33" i="32"/>
  <c r="P33" i="32" s="1"/>
  <c r="F33" i="32"/>
  <c r="G32" i="32"/>
  <c r="F32" i="32"/>
  <c r="G31" i="32"/>
  <c r="P31" i="32" s="1"/>
  <c r="F31" i="32"/>
  <c r="G45" i="32"/>
  <c r="J11" i="32"/>
  <c r="H6" i="32"/>
  <c r="G4" i="32"/>
  <c r="J6" i="32" s="1"/>
  <c r="J7" i="32" s="1"/>
  <c r="G43" i="31"/>
  <c r="O15" i="10" s="1"/>
  <c r="F42" i="31"/>
  <c r="G4" i="31" s="1"/>
  <c r="J6" i="31" s="1"/>
  <c r="J7" i="31" s="1"/>
  <c r="G39" i="31"/>
  <c r="N32" i="31" s="1"/>
  <c r="F37" i="31"/>
  <c r="F34" i="31"/>
  <c r="P34" i="31" s="1"/>
  <c r="G33" i="31"/>
  <c r="F33" i="31"/>
  <c r="G32" i="31"/>
  <c r="F32" i="31"/>
  <c r="G31" i="31"/>
  <c r="F31" i="31"/>
  <c r="J11" i="31"/>
  <c r="H6" i="31"/>
  <c r="F45" i="30"/>
  <c r="G43" i="30"/>
  <c r="N15" i="10" s="1"/>
  <c r="F42" i="30"/>
  <c r="F43" i="30" s="1"/>
  <c r="G39" i="30"/>
  <c r="G37" i="30"/>
  <c r="F37" i="30"/>
  <c r="N30" i="30" s="1"/>
  <c r="G34" i="30"/>
  <c r="G30" i="30" s="1"/>
  <c r="F34" i="30"/>
  <c r="G33" i="30"/>
  <c r="P33" i="30" s="1"/>
  <c r="F33" i="30"/>
  <c r="N32" i="30"/>
  <c r="G32" i="30"/>
  <c r="F32" i="30"/>
  <c r="J32" i="30" s="1"/>
  <c r="G31" i="30"/>
  <c r="F31" i="30"/>
  <c r="P31" i="30" s="1"/>
  <c r="J11" i="30"/>
  <c r="H6" i="30"/>
  <c r="G4" i="30"/>
  <c r="J6" i="30" s="1"/>
  <c r="J7" i="30" s="1"/>
  <c r="F43" i="29"/>
  <c r="G43" i="29"/>
  <c r="M15" i="10" s="1"/>
  <c r="F42" i="29"/>
  <c r="G39" i="29"/>
  <c r="N32" i="29" s="1"/>
  <c r="G37" i="29"/>
  <c r="F37" i="29"/>
  <c r="G34" i="29"/>
  <c r="F34" i="29"/>
  <c r="G33" i="29"/>
  <c r="P33" i="29" s="1"/>
  <c r="F33" i="29"/>
  <c r="G32" i="29"/>
  <c r="P32" i="29" s="1"/>
  <c r="F32" i="29"/>
  <c r="G31" i="29"/>
  <c r="F31" i="29"/>
  <c r="J31" i="29" s="1"/>
  <c r="N30" i="29"/>
  <c r="J11" i="29"/>
  <c r="H6" i="29"/>
  <c r="G4" i="29"/>
  <c r="J6" i="29" s="1"/>
  <c r="J7" i="29" s="1"/>
  <c r="G45" i="29"/>
  <c r="G3" i="29"/>
  <c r="G43" i="28"/>
  <c r="L15" i="10" s="1"/>
  <c r="F43" i="28"/>
  <c r="N35" i="28" s="1"/>
  <c r="F42" i="28"/>
  <c r="G39" i="28"/>
  <c r="N32" i="28" s="1"/>
  <c r="G37" i="28"/>
  <c r="N42" i="28" s="1"/>
  <c r="F37" i="28"/>
  <c r="G34" i="28"/>
  <c r="J34" i="28" s="1"/>
  <c r="F34" i="28"/>
  <c r="G33" i="28"/>
  <c r="F33" i="28"/>
  <c r="P33" i="28" s="1"/>
  <c r="G32" i="28"/>
  <c r="J32" i="28" s="1"/>
  <c r="F32" i="28"/>
  <c r="G31" i="28"/>
  <c r="F31" i="28"/>
  <c r="G30" i="28"/>
  <c r="J11" i="28"/>
  <c r="H6" i="28"/>
  <c r="G4" i="28"/>
  <c r="J6" i="28" s="1"/>
  <c r="J7" i="28" s="1"/>
  <c r="G43" i="27"/>
  <c r="K15" i="10" s="1"/>
  <c r="F42" i="27"/>
  <c r="F43" i="27" s="1"/>
  <c r="G39" i="27"/>
  <c r="N32" i="27" s="1"/>
  <c r="G37" i="27"/>
  <c r="F37" i="27"/>
  <c r="P34" i="27"/>
  <c r="J34" i="27"/>
  <c r="F34" i="27"/>
  <c r="G33" i="27"/>
  <c r="F33" i="27"/>
  <c r="P33" i="27" s="1"/>
  <c r="G32" i="27"/>
  <c r="F32" i="27"/>
  <c r="G31" i="27"/>
  <c r="F31" i="27"/>
  <c r="G45" i="27"/>
  <c r="J11" i="27"/>
  <c r="H6" i="27"/>
  <c r="G4" i="27"/>
  <c r="J6" i="27" s="1"/>
  <c r="J7" i="27" s="1"/>
  <c r="F43" i="26"/>
  <c r="G43" i="26"/>
  <c r="J15" i="10" s="1"/>
  <c r="F42" i="26"/>
  <c r="G39" i="26"/>
  <c r="G37" i="26"/>
  <c r="G28" i="26" s="1"/>
  <c r="F37" i="26"/>
  <c r="N30" i="26" s="1"/>
  <c r="G34" i="26"/>
  <c r="F34" i="26"/>
  <c r="G33" i="26"/>
  <c r="J33" i="26" s="1"/>
  <c r="F33" i="26"/>
  <c r="N32" i="26"/>
  <c r="G32" i="26"/>
  <c r="F32" i="26"/>
  <c r="P32" i="26" s="1"/>
  <c r="G31" i="26"/>
  <c r="F31" i="26"/>
  <c r="P31" i="26" s="1"/>
  <c r="J11" i="26"/>
  <c r="H6" i="26"/>
  <c r="G4" i="26"/>
  <c r="J6" i="26" s="1"/>
  <c r="J7" i="26" s="1"/>
  <c r="G3" i="26"/>
  <c r="F37" i="37" l="1"/>
  <c r="O43" i="37"/>
  <c r="J27" i="37"/>
  <c r="O50" i="37"/>
  <c r="N50" i="37"/>
  <c r="E37" i="37"/>
  <c r="N43" i="37"/>
  <c r="I27" i="37"/>
  <c r="P52" i="37"/>
  <c r="P45" i="37"/>
  <c r="Q52" i="37"/>
  <c r="Q45" i="37"/>
  <c r="O49" i="37"/>
  <c r="O42" i="37"/>
  <c r="J26" i="37"/>
  <c r="N49" i="37"/>
  <c r="N42" i="37"/>
  <c r="I26" i="37"/>
  <c r="Q51" i="37"/>
  <c r="Q44" i="37"/>
  <c r="O52" i="37"/>
  <c r="O45" i="37"/>
  <c r="N52" i="37"/>
  <c r="N45" i="37"/>
  <c r="Q50" i="37"/>
  <c r="H37" i="37"/>
  <c r="Q43" i="37"/>
  <c r="L27" i="37"/>
  <c r="P44" i="37"/>
  <c r="P51" i="37"/>
  <c r="O44" i="37"/>
  <c r="O51" i="37"/>
  <c r="N51" i="37"/>
  <c r="N44" i="37"/>
  <c r="Q42" i="37"/>
  <c r="L26" i="37"/>
  <c r="Q49" i="37"/>
  <c r="P42" i="37"/>
  <c r="K26" i="37"/>
  <c r="P49" i="37"/>
  <c r="N35" i="35"/>
  <c r="N35" i="34"/>
  <c r="N35" i="33"/>
  <c r="N35" i="30"/>
  <c r="N35" i="27"/>
  <c r="F43" i="31"/>
  <c r="N35" i="31" s="1"/>
  <c r="N42" i="31"/>
  <c r="F28" i="31"/>
  <c r="P33" i="31"/>
  <c r="F30" i="31"/>
  <c r="F20" i="31" s="1"/>
  <c r="N35" i="36"/>
  <c r="P33" i="36"/>
  <c r="J34" i="36"/>
  <c r="F30" i="36"/>
  <c r="F20" i="36" s="1"/>
  <c r="N42" i="35"/>
  <c r="F30" i="35"/>
  <c r="J34" i="34"/>
  <c r="P31" i="34"/>
  <c r="J33" i="34"/>
  <c r="F30" i="34"/>
  <c r="F20" i="34" s="1"/>
  <c r="G30" i="33"/>
  <c r="N31" i="33" s="1"/>
  <c r="J32" i="33"/>
  <c r="N42" i="33"/>
  <c r="P33" i="33"/>
  <c r="F30" i="32"/>
  <c r="F20" i="32" s="1"/>
  <c r="N42" i="32"/>
  <c r="N35" i="32"/>
  <c r="G30" i="32"/>
  <c r="N31" i="32" s="1"/>
  <c r="J33" i="32"/>
  <c r="J34" i="32"/>
  <c r="G30" i="31"/>
  <c r="G20" i="31" s="1"/>
  <c r="J34" i="31"/>
  <c r="J33" i="31"/>
  <c r="P31" i="31"/>
  <c r="J33" i="30"/>
  <c r="G28" i="30"/>
  <c r="J31" i="30"/>
  <c r="J32" i="29"/>
  <c r="F30" i="29"/>
  <c r="F20" i="29" s="1"/>
  <c r="P34" i="29"/>
  <c r="N35" i="29"/>
  <c r="P34" i="28"/>
  <c r="P31" i="28"/>
  <c r="J33" i="28"/>
  <c r="F30" i="28"/>
  <c r="F20" i="28" s="1"/>
  <c r="J33" i="27"/>
  <c r="F30" i="27"/>
  <c r="F20" i="27" s="1"/>
  <c r="P31" i="27"/>
  <c r="G30" i="27"/>
  <c r="N31" i="27" s="1"/>
  <c r="J32" i="27"/>
  <c r="N42" i="27"/>
  <c r="F30" i="26"/>
  <c r="J32" i="26"/>
  <c r="N35" i="26"/>
  <c r="J31" i="26"/>
  <c r="P33" i="26"/>
  <c r="P34" i="26"/>
  <c r="G3" i="35"/>
  <c r="F45" i="35"/>
  <c r="F28" i="35"/>
  <c r="G28" i="29"/>
  <c r="L45" i="29" s="1"/>
  <c r="F28" i="29"/>
  <c r="K45" i="29" s="1"/>
  <c r="P32" i="36"/>
  <c r="G3" i="36"/>
  <c r="F28" i="36"/>
  <c r="J31" i="36"/>
  <c r="G20" i="36"/>
  <c r="G28" i="36"/>
  <c r="T6" i="10" s="1"/>
  <c r="N30" i="36"/>
  <c r="G28" i="35"/>
  <c r="S6" i="10" s="1"/>
  <c r="P32" i="34"/>
  <c r="G3" i="34"/>
  <c r="F28" i="34"/>
  <c r="J31" i="34"/>
  <c r="G20" i="34"/>
  <c r="G28" i="34"/>
  <c r="R6" i="10" s="1"/>
  <c r="N30" i="34"/>
  <c r="P32" i="33"/>
  <c r="G3" i="33"/>
  <c r="F28" i="33"/>
  <c r="J31" i="33"/>
  <c r="G20" i="33"/>
  <c r="G19" i="33" s="1"/>
  <c r="G18" i="33" s="1"/>
  <c r="G28" i="33"/>
  <c r="N30" i="33"/>
  <c r="G20" i="30"/>
  <c r="L45" i="30"/>
  <c r="P31" i="29"/>
  <c r="P32" i="30"/>
  <c r="J34" i="30"/>
  <c r="J31" i="31"/>
  <c r="F28" i="32"/>
  <c r="G30" i="29"/>
  <c r="J34" i="29"/>
  <c r="F28" i="30"/>
  <c r="K45" i="30" s="1"/>
  <c r="P34" i="30"/>
  <c r="G28" i="31"/>
  <c r="N30" i="31"/>
  <c r="J32" i="31"/>
  <c r="F45" i="31"/>
  <c r="G28" i="32"/>
  <c r="N30" i="32"/>
  <c r="J32" i="32"/>
  <c r="F45" i="32"/>
  <c r="F30" i="30"/>
  <c r="N31" i="30" s="1"/>
  <c r="N42" i="30"/>
  <c r="P32" i="31"/>
  <c r="P32" i="32"/>
  <c r="J33" i="29"/>
  <c r="N42" i="29"/>
  <c r="G3" i="31"/>
  <c r="J31" i="32"/>
  <c r="F20" i="30"/>
  <c r="N31" i="28"/>
  <c r="P32" i="28"/>
  <c r="G3" i="28"/>
  <c r="F28" i="28"/>
  <c r="J30" i="28"/>
  <c r="J31" i="28"/>
  <c r="G20" i="28"/>
  <c r="G28" i="28"/>
  <c r="N30" i="28"/>
  <c r="P32" i="27"/>
  <c r="G3" i="27"/>
  <c r="F28" i="27"/>
  <c r="J31" i="27"/>
  <c r="G28" i="27"/>
  <c r="N30" i="27"/>
  <c r="L45" i="26"/>
  <c r="N42" i="26"/>
  <c r="G30" i="26"/>
  <c r="J34" i="26"/>
  <c r="F28" i="26"/>
  <c r="K45" i="26" s="1"/>
  <c r="L44" i="26" s="1"/>
  <c r="F20" i="26"/>
  <c r="G9" i="22"/>
  <c r="G37" i="14"/>
  <c r="G39" i="14"/>
  <c r="G31" i="21"/>
  <c r="G37" i="21"/>
  <c r="G42" i="14"/>
  <c r="G43" i="14" s="1"/>
  <c r="G33" i="14"/>
  <c r="G32" i="14"/>
  <c r="G30" i="14"/>
  <c r="G39" i="24"/>
  <c r="C43" i="2"/>
  <c r="G42" i="2"/>
  <c r="G43" i="2" s="1"/>
  <c r="M33" i="14"/>
  <c r="S42" i="37" l="1"/>
  <c r="N31" i="31"/>
  <c r="J30" i="31"/>
  <c r="G19" i="31"/>
  <c r="G18" i="31" s="1"/>
  <c r="G19" i="36"/>
  <c r="G18" i="36" s="1"/>
  <c r="J30" i="36"/>
  <c r="N31" i="36"/>
  <c r="N31" i="35"/>
  <c r="J30" i="35"/>
  <c r="F20" i="35"/>
  <c r="G19" i="35" s="1"/>
  <c r="G18" i="35" s="1"/>
  <c r="G19" i="34"/>
  <c r="G18" i="34" s="1"/>
  <c r="J30" i="34"/>
  <c r="N31" i="34"/>
  <c r="J30" i="33"/>
  <c r="G20" i="32"/>
  <c r="G19" i="32" s="1"/>
  <c r="G18" i="32" s="1"/>
  <c r="J30" i="32"/>
  <c r="G19" i="30"/>
  <c r="G18" i="30" s="1"/>
  <c r="G19" i="28"/>
  <c r="G18" i="28" s="1"/>
  <c r="G20" i="27"/>
  <c r="G19" i="27" s="1"/>
  <c r="G18" i="27" s="1"/>
  <c r="J30" i="27"/>
  <c r="L44" i="30"/>
  <c r="L44" i="29"/>
  <c r="G40" i="29"/>
  <c r="N33" i="29" s="1"/>
  <c r="G22" i="29"/>
  <c r="G40" i="36"/>
  <c r="G22" i="36"/>
  <c r="G40" i="35"/>
  <c r="G22" i="35"/>
  <c r="G22" i="34"/>
  <c r="G40" i="33"/>
  <c r="N33" i="33" s="1"/>
  <c r="N37" i="33" s="1"/>
  <c r="N40" i="33" s="1"/>
  <c r="G22" i="33"/>
  <c r="J30" i="30"/>
  <c r="J30" i="29"/>
  <c r="G20" i="29"/>
  <c r="G19" i="29" s="1"/>
  <c r="G18" i="29" s="1"/>
  <c r="N31" i="29"/>
  <c r="N33" i="30"/>
  <c r="N37" i="30" s="1"/>
  <c r="N40" i="30" s="1"/>
  <c r="G40" i="31"/>
  <c r="N33" i="31" s="1"/>
  <c r="N37" i="31" s="1"/>
  <c r="N40" i="31" s="1"/>
  <c r="G22" i="31"/>
  <c r="G40" i="32"/>
  <c r="N33" i="32" s="1"/>
  <c r="N37" i="32" s="1"/>
  <c r="N40" i="32" s="1"/>
  <c r="G22" i="32"/>
  <c r="G22" i="30"/>
  <c r="G40" i="28"/>
  <c r="N33" i="28" s="1"/>
  <c r="N37" i="28" s="1"/>
  <c r="N40" i="28" s="1"/>
  <c r="G22" i="28"/>
  <c r="N33" i="27"/>
  <c r="N37" i="27" s="1"/>
  <c r="N40" i="27" s="1"/>
  <c r="G22" i="27"/>
  <c r="N33" i="26"/>
  <c r="G22" i="26"/>
  <c r="N31" i="26"/>
  <c r="J30" i="26"/>
  <c r="G20" i="26"/>
  <c r="G19" i="26" s="1"/>
  <c r="G18" i="26" s="1"/>
  <c r="M32" i="10"/>
  <c r="M31" i="10"/>
  <c r="P39" i="10"/>
  <c r="P36" i="10"/>
  <c r="G43" i="24"/>
  <c r="F43" i="24"/>
  <c r="G42" i="24"/>
  <c r="F42" i="24"/>
  <c r="N32" i="24"/>
  <c r="G37" i="24"/>
  <c r="N42" i="24" s="1"/>
  <c r="F37" i="24"/>
  <c r="G34" i="24"/>
  <c r="J34" i="24" s="1"/>
  <c r="F34" i="24"/>
  <c r="G33" i="24"/>
  <c r="F33" i="24"/>
  <c r="P33" i="24" s="1"/>
  <c r="G32" i="24"/>
  <c r="J32" i="24" s="1"/>
  <c r="F32" i="24"/>
  <c r="G31" i="24"/>
  <c r="F31" i="24"/>
  <c r="G30" i="24"/>
  <c r="G45" i="24"/>
  <c r="J11" i="24"/>
  <c r="H6" i="24"/>
  <c r="G4" i="24"/>
  <c r="J6" i="24" s="1"/>
  <c r="J7" i="24" s="1"/>
  <c r="J26" i="23"/>
  <c r="I26" i="23"/>
  <c r="M26" i="23"/>
  <c r="I27" i="23"/>
  <c r="J27" i="23" s="1"/>
  <c r="G23" i="23"/>
  <c r="J4" i="23"/>
  <c r="F23" i="23" s="1"/>
  <c r="J5" i="22"/>
  <c r="I5" i="22"/>
  <c r="F9" i="22"/>
  <c r="G8" i="22"/>
  <c r="F8" i="22"/>
  <c r="G7" i="22"/>
  <c r="F7" i="22"/>
  <c r="G6" i="22"/>
  <c r="F6" i="22"/>
  <c r="H5" i="22"/>
  <c r="G5" i="22"/>
  <c r="N33" i="36" l="1"/>
  <c r="N37" i="36" s="1"/>
  <c r="N40" i="36" s="1"/>
  <c r="T12" i="10"/>
  <c r="N33" i="35"/>
  <c r="N37" i="35" s="1"/>
  <c r="N40" i="35" s="1"/>
  <c r="S12" i="10"/>
  <c r="N33" i="34"/>
  <c r="N37" i="34" s="1"/>
  <c r="N40" i="34" s="1"/>
  <c r="R12" i="10"/>
  <c r="N37" i="29"/>
  <c r="N40" i="29" s="1"/>
  <c r="F45" i="2"/>
  <c r="E8" i="2"/>
  <c r="P31" i="24"/>
  <c r="J33" i="24"/>
  <c r="P34" i="24"/>
  <c r="F30" i="24"/>
  <c r="F20" i="24" s="1"/>
  <c r="N35" i="24"/>
  <c r="F45" i="24"/>
  <c r="N37" i="26"/>
  <c r="N40" i="26" s="1"/>
  <c r="G3" i="24"/>
  <c r="G20" i="24"/>
  <c r="N30" i="24"/>
  <c r="P32" i="24"/>
  <c r="J31" i="24"/>
  <c r="P28" i="23"/>
  <c r="P29" i="23"/>
  <c r="P27" i="23"/>
  <c r="P26" i="23"/>
  <c r="M28" i="23"/>
  <c r="M29" i="23"/>
  <c r="M27" i="23"/>
  <c r="I9" i="5"/>
  <c r="I10" i="5"/>
  <c r="I11" i="5"/>
  <c r="D36" i="10"/>
  <c r="D37" i="10"/>
  <c r="H29" i="10"/>
  <c r="L4" i="10"/>
  <c r="K4" i="10"/>
  <c r="F42" i="21"/>
  <c r="F43" i="21" s="1"/>
  <c r="G39" i="21"/>
  <c r="N32" i="21" s="1"/>
  <c r="F37" i="21"/>
  <c r="G34" i="21"/>
  <c r="F34" i="21"/>
  <c r="G33" i="21"/>
  <c r="F33" i="21"/>
  <c r="G32" i="21"/>
  <c r="G30" i="21" s="1"/>
  <c r="F32" i="21"/>
  <c r="F30" i="21" s="1"/>
  <c r="F20" i="21" s="1"/>
  <c r="F31" i="21"/>
  <c r="J11" i="21"/>
  <c r="H6" i="21"/>
  <c r="G45" i="21"/>
  <c r="G3" i="21"/>
  <c r="H40" i="10"/>
  <c r="H37" i="10"/>
  <c r="H33" i="10"/>
  <c r="H44" i="10"/>
  <c r="G40" i="10"/>
  <c r="G37" i="10"/>
  <c r="G33" i="10"/>
  <c r="G44" i="10"/>
  <c r="E44" i="10"/>
  <c r="E37" i="10"/>
  <c r="E36" i="10"/>
  <c r="E33" i="10"/>
  <c r="J4" i="10"/>
  <c r="I4" i="10"/>
  <c r="I30" i="10" l="1"/>
  <c r="M4" i="10"/>
  <c r="Q4" i="10" s="1"/>
  <c r="N46" i="10"/>
  <c r="K30" i="10"/>
  <c r="O4" i="10"/>
  <c r="S4" i="10" s="1"/>
  <c r="P46" i="10"/>
  <c r="L30" i="10"/>
  <c r="Q46" i="10"/>
  <c r="P4" i="10"/>
  <c r="T4" i="10" s="1"/>
  <c r="J30" i="10"/>
  <c r="O46" i="10"/>
  <c r="N4" i="10"/>
  <c r="R4" i="10" s="1"/>
  <c r="G29" i="10"/>
  <c r="F29" i="10"/>
  <c r="E29" i="10"/>
  <c r="G4" i="21"/>
  <c r="J6" i="21" s="1"/>
  <c r="J7" i="21" s="1"/>
  <c r="P34" i="21"/>
  <c r="E9" i="2"/>
  <c r="E10" i="2" s="1"/>
  <c r="E11" i="2"/>
  <c r="G19" i="24"/>
  <c r="G18" i="24" s="1"/>
  <c r="N31" i="24"/>
  <c r="J30" i="24"/>
  <c r="F28" i="24"/>
  <c r="G40" i="24" s="1"/>
  <c r="B3" i="23"/>
  <c r="G34" i="10"/>
  <c r="G39" i="10"/>
  <c r="G36" i="10"/>
  <c r="E39" i="10"/>
  <c r="P31" i="21"/>
  <c r="J33" i="21"/>
  <c r="J34" i="21"/>
  <c r="G43" i="21"/>
  <c r="I15" i="10" s="1"/>
  <c r="E40" i="10" s="1"/>
  <c r="H39" i="10"/>
  <c r="H36" i="10"/>
  <c r="J32" i="21"/>
  <c r="P33" i="21"/>
  <c r="N42" i="21"/>
  <c r="P32" i="21"/>
  <c r="F28" i="21"/>
  <c r="G28" i="21"/>
  <c r="N30" i="21"/>
  <c r="F45" i="21"/>
  <c r="J31" i="21"/>
  <c r="E31" i="10"/>
  <c r="F40" i="10"/>
  <c r="F33" i="10"/>
  <c r="F44" i="10"/>
  <c r="G42" i="15"/>
  <c r="F42" i="15"/>
  <c r="G4" i="15" s="1"/>
  <c r="J6" i="15" s="1"/>
  <c r="J7" i="15" s="1"/>
  <c r="G39" i="15"/>
  <c r="G37" i="15"/>
  <c r="H8" i="10" s="1"/>
  <c r="F37" i="15"/>
  <c r="G34" i="15"/>
  <c r="F34" i="15"/>
  <c r="G33" i="15"/>
  <c r="F33" i="15"/>
  <c r="G32" i="15"/>
  <c r="F32" i="15"/>
  <c r="G31" i="15"/>
  <c r="G30" i="15" s="1"/>
  <c r="H9" i="10" s="1"/>
  <c r="F31" i="15"/>
  <c r="J11" i="15"/>
  <c r="H6" i="15"/>
  <c r="G45" i="15"/>
  <c r="H19" i="10" s="1"/>
  <c r="G3" i="15"/>
  <c r="C19" i="10"/>
  <c r="C44" i="10" s="1"/>
  <c r="C14" i="10"/>
  <c r="C39" i="10" s="1"/>
  <c r="C8" i="10"/>
  <c r="C6" i="10"/>
  <c r="C31" i="10" s="1"/>
  <c r="F42" i="14"/>
  <c r="N32" i="14"/>
  <c r="F37" i="14"/>
  <c r="F34" i="14"/>
  <c r="F33" i="14"/>
  <c r="P33" i="14" s="1"/>
  <c r="F32" i="14"/>
  <c r="J32" i="14" s="1"/>
  <c r="F31" i="14"/>
  <c r="D12" i="14"/>
  <c r="J11" i="14"/>
  <c r="D8" i="14"/>
  <c r="H6" i="14"/>
  <c r="D4" i="14"/>
  <c r="F45" i="14"/>
  <c r="G45" i="2"/>
  <c r="D19" i="10"/>
  <c r="N33" i="24" l="1"/>
  <c r="N37" i="24" s="1"/>
  <c r="N40" i="24" s="1"/>
  <c r="E12" i="10"/>
  <c r="N32" i="15"/>
  <c r="H11" i="10"/>
  <c r="G43" i="15"/>
  <c r="H15" i="10" s="1"/>
  <c r="H14" i="10"/>
  <c r="H8" i="23" s="1"/>
  <c r="J32" i="15"/>
  <c r="P34" i="15"/>
  <c r="F43" i="14"/>
  <c r="N43" i="14"/>
  <c r="N30" i="14"/>
  <c r="N42" i="14"/>
  <c r="L45" i="21"/>
  <c r="D44" i="10"/>
  <c r="G22" i="24"/>
  <c r="I4" i="23"/>
  <c r="I7" i="23"/>
  <c r="I8" i="23"/>
  <c r="I6" i="23"/>
  <c r="G45" i="14"/>
  <c r="I5" i="23"/>
  <c r="G31" i="10"/>
  <c r="F34" i="10"/>
  <c r="E34" i="10"/>
  <c r="K45" i="21"/>
  <c r="G20" i="21"/>
  <c r="G19" i="21" s="1"/>
  <c r="G18" i="21" s="1"/>
  <c r="N35" i="21"/>
  <c r="H31" i="10"/>
  <c r="H34" i="10"/>
  <c r="C15" i="10"/>
  <c r="C33" i="10"/>
  <c r="C40" i="10" s="1"/>
  <c r="G22" i="21"/>
  <c r="J30" i="21"/>
  <c r="N31" i="21"/>
  <c r="H7" i="23"/>
  <c r="P33" i="15"/>
  <c r="F39" i="10"/>
  <c r="H5" i="23"/>
  <c r="P34" i="14"/>
  <c r="N35" i="14"/>
  <c r="F37" i="10"/>
  <c r="F36" i="10"/>
  <c r="F31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N30" i="15"/>
  <c r="G4" i="14"/>
  <c r="J6" i="14" s="1"/>
  <c r="J7" i="14" s="1"/>
  <c r="J33" i="14"/>
  <c r="J34" i="14"/>
  <c r="P31" i="14"/>
  <c r="F30" i="14"/>
  <c r="J30" i="14" s="1"/>
  <c r="J31" i="14"/>
  <c r="P32" i="14"/>
  <c r="G3" i="14"/>
  <c r="F28" i="14"/>
  <c r="B4" i="23" s="1"/>
  <c r="D17" i="23" s="1"/>
  <c r="D31" i="23" s="1"/>
  <c r="B5" i="23"/>
  <c r="G20" i="14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C17" i="10" l="1"/>
  <c r="C42" i="10" s="1"/>
  <c r="C22" i="10"/>
  <c r="J8" i="23"/>
  <c r="F21" i="23" s="1"/>
  <c r="G40" i="15"/>
  <c r="H12" i="10" s="1"/>
  <c r="H6" i="10"/>
  <c r="B8" i="23" s="1"/>
  <c r="D21" i="23" s="1"/>
  <c r="D35" i="23" s="1"/>
  <c r="J7" i="23"/>
  <c r="F20" i="23" s="1"/>
  <c r="L44" i="21"/>
  <c r="N33" i="21"/>
  <c r="J5" i="23"/>
  <c r="F18" i="23" s="1"/>
  <c r="N45" i="14"/>
  <c r="E7" i="23"/>
  <c r="E6" i="23"/>
  <c r="F20" i="14"/>
  <c r="G19" i="14" s="1"/>
  <c r="G18" i="14" s="1"/>
  <c r="N31" i="14"/>
  <c r="E8" i="23"/>
  <c r="N33" i="14"/>
  <c r="E5" i="23"/>
  <c r="F5" i="23" s="1"/>
  <c r="D18" i="23"/>
  <c r="D32" i="23" s="1"/>
  <c r="N37" i="21"/>
  <c r="N40" i="21" s="1"/>
  <c r="G20" i="15"/>
  <c r="G19" i="15" s="1"/>
  <c r="G18" i="15" s="1"/>
  <c r="G22" i="15"/>
  <c r="B7" i="23"/>
  <c r="D20" i="23" s="1"/>
  <c r="D34" i="23" s="1"/>
  <c r="N31" i="15"/>
  <c r="J30" i="15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F42" i="2"/>
  <c r="H11" i="3"/>
  <c r="L6" i="3" s="1"/>
  <c r="B22" i="3"/>
  <c r="C6" i="3" s="1"/>
  <c r="N33" i="15" l="1"/>
  <c r="N37" i="15" s="1"/>
  <c r="N40" i="15" s="1"/>
  <c r="F8" i="23"/>
  <c r="F13" i="23" s="1"/>
  <c r="E21" i="23" s="1"/>
  <c r="G30" i="2"/>
  <c r="D14" i="10"/>
  <c r="L5" i="23"/>
  <c r="M5" i="23" s="1"/>
  <c r="O29" i="23"/>
  <c r="L29" i="23"/>
  <c r="O28" i="23"/>
  <c r="L28" i="23"/>
  <c r="F7" i="23"/>
  <c r="L7" i="23" s="1"/>
  <c r="M7" i="23" s="1"/>
  <c r="N37" i="14"/>
  <c r="N40" i="14" s="1"/>
  <c r="F10" i="23"/>
  <c r="E18" i="23" s="1"/>
  <c r="L26" i="23"/>
  <c r="O26" i="23"/>
  <c r="H6" i="23"/>
  <c r="J6" i="23" s="1"/>
  <c r="F19" i="23" s="1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F37" i="2"/>
  <c r="D8" i="10" s="1"/>
  <c r="L8" i="23" l="1"/>
  <c r="M8" i="23" s="1"/>
  <c r="D39" i="10"/>
  <c r="H4" i="23"/>
  <c r="N42" i="2"/>
  <c r="F12" i="23"/>
  <c r="E20" i="23" s="1"/>
  <c r="R26" i="23"/>
  <c r="D33" i="10"/>
  <c r="N35" i="2"/>
  <c r="D15" i="10"/>
  <c r="D40" i="10" s="1"/>
  <c r="N32" i="2"/>
  <c r="P31" i="2"/>
  <c r="F28" i="2"/>
  <c r="P34" i="2"/>
  <c r="N30" i="2"/>
  <c r="F30" i="2"/>
  <c r="J30" i="2" s="1"/>
  <c r="B6" i="23" l="1"/>
  <c r="G40" i="2"/>
  <c r="F20" i="2"/>
  <c r="D9" i="10"/>
  <c r="G22" i="2"/>
  <c r="D6" i="10"/>
  <c r="G20" i="2"/>
  <c r="G19" i="2" s="1"/>
  <c r="G18" i="2" s="1"/>
  <c r="N31" i="2"/>
  <c r="T24" i="10" l="1"/>
  <c r="S24" i="10"/>
  <c r="R24" i="10"/>
  <c r="Q24" i="10"/>
  <c r="J24" i="10"/>
  <c r="H24" i="10"/>
  <c r="E24" i="10"/>
  <c r="P24" i="10"/>
  <c r="O24" i="10"/>
  <c r="N24" i="10"/>
  <c r="M24" i="10"/>
  <c r="L24" i="10"/>
  <c r="K24" i="10"/>
  <c r="G24" i="10"/>
  <c r="F24" i="10"/>
  <c r="E17" i="10"/>
  <c r="K17" i="10"/>
  <c r="J17" i="10"/>
  <c r="N17" i="10"/>
  <c r="M17" i="10"/>
  <c r="S17" i="10"/>
  <c r="P17" i="10"/>
  <c r="L17" i="10"/>
  <c r="T17" i="10"/>
  <c r="Q17" i="10"/>
  <c r="O17" i="10"/>
  <c r="R17" i="10"/>
  <c r="I17" i="10"/>
  <c r="N33" i="2"/>
  <c r="G12" i="10"/>
  <c r="G17" i="10" s="1"/>
  <c r="D31" i="10"/>
  <c r="N37" i="2"/>
  <c r="N40" i="2" s="1"/>
  <c r="D19" i="23"/>
  <c r="D33" i="23" s="1"/>
  <c r="F6" i="23"/>
  <c r="D34" i="10"/>
  <c r="H17" i="10"/>
  <c r="F17" i="10"/>
  <c r="Q48" i="10" l="1"/>
  <c r="Q55" i="10"/>
  <c r="P49" i="10"/>
  <c r="P56" i="10"/>
  <c r="Q49" i="10"/>
  <c r="Q56" i="10"/>
  <c r="P47" i="10"/>
  <c r="P54" i="10"/>
  <c r="P50" i="10"/>
  <c r="P57" i="10"/>
  <c r="P48" i="10"/>
  <c r="P55" i="10"/>
  <c r="O47" i="10"/>
  <c r="O54" i="10"/>
  <c r="N50" i="10"/>
  <c r="N57" i="10"/>
  <c r="Q47" i="10"/>
  <c r="Q54" i="10"/>
  <c r="N48" i="10"/>
  <c r="N55" i="10"/>
  <c r="Q50" i="10"/>
  <c r="Q57" i="10"/>
  <c r="N49" i="10"/>
  <c r="N56" i="10"/>
  <c r="N47" i="10"/>
  <c r="N54" i="10"/>
  <c r="O50" i="10"/>
  <c r="O57" i="10"/>
  <c r="O49" i="10"/>
  <c r="O56" i="10"/>
  <c r="O48" i="10"/>
  <c r="O55" i="10"/>
  <c r="I31" i="10"/>
  <c r="O5" i="23"/>
  <c r="Q5" i="23" s="1"/>
  <c r="G18" i="23" s="1"/>
  <c r="H18" i="23" s="1"/>
  <c r="L27" i="23"/>
  <c r="O27" i="23"/>
  <c r="F11" i="23"/>
  <c r="E19" i="23" s="1"/>
  <c r="L6" i="23"/>
  <c r="M6" i="23" s="1"/>
  <c r="O7" i="23"/>
  <c r="Q7" i="23" s="1"/>
  <c r="G20" i="23" s="1"/>
  <c r="H20" i="23" s="1"/>
  <c r="K31" i="10"/>
  <c r="O8" i="23"/>
  <c r="Q8" i="23" s="1"/>
  <c r="G21" i="23" s="1"/>
  <c r="H21" i="23" s="1"/>
  <c r="L31" i="10"/>
  <c r="O6" i="23"/>
  <c r="J31" i="10"/>
  <c r="H42" i="10"/>
  <c r="L32" i="10"/>
  <c r="G42" i="10"/>
  <c r="K32" i="10"/>
  <c r="F42" i="10"/>
  <c r="J32" i="10"/>
  <c r="E42" i="10"/>
  <c r="I32" i="10"/>
  <c r="S47" i="10" l="1"/>
  <c r="Q6" i="23"/>
  <c r="G19" i="23" s="1"/>
  <c r="H19" i="23" s="1"/>
</calcChain>
</file>

<file path=xl/sharedStrings.xml><?xml version="1.0" encoding="utf-8"?>
<sst xmlns="http://schemas.openxmlformats.org/spreadsheetml/2006/main" count="1595" uniqueCount="165">
  <si>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</si>
  <si>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</si>
  <si>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</si>
  <si>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</si>
  <si>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</si>
  <si>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</si>
  <si>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</si>
  <si>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</si>
  <si>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</si>
  <si>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</si>
  <si>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</si>
  <si>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</si>
  <si>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</si>
  <si>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</si>
  <si>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</si>
  <si>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</si>
  <si>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</si>
  <si>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</si>
  <si>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</si>
  <si>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</si>
  <si>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</si>
  <si>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</si>
  <si>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</si>
  <si>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</si>
  <si>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</si>
  <si>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</si>
  <si>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</si>
  <si>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</si>
  <si>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</si>
  <si>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</si>
  <si>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</si>
  <si>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</si>
  <si>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</si>
  <si>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</si>
  <si>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</si>
  <si>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</si>
  <si>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</si>
  <si>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</si>
  <si>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</si>
  <si>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</si>
  <si>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</si>
  <si>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</si>
  <si>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</si>
  <si>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</si>
  <si>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</si>
  <si>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</si>
  <si>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</si>
  <si>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</si>
  <si>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</si>
  <si>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</si>
  <si>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</si>
  <si>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</si>
  <si>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</si>
  <si>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</si>
  <si>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</si>
  <si>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</si>
  <si>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</si>
  <si>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</si>
  <si>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</si>
  <si>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</si>
  <si>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</si>
  <si>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</si>
  <si>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</si>
  <si>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</si>
  <si>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</si>
  <si>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</si>
  <si>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</si>
  <si>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</si>
  <si>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</si>
  <si>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</si>
  <si>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</si>
  <si>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</si>
  <si>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</si>
  <si>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</si>
  <si>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</si>
  <si>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</si>
  <si>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</si>
  <si>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</si>
  <si>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</si>
  <si>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</si>
  <si>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</si>
  <si>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</si>
  <si>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</si>
  <si>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</si>
  <si>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</si>
  <si>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</si>
  <si>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</si>
  <si>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</si>
  <si>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</si>
  <si>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</si>
  <si>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</si>
  <si>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</si>
  <si>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</si>
  <si>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</si>
  <si>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</si>
  <si>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</si>
  <si>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</si>
  <si>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</si>
  <si>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</si>
  <si>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</si>
  <si>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</si>
  <si>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</si>
  <si>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</si>
  <si>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</si>
  <si>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</si>
  <si>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</si>
  <si>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</si>
  <si>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</si>
  <si>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</si>
  <si>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</si>
  <si>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</si>
  <si>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</si>
  <si>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</si>
  <si>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</si>
  <si>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</si>
  <si>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</si>
  <si>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</si>
  <si>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</si>
  <si>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</si>
  <si>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</si>
  <si>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</si>
  <si>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</si>
  <si>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</si>
  <si>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</si>
  <si>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</si>
  <si>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</si>
  <si>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</si>
  <si>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</si>
  <si>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</si>
  <si>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</si>
  <si>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</si>
  <si>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</si>
  <si>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</si>
  <si>
    <t>Exchange (Base)</t>
  </si>
  <si>
    <t>print(LoadCO2)</t>
  </si>
  <si>
    <r>
      <t xml:space="preserve">Exchange Elasticity = 0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</si>
  <si>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-0.1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</si>
  <si>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-0.5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</si>
  <si>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-0.3
</t>
    </r>
    <r>
      <rPr>
        <b/>
        <i/>
        <sz val="10"/>
        <color theme="1"/>
        <rFont val="Calibri (Body)"/>
      </rPr>
      <t>Internal Demand Elasticity</t>
    </r>
  </si>
  <si>
    <t>Output (-0.5)</t>
  </si>
  <si>
    <t>∆ Profits (0)</t>
  </si>
  <si>
    <t>∆ Profits (-0.5)</t>
  </si>
  <si>
    <t>Output (Exchange Elast.= 0)</t>
  </si>
  <si>
    <t>Exchange Elasticity = 0</t>
  </si>
  <si>
    <t>Exch. Elast. = -0.1</t>
  </si>
  <si>
    <t>Exch. Elast. = -0.3</t>
  </si>
  <si>
    <t>Exch. Elast. = -0.5</t>
  </si>
  <si>
    <t>Baseload output</t>
  </si>
  <si>
    <t>Baseload profits</t>
  </si>
  <si>
    <t>Peakers output</t>
  </si>
  <si>
    <t>Peakers profit</t>
  </si>
  <si>
    <t>Baseload</t>
  </si>
  <si>
    <t>Peakers</t>
  </si>
  <si>
    <t>Carbon-charge</t>
  </si>
  <si>
    <t>Demand Ela</t>
  </si>
  <si>
    <t>Exch Ela</t>
  </si>
  <si>
    <t>∆ Profits</t>
  </si>
  <si>
    <t>∆ Output</t>
  </si>
  <si>
    <t>"Peakers"</t>
  </si>
  <si>
    <t>External Area Gains</t>
  </si>
  <si>
    <r>
      <t xml:space="preserve">Import Elasticity = -0.1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</si>
  <si>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-0.3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</si>
  <si>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-0.5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</si>
  <si>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Demand Elasticity
</t>
    </r>
    <r>
      <rPr>
        <b/>
        <i/>
        <sz val="10"/>
        <color theme="1"/>
        <rFont val="Cambria"/>
        <family val="1"/>
      </rPr>
      <t>(Exchange Elasticity = 0</t>
    </r>
    <r>
      <rPr>
        <b/>
        <i/>
        <sz val="12"/>
        <color theme="1"/>
        <rFont val="Cambria"/>
        <family val="1"/>
      </rPr>
      <t>)</t>
    </r>
  </si>
  <si>
    <t>Net Welfare Gain (NY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</si>
</sst>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000000000%"/>
    <numFmt numFmtId="170" formatCode="0.0"/>
  </numFmts>
  <fonts count="2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  <font>
      <sz val="12"/>
      <color theme="1"/>
      <name val="Cambria"/>
      <family val="1"/>
    </font>
    <font>
      <i/>
      <sz val="10"/>
      <color theme="1"/>
      <name val="Cambria"/>
      <family val="1"/>
    </font>
    <font>
      <b/>
      <i/>
      <sz val="12"/>
      <color theme="1"/>
      <name val="Cambria"/>
      <family val="1"/>
    </font>
    <font>
      <b/>
      <i/>
      <sz val="10"/>
      <color theme="1"/>
      <name val="Cambria"/>
      <family val="1"/>
    </font>
    <font>
      <i/>
      <sz val="12"/>
      <color theme="1"/>
      <name val="Cambria"/>
      <family val="1"/>
    </font>
    <font>
      <sz val="12"/>
      <color theme="0" tint="-0.14999847407452621"/>
      <name val="Cambria"/>
      <family val="1"/>
    </font>
    <font>
      <i/>
      <sz val="10"/>
      <color theme="0" tint="-0.14999847407452621"/>
      <name val="Cambria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2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wrapText="1"/>
    </xf>
    <xf numFmtId="166" fontId="0" fillId="0" borderId="21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168" fontId="0" fillId="0" borderId="0" xfId="0" applyNumberFormat="1"/>
    <xf numFmtId="0" fontId="0" fillId="0" borderId="24" xfId="0" applyBorder="1"/>
    <xf numFmtId="0" fontId="2" fillId="0" borderId="25" xfId="0" applyFont="1" applyBorder="1" applyAlignment="1">
      <alignment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170" fontId="3" fillId="0" borderId="1" xfId="0" applyNumberFormat="1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9" fontId="2" fillId="0" borderId="28" xfId="0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164" fontId="0" fillId="0" borderId="31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2" fillId="0" borderId="1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/>
    <xf numFmtId="0" fontId="15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/>
    <xf numFmtId="0" fontId="14" fillId="0" borderId="34" xfId="0" applyFont="1" applyBorder="1" applyAlignment="1">
      <alignment horizontal="center"/>
    </xf>
    <xf numFmtId="3" fontId="14" fillId="0" borderId="27" xfId="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3" fontId="14" fillId="0" borderId="3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4" fillId="0" borderId="0" xfId="0" applyFont="1" applyBorder="1"/>
    <xf numFmtId="0" fontId="16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0" borderId="1" xfId="0" applyFont="1" applyBorder="1"/>
    <xf numFmtId="0" fontId="15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4" fillId="0" borderId="5" xfId="0" applyFont="1" applyBorder="1"/>
    <xf numFmtId="0" fontId="15" fillId="0" borderId="12" xfId="0" applyFont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4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4" fillId="0" borderId="15" xfId="0" applyFont="1" applyBorder="1"/>
    <xf numFmtId="0" fontId="15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0" fontId="19" fillId="0" borderId="15" xfId="0" applyFont="1" applyBorder="1"/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5" fillId="0" borderId="3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Summary!$P$31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Summary!$I$31:$L$31</c:f>
              <c:numCache>
                <c:formatCode>0.00%</c:formatCode>
                <c:ptCount val="4"/>
                <c:pt idx="0">
                  <c:v>0.10348086719331195</c:v>
                </c:pt>
                <c:pt idx="1">
                  <c:v>0.14826048037823009</c:v>
                </c:pt>
                <c:pt idx="2">
                  <c:v>0.18976664914160757</c:v>
                </c:pt>
                <c:pt idx="3">
                  <c:v>0.30367387109992938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Summary!$P$33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Summary!$I$32:$L$32</c:f>
              <c:numCache>
                <c:formatCode>0.00%</c:formatCode>
                <c:ptCount val="4"/>
                <c:pt idx="0">
                  <c:v>3.2242540920135232E-2</c:v>
                </c:pt>
                <c:pt idx="1">
                  <c:v>7.9334073471308206E-2</c:v>
                </c:pt>
                <c:pt idx="2">
                  <c:v>0.12967736169245389</c:v>
                </c:pt>
                <c:pt idx="3">
                  <c:v>0.26777270795037317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'-0.1 -0.1'!$N$30</c:f>
              <c:numCache>
                <c:formatCode>#,##0</c:formatCode>
                <c:ptCount val="1"/>
                <c:pt idx="0">
                  <c:v>-4018.3608106224001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'-0.1 -0.1'!$M$31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'-0.1 -0.1'!$N$31</c:f>
              <c:numCache>
                <c:formatCode>#,##0</c:formatCode>
                <c:ptCount val="1"/>
                <c:pt idx="0">
                  <c:v>2040.7419997716006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'-0.1 -0.1'!$M$32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'-0.1 -0.1'!$N$32</c:f>
              <c:numCache>
                <c:formatCode>#,##0</c:formatCode>
                <c:ptCount val="1"/>
                <c:pt idx="0">
                  <c:v>1261.27336335108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'-0.1 -0.1'!$E$40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'-0.1 -0.1'!$G$40</c:f>
              <c:numCache>
                <c:formatCode>#,##0</c:formatCode>
                <c:ptCount val="1"/>
                <c:pt idx="0">
                  <c:v>1149.8333341942016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'-0.1 -0.1'!$M$35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'-0.1 -0.1'!$N$35</c:f>
              <c:numCache>
                <c:formatCode>#,##0</c:formatCode>
                <c:ptCount val="1"/>
                <c:pt idx="0">
                  <c:v>100.18308003794095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'-0.1 -0.1'!$M$37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'-0.1 -0.1'!$N$37</c:f>
              <c:numCache>
                <c:formatCode>#,##0</c:formatCode>
                <c:ptCount val="1"/>
                <c:pt idx="0">
                  <c:v>533.67096673242304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'-0.1 -0.3'!$N$30</c:f>
              <c:numCache>
                <c:formatCode>#,##0</c:formatCode>
                <c:ptCount val="1"/>
                <c:pt idx="0">
                  <c:v>-2733.8249735556019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5042-8269-826A080E357D}"/>
            </c:ext>
          </c:extLst>
        </c:ser>
        <c:ser>
          <c:idx val="1"/>
          <c:order val="1"/>
          <c:tx>
            <c:strRef>
              <c:f>'-0.1 -0.3'!$M$31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'-0.1 -0.3'!$N$31</c:f>
              <c:numCache>
                <c:formatCode>#,##0</c:formatCode>
                <c:ptCount val="1"/>
                <c:pt idx="0">
                  <c:v>1585.4477562228121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5042-8269-826A080E357D}"/>
            </c:ext>
          </c:extLst>
        </c:ser>
        <c:ser>
          <c:idx val="2"/>
          <c:order val="2"/>
          <c:tx>
            <c:strRef>
              <c:f>'-0.1 -0.3'!$M$32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'-0.1 -0.3'!$N$32</c:f>
              <c:numCache>
                <c:formatCode>#,##0</c:formatCode>
                <c:ptCount val="1"/>
                <c:pt idx="0">
                  <c:v>1073.2790939727499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5042-8269-826A080E357D}"/>
            </c:ext>
          </c:extLst>
        </c:ser>
        <c:ser>
          <c:idx val="4"/>
          <c:order val="3"/>
          <c:tx>
            <c:strRef>
              <c:f>'-0.1 -0.3'!$E$40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'-0.1 -0.3'!$G$40</c:f>
              <c:numCache>
                <c:formatCode>#,##0</c:formatCode>
                <c:ptCount val="1"/>
                <c:pt idx="0">
                  <c:v>989.33111266356741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5042-8269-826A080E357D}"/>
            </c:ext>
          </c:extLst>
        </c:ser>
        <c:ser>
          <c:idx val="3"/>
          <c:order val="4"/>
          <c:tx>
            <c:strRef>
              <c:f>'-0.1 -0.3'!$M$35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'-0.1 -0.3'!$N$35</c:f>
              <c:numCache>
                <c:formatCode>#,##0</c:formatCode>
                <c:ptCount val="1"/>
                <c:pt idx="0">
                  <c:v>296.97850660725703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5042-8269-826A080E357D}"/>
            </c:ext>
          </c:extLst>
        </c:ser>
        <c:ser>
          <c:idx val="5"/>
          <c:order val="5"/>
          <c:tx>
            <c:strRef>
              <c:f>'-0.1 -0.3'!$M$37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'-0.1 -0.3'!$N$37</c:f>
              <c:numCache>
                <c:formatCode>#,##0</c:formatCode>
                <c:ptCount val="1"/>
                <c:pt idx="0">
                  <c:v>1211.2114959107846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E-5042-8269-826A080E3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'-0.1 -0.5'!$N$30</c:f>
              <c:numCache>
                <c:formatCode>#,##0</c:formatCode>
                <c:ptCount val="1"/>
                <c:pt idx="0">
                  <c:v>-1403.2065422989999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2-0540-B41D-1B848514881B}"/>
            </c:ext>
          </c:extLst>
        </c:ser>
        <c:ser>
          <c:idx val="1"/>
          <c:order val="1"/>
          <c:tx>
            <c:strRef>
              <c:f>'-0.1 -0.5'!$M$31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'-0.1 -0.5'!$N$31</c:f>
              <c:numCache>
                <c:formatCode>#,##0</c:formatCode>
                <c:ptCount val="1"/>
                <c:pt idx="0">
                  <c:v>1049.84962330695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2-0540-B41D-1B848514881B}"/>
            </c:ext>
          </c:extLst>
        </c:ser>
        <c:ser>
          <c:idx val="2"/>
          <c:order val="2"/>
          <c:tx>
            <c:strRef>
              <c:f>'-0.1 -0.5'!$M$32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'-0.1 -0.5'!$N$32</c:f>
              <c:numCache>
                <c:formatCode>#,##0</c:formatCode>
                <c:ptCount val="1"/>
                <c:pt idx="0">
                  <c:v>908.59002410247399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2-0540-B41D-1B848514881B}"/>
            </c:ext>
          </c:extLst>
        </c:ser>
        <c:ser>
          <c:idx val="4"/>
          <c:order val="3"/>
          <c:tx>
            <c:strRef>
              <c:f>'-0.1 -0.5'!$E$40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'-0.1 -0.5'!$G$40</c:f>
              <c:numCache>
                <c:formatCode>#,##0</c:formatCode>
                <c:ptCount val="1"/>
                <c:pt idx="0">
                  <c:v>783.59736795471213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2-0540-B41D-1B848514881B}"/>
            </c:ext>
          </c:extLst>
        </c:ser>
        <c:ser>
          <c:idx val="3"/>
          <c:order val="4"/>
          <c:tx>
            <c:strRef>
              <c:f>'-0.1 -0.5'!$M$35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'-0.1 -0.5'!$N$35</c:f>
              <c:numCache>
                <c:formatCode>#,##0</c:formatCode>
                <c:ptCount val="1"/>
                <c:pt idx="0">
                  <c:v>468.43246337207074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2-0540-B41D-1B848514881B}"/>
            </c:ext>
          </c:extLst>
        </c:ser>
        <c:ser>
          <c:idx val="5"/>
          <c:order val="5"/>
          <c:tx>
            <c:strRef>
              <c:f>'-0.1 -0.5'!$M$37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'-0.1 -0.5'!$N$37</c:f>
              <c:numCache>
                <c:formatCode>#,##0</c:formatCode>
                <c:ptCount val="1"/>
                <c:pt idx="0">
                  <c:v>1807.2629364372069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2-0540-B41D-1B8485148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'-0.1 -1'!$N$30</c:f>
              <c:numCache>
                <c:formatCode>#,##0</c:formatCode>
                <c:ptCount val="1"/>
                <c:pt idx="0">
                  <c:v>1907.2036403156999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E84F-B2B6-B5933CED73EC}"/>
            </c:ext>
          </c:extLst>
        </c:ser>
        <c:ser>
          <c:idx val="1"/>
          <c:order val="1"/>
          <c:tx>
            <c:strRef>
              <c:f>'-0.1 -1'!$M$31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'-0.1 -1'!$N$31</c:f>
              <c:numCache>
                <c:formatCode>#,##0</c:formatCode>
                <c:ptCount val="1"/>
                <c:pt idx="0">
                  <c:v>-632.61631645260786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E84F-B2B6-B5933CED73EC}"/>
            </c:ext>
          </c:extLst>
        </c:ser>
        <c:ser>
          <c:idx val="2"/>
          <c:order val="2"/>
          <c:tx>
            <c:strRef>
              <c:f>'-0.1 -1'!$M$32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'-0.1 -1'!$N$32</c:f>
              <c:numCache>
                <c:formatCode>#,##0</c:formatCode>
                <c:ptCount val="1"/>
                <c:pt idx="0">
                  <c:v>564.66900400892791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E84F-B2B6-B5933CED73EC}"/>
            </c:ext>
          </c:extLst>
        </c:ser>
        <c:ser>
          <c:idx val="4"/>
          <c:order val="3"/>
          <c:tx>
            <c:strRef>
              <c:f>'-0.1 -1'!$E$40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'-0.1 -1'!$G$40</c:f>
              <c:numCache>
                <c:formatCode>#,##0</c:formatCode>
                <c:ptCount val="1"/>
                <c:pt idx="0">
                  <c:v>191.44656676437432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7-E84F-B2B6-B5933CED73EC}"/>
            </c:ext>
          </c:extLst>
        </c:ser>
        <c:ser>
          <c:idx val="3"/>
          <c:order val="4"/>
          <c:tx>
            <c:strRef>
              <c:f>'-0.1 -1'!$M$35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'-0.1 -1'!$N$35</c:f>
              <c:numCache>
                <c:formatCode>#,##0</c:formatCode>
                <c:ptCount val="1"/>
                <c:pt idx="0">
                  <c:v>814.70365492295798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7-E84F-B2B6-B5933CED73EC}"/>
            </c:ext>
          </c:extLst>
        </c:ser>
        <c:ser>
          <c:idx val="5"/>
          <c:order val="5"/>
          <c:tx>
            <c:strRef>
              <c:f>'-0.1 -1'!$M$37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'-0.1 -1'!$N$37</c:f>
              <c:numCache>
                <c:formatCode>#,##0</c:formatCode>
                <c:ptCount val="1"/>
                <c:pt idx="0">
                  <c:v>2845.4065495593522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7-E84F-B2B6-B5933CED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'-0.3 -0.1'!$N$30</c:f>
              <c:numCache>
                <c:formatCode>#,##0</c:formatCode>
                <c:ptCount val="1"/>
                <c:pt idx="0">
                  <c:v>-3742.6498122148005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A44-B2E2-59BD9396992C}"/>
            </c:ext>
          </c:extLst>
        </c:ser>
        <c:ser>
          <c:idx val="1"/>
          <c:order val="1"/>
          <c:tx>
            <c:strRef>
              <c:f>'-0.3 -0.1'!$M$31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'-0.3 -0.1'!$N$31</c:f>
              <c:numCache>
                <c:formatCode>#,##0</c:formatCode>
                <c:ptCount val="1"/>
                <c:pt idx="0">
                  <c:v>1838.7267694602206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A44-B2E2-59BD9396992C}"/>
            </c:ext>
          </c:extLst>
        </c:ser>
        <c:ser>
          <c:idx val="2"/>
          <c:order val="2"/>
          <c:tx>
            <c:strRef>
              <c:f>'-0.3 -0.1'!$M$32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'-0.3 -0.1'!$N$32</c:f>
              <c:numCache>
                <c:formatCode>#,##0</c:formatCode>
                <c:ptCount val="1"/>
                <c:pt idx="0">
                  <c:v>1170.5228127130401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D-4A44-B2E2-59BD9396992C}"/>
            </c:ext>
          </c:extLst>
        </c:ser>
        <c:ser>
          <c:idx val="4"/>
          <c:order val="3"/>
          <c:tx>
            <c:strRef>
              <c:f>'-0.3 -0.1'!$E$40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'-0.3 -0.1'!$G$40</c:f>
              <c:numCache>
                <c:formatCode>#,##0</c:formatCode>
                <c:ptCount val="1"/>
                <c:pt idx="0">
                  <c:v>1073.110902679789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D-4A44-B2E2-59BD9396992C}"/>
            </c:ext>
          </c:extLst>
        </c:ser>
        <c:ser>
          <c:idx val="3"/>
          <c:order val="4"/>
          <c:tx>
            <c:strRef>
              <c:f>'-0.3 -0.1'!$M$35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'-0.3 -0.1'!$N$35</c:f>
              <c:numCache>
                <c:formatCode>#,##0</c:formatCode>
                <c:ptCount val="1"/>
                <c:pt idx="0">
                  <c:v>56.469573261981168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D-4A44-B2E2-59BD9396992C}"/>
            </c:ext>
          </c:extLst>
        </c:ser>
        <c:ser>
          <c:idx val="5"/>
          <c:order val="5"/>
          <c:tx>
            <c:strRef>
              <c:f>'-0.3 -0.1'!$M$37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'-0.3 -0.1'!$N$37</c:f>
              <c:numCache>
                <c:formatCode>#,##0</c:formatCode>
                <c:ptCount val="1"/>
                <c:pt idx="0">
                  <c:v>396.18024590023037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D-4A44-B2E2-59BD93969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'-0.3 -0.3'!$N$30</c:f>
              <c:numCache>
                <c:formatCode>#,##0</c:formatCode>
                <c:ptCount val="1"/>
                <c:pt idx="0">
                  <c:v>-2378.7115194561993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FB41-93B1-FCEAD047A5CD}"/>
            </c:ext>
          </c:extLst>
        </c:ser>
        <c:ser>
          <c:idx val="1"/>
          <c:order val="1"/>
          <c:tx>
            <c:strRef>
              <c:f>'-0.3 -0.3'!$M$31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'-0.3 -0.3'!$N$31</c:f>
              <c:numCache>
                <c:formatCode>#,##0</c:formatCode>
                <c:ptCount val="1"/>
                <c:pt idx="0">
                  <c:v>1339.2472625920755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FB41-93B1-FCEAD047A5CD}"/>
            </c:ext>
          </c:extLst>
        </c:ser>
        <c:ser>
          <c:idx val="2"/>
          <c:order val="2"/>
          <c:tx>
            <c:strRef>
              <c:f>'-0.3 -0.3'!$M$32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'-0.3 -0.3'!$N$32</c:f>
              <c:numCache>
                <c:formatCode>#,##0</c:formatCode>
                <c:ptCount val="1"/>
                <c:pt idx="0">
                  <c:v>998.74942357850205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FB41-93B1-FCEAD047A5CD}"/>
            </c:ext>
          </c:extLst>
        </c:ser>
        <c:ser>
          <c:idx val="4"/>
          <c:order val="3"/>
          <c:tx>
            <c:strRef>
              <c:f>'-0.3 -0.3'!$E$40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'-0.3 -0.3'!$G$40</c:f>
              <c:numCache>
                <c:formatCode>#,##0</c:formatCode>
                <c:ptCount val="1"/>
                <c:pt idx="0">
                  <c:v>886.76902927891626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9-FB41-93B1-FCEAD047A5CD}"/>
            </c:ext>
          </c:extLst>
        </c:ser>
        <c:ser>
          <c:idx val="3"/>
          <c:order val="4"/>
          <c:tx>
            <c:strRef>
              <c:f>'-0.3 -0.3'!$M$35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'-0.3 -0.3'!$N$35</c:f>
              <c:numCache>
                <c:formatCode>#,##0</c:formatCode>
                <c:ptCount val="1"/>
                <c:pt idx="0">
                  <c:v>251.79248033908743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9-FB41-93B1-FCEAD047A5CD}"/>
            </c:ext>
          </c:extLst>
        </c:ser>
        <c:ser>
          <c:idx val="5"/>
          <c:order val="5"/>
          <c:tx>
            <c:strRef>
              <c:f>'-0.3 -0.3'!$M$37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'-0.3 -0.3'!$N$37</c:f>
              <c:numCache>
                <c:formatCode>#,##0</c:formatCode>
                <c:ptCount val="1"/>
                <c:pt idx="0">
                  <c:v>1097.8466763323818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9-FB41-93B1-FCEAD047A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'-0.3 -0.5'!$N$30</c:f>
              <c:numCache>
                <c:formatCode>#,##0</c:formatCode>
                <c:ptCount val="1"/>
                <c:pt idx="0">
                  <c:v>-868.47018121610017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8D4D-9BAE-33B8433FE7F6}"/>
            </c:ext>
          </c:extLst>
        </c:ser>
        <c:ser>
          <c:idx val="1"/>
          <c:order val="1"/>
          <c:tx>
            <c:strRef>
              <c:f>'-0.3 -0.5'!$M$31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'-0.3 -0.5'!$N$31</c:f>
              <c:numCache>
                <c:formatCode>#,##0</c:formatCode>
                <c:ptCount val="1"/>
                <c:pt idx="0">
                  <c:v>706.77047536988266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F-8D4D-9BAE-33B8433FE7F6}"/>
            </c:ext>
          </c:extLst>
        </c:ser>
        <c:ser>
          <c:idx val="2"/>
          <c:order val="2"/>
          <c:tx>
            <c:strRef>
              <c:f>'-0.3 -0.5'!$M$32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'-0.3 -0.5'!$N$32</c:f>
              <c:numCache>
                <c:formatCode>#,##0</c:formatCode>
                <c:ptCount val="1"/>
                <c:pt idx="0">
                  <c:v>840.90503534068091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F-8D4D-9BAE-33B8433FE7F6}"/>
            </c:ext>
          </c:extLst>
        </c:ser>
        <c:ser>
          <c:idx val="4"/>
          <c:order val="3"/>
          <c:tx>
            <c:strRef>
              <c:f>'-0.3 -0.5'!$E$40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'-0.3 -0.5'!$G$40</c:f>
              <c:numCache>
                <c:formatCode>#,##0</c:formatCode>
                <c:ptCount val="1"/>
                <c:pt idx="0">
                  <c:v>633.27751161639026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F-8D4D-9BAE-33B8433FE7F6}"/>
            </c:ext>
          </c:extLst>
        </c:ser>
        <c:ser>
          <c:idx val="3"/>
          <c:order val="4"/>
          <c:tx>
            <c:strRef>
              <c:f>'-0.3 -0.5'!$M$35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'-0.3 -0.5'!$N$35</c:f>
              <c:numCache>
                <c:formatCode>#,##0</c:formatCode>
                <c:ptCount val="1"/>
                <c:pt idx="0">
                  <c:v>426.34631505763332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F-8D4D-9BAE-33B8433FE7F6}"/>
            </c:ext>
          </c:extLst>
        </c:ser>
        <c:ser>
          <c:idx val="5"/>
          <c:order val="5"/>
          <c:tx>
            <c:strRef>
              <c:f>'-0.3 -0.5'!$M$37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'-0.3 -0.5'!$N$37</c:f>
              <c:numCache>
                <c:formatCode>#,##0</c:formatCode>
                <c:ptCount val="1"/>
                <c:pt idx="0">
                  <c:v>1738.8291561684871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F-8D4D-9BAE-33B8433FE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'-0.3 -1'!$N$30</c:f>
              <c:numCache>
                <c:formatCode>#,##0</c:formatCode>
                <c:ptCount val="1"/>
                <c:pt idx="0">
                  <c:v>2634.829219558349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943-9550-244FE078B8CC}"/>
            </c:ext>
          </c:extLst>
        </c:ser>
        <c:ser>
          <c:idx val="1"/>
          <c:order val="1"/>
          <c:tx>
            <c:strRef>
              <c:f>'-0.3 -1'!$M$31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'-0.3 -1'!$N$31</c:f>
              <c:numCache>
                <c:formatCode>#,##0</c:formatCode>
                <c:ptCount val="1"/>
                <c:pt idx="0">
                  <c:v>-1164.4492224595797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4943-9550-244FE078B8CC}"/>
            </c:ext>
          </c:extLst>
        </c:ser>
        <c:ser>
          <c:idx val="2"/>
          <c:order val="2"/>
          <c:tx>
            <c:strRef>
              <c:f>'-0.3 -1'!$M$32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'-0.3 -1'!$N$32</c:f>
              <c:numCache>
                <c:formatCode>#,##0</c:formatCode>
                <c:ptCount val="1"/>
                <c:pt idx="0">
                  <c:v>521.93956221413794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2-4943-9550-244FE078B8CC}"/>
            </c:ext>
          </c:extLst>
        </c:ser>
        <c:ser>
          <c:idx val="4"/>
          <c:order val="3"/>
          <c:tx>
            <c:strRef>
              <c:f>'-0.3 -1'!$E$40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'-0.3 -1'!$G$40</c:f>
              <c:numCache>
                <c:formatCode>#,##0</c:formatCode>
                <c:ptCount val="1"/>
                <c:pt idx="0">
                  <c:v>-31.709490185042359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2-4943-9550-244FE078B8CC}"/>
            </c:ext>
          </c:extLst>
        </c:ser>
        <c:ser>
          <c:idx val="3"/>
          <c:order val="4"/>
          <c:tx>
            <c:strRef>
              <c:f>'-0.3 -1'!$M$35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'-0.3 -1'!$N$35</c:f>
              <c:numCache>
                <c:formatCode>#,##0</c:formatCode>
                <c:ptCount val="1"/>
                <c:pt idx="0">
                  <c:v>751.32178171864246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2-4943-9550-244FE078B8CC}"/>
            </c:ext>
          </c:extLst>
        </c:ser>
        <c:ser>
          <c:idx val="5"/>
          <c:order val="5"/>
          <c:tx>
            <c:strRef>
              <c:f>'-0.3 -1'!$M$37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'-0.3 -1'!$N$37</c:f>
              <c:numCache>
                <c:formatCode>#,##0</c:formatCode>
                <c:ptCount val="1"/>
                <c:pt idx="0">
                  <c:v>2711.9318508465071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2-4943-9550-244FE078B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'-0.5 -0.1'!$N$30</c:f>
              <c:numCache>
                <c:formatCode>#,##0</c:formatCode>
                <c:ptCount val="1"/>
                <c:pt idx="0">
                  <c:v>-3356.2040003098009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2E42-85E7-09B5A2AD4EAB}"/>
            </c:ext>
          </c:extLst>
        </c:ser>
        <c:ser>
          <c:idx val="1"/>
          <c:order val="1"/>
          <c:tx>
            <c:strRef>
              <c:f>'-0.5 -0.1'!$M$31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'-0.5 -0.1'!$N$31</c:f>
              <c:numCache>
                <c:formatCode>#,##0</c:formatCode>
                <c:ptCount val="1"/>
                <c:pt idx="0">
                  <c:v>1582.2418257702238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2E42-85E7-09B5A2AD4EAB}"/>
            </c:ext>
          </c:extLst>
        </c:ser>
        <c:ser>
          <c:idx val="2"/>
          <c:order val="2"/>
          <c:tx>
            <c:strRef>
              <c:f>'-0.5 -0.1'!$M$32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'-0.5 -0.1'!$N$32</c:f>
              <c:numCache>
                <c:formatCode>#,##0</c:formatCode>
                <c:ptCount val="1"/>
                <c:pt idx="0">
                  <c:v>1088.043901301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2E42-85E7-09B5A2AD4EAB}"/>
            </c:ext>
          </c:extLst>
        </c:ser>
        <c:ser>
          <c:idx val="4"/>
          <c:order val="3"/>
          <c:tx>
            <c:strRef>
              <c:f>'-0.5 -0.1'!$E$40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'-0.5 -0.1'!$G$40</c:f>
              <c:numCache>
                <c:formatCode>#,##0</c:formatCode>
                <c:ptCount val="1"/>
                <c:pt idx="0">
                  <c:v>968.13807779266574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2E42-85E7-09B5A2AD4EAB}"/>
            </c:ext>
          </c:extLst>
        </c:ser>
        <c:ser>
          <c:idx val="3"/>
          <c:order val="4"/>
          <c:tx>
            <c:strRef>
              <c:f>'-0.5 -0.1'!$M$35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'-0.5 -0.1'!$N$35</c:f>
              <c:numCache>
                <c:formatCode>#,##0</c:formatCode>
                <c:ptCount val="1"/>
                <c:pt idx="0">
                  <c:v>11.046260627921583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2E42-85E7-09B5A2AD4EAB}"/>
            </c:ext>
          </c:extLst>
        </c:ser>
        <c:ser>
          <c:idx val="5"/>
          <c:order val="5"/>
          <c:tx>
            <c:strRef>
              <c:f>'-0.5 -0.1'!$M$37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'-0.5 -0.1'!$N$37</c:f>
              <c:numCache>
                <c:formatCode>#,##0</c:formatCode>
                <c:ptCount val="1"/>
                <c:pt idx="0">
                  <c:v>293.26606518201027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3-2E42-85E7-09B5A2AD4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'-0.5 -0.3'!$N$30</c:f>
              <c:numCache>
                <c:formatCode>#,##0</c:formatCode>
                <c:ptCount val="1"/>
                <c:pt idx="0">
                  <c:v>-1833.5771802226009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FA47-BC86-0B0CB33DBC31}"/>
            </c:ext>
          </c:extLst>
        </c:ser>
        <c:ser>
          <c:idx val="1"/>
          <c:order val="1"/>
          <c:tx>
            <c:strRef>
              <c:f>'-0.5 -0.3'!$M$31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'-0.5 -0.3'!$N$31</c:f>
              <c:numCache>
                <c:formatCode>#,##0</c:formatCode>
                <c:ptCount val="1"/>
                <c:pt idx="0">
                  <c:v>999.81585828063271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FA47-BC86-0B0CB33DBC31}"/>
            </c:ext>
          </c:extLst>
        </c:ser>
        <c:ser>
          <c:idx val="2"/>
          <c:order val="2"/>
          <c:tx>
            <c:strRef>
              <c:f>'-0.5 -0.3'!$M$32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'-0.5 -0.3'!$N$32</c:f>
              <c:numCache>
                <c:formatCode>#,##0</c:formatCode>
                <c:ptCount val="1"/>
                <c:pt idx="0">
                  <c:v>927.51145558452902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E-FA47-BC86-0B0CB33DBC31}"/>
            </c:ext>
          </c:extLst>
        </c:ser>
        <c:ser>
          <c:idx val="4"/>
          <c:order val="3"/>
          <c:tx>
            <c:strRef>
              <c:f>'-0.5 -0.3'!$E$40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'-0.5 -0.3'!$G$40</c:f>
              <c:numCache>
                <c:formatCode>#,##0</c:formatCode>
                <c:ptCount val="1"/>
                <c:pt idx="0">
                  <c:v>737.76542249929037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E-FA47-BC86-0B0CB33DBC31}"/>
            </c:ext>
          </c:extLst>
        </c:ser>
        <c:ser>
          <c:idx val="3"/>
          <c:order val="4"/>
          <c:tx>
            <c:strRef>
              <c:f>'-0.5 -0.3'!$M$35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'-0.5 -0.3'!$N$35</c:f>
              <c:numCache>
                <c:formatCode>#,##0</c:formatCode>
                <c:ptCount val="1"/>
                <c:pt idx="0">
                  <c:v>205.23464153427994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E-FA47-BC86-0B0CB33DBC31}"/>
            </c:ext>
          </c:extLst>
        </c:ser>
        <c:ser>
          <c:idx val="5"/>
          <c:order val="5"/>
          <c:tx>
            <c:strRef>
              <c:f>'-0.5 -0.3'!$M$37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'-0.5 -0.3'!$N$37</c:f>
              <c:numCache>
                <c:formatCode>#,##0</c:formatCode>
                <c:ptCount val="1"/>
                <c:pt idx="0">
                  <c:v>1036.7501976761312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E-FA47-BC86-0B0CB33D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Summary!$M$47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Summary!$N$47:$Q$47</c:f>
              <c:numCache>
                <c:formatCode>#,##0</c:formatCode>
                <c:ptCount val="4"/>
                <c:pt idx="0">
                  <c:v>1622.2940053848181</c:v>
                </c:pt>
                <c:pt idx="1">
                  <c:v>2156.658527783798</c:v>
                </c:pt>
                <c:pt idx="2">
                  <c:v>2562.9692672116553</c:v>
                </c:pt>
                <c:pt idx="3">
                  <c:v>3221.149453615159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Summary!$M$48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Summary!$N$48:$Q$48</c:f>
              <c:numCache>
                <c:formatCode>#,##0</c:formatCode>
                <c:ptCount val="4"/>
                <c:pt idx="0">
                  <c:v>533.67096673242304</c:v>
                </c:pt>
                <c:pt idx="1">
                  <c:v>1211.2114959107846</c:v>
                </c:pt>
                <c:pt idx="2">
                  <c:v>1807.2629364372069</c:v>
                </c:pt>
                <c:pt idx="3">
                  <c:v>2845.4065495593522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ser>
          <c:idx val="2"/>
          <c:order val="2"/>
          <c:tx>
            <c:strRef>
              <c:f>Summary!$M$49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Summary!$N$49:$Q$49</c:f>
              <c:numCache>
                <c:formatCode>#,##0</c:formatCode>
                <c:ptCount val="4"/>
                <c:pt idx="0">
                  <c:v>396.18024590023037</c:v>
                </c:pt>
                <c:pt idx="1">
                  <c:v>1097.8466763323818</c:v>
                </c:pt>
                <c:pt idx="2">
                  <c:v>1738.8291561684871</c:v>
                </c:pt>
                <c:pt idx="3">
                  <c:v>2711.9318508465071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5-0748-B39B-63E3259BD9F7}"/>
            </c:ext>
          </c:extLst>
        </c:ser>
        <c:ser>
          <c:idx val="3"/>
          <c:order val="3"/>
          <c:tx>
            <c:strRef>
              <c:f>Summary!$M$50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Summary!$N$46:$Q$46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Summary!$N$50:$Q$50</c:f>
              <c:numCache>
                <c:formatCode>#,##0</c:formatCode>
                <c:ptCount val="4"/>
                <c:pt idx="0">
                  <c:v>293.26606518201027</c:v>
                </c:pt>
                <c:pt idx="1">
                  <c:v>1036.7501976761312</c:v>
                </c:pt>
                <c:pt idx="2">
                  <c:v>1658.7728310642774</c:v>
                </c:pt>
                <c:pt idx="3">
                  <c:v>2673.7858815040213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5-0748-B39B-63E3259B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'-0.5 -0.5'!$N$30</c:f>
              <c:numCache>
                <c:formatCode>#,##0</c:formatCode>
                <c:ptCount val="1"/>
                <c:pt idx="0">
                  <c:v>-218.08856899189959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6944-8A84-A7982B3C946C}"/>
            </c:ext>
          </c:extLst>
        </c:ser>
        <c:ser>
          <c:idx val="1"/>
          <c:order val="1"/>
          <c:tx>
            <c:strRef>
              <c:f>'-0.5 -0.5'!$M$31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'-0.5 -0.5'!$N$31</c:f>
              <c:numCache>
                <c:formatCode>#,##0</c:formatCode>
                <c:ptCount val="1"/>
                <c:pt idx="0">
                  <c:v>278.5934837655368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6-6944-8A84-A7982B3C946C}"/>
            </c:ext>
          </c:extLst>
        </c:ser>
        <c:ser>
          <c:idx val="2"/>
          <c:order val="2"/>
          <c:tx>
            <c:strRef>
              <c:f>'-0.5 -0.5'!$M$32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'-0.5 -0.5'!$N$32</c:f>
              <c:numCache>
                <c:formatCode>#,##0</c:formatCode>
                <c:ptCount val="1"/>
                <c:pt idx="0">
                  <c:v>779.44262921798895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6-6944-8A84-A7982B3C946C}"/>
            </c:ext>
          </c:extLst>
        </c:ser>
        <c:ser>
          <c:idx val="4"/>
          <c:order val="3"/>
          <c:tx>
            <c:strRef>
              <c:f>'-0.5 -0.5'!$E$40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'-0.5 -0.5'!$G$40</c:f>
              <c:numCache>
                <c:formatCode>#,##0</c:formatCode>
                <c:ptCount val="1"/>
                <c:pt idx="0">
                  <c:v>451.2949379052539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6-6944-8A84-A7982B3C946C}"/>
            </c:ext>
          </c:extLst>
        </c:ser>
        <c:ser>
          <c:idx val="3"/>
          <c:order val="4"/>
          <c:tx>
            <c:strRef>
              <c:f>'-0.5 -0.5'!$M$35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'-0.5 -0.5'!$N$35</c:f>
              <c:numCache>
                <c:formatCode>#,##0</c:formatCode>
                <c:ptCount val="1"/>
                <c:pt idx="0">
                  <c:v>367.53034916739739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6-6944-8A84-A7982B3C946C}"/>
            </c:ext>
          </c:extLst>
        </c:ser>
        <c:ser>
          <c:idx val="5"/>
          <c:order val="5"/>
          <c:tx>
            <c:strRef>
              <c:f>'-0.5 -0.5'!$M$37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'-0.5 -0.5'!$N$37</c:f>
              <c:numCache>
                <c:formatCode>#,##0</c:formatCode>
                <c:ptCount val="1"/>
                <c:pt idx="0">
                  <c:v>1658.7728310642774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6-6944-8A84-A7982B3C9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'-0.5 -1'!$N$30</c:f>
              <c:numCache>
                <c:formatCode>#,##0</c:formatCode>
                <c:ptCount val="1"/>
                <c:pt idx="0">
                  <c:v>3699.1802150002095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314C-BCB5-08C3A5BBDB14}"/>
            </c:ext>
          </c:extLst>
        </c:ser>
        <c:ser>
          <c:idx val="1"/>
          <c:order val="1"/>
          <c:tx>
            <c:strRef>
              <c:f>'-0.5 -1'!$M$31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'-0.5 -1'!$N$31</c:f>
              <c:numCache>
                <c:formatCode>#,##0</c:formatCode>
                <c:ptCount val="1"/>
                <c:pt idx="0">
                  <c:v>-1809.4593587100853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314C-BCB5-08C3A5BBDB14}"/>
            </c:ext>
          </c:extLst>
        </c:ser>
        <c:ser>
          <c:idx val="2"/>
          <c:order val="2"/>
          <c:tx>
            <c:strRef>
              <c:f>'-0.5 -1'!$M$32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'-0.5 -1'!$N$32</c:f>
              <c:numCache>
                <c:formatCode>#,##0</c:formatCode>
                <c:ptCount val="1"/>
                <c:pt idx="0">
                  <c:v>463.71866306171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314C-BCB5-08C3A5BBDB14}"/>
            </c:ext>
          </c:extLst>
        </c:ser>
        <c:ser>
          <c:idx val="4"/>
          <c:order val="3"/>
          <c:tx>
            <c:strRef>
              <c:f>'-0.5 -1'!$E$40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'-0.5 -1'!$G$40</c:f>
              <c:numCache>
                <c:formatCode>#,##0</c:formatCode>
                <c:ptCount val="1"/>
                <c:pt idx="0">
                  <c:v>-354.55375239035709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314C-BCB5-08C3A5BBDB14}"/>
            </c:ext>
          </c:extLst>
        </c:ser>
        <c:ser>
          <c:idx val="3"/>
          <c:order val="4"/>
          <c:tx>
            <c:strRef>
              <c:f>'-0.5 -1'!$M$35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'-0.5 -1'!$N$35</c:f>
              <c:numCache>
                <c:formatCode>#,##0</c:formatCode>
                <c:ptCount val="1"/>
                <c:pt idx="0">
                  <c:v>674.90011454254443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314C-BCB5-08C3A5BBDB14}"/>
            </c:ext>
          </c:extLst>
        </c:ser>
        <c:ser>
          <c:idx val="5"/>
          <c:order val="5"/>
          <c:tx>
            <c:strRef>
              <c:f>'-0.5 -1'!$M$37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'-0.5 -1'!$N$37</c:f>
              <c:numCache>
                <c:formatCode>#,##0</c:formatCode>
                <c:ptCount val="1"/>
                <c:pt idx="0">
                  <c:v>2673.7858815040213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3-314C-BCB5-08C3A5BBD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(2)'!$P$26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(2)'!$I$26:$L$26</c:f>
              <c:numCache>
                <c:formatCode>0.00%</c:formatCode>
                <c:ptCount val="4"/>
                <c:pt idx="0">
                  <c:v>0.10348086719331195</c:v>
                </c:pt>
                <c:pt idx="1">
                  <c:v>0.14826048037823009</c:v>
                </c:pt>
                <c:pt idx="2">
                  <c:v>0.18976664914160757</c:v>
                </c:pt>
                <c:pt idx="3">
                  <c:v>0.30367387109992938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2-E645-876C-FA853DF3B769}"/>
            </c:ext>
          </c:extLst>
        </c:ser>
        <c:ser>
          <c:idx val="1"/>
          <c:order val="1"/>
          <c:tx>
            <c:strRef>
              <c:f>'Summary (2)'!$P$28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(2)'!$I$27:$L$27</c:f>
              <c:numCache>
                <c:formatCode>0.00%</c:formatCode>
                <c:ptCount val="4"/>
                <c:pt idx="0">
                  <c:v>3.2242540920135232E-2</c:v>
                </c:pt>
                <c:pt idx="1">
                  <c:v>7.9334073471308206E-2</c:v>
                </c:pt>
                <c:pt idx="2">
                  <c:v>0.12967736169245389</c:v>
                </c:pt>
                <c:pt idx="3">
                  <c:v>0.26777270795037317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2-E645-876C-FA853DF3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(2)'!$M$42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(2)'!$N$42:$Q$42</c:f>
              <c:numCache>
                <c:formatCode>#,##0</c:formatCode>
                <c:ptCount val="4"/>
                <c:pt idx="0">
                  <c:v>1622.2940053848181</c:v>
                </c:pt>
                <c:pt idx="1">
                  <c:v>2156.658527783798</c:v>
                </c:pt>
                <c:pt idx="2">
                  <c:v>2562.9692672116553</c:v>
                </c:pt>
                <c:pt idx="3">
                  <c:v>3221.149453615159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F-E84A-9980-59FDAF12FABE}"/>
            </c:ext>
          </c:extLst>
        </c:ser>
        <c:ser>
          <c:idx val="1"/>
          <c:order val="1"/>
          <c:tx>
            <c:strRef>
              <c:f>'Summary (2)'!$M$43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(2)'!$N$43:$Q$43</c:f>
              <c:numCache>
                <c:formatCode>#,##0</c:formatCode>
                <c:ptCount val="4"/>
                <c:pt idx="0">
                  <c:v>533.67096673242304</c:v>
                </c:pt>
                <c:pt idx="1">
                  <c:v>1211.2114959107846</c:v>
                </c:pt>
                <c:pt idx="2">
                  <c:v>1807.2629364372069</c:v>
                </c:pt>
                <c:pt idx="3">
                  <c:v>2845.4065495593522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F-E84A-9980-59FDAF12FABE}"/>
            </c:ext>
          </c:extLst>
        </c:ser>
        <c:ser>
          <c:idx val="2"/>
          <c:order val="2"/>
          <c:tx>
            <c:strRef>
              <c:f>'Summary (2)'!$M$44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(2)'!$N$44:$Q$44</c:f>
              <c:numCache>
                <c:formatCode>#,##0</c:formatCode>
                <c:ptCount val="4"/>
                <c:pt idx="0">
                  <c:v>396.18024590023037</c:v>
                </c:pt>
                <c:pt idx="1">
                  <c:v>1097.8466763323818</c:v>
                </c:pt>
                <c:pt idx="2">
                  <c:v>1738.8291561684871</c:v>
                </c:pt>
                <c:pt idx="3">
                  <c:v>2711.9318508465071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F-E84A-9980-59FDAF12FABE}"/>
            </c:ext>
          </c:extLst>
        </c:ser>
        <c:ser>
          <c:idx val="3"/>
          <c:order val="3"/>
          <c:tx>
            <c:strRef>
              <c:f>'Summary (2)'!$M$45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(2)'!$N$41:$Q$41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(2)'!$N$45:$Q$45</c:f>
              <c:numCache>
                <c:formatCode>#,##0</c:formatCode>
                <c:ptCount val="4"/>
                <c:pt idx="0">
                  <c:v>293.26606518201027</c:v>
                </c:pt>
                <c:pt idx="1">
                  <c:v>1036.7501976761312</c:v>
                </c:pt>
                <c:pt idx="2">
                  <c:v>1658.7728310642774</c:v>
                </c:pt>
                <c:pt idx="3">
                  <c:v>2673.7858815040213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F-E84A-9980-59FDAF12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3655500999733"/>
          <c:y val="2.4073987272667116E-2"/>
          <c:w val="0.76962314951676314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(Exchange Elast.= 0)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96676744.295320004</c:v>
                </c:pt>
                <c:pt idx="2">
                  <c:v>83388300.730003506</c:v>
                </c:pt>
                <c:pt idx="3">
                  <c:v>71992151.346977502</c:v>
                </c:pt>
                <c:pt idx="4">
                  <c:v>45900671.535320297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 (-0.5)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2"/>
            <c:marker>
              <c:symbol val="circle"/>
              <c:size val="18"/>
              <c:spPr>
                <a:solidFill>
                  <a:schemeClr val="accent6">
                    <a:lumMod val="50000"/>
                  </a:schemeClr>
                </a:solidFill>
                <a:ln w="22225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A9-5344-8A7D-9E63BE6FCCFD}"/>
              </c:ext>
            </c:extLst>
          </c:dPt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81446861.360902295</c:v>
                </c:pt>
                <c:pt idx="2">
                  <c:v>70293775.202740207</c:v>
                </c:pt>
                <c:pt idx="3">
                  <c:v>59730672.075537004</c:v>
                </c:pt>
                <c:pt idx="4">
                  <c:v>36259416.177052401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(0)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134033059.58362508</c:v>
                </c:pt>
                <c:pt idx="1">
                  <c:v>-32976675.501408935</c:v>
                </c:pt>
                <c:pt idx="2">
                  <c:v>-160387886.93897396</c:v>
                </c:pt>
                <c:pt idx="3">
                  <c:v>-394752329.59558195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(-0.5)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1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A9-5344-8A7D-9E63BE6FCCFD}"/>
              </c:ext>
            </c:extLst>
          </c:dPt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772648.23207199574</c:v>
                </c:pt>
                <c:pt idx="1">
                  <c:v>-118723830.96739197</c:v>
                </c:pt>
                <c:pt idx="2">
                  <c:v>-236968662.88676596</c:v>
                </c:pt>
                <c:pt idx="3">
                  <c:v>-442367215.34671199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Output</a:t>
                </a:r>
                <a:endParaRPr lang="en-US" sz="1600" b="1" i="1" baseline="0"/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 baseline="0"/>
                  <a:t>[TWh]</a:t>
                </a:r>
                <a:endParaRPr lang="en-US" sz="1600" i="1"/>
              </a:p>
            </c:rich>
          </c:tx>
          <c:layout>
            <c:manualLayout>
              <c:xMode val="edge"/>
              <c:yMode val="edge"/>
              <c:x val="0.93339161293564576"/>
              <c:y val="0.36942353092446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8135020958130524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'0 -0.1'!$N$30</c:f>
              <c:numCache>
                <c:formatCode>#,##0</c:formatCode>
                <c:ptCount val="1"/>
                <c:pt idx="0">
                  <c:v>-3143.8318909045011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'0 -0.1'!$M$31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'0 -0.1'!$N$31</c:f>
              <c:numCache>
                <c:formatCode>#,##0</c:formatCode>
                <c:ptCount val="1"/>
                <c:pt idx="0">
                  <c:v>2130.1749772138928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'0 -0.1'!$M$32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'0 -0.1'!$N$32</c:f>
              <c:numCache>
                <c:formatCode>#,##0</c:formatCode>
                <c:ptCount val="1"/>
                <c:pt idx="0">
                  <c:v>1309.55949683532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'0 -0.1'!$E$40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'0 -0.1'!$G$40</c:f>
              <c:numCache>
                <c:formatCode>#,##0</c:formatCode>
                <c:ptCount val="1"/>
                <c:pt idx="0">
                  <c:v>1204.4215865315409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'0 -0.1'!$M$35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'0 -0.1'!$N$35</c:f>
              <c:numCache>
                <c:formatCode>#,##0</c:formatCode>
                <c:ptCount val="1"/>
                <c:pt idx="0">
                  <c:v>121.96983570856537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'0 -0.1'!$M$37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'0 -0.1'!$N$37</c:f>
              <c:numCache>
                <c:formatCode>#,##0</c:formatCode>
                <c:ptCount val="1"/>
                <c:pt idx="0">
                  <c:v>1622.2940053848181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'0 -0.3'!$N$30</c:f>
              <c:numCache>
                <c:formatCode>#,##0</c:formatCode>
                <c:ptCount val="1"/>
                <c:pt idx="0">
                  <c:v>-2013.0109629501003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'0 -0.3'!$M$31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'0 -0.3'!$N$31</c:f>
              <c:numCache>
                <c:formatCode>#,##0</c:formatCode>
                <c:ptCount val="1"/>
                <c:pt idx="0">
                  <c:v>1682.7879832158387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'0 -0.3'!$M$32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'0 -0.3'!$N$32</c:f>
              <c:numCache>
                <c:formatCode>#,##0</c:formatCode>
                <c:ptCount val="1"/>
                <c:pt idx="0">
                  <c:v>1111.2539836067199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'0 -0.3'!$E$40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'0 -0.3'!$G$40</c:f>
              <c:numCache>
                <c:formatCode>#,##0</c:formatCode>
                <c:ptCount val="1"/>
                <c:pt idx="0">
                  <c:v>1055.3521749741678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'0 -0.3'!$M$35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'0 -0.3'!$N$35</c:f>
              <c:numCache>
                <c:formatCode>#,##0</c:formatCode>
                <c:ptCount val="1"/>
                <c:pt idx="0">
                  <c:v>320.27534893717188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'0 -0.3'!$N$37</c:f>
              <c:numCache>
                <c:formatCode>#,##0</c:formatCode>
                <c:ptCount val="1"/>
                <c:pt idx="0">
                  <c:v>2156.658527783798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'0 -0.5'!$N$30</c:f>
              <c:numCache>
                <c:formatCode>#,##0</c:formatCode>
                <c:ptCount val="1"/>
                <c:pt idx="0">
                  <c:v>-972.49498217149994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'0 -0.5'!$M$31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'0 -0.5'!$N$31</c:f>
              <c:numCache>
                <c:formatCode>#,##0</c:formatCode>
                <c:ptCount val="1"/>
                <c:pt idx="0">
                  <c:v>1215.24249802142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'0 -0.5'!$M$32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'0 -0.5'!$N$32</c:f>
              <c:numCache>
                <c:formatCode>#,##0</c:formatCode>
                <c:ptCount val="1"/>
                <c:pt idx="0">
                  <c:v>945.97308325003803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'0 -0.5'!$E$40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'0 -0.5'!$G$40</c:f>
              <c:numCache>
                <c:formatCode>#,##0</c:formatCode>
                <c:ptCount val="1"/>
                <c:pt idx="0">
                  <c:v>888.69241881784092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'0 -0.5'!$M$35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'0 -0.5'!$N$35</c:f>
              <c:numCache>
                <c:formatCode>#,##0</c:formatCode>
                <c:ptCount val="1"/>
                <c:pt idx="0">
                  <c:v>485.5562492938559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'0 -0.5'!$M$37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'0 -0.5'!$N$37</c:f>
              <c:numCache>
                <c:formatCode>#,##0</c:formatCode>
                <c:ptCount val="1"/>
                <c:pt idx="0">
                  <c:v>2562.9692672116553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'0 -1'!$N$30</c:f>
              <c:numCache>
                <c:formatCode>#,##0</c:formatCode>
                <c:ptCount val="1"/>
                <c:pt idx="0">
                  <c:v>1926.1386334483996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'0 -1'!$M$31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'0 -1'!$N$31</c:f>
              <c:numCache>
                <c:formatCode>#,##0</c:formatCode>
                <c:ptCount val="1"/>
                <c:pt idx="0">
                  <c:v>-405.93582055007209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'0 -1'!$M$32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'0 -1'!$N$32</c:f>
              <c:numCache>
                <c:formatCode>#,##0</c:formatCode>
                <c:ptCount val="1"/>
                <c:pt idx="0">
                  <c:v>586.645929081502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'0 -1'!$E$40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'0 -1'!$G$40</c:f>
              <c:numCache>
                <c:formatCode>#,##0</c:formatCode>
                <c:ptCount val="1"/>
                <c:pt idx="0">
                  <c:v>269.4173081729374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'0 -1'!$M$35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'0 -1'!$N$35</c:f>
              <c:numCache>
                <c:formatCode>#,##0</c:formatCode>
                <c:ptCount val="1"/>
                <c:pt idx="0">
                  <c:v>844.88340346239227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'0 -1'!$M$37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'0 -1'!$N$37</c:f>
              <c:numCache>
                <c:formatCode>#,##0</c:formatCode>
                <c:ptCount val="1"/>
                <c:pt idx="0">
                  <c:v>3221.149453615159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51</xdr:row>
      <xdr:rowOff>194505</xdr:rowOff>
    </xdr:from>
    <xdr:to>
      <xdr:col>11</xdr:col>
      <xdr:colOff>22884</xdr:colOff>
      <xdr:row>70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74</xdr:row>
      <xdr:rowOff>205945</xdr:rowOff>
    </xdr:from>
    <xdr:to>
      <xdr:col>12</xdr:col>
      <xdr:colOff>605465</xdr:colOff>
      <xdr:row>98</xdr:row>
      <xdr:rowOff>29535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EE0A-E4FF-9E42-BD2F-46FC84E94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D8BDD-AECF-E445-B998-F5CAD880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FA69-BC13-D847-9C3C-347E98F2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BC17F-9F3E-A44A-A638-6F4E4D5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CBF61-D3D3-E142-B9F3-57662936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DE1A-48A5-A04A-916F-353F45E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EAEAC-0CF0-034D-A400-23565D4B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142CB-C2A3-EA4F-A5DF-B0EB0733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6A36C-C4D1-C948-BDD9-6068060B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FF2F-DA2D-7142-AC80-884E41E8A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9805-C223-CE40-B633-C172D9D0D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20</xdr:row>
      <xdr:rowOff>114300</xdr:rowOff>
    </xdr:from>
    <xdr:to>
      <xdr:col>13</xdr:col>
      <xdr:colOff>419100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46</xdr:row>
      <xdr:rowOff>194505</xdr:rowOff>
    </xdr:from>
    <xdr:to>
      <xdr:col>11</xdr:col>
      <xdr:colOff>22884</xdr:colOff>
      <xdr:row>65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DDB8E-6341-C442-BDA6-F682E1DD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69</xdr:row>
      <xdr:rowOff>205945</xdr:rowOff>
    </xdr:from>
    <xdr:to>
      <xdr:col>12</xdr:col>
      <xdr:colOff>605465</xdr:colOff>
      <xdr:row>93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325D8-D1C0-A842-A1B4-BC7C2FFF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149412</xdr:colOff>
      <xdr:row>15</xdr:row>
      <xdr:rowOff>37353</xdr:rowOff>
    </xdr:from>
    <xdr:to>
      <xdr:col>16</xdr:col>
      <xdr:colOff>186766</xdr:colOff>
      <xdr:row>41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sheetPr codeName="Sheet1"/>
  <dimension ref="B3:U57"/>
  <sheetViews>
    <sheetView showGridLines="0" tabSelected="1" zoomScale="86" workbookViewId="0">
      <selection activeCell="T25" sqref="T25"/>
    </sheetView>
  </sheetViews>
  <sheetFormatPr baseColWidth="10" defaultRowHeight="16"/>
  <cols>
    <col min="2" max="2" width="25.33203125" customWidth="1"/>
    <col min="3" max="3" width="10.83203125" style="68"/>
    <col min="4" max="4" width="10" style="1" customWidth="1"/>
    <col min="5" max="8" width="10" style="1" hidden="1" customWidth="1"/>
    <col min="9" max="9" width="10" style="1" customWidth="1"/>
    <col min="10" max="20" width="10" customWidth="1"/>
  </cols>
  <sheetData>
    <row r="3" spans="2:21" ht="30" customHeight="1">
      <c r="B3" s="190"/>
      <c r="C3" s="176"/>
      <c r="D3" s="191" t="s">
        <v>21</v>
      </c>
      <c r="E3" s="192" t="s">
        <v>163</v>
      </c>
      <c r="F3" s="193"/>
      <c r="G3" s="193"/>
      <c r="H3" s="194"/>
      <c r="I3" s="187" t="s">
        <v>160</v>
      </c>
      <c r="J3" s="188"/>
      <c r="K3" s="188"/>
      <c r="L3" s="189"/>
      <c r="M3" s="187" t="s">
        <v>161</v>
      </c>
      <c r="N3" s="188"/>
      <c r="O3" s="188"/>
      <c r="P3" s="189"/>
      <c r="Q3" s="187" t="s">
        <v>162</v>
      </c>
      <c r="R3" s="188"/>
      <c r="S3" s="188"/>
      <c r="T3" s="188"/>
      <c r="U3" s="26"/>
    </row>
    <row r="4" spans="2:21">
      <c r="B4" s="195"/>
      <c r="C4" s="196"/>
      <c r="D4" s="197"/>
      <c r="E4" s="198">
        <v>-0.1</v>
      </c>
      <c r="F4" s="199">
        <v>-0.3</v>
      </c>
      <c r="G4" s="199">
        <v>-0.5</v>
      </c>
      <c r="H4" s="200">
        <v>-1</v>
      </c>
      <c r="I4" s="198">
        <f>E4</f>
        <v>-0.1</v>
      </c>
      <c r="J4" s="199">
        <f t="shared" ref="J4:L4" si="0">F4</f>
        <v>-0.3</v>
      </c>
      <c r="K4" s="199">
        <f t="shared" si="0"/>
        <v>-0.5</v>
      </c>
      <c r="L4" s="200">
        <f t="shared" si="0"/>
        <v>-1</v>
      </c>
      <c r="M4" s="198">
        <f>I4</f>
        <v>-0.1</v>
      </c>
      <c r="N4" s="199">
        <f t="shared" ref="N4" si="1">J4</f>
        <v>-0.3</v>
      </c>
      <c r="O4" s="199">
        <f t="shared" ref="O4" si="2">K4</f>
        <v>-0.5</v>
      </c>
      <c r="P4" s="200">
        <f t="shared" ref="P4" si="3">L4</f>
        <v>-1</v>
      </c>
      <c r="Q4" s="198">
        <f>M4</f>
        <v>-0.1</v>
      </c>
      <c r="R4" s="199">
        <f t="shared" ref="R4" si="4">N4</f>
        <v>-0.3</v>
      </c>
      <c r="S4" s="199">
        <f t="shared" ref="S4" si="5">O4</f>
        <v>-0.5</v>
      </c>
      <c r="T4" s="199">
        <f t="shared" ref="T4" si="6">P4</f>
        <v>-1</v>
      </c>
      <c r="U4" s="26"/>
    </row>
    <row r="5" spans="2:21" ht="10" customHeight="1">
      <c r="B5" s="175"/>
      <c r="C5" s="176"/>
      <c r="D5" s="177"/>
      <c r="E5" s="178"/>
      <c r="F5" s="186"/>
      <c r="G5" s="186"/>
      <c r="H5" s="180"/>
      <c r="I5" s="178"/>
      <c r="J5" s="186"/>
      <c r="K5" s="186"/>
      <c r="L5" s="180"/>
      <c r="M5" s="178"/>
      <c r="N5" s="186"/>
      <c r="O5" s="186"/>
      <c r="P5" s="180"/>
      <c r="Q5" s="178"/>
      <c r="R5" s="186"/>
      <c r="S5" s="186"/>
      <c r="T5" s="186"/>
      <c r="U5" s="26"/>
    </row>
    <row r="6" spans="2:21">
      <c r="B6" s="201" t="s">
        <v>32</v>
      </c>
      <c r="C6" s="202" t="str">
        <f>'0 -0.5'!H28</f>
        <v>[$/MWh]</v>
      </c>
      <c r="D6" s="203">
        <f>'0 -0.5'!F28</f>
        <v>39.477220277561777</v>
      </c>
      <c r="E6" s="204">
        <f>'0 -0.1'!$G28</f>
        <v>54.105676644261884</v>
      </c>
      <c r="F6" s="205">
        <f>'0 -0.3'!$G28</f>
        <v>52.295135047397551</v>
      </c>
      <c r="G6" s="205">
        <f>'0 -0.5'!$G28</f>
        <v>50.270947671249203</v>
      </c>
      <c r="H6" s="206">
        <f>'0 -1'!$G28</f>
        <v>42.749462639467005</v>
      </c>
      <c r="I6" s="204">
        <f>'-0.1 -0.1'!$G28</f>
        <v>53.4426680462918</v>
      </c>
      <c r="J6" s="205">
        <f>'-0.1 -0.3'!$G28</f>
        <v>51.493267794191759</v>
      </c>
      <c r="K6" s="205">
        <f>'-0.1 -0.5'!$G28</f>
        <v>48.994502294398472</v>
      </c>
      <c r="L6" s="206">
        <f>'-0.1 -1'!$G28</f>
        <v>41.802459030988793</v>
      </c>
      <c r="M6" s="204">
        <f>'-0.3 -0.1'!$G28</f>
        <v>52.510825945231673</v>
      </c>
      <c r="N6" s="205">
        <f>'-0.3 -0.3'!$G28</f>
        <v>50.247586897695356</v>
      </c>
      <c r="O6" s="205">
        <f>'-0.3 -0.5'!$G28</f>
        <v>47.168773260575492</v>
      </c>
      <c r="P6" s="206">
        <f>'-0.3 -1'!$G28</f>
        <v>39.092088610403593</v>
      </c>
      <c r="Q6" s="204">
        <f>'-0.5 -0.1'!$G28</f>
        <v>51.235865079599328</v>
      </c>
      <c r="R6" s="205">
        <f>'-0.5 -0.3'!$G28</f>
        <v>48.43784454117241</v>
      </c>
      <c r="S6" s="205">
        <f>'-0.5 -0.5'!$G28</f>
        <v>44.958480644765231</v>
      </c>
      <c r="T6" s="205">
        <f>'-0.5 -1'!$G28</f>
        <v>35.170942347565287</v>
      </c>
      <c r="U6" s="26"/>
    </row>
    <row r="7" spans="2:21" ht="10" customHeight="1">
      <c r="B7" s="175"/>
      <c r="C7" s="176"/>
      <c r="D7" s="177"/>
      <c r="E7" s="178"/>
      <c r="F7" s="186"/>
      <c r="G7" s="186"/>
      <c r="H7" s="180"/>
      <c r="I7" s="178"/>
      <c r="J7" s="186"/>
      <c r="K7" s="186"/>
      <c r="L7" s="180"/>
      <c r="M7" s="178"/>
      <c r="N7" s="186"/>
      <c r="O7" s="186"/>
      <c r="P7" s="180"/>
      <c r="Q7" s="178"/>
      <c r="R7" s="186"/>
      <c r="S7" s="186"/>
      <c r="T7" s="186"/>
      <c r="U7" s="26"/>
    </row>
    <row r="8" spans="2:21">
      <c r="B8" s="175" t="s">
        <v>28</v>
      </c>
      <c r="C8" s="207" t="str">
        <f>'0 -0.5'!H31</f>
        <v>[MMUSD]</v>
      </c>
      <c r="D8" s="208">
        <f>'0 -0.5'!F37</f>
        <v>12533.4043884767</v>
      </c>
      <c r="E8" s="209">
        <f>'0 -0.1'!$G37</f>
        <v>15677.236279381201</v>
      </c>
      <c r="F8" s="210">
        <f>'0 -0.3'!$G37</f>
        <v>14546.4153514268</v>
      </c>
      <c r="G8" s="210">
        <f>'0 -0.5'!$G37</f>
        <v>13505.8993706482</v>
      </c>
      <c r="H8" s="211">
        <f>'0 -1'!$G37</f>
        <v>10607.2657550283</v>
      </c>
      <c r="I8" s="209">
        <f>'-0.1 -0.1'!$G37</f>
        <v>16551.7651990991</v>
      </c>
      <c r="J8" s="210">
        <f>'-0.1 -0.3'!$G37</f>
        <v>15267.229362032302</v>
      </c>
      <c r="K8" s="210">
        <f>'-0.1 -0.5'!$G37</f>
        <v>13936.6109307757</v>
      </c>
      <c r="L8" s="211">
        <f>'-0.1 -1'!$G37</f>
        <v>10626.200748161</v>
      </c>
      <c r="M8" s="209">
        <f>'-0.3 -0.1'!$G37</f>
        <v>16276.0542006915</v>
      </c>
      <c r="N8" s="210">
        <f>'-0.3 -0.3'!$G37</f>
        <v>14912.115907932899</v>
      </c>
      <c r="O8" s="210">
        <f>'-0.3 -0.5'!$G37</f>
        <v>13401.8745696928</v>
      </c>
      <c r="P8" s="211">
        <f>'-0.3 -1'!$G37</f>
        <v>9898.5751689183508</v>
      </c>
      <c r="Q8" s="209">
        <f>'-0.5 -0.1'!$G37</f>
        <v>15889.608388786501</v>
      </c>
      <c r="R8" s="210">
        <f>'-0.5 -0.3'!$G37</f>
        <v>14366.981568699301</v>
      </c>
      <c r="S8" s="210">
        <f>'-0.5 -0.5'!$G37</f>
        <v>12751.492957468599</v>
      </c>
      <c r="T8" s="210">
        <f>'-0.5 -1'!$G37</f>
        <v>8834.2241734764903</v>
      </c>
      <c r="U8" s="26"/>
    </row>
    <row r="9" spans="2:21">
      <c r="B9" s="175" t="s">
        <v>22</v>
      </c>
      <c r="C9" s="212"/>
      <c r="D9" s="208">
        <f>'0 -0.5'!F30</f>
        <v>6143.604256374444</v>
      </c>
      <c r="E9" s="209">
        <f>'0 -0.1'!$G30</f>
        <v>8273.7792335883369</v>
      </c>
      <c r="F9" s="210">
        <f>'0 -0.3'!$G30</f>
        <v>7826.3922395902828</v>
      </c>
      <c r="G9" s="210">
        <f>'0 -0.5'!$G30</f>
        <v>7358.8467543958641</v>
      </c>
      <c r="H9" s="211">
        <f>'0 -1'!$G30</f>
        <v>5737.668435824372</v>
      </c>
      <c r="I9" s="209">
        <f>'-0.1 -0.1'!$G30</f>
        <v>8184.3462561460447</v>
      </c>
      <c r="J9" s="210">
        <f>'-0.1 -0.3'!$G30</f>
        <v>7729.0520125972562</v>
      </c>
      <c r="K9" s="210">
        <f>'-0.1 -0.5'!$G30</f>
        <v>7193.453879681394</v>
      </c>
      <c r="L9" s="211">
        <f>'-0.1 -1'!$G30</f>
        <v>5510.9879399218362</v>
      </c>
      <c r="M9" s="209">
        <f>'-0.3 -0.1'!$G30</f>
        <v>7982.3310258346646</v>
      </c>
      <c r="N9" s="210">
        <f>'-0.3 -0.3'!$G30</f>
        <v>7482.8515189665195</v>
      </c>
      <c r="O9" s="210">
        <f>'-0.3 -0.5'!$G30</f>
        <v>6850.3747317443267</v>
      </c>
      <c r="P9" s="211">
        <f>'-0.3 -1'!$G30</f>
        <v>4979.1550339148644</v>
      </c>
      <c r="Q9" s="209">
        <f>'-0.5 -0.1'!$G30</f>
        <v>7725.8460821446679</v>
      </c>
      <c r="R9" s="210">
        <f>'-0.5 -0.3'!$G30</f>
        <v>7143.4201146550768</v>
      </c>
      <c r="S9" s="210">
        <f>'-0.5 -0.5'!$G30</f>
        <v>6422.1977401399809</v>
      </c>
      <c r="T9" s="210">
        <f>'-0.5 -1'!$G30</f>
        <v>4334.1448976643587</v>
      </c>
      <c r="U9" s="26"/>
    </row>
    <row r="10" spans="2:21" ht="10" customHeight="1">
      <c r="B10" s="175"/>
      <c r="C10" s="212"/>
      <c r="D10" s="177"/>
      <c r="E10" s="178"/>
      <c r="F10" s="186"/>
      <c r="G10" s="186"/>
      <c r="H10" s="180"/>
      <c r="I10" s="178"/>
      <c r="J10" s="186"/>
      <c r="K10" s="186"/>
      <c r="L10" s="180"/>
      <c r="M10" s="178"/>
      <c r="N10" s="186"/>
      <c r="O10" s="186"/>
      <c r="P10" s="180"/>
      <c r="Q10" s="178"/>
      <c r="R10" s="186"/>
      <c r="S10" s="186"/>
      <c r="T10" s="186"/>
      <c r="U10" s="26"/>
    </row>
    <row r="11" spans="2:21">
      <c r="B11" s="175" t="s">
        <v>29</v>
      </c>
      <c r="C11" s="212"/>
      <c r="D11" s="208" t="s">
        <v>94</v>
      </c>
      <c r="E11" s="209">
        <f>'0 -0.1'!$G39</f>
        <v>1309.55949683532</v>
      </c>
      <c r="F11" s="210">
        <f>'0 -0.3'!$G39</f>
        <v>1111.2539836067199</v>
      </c>
      <c r="G11" s="210">
        <f>'0 -0.5'!$G39</f>
        <v>945.97308325003803</v>
      </c>
      <c r="H11" s="211">
        <f>'0 -1'!$G39</f>
        <v>586.645929081502</v>
      </c>
      <c r="I11" s="209">
        <f>'-0.1 -0.1'!$G39</f>
        <v>1261.27336335108</v>
      </c>
      <c r="J11" s="210">
        <f>'-0.1 -0.3'!$G39</f>
        <v>1073.2790939727499</v>
      </c>
      <c r="K11" s="210">
        <f>'-0.1 -0.5'!$G39</f>
        <v>908.59002410247399</v>
      </c>
      <c r="L11" s="211">
        <f>'-0.1 -1'!$G39</f>
        <v>564.66900400892791</v>
      </c>
      <c r="M11" s="209">
        <f>'-0.3 -0.1'!$G39</f>
        <v>1170.5228127130401</v>
      </c>
      <c r="N11" s="210">
        <f>'-0.3 -0.3'!$G39</f>
        <v>998.74942357850205</v>
      </c>
      <c r="O11" s="210">
        <f>'-0.3 -0.5'!$G39</f>
        <v>840.90503534068091</v>
      </c>
      <c r="P11" s="211">
        <f>'-0.3 -1'!$G39</f>
        <v>521.93956221413794</v>
      </c>
      <c r="Q11" s="209">
        <f>'-0.5 -0.1'!$G39</f>
        <v>1088.043901301</v>
      </c>
      <c r="R11" s="210">
        <f>'-0.5 -0.3'!$G39</f>
        <v>927.51145558452902</v>
      </c>
      <c r="S11" s="210">
        <f>'-0.5 -0.5'!$G39</f>
        <v>779.44262921798895</v>
      </c>
      <c r="T11" s="210">
        <f>'-0.5 -1'!$G39</f>
        <v>463.71866306171</v>
      </c>
      <c r="U11" s="26"/>
    </row>
    <row r="12" spans="2:21">
      <c r="B12" s="175" t="s">
        <v>92</v>
      </c>
      <c r="C12" s="213"/>
      <c r="D12" s="177" t="s">
        <v>94</v>
      </c>
      <c r="E12" s="209">
        <f>'0 -0.1'!$G40</f>
        <v>1204.4215865315409</v>
      </c>
      <c r="F12" s="210">
        <f>'0 -0.3'!$G40</f>
        <v>1055.3521749741678</v>
      </c>
      <c r="G12" s="210">
        <f>'0 -0.5'!$G40</f>
        <v>888.69241881784092</v>
      </c>
      <c r="H12" s="211">
        <f>'0 -1'!$G40</f>
        <v>269.4173081729374</v>
      </c>
      <c r="I12" s="209">
        <f>'-0.1 -0.1'!$G40</f>
        <v>1149.8333341942016</v>
      </c>
      <c r="J12" s="210">
        <f>'-0.1 -0.3'!$G40</f>
        <v>989.33111266356741</v>
      </c>
      <c r="K12" s="210">
        <f>'-0.1 -0.5'!$G40</f>
        <v>783.59736795471213</v>
      </c>
      <c r="L12" s="211">
        <f>'-0.1 -1'!$G40</f>
        <v>191.44656676437432</v>
      </c>
      <c r="M12" s="209">
        <f>'-0.3 -0.1'!$G40</f>
        <v>1073.110902679789</v>
      </c>
      <c r="N12" s="210">
        <f>'-0.3 -0.3'!$G40</f>
        <v>886.76902927891626</v>
      </c>
      <c r="O12" s="210">
        <f>'-0.3 -0.5'!$G40</f>
        <v>633.27751161639026</v>
      </c>
      <c r="P12" s="211">
        <f>'-0.3 -1'!$G40</f>
        <v>-31.709490185042359</v>
      </c>
      <c r="Q12" s="209">
        <f>'-0.5 -0.1'!$G40</f>
        <v>968.13807779266574</v>
      </c>
      <c r="R12" s="210">
        <f>'-0.5 -0.3'!$G40</f>
        <v>737.76542249929037</v>
      </c>
      <c r="S12" s="210">
        <f>'-0.5 -0.5'!$G40</f>
        <v>451.2949379052539</v>
      </c>
      <c r="T12" s="210">
        <f>'-0.5 -1'!$G40</f>
        <v>-354.55375239035709</v>
      </c>
      <c r="U12" s="26"/>
    </row>
    <row r="13" spans="2:21" ht="10" customHeight="1">
      <c r="B13" s="175"/>
      <c r="C13" s="176"/>
      <c r="D13" s="177"/>
      <c r="E13" s="178"/>
      <c r="F13" s="186"/>
      <c r="G13" s="186"/>
      <c r="H13" s="180"/>
      <c r="I13" s="178"/>
      <c r="J13" s="186"/>
      <c r="K13" s="186"/>
      <c r="L13" s="180"/>
      <c r="M13" s="178"/>
      <c r="N13" s="186"/>
      <c r="O13" s="186"/>
      <c r="P13" s="180"/>
      <c r="Q13" s="178"/>
      <c r="R13" s="186"/>
      <c r="S13" s="186"/>
      <c r="T13" s="186"/>
      <c r="U13" s="26"/>
    </row>
    <row r="14" spans="2:21">
      <c r="B14" s="175" t="s">
        <v>30</v>
      </c>
      <c r="C14" s="176" t="str">
        <f>'0 -0.5'!H42</f>
        <v>[000 ton CO2]</v>
      </c>
      <c r="D14" s="208">
        <f>'0 -0.5'!F42</f>
        <v>39764.703681774801</v>
      </c>
      <c r="E14" s="209">
        <f>'0 -0.1'!$G42</f>
        <v>36376.6526898702</v>
      </c>
      <c r="F14" s="210">
        <f>'0 -0.3'!$G42</f>
        <v>30868.166211297797</v>
      </c>
      <c r="G14" s="210">
        <f>'0 -0.5'!$G42</f>
        <v>26277.0300902788</v>
      </c>
      <c r="H14" s="211">
        <f>'0 -1'!$G42</f>
        <v>16295.7202522639</v>
      </c>
      <c r="I14" s="209">
        <f>'-0.1 -0.1'!$G42</f>
        <v>36981.840347387551</v>
      </c>
      <c r="J14" s="210">
        <f>'-0.1 -0.3'!$G42</f>
        <v>31515.300720462106</v>
      </c>
      <c r="K14" s="210">
        <f>'-0.1 -0.5'!$G42</f>
        <v>26752.690810328389</v>
      </c>
      <c r="L14" s="211">
        <f>'-0.1 -1'!$G42</f>
        <v>17134.046600581518</v>
      </c>
      <c r="M14" s="209">
        <f>'-0.3 -0.1'!$G42</f>
        <v>38196.104424497542</v>
      </c>
      <c r="N14" s="210">
        <f>'-0.3 -0.3'!$G42</f>
        <v>32770.468116800148</v>
      </c>
      <c r="O14" s="210">
        <f>'-0.3 -0.5'!$G42</f>
        <v>27921.750485729426</v>
      </c>
      <c r="P14" s="211">
        <f>'-0.3 -1'!$G42</f>
        <v>18894.654189590285</v>
      </c>
      <c r="Q14" s="209">
        <f>'-0.5 -0.1'!$G42</f>
        <v>39457.863108776975</v>
      </c>
      <c r="R14" s="210">
        <f>'-0.5 -0.3'!$G42</f>
        <v>34063.741416933684</v>
      </c>
      <c r="S14" s="210">
        <f>'-0.5 -0.5'!$G42</f>
        <v>29555.527316013759</v>
      </c>
      <c r="T14" s="210">
        <f>'-0.5 -1'!$G42</f>
        <v>21017.478277815229</v>
      </c>
      <c r="U14" s="26"/>
    </row>
    <row r="15" spans="2:21">
      <c r="B15" s="175" t="s">
        <v>36</v>
      </c>
      <c r="C15" s="176" t="str">
        <f>C8</f>
        <v>[MMUSD]</v>
      </c>
      <c r="D15" s="208">
        <f>'0 -0.5'!F43</f>
        <v>1431.5293325438927</v>
      </c>
      <c r="E15" s="209">
        <f>'0 -0.1'!$G43</f>
        <v>1309.5594968353273</v>
      </c>
      <c r="F15" s="210">
        <f>'0 -0.3'!$G43</f>
        <v>1111.2539836067208</v>
      </c>
      <c r="G15" s="210">
        <f>'0 -0.5'!$G43</f>
        <v>945.97308325003678</v>
      </c>
      <c r="H15" s="211">
        <f>'0 -1'!$G43</f>
        <v>586.64592908150041</v>
      </c>
      <c r="I15" s="209">
        <f>'-0.1 -0.1'!$G43</f>
        <v>1331.3462525059517</v>
      </c>
      <c r="J15" s="210">
        <f>'-0.1 -0.3'!$G43</f>
        <v>1134.5508259366356</v>
      </c>
      <c r="K15" s="210">
        <f>'-0.1 -0.5'!$G43</f>
        <v>963.09686917182194</v>
      </c>
      <c r="L15" s="211">
        <f>'-0.1 -1'!$G43</f>
        <v>616.8256776209347</v>
      </c>
      <c r="M15" s="209">
        <f>'-0.3 -0.1'!$G43</f>
        <v>1375.0597592819115</v>
      </c>
      <c r="N15" s="210">
        <f>'-0.3 -0.3'!$G43</f>
        <v>1179.7368522048052</v>
      </c>
      <c r="O15" s="210">
        <f>'-0.3 -0.5'!$G43</f>
        <v>1005.1830174862594</v>
      </c>
      <c r="P15" s="211">
        <f>'-0.3 -1'!$G43</f>
        <v>680.20755082525022</v>
      </c>
      <c r="Q15" s="209">
        <f>'-0.5 -0.1'!$G43</f>
        <v>1420.4830719159711</v>
      </c>
      <c r="R15" s="210">
        <f>'-0.5 -0.3'!$G43</f>
        <v>1226.2946910096127</v>
      </c>
      <c r="S15" s="210">
        <f>'-0.5 -0.5'!$G43</f>
        <v>1063.9989833764953</v>
      </c>
      <c r="T15" s="210">
        <f>'-0.5 -1'!$G43</f>
        <v>756.62921800134825</v>
      </c>
      <c r="U15" s="26"/>
    </row>
    <row r="16" spans="2:21" ht="10" customHeight="1">
      <c r="B16" s="175"/>
      <c r="C16" s="176"/>
      <c r="D16" s="177"/>
      <c r="E16" s="178"/>
      <c r="F16" s="186"/>
      <c r="G16" s="186"/>
      <c r="H16" s="180"/>
      <c r="I16" s="178"/>
      <c r="J16" s="186"/>
      <c r="K16" s="186"/>
      <c r="L16" s="180"/>
      <c r="M16" s="178"/>
      <c r="N16" s="186"/>
      <c r="O16" s="186"/>
      <c r="P16" s="180"/>
      <c r="Q16" s="178"/>
      <c r="R16" s="186"/>
      <c r="S16" s="186"/>
      <c r="T16" s="186"/>
      <c r="U16" s="26"/>
    </row>
    <row r="17" spans="2:21">
      <c r="B17" s="214" t="s">
        <v>164</v>
      </c>
      <c r="C17" s="215" t="str">
        <f>C15</f>
        <v>[MMUSD]</v>
      </c>
      <c r="D17" s="216" t="s">
        <v>94</v>
      </c>
      <c r="E17" s="217">
        <f>($D$8-E8)-($D$9-E9)+E11+E12+($D$15-E15)</f>
        <v>1622.2940053848181</v>
      </c>
      <c r="F17" s="218">
        <f t="shared" ref="F17:H17" si="7">($D$8-F8)-($D$9-F9)+F11+F12+($D$15-F15)</f>
        <v>2156.658527783798</v>
      </c>
      <c r="G17" s="218">
        <f t="shared" si="7"/>
        <v>2562.9692672116553</v>
      </c>
      <c r="H17" s="219">
        <f t="shared" si="7"/>
        <v>3221.149453615159</v>
      </c>
      <c r="I17" s="217">
        <f>($D$8-I8)-($D$9-I9)+I11+I12+($D$15-I15)</f>
        <v>533.67096673242304</v>
      </c>
      <c r="J17" s="218">
        <f t="shared" ref="J17:L17" si="8">($D$8-J8)-($D$9-J9)+J11+J12+($D$15-J15)</f>
        <v>1211.2114959107846</v>
      </c>
      <c r="K17" s="218">
        <f t="shared" si="8"/>
        <v>1807.2629364372069</v>
      </c>
      <c r="L17" s="219">
        <f t="shared" si="8"/>
        <v>2845.4065495593522</v>
      </c>
      <c r="M17" s="217">
        <f>($D$8-M8)-($D$9-M9)+M11+M12+($D$15-M15)</f>
        <v>396.18024590023037</v>
      </c>
      <c r="N17" s="218">
        <f t="shared" ref="N17:P17" si="9">($D$8-N8)-($D$9-N9)+N11+N12+($D$15-N15)</f>
        <v>1097.8466763323818</v>
      </c>
      <c r="O17" s="218">
        <f t="shared" si="9"/>
        <v>1738.8291561684871</v>
      </c>
      <c r="P17" s="219">
        <f t="shared" si="9"/>
        <v>2711.9318508465071</v>
      </c>
      <c r="Q17" s="217">
        <f>($D$8-Q8)-($D$9-Q9)+Q11+Q12+($D$15-Q15)</f>
        <v>293.26606518201027</v>
      </c>
      <c r="R17" s="218">
        <f t="shared" ref="R17:T17" si="10">($D$8-R8)-($D$9-R9)+R11+R12+($D$15-R15)</f>
        <v>1036.7501976761312</v>
      </c>
      <c r="S17" s="218">
        <f t="shared" si="10"/>
        <v>1658.7728310642774</v>
      </c>
      <c r="T17" s="218">
        <f t="shared" si="10"/>
        <v>2673.7858815040213</v>
      </c>
      <c r="U17" s="26"/>
    </row>
    <row r="18" spans="2:21" ht="10" customHeight="1">
      <c r="B18" s="175"/>
      <c r="C18" s="176"/>
      <c r="D18" s="177"/>
      <c r="E18" s="178"/>
      <c r="F18" s="186"/>
      <c r="G18" s="186"/>
      <c r="H18" s="180"/>
      <c r="I18" s="178"/>
      <c r="J18" s="186"/>
      <c r="K18" s="186"/>
      <c r="L18" s="180"/>
      <c r="M18" s="178"/>
      <c r="N18" s="186"/>
      <c r="O18" s="186"/>
      <c r="P18" s="180"/>
      <c r="Q18" s="178"/>
      <c r="R18" s="186"/>
      <c r="S18" s="186"/>
      <c r="T18" s="186"/>
      <c r="U18" s="26"/>
    </row>
    <row r="19" spans="2:21">
      <c r="B19" s="175" t="s">
        <v>90</v>
      </c>
      <c r="C19" s="176" t="str">
        <f>'0 -0.5'!H45</f>
        <v>[TWh/year]</v>
      </c>
      <c r="D19" s="208">
        <f>'0 -0.5'!F45</f>
        <v>158.74223539999963</v>
      </c>
      <c r="E19" s="209">
        <f>'0 -0.1'!$G45</f>
        <v>154.78475253968548</v>
      </c>
      <c r="F19" s="210">
        <f>'0 -0.3'!$G45</f>
        <v>148.11365318646099</v>
      </c>
      <c r="G19" s="210">
        <f>'0 -0.5'!$G45</f>
        <v>142.31180000861048</v>
      </c>
      <c r="H19" s="211">
        <f>'0 -1'!$G45</f>
        <v>127.3466021721015</v>
      </c>
      <c r="I19" s="209">
        <f>'-0.1 -0.1'!$G45</f>
        <v>154.855341286124</v>
      </c>
      <c r="J19" s="210">
        <f>'-0.1 -0.3'!$G45</f>
        <v>148.24490672307249</v>
      </c>
      <c r="K19" s="210">
        <f>'-0.1 -0.5'!$G45</f>
        <v>142.22627313400702</v>
      </c>
      <c r="L19" s="211">
        <f>'-0.1 -1'!$G45</f>
        <v>127.10018733926199</v>
      </c>
      <c r="M19" s="209">
        <f>'-0.3 -0.1'!$G45</f>
        <v>154.97808221172602</v>
      </c>
      <c r="N19" s="210">
        <f>'-0.3 -0.3'!$G45</f>
        <v>148.38638856721749</v>
      </c>
      <c r="O19" s="210">
        <f>'-0.3 -0.5'!$G45</f>
        <v>142.06299680147001</v>
      </c>
      <c r="P19" s="211">
        <f>'-0.3 -1'!$G45</f>
        <v>126.6058622189355</v>
      </c>
      <c r="Q19" s="209">
        <f>'-0.5 -0.1'!$G45</f>
        <v>155.06333663050899</v>
      </c>
      <c r="R19" s="210">
        <f>'-0.5 -0.3'!$G45</f>
        <v>148.30327097324999</v>
      </c>
      <c r="S19" s="210">
        <f>'-0.5 -0.5'!$G45</f>
        <v>141.81410019416799</v>
      </c>
      <c r="T19" s="210">
        <f>'-0.5 -1'!$G45</f>
        <v>125.589813405839</v>
      </c>
      <c r="U19" s="26"/>
    </row>
    <row r="20" spans="2:21" ht="10" customHeight="1">
      <c r="B20" s="175"/>
      <c r="C20" s="176"/>
      <c r="D20" s="177"/>
      <c r="E20" s="178"/>
      <c r="F20" s="179"/>
      <c r="G20" s="179"/>
      <c r="H20" s="180"/>
      <c r="I20" s="178"/>
      <c r="J20" s="179"/>
      <c r="K20" s="179"/>
      <c r="L20" s="180"/>
      <c r="M20" s="178"/>
      <c r="N20" s="179"/>
      <c r="O20" s="179"/>
      <c r="P20" s="180"/>
      <c r="Q20" s="178"/>
      <c r="R20" s="186"/>
      <c r="S20" s="186"/>
      <c r="T20" s="186"/>
      <c r="U20" s="26"/>
    </row>
    <row r="21" spans="2:21" ht="3" customHeight="1">
      <c r="B21" s="220"/>
      <c r="C21" s="221"/>
      <c r="D21" s="222"/>
      <c r="E21" s="223"/>
      <c r="F21" s="224"/>
      <c r="G21" s="224"/>
      <c r="H21" s="225"/>
      <c r="I21" s="223"/>
      <c r="J21" s="224"/>
      <c r="K21" s="224"/>
      <c r="L21" s="225"/>
      <c r="M21" s="223"/>
      <c r="N21" s="224"/>
      <c r="O21" s="224"/>
      <c r="P21" s="225"/>
      <c r="Q21" s="223"/>
      <c r="R21" s="224"/>
      <c r="S21" s="224"/>
      <c r="T21" s="224"/>
      <c r="U21" s="26"/>
    </row>
    <row r="22" spans="2:21">
      <c r="B22" s="181" t="s">
        <v>159</v>
      </c>
      <c r="C22" s="226" t="str">
        <f>C15</f>
        <v>[MMUSD]</v>
      </c>
      <c r="D22" s="182" t="s">
        <v>94</v>
      </c>
      <c r="E22" s="183" t="s">
        <v>94</v>
      </c>
      <c r="F22" s="184" t="s">
        <v>94</v>
      </c>
      <c r="G22" s="184" t="s">
        <v>94</v>
      </c>
      <c r="H22" s="185" t="s">
        <v>94</v>
      </c>
      <c r="I22" s="183">
        <v>1121.6060964645501</v>
      </c>
      <c r="J22" s="184">
        <v>941.04224488716989</v>
      </c>
      <c r="K22" s="184">
        <v>713.12139931798981</v>
      </c>
      <c r="L22" s="185">
        <v>-50.284689952189922</v>
      </c>
      <c r="M22" s="183">
        <v>1338.6081486806402</v>
      </c>
      <c r="N22" s="184">
        <v>1063.5809295096201</v>
      </c>
      <c r="O22" s="184">
        <v>727.67814866144988</v>
      </c>
      <c r="P22" s="185">
        <v>-245.57756873094988</v>
      </c>
      <c r="Q22" s="183">
        <v>1460.4528167706899</v>
      </c>
      <c r="R22" s="184">
        <v>1061.04072978367</v>
      </c>
      <c r="S22" s="184">
        <v>627.73444477622991</v>
      </c>
      <c r="T22" s="184">
        <v>-566.75855870477005</v>
      </c>
      <c r="U22" s="26"/>
    </row>
    <row r="23" spans="2:21" ht="5" customHeight="1">
      <c r="B23" s="190"/>
      <c r="C23" s="212"/>
      <c r="D23" s="177"/>
      <c r="E23" s="209"/>
      <c r="F23" s="210"/>
      <c r="G23" s="210"/>
      <c r="H23" s="211"/>
      <c r="I23" s="209"/>
      <c r="J23" s="210"/>
      <c r="K23" s="210"/>
      <c r="L23" s="211"/>
      <c r="M23" s="209"/>
      <c r="N23" s="210"/>
      <c r="O23" s="210"/>
      <c r="P23" s="211"/>
      <c r="Q23" s="209"/>
      <c r="R23" s="210"/>
      <c r="S23" s="210"/>
      <c r="T23" s="210"/>
    </row>
    <row r="24" spans="2:21">
      <c r="B24" s="190" t="s">
        <v>164</v>
      </c>
      <c r="C24" s="212"/>
      <c r="D24" s="177" t="s">
        <v>94</v>
      </c>
      <c r="E24" s="209" t="e">
        <f>($D$8-E15)-($D$9-E16)+E18+E19+($D$15-E22)</f>
        <v>#VALUE!</v>
      </c>
      <c r="F24" s="210" t="e">
        <f t="shared" ref="F24:H24" si="11">($D$8-F15)-($D$9-F16)+F18+F19+($D$15-F22)</f>
        <v>#VALUE!</v>
      </c>
      <c r="G24" s="210" t="e">
        <f t="shared" si="11"/>
        <v>#VALUE!</v>
      </c>
      <c r="H24" s="211" t="e">
        <f t="shared" si="11"/>
        <v>#VALUE!</v>
      </c>
      <c r="I24" s="209">
        <f>I22+I17</f>
        <v>1655.2770631969731</v>
      </c>
      <c r="J24" s="210">
        <f t="shared" ref="J24:L24" si="12">($D$8-J15)-($D$9-J16)+J18+J19+($D$15-J22)</f>
        <v>5893.9813005454153</v>
      </c>
      <c r="K24" s="210">
        <f t="shared" si="12"/>
        <v>6287.3374692903426</v>
      </c>
      <c r="L24" s="211">
        <f t="shared" si="12"/>
        <v>7381.8886643166661</v>
      </c>
      <c r="M24" s="209">
        <f>($D$8-M15)-($D$9-M16)+M18+M19+($D$15-M22)</f>
        <v>5262.6396388953226</v>
      </c>
      <c r="N24" s="210">
        <f t="shared" ref="N24:P24" si="13">($D$8-N15)-($D$9-N16)+N18+N19+($D$15-N22)</f>
        <v>5726.3980714989402</v>
      </c>
      <c r="O24" s="210">
        <f t="shared" si="13"/>
        <v>6230.5312952999093</v>
      </c>
      <c r="P24" s="211">
        <f t="shared" si="13"/>
        <v>7513.3053447707825</v>
      </c>
      <c r="Q24" s="209">
        <f>($D$8-Q15)-($D$9-Q16)+Q18+Q19+($D$15-Q22)</f>
        <v>5095.456912589997</v>
      </c>
      <c r="R24" s="210">
        <f t="shared" ref="R24:T24" si="14">($D$8-R15)-($D$9-R16)+R18+R19+($D$15-R22)</f>
        <v>5682.2973148261153</v>
      </c>
      <c r="S24" s="210">
        <f t="shared" si="14"/>
        <v>6271.4101366875902</v>
      </c>
      <c r="T24" s="210">
        <f t="shared" si="14"/>
        <v>7757.0486187554088</v>
      </c>
      <c r="U24" s="26"/>
    </row>
    <row r="25" spans="2:21" ht="6" customHeight="1">
      <c r="B25" s="190"/>
      <c r="C25" s="176"/>
      <c r="D25" s="177"/>
      <c r="E25" s="209"/>
      <c r="F25" s="210"/>
      <c r="G25" s="210"/>
      <c r="H25" s="211"/>
      <c r="I25" s="209"/>
      <c r="J25" s="210"/>
      <c r="K25" s="210"/>
      <c r="L25" s="211"/>
      <c r="M25" s="209"/>
      <c r="N25" s="210"/>
      <c r="O25" s="210"/>
      <c r="P25" s="211"/>
      <c r="Q25" s="209"/>
      <c r="R25" s="210"/>
      <c r="S25" s="210"/>
      <c r="T25" s="210"/>
      <c r="U25" s="26"/>
    </row>
    <row r="26" spans="2:21" ht="15" customHeight="1"/>
    <row r="28" spans="2:21" ht="30" customHeight="1">
      <c r="B28" s="26"/>
      <c r="C28" s="71"/>
      <c r="D28" s="160" t="s">
        <v>21</v>
      </c>
      <c r="E28" s="154" t="s">
        <v>95</v>
      </c>
      <c r="F28" s="155"/>
      <c r="G28" s="155"/>
      <c r="H28" s="155"/>
    </row>
    <row r="29" spans="2:21">
      <c r="B29" s="29"/>
      <c r="C29" s="70"/>
      <c r="D29" s="161"/>
      <c r="E29" s="72">
        <f>I4</f>
        <v>-0.1</v>
      </c>
      <c r="F29" s="73">
        <f t="shared" ref="F29:H29" si="15">J4</f>
        <v>-0.3</v>
      </c>
      <c r="G29" s="73">
        <f t="shared" si="15"/>
        <v>-0.5</v>
      </c>
      <c r="H29" s="73">
        <f t="shared" si="15"/>
        <v>-1</v>
      </c>
    </row>
    <row r="30" spans="2:21" ht="10" customHeight="1">
      <c r="C30" s="71"/>
      <c r="D30" s="76"/>
      <c r="E30" s="77"/>
      <c r="F30" s="39"/>
      <c r="G30" s="39"/>
      <c r="H30" s="39"/>
      <c r="I30" s="1">
        <f>I4</f>
        <v>-0.1</v>
      </c>
      <c r="J30" s="1">
        <f>J4</f>
        <v>-0.3</v>
      </c>
      <c r="K30" s="1">
        <f>K4</f>
        <v>-0.5</v>
      </c>
      <c r="L30" s="1">
        <f>L4</f>
        <v>-1</v>
      </c>
    </row>
    <row r="31" spans="2:21">
      <c r="B31" s="69" t="s">
        <v>32</v>
      </c>
      <c r="C31" s="86" t="str">
        <f>C6</f>
        <v>[$/MWh]</v>
      </c>
      <c r="D31" s="78">
        <f>D6</f>
        <v>39.477220277561777</v>
      </c>
      <c r="E31" s="79">
        <f>I6</f>
        <v>53.4426680462918</v>
      </c>
      <c r="F31" s="80">
        <f>J6</f>
        <v>51.493267794191759</v>
      </c>
      <c r="G31" s="80">
        <f>K6</f>
        <v>48.994502294398472</v>
      </c>
      <c r="H31" s="80">
        <f>L6</f>
        <v>41.802459030988793</v>
      </c>
      <c r="I31" s="140">
        <f>E17/E8</f>
        <v>0.10348086719331195</v>
      </c>
      <c r="J31" s="140">
        <f>F17/F8</f>
        <v>0.14826048037823009</v>
      </c>
      <c r="K31" s="140">
        <f>G17/G8</f>
        <v>0.18976664914160757</v>
      </c>
      <c r="L31" s="140">
        <f>H17/H8</f>
        <v>0.30367387109992938</v>
      </c>
      <c r="M31" s="140" t="str">
        <f>P31</f>
        <v>100% Pass-through</v>
      </c>
      <c r="P31" t="s">
        <v>96</v>
      </c>
    </row>
    <row r="32" spans="2:21" ht="10" customHeight="1">
      <c r="C32" s="71"/>
      <c r="D32" s="76"/>
      <c r="E32" s="77"/>
      <c r="F32" s="39"/>
      <c r="G32" s="39"/>
      <c r="H32" s="39"/>
      <c r="I32" s="140">
        <f>I17/I8</f>
        <v>3.2242540920135232E-2</v>
      </c>
      <c r="J32" s="140">
        <f>J17/J8</f>
        <v>7.9334073471308206E-2</v>
      </c>
      <c r="K32" s="140">
        <f>K17/K8</f>
        <v>0.12967736169245389</v>
      </c>
      <c r="L32" s="140">
        <f>L17/L8</f>
        <v>0.26777270795037317</v>
      </c>
      <c r="M32" s="140" t="str">
        <f>P33</f>
        <v>80% Pass-through</v>
      </c>
    </row>
    <row r="33" spans="2:19">
      <c r="B33" t="s">
        <v>28</v>
      </c>
      <c r="C33" s="157" t="str">
        <f>C8</f>
        <v>[MMUSD]</v>
      </c>
      <c r="D33" s="81">
        <f>D8</f>
        <v>12533.4043884767</v>
      </c>
      <c r="E33" s="82">
        <f>I8</f>
        <v>16551.7651990991</v>
      </c>
      <c r="F33" s="38">
        <f>J8</f>
        <v>15267.229362032302</v>
      </c>
      <c r="G33" s="38">
        <f>K8</f>
        <v>13936.6109307757</v>
      </c>
      <c r="H33" s="38">
        <f>L8</f>
        <v>10626.200748161</v>
      </c>
      <c r="I33" s="38"/>
      <c r="J33" s="38"/>
      <c r="K33" s="38"/>
      <c r="L33" s="38"/>
      <c r="P33" t="s">
        <v>97</v>
      </c>
    </row>
    <row r="34" spans="2:19">
      <c r="B34" t="s">
        <v>22</v>
      </c>
      <c r="C34" s="158"/>
      <c r="D34" s="81">
        <f>D9</f>
        <v>6143.604256374444</v>
      </c>
      <c r="E34" s="82">
        <f>I9</f>
        <v>8184.3462561460447</v>
      </c>
      <c r="F34" s="38">
        <f>J9</f>
        <v>7729.0520125972562</v>
      </c>
      <c r="G34" s="38">
        <f>K9</f>
        <v>7193.453879681394</v>
      </c>
      <c r="H34" s="38">
        <f>L9</f>
        <v>5510.9879399218362</v>
      </c>
      <c r="I34" s="38"/>
      <c r="J34" s="38"/>
      <c r="K34" s="38"/>
      <c r="L34" s="38"/>
    </row>
    <row r="35" spans="2:19" ht="10" customHeight="1">
      <c r="C35" s="158"/>
      <c r="D35" s="76"/>
      <c r="E35" s="77"/>
      <c r="F35" s="39"/>
      <c r="G35" s="39"/>
      <c r="H35" s="39"/>
      <c r="I35" s="39"/>
      <c r="J35" s="39"/>
      <c r="K35" s="39"/>
      <c r="L35" s="39"/>
    </row>
    <row r="36" spans="2:19">
      <c r="B36" t="s">
        <v>29</v>
      </c>
      <c r="C36" s="158"/>
      <c r="D36" s="81" t="str">
        <f>D11</f>
        <v>-</v>
      </c>
      <c r="E36" s="82">
        <f>I11</f>
        <v>1261.27336335108</v>
      </c>
      <c r="F36" s="38">
        <f>J11</f>
        <v>1073.2790939727499</v>
      </c>
      <c r="G36" s="38">
        <f>K11</f>
        <v>908.59002410247399</v>
      </c>
      <c r="H36" s="38">
        <f>L11</f>
        <v>564.66900400892791</v>
      </c>
      <c r="I36" s="38"/>
      <c r="J36" s="38"/>
      <c r="K36" s="38"/>
      <c r="L36" s="38"/>
      <c r="P36" t="str">
        <f>P31</f>
        <v>100% Pass-through</v>
      </c>
    </row>
    <row r="37" spans="2:19">
      <c r="B37" t="s">
        <v>92</v>
      </c>
      <c r="C37" s="159"/>
      <c r="D37" s="76" t="str">
        <f>D12</f>
        <v>-</v>
      </c>
      <c r="E37" s="82">
        <f>I12</f>
        <v>1149.8333341942016</v>
      </c>
      <c r="F37" s="38">
        <f>J12</f>
        <v>989.33111266356741</v>
      </c>
      <c r="G37" s="38">
        <f>K12</f>
        <v>783.59736795471213</v>
      </c>
      <c r="H37" s="38">
        <f>L12</f>
        <v>191.44656676437432</v>
      </c>
      <c r="I37" s="38"/>
      <c r="J37" s="38"/>
      <c r="K37" s="38"/>
      <c r="L37" s="38"/>
    </row>
    <row r="38" spans="2:19" ht="10" customHeight="1">
      <c r="C38" s="71"/>
      <c r="D38" s="76"/>
      <c r="E38" s="77"/>
      <c r="F38" s="39"/>
      <c r="G38" s="39"/>
      <c r="H38" s="39"/>
      <c r="I38" s="39"/>
      <c r="J38" s="39"/>
      <c r="K38" s="39"/>
      <c r="L38" s="39"/>
    </row>
    <row r="39" spans="2:19">
      <c r="B39" t="s">
        <v>30</v>
      </c>
      <c r="C39" s="71" t="str">
        <f>C14</f>
        <v>[000 ton CO2]</v>
      </c>
      <c r="D39" s="81">
        <f>D14</f>
        <v>39764.703681774801</v>
      </c>
      <c r="E39" s="82">
        <f>I14</f>
        <v>36981.840347387551</v>
      </c>
      <c r="F39" s="38">
        <f>J14</f>
        <v>31515.300720462106</v>
      </c>
      <c r="G39" s="38">
        <f>K14</f>
        <v>26752.690810328389</v>
      </c>
      <c r="H39" s="38">
        <f>L14</f>
        <v>17134.046600581518</v>
      </c>
      <c r="I39" s="38"/>
      <c r="J39" s="38"/>
      <c r="K39" s="38"/>
      <c r="L39" s="38"/>
      <c r="P39" t="str">
        <f>P33</f>
        <v>80% Pass-through</v>
      </c>
    </row>
    <row r="40" spans="2:19">
      <c r="B40" t="s">
        <v>36</v>
      </c>
      <c r="C40" s="71" t="str">
        <f>C33</f>
        <v>[MMUSD]</v>
      </c>
      <c r="D40" s="81">
        <f>D15</f>
        <v>1431.5293325438927</v>
      </c>
      <c r="E40" s="82">
        <f>I15</f>
        <v>1331.3462525059517</v>
      </c>
      <c r="F40" s="38">
        <f>J15</f>
        <v>1134.5508259366356</v>
      </c>
      <c r="G40" s="38">
        <f>K15</f>
        <v>963.09686917182194</v>
      </c>
      <c r="H40" s="38">
        <f>L15</f>
        <v>616.8256776209347</v>
      </c>
      <c r="I40" s="38"/>
      <c r="J40" s="38"/>
      <c r="K40" s="38"/>
      <c r="L40" s="38"/>
    </row>
    <row r="41" spans="2:19" ht="10" customHeight="1">
      <c r="C41" s="71"/>
      <c r="D41" s="76"/>
      <c r="E41" s="77"/>
      <c r="F41" s="39"/>
      <c r="G41" s="39"/>
      <c r="H41" s="39"/>
      <c r="I41" s="39"/>
      <c r="J41" s="39"/>
      <c r="K41" s="39"/>
      <c r="L41" s="39"/>
    </row>
    <row r="42" spans="2:19">
      <c r="B42" s="74" t="s">
        <v>88</v>
      </c>
      <c r="C42" s="75" t="str">
        <f>C17</f>
        <v>[MMUSD]</v>
      </c>
      <c r="D42" s="83" t="s">
        <v>94</v>
      </c>
      <c r="E42" s="84">
        <f>I17</f>
        <v>533.67096673242304</v>
      </c>
      <c r="F42" s="85">
        <f>J17</f>
        <v>1211.2114959107846</v>
      </c>
      <c r="G42" s="85">
        <f>K17</f>
        <v>1807.2629364372069</v>
      </c>
      <c r="H42" s="85">
        <f>L17</f>
        <v>2845.4065495593522</v>
      </c>
      <c r="I42" s="38"/>
      <c r="J42" s="38"/>
      <c r="K42" s="38"/>
      <c r="L42" s="38"/>
    </row>
    <row r="43" spans="2:19" ht="10" customHeight="1">
      <c r="C43" s="71"/>
      <c r="D43" s="76"/>
      <c r="E43" s="77"/>
      <c r="F43" s="39"/>
      <c r="G43" s="39"/>
      <c r="H43" s="39"/>
      <c r="I43" s="39"/>
      <c r="J43" s="39"/>
      <c r="K43" s="39"/>
      <c r="L43" s="39"/>
    </row>
    <row r="44" spans="2:19">
      <c r="B44" t="s">
        <v>90</v>
      </c>
      <c r="C44" s="71" t="str">
        <f>C19</f>
        <v>[TWh/year]</v>
      </c>
      <c r="D44" s="81">
        <f>D19</f>
        <v>158.74223539999963</v>
      </c>
      <c r="E44" s="82">
        <f>I19</f>
        <v>154.855341286124</v>
      </c>
      <c r="F44" s="38">
        <f>J19</f>
        <v>148.24490672307249</v>
      </c>
      <c r="G44" s="38">
        <f>K19</f>
        <v>142.22627313400702</v>
      </c>
      <c r="H44" s="38">
        <f>L19</f>
        <v>127.10018733926199</v>
      </c>
      <c r="I44" s="38"/>
      <c r="J44" s="38"/>
      <c r="K44" s="38"/>
      <c r="L44" s="38"/>
    </row>
    <row r="46" spans="2:19">
      <c r="N46">
        <f>I4</f>
        <v>-0.1</v>
      </c>
      <c r="O46">
        <f t="shared" ref="O46:Q46" si="16">J4</f>
        <v>-0.3</v>
      </c>
      <c r="P46">
        <f t="shared" si="16"/>
        <v>-0.5</v>
      </c>
      <c r="Q46">
        <f t="shared" si="16"/>
        <v>-1</v>
      </c>
    </row>
    <row r="47" spans="2:19">
      <c r="M47" t="s">
        <v>143</v>
      </c>
      <c r="N47" s="49">
        <f>E17</f>
        <v>1622.2940053848181</v>
      </c>
      <c r="O47" s="49">
        <f t="shared" ref="O47:Q47" si="17">F17</f>
        <v>2156.658527783798</v>
      </c>
      <c r="P47" s="49">
        <f t="shared" si="17"/>
        <v>2562.9692672116553</v>
      </c>
      <c r="Q47" s="49">
        <f t="shared" si="17"/>
        <v>3221.149453615159</v>
      </c>
      <c r="S47" s="22">
        <f>(N47-N50)/N47</f>
        <v>0.8192275480223784</v>
      </c>
    </row>
    <row r="48" spans="2:19">
      <c r="M48" t="s">
        <v>144</v>
      </c>
      <c r="N48" s="49">
        <f>I17</f>
        <v>533.67096673242304</v>
      </c>
      <c r="O48" s="49">
        <f t="shared" ref="O48:Q48" si="18">J17</f>
        <v>1211.2114959107846</v>
      </c>
      <c r="P48" s="49">
        <f t="shared" si="18"/>
        <v>1807.2629364372069</v>
      </c>
      <c r="Q48" s="49">
        <f t="shared" si="18"/>
        <v>2845.4065495593522</v>
      </c>
    </row>
    <row r="49" spans="13:17">
      <c r="M49" t="s">
        <v>145</v>
      </c>
      <c r="N49" s="49">
        <f>M17</f>
        <v>396.18024590023037</v>
      </c>
      <c r="O49" s="49">
        <f t="shared" ref="O49:Q49" si="19">N17</f>
        <v>1097.8466763323818</v>
      </c>
      <c r="P49" s="49">
        <f t="shared" si="19"/>
        <v>1738.8291561684871</v>
      </c>
      <c r="Q49" s="49">
        <f t="shared" si="19"/>
        <v>2711.9318508465071</v>
      </c>
    </row>
    <row r="50" spans="13:17">
      <c r="M50" t="s">
        <v>146</v>
      </c>
      <c r="N50" s="49">
        <f>Q17</f>
        <v>293.26606518201027</v>
      </c>
      <c r="O50" s="49">
        <f>R17</f>
        <v>1036.7501976761312</v>
      </c>
      <c r="P50" s="49">
        <f>S17</f>
        <v>1658.7728310642774</v>
      </c>
      <c r="Q50" s="49">
        <f>T17</f>
        <v>2673.7858815040213</v>
      </c>
    </row>
    <row r="53" spans="13:17">
      <c r="N53">
        <f t="shared" ref="N53:Q53" si="20">N46</f>
        <v>-0.1</v>
      </c>
      <c r="O53">
        <f t="shared" si="20"/>
        <v>-0.3</v>
      </c>
      <c r="P53">
        <f t="shared" si="20"/>
        <v>-0.5</v>
      </c>
      <c r="Q53">
        <f t="shared" si="20"/>
        <v>-1</v>
      </c>
    </row>
    <row r="54" spans="13:17">
      <c r="M54" t="str">
        <f t="shared" ref="M54" si="21">M47</f>
        <v>Exchange Elasticity = 0</v>
      </c>
      <c r="N54" s="21">
        <f>E17/E8</f>
        <v>0.10348086719331195</v>
      </c>
      <c r="O54" s="21">
        <f t="shared" ref="O54:Q54" si="22">F17/F8</f>
        <v>0.14826048037823009</v>
      </c>
      <c r="P54" s="21">
        <f t="shared" si="22"/>
        <v>0.18976664914160757</v>
      </c>
      <c r="Q54" s="21">
        <f t="shared" si="22"/>
        <v>0.30367387109992938</v>
      </c>
    </row>
    <row r="55" spans="13:17">
      <c r="M55" t="str">
        <f t="shared" ref="M55" si="23">M48</f>
        <v>Exch. Elast. = -0.1</v>
      </c>
      <c r="N55" s="21">
        <f>I17/I8</f>
        <v>3.2242540920135232E-2</v>
      </c>
      <c r="O55" s="21">
        <f t="shared" ref="O55:Q55" si="24">J17/J8</f>
        <v>7.9334073471308206E-2</v>
      </c>
      <c r="P55" s="22">
        <f t="shared" si="24"/>
        <v>0.12967736169245389</v>
      </c>
      <c r="Q55" s="21">
        <f t="shared" si="24"/>
        <v>0.26777270795037317</v>
      </c>
    </row>
    <row r="56" spans="13:17">
      <c r="M56" t="str">
        <f t="shared" ref="M56" si="25">M49</f>
        <v>Exch. Elast. = -0.3</v>
      </c>
      <c r="N56" s="21">
        <f>M17/M8</f>
        <v>2.434129556311003E-2</v>
      </c>
      <c r="O56" s="21">
        <f t="shared" ref="O56:Q56" si="26">N17/N8</f>
        <v>7.3621120108673027E-2</v>
      </c>
      <c r="P56" s="22">
        <f t="shared" si="26"/>
        <v>0.12974521938152603</v>
      </c>
      <c r="Q56" s="21">
        <f t="shared" si="26"/>
        <v>0.27397194086700549</v>
      </c>
    </row>
    <row r="57" spans="13:17">
      <c r="M57" t="str">
        <f>M50</f>
        <v>Exch. Elast. = -0.5</v>
      </c>
      <c r="N57" s="21">
        <f>Q17/Q8</f>
        <v>1.8456469033495619E-2</v>
      </c>
      <c r="O57" s="21">
        <f t="shared" ref="O57:Q57" si="27">R17/R8</f>
        <v>7.2162005130907411E-2</v>
      </c>
      <c r="P57" s="22">
        <f t="shared" si="27"/>
        <v>0.13008459767001068</v>
      </c>
      <c r="Q57" s="21">
        <f t="shared" si="27"/>
        <v>0.30266221786987085</v>
      </c>
    </row>
  </sheetData>
  <mergeCells count="10">
    <mergeCell ref="M3:P3"/>
    <mergeCell ref="Q3:T3"/>
    <mergeCell ref="C33:C37"/>
    <mergeCell ref="C8:C12"/>
    <mergeCell ref="D3:D4"/>
    <mergeCell ref="I3:L3"/>
    <mergeCell ref="E3:H3"/>
    <mergeCell ref="E28:H28"/>
    <mergeCell ref="D28:D29"/>
    <mergeCell ref="C22:C24"/>
  </mergeCells>
  <pageMargins left="0.7" right="0.7" top="0.75" bottom="0.75" header="0.3" footer="0.3"/>
  <ignoredErrors>
    <ignoredError sqref="I24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DD1C-A03D-EF46-959E-3398CB613FFC}">
  <sheetPr codeName="Sheet9"/>
  <dimension ref="A1:P47"/>
  <sheetViews>
    <sheetView showGridLines="0" topLeftCell="A43" workbookViewId="0">
      <selection activeCell="G41" sqref="G41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296489813.446145</v>
      </c>
      <c r="G4" s="1">
        <f>F42/2</f>
        <v>19882.351840887401</v>
      </c>
      <c r="O4" s="111"/>
    </row>
    <row r="5" spans="1:15">
      <c r="A5" t="s">
        <v>2</v>
      </c>
      <c r="C5">
        <v>52367759.224343598</v>
      </c>
      <c r="O5" s="111"/>
    </row>
    <row r="6" spans="1:15">
      <c r="A6" t="s">
        <v>3</v>
      </c>
      <c r="C6">
        <v>2632733555.0707598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386257400.58314103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4128989994.4986501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80734303.410982803</v>
      </c>
      <c r="O17" s="111"/>
    </row>
    <row r="18" spans="1:16">
      <c r="A18" t="s">
        <v>15</v>
      </c>
      <c r="C18">
        <v>581071062.44470596</v>
      </c>
      <c r="G18" s="1">
        <f>G19*1000000</f>
        <v>75098123.360039607</v>
      </c>
      <c r="O18" s="111"/>
    </row>
    <row r="19" spans="1:16">
      <c r="A19" t="s">
        <v>16</v>
      </c>
      <c r="C19">
        <v>39764703.681774803</v>
      </c>
      <c r="G19" s="24">
        <f>G20-F20</f>
        <v>75.098123360039608</v>
      </c>
      <c r="O19" s="111"/>
    </row>
    <row r="20" spans="1:16">
      <c r="A20" t="s">
        <v>17</v>
      </c>
      <c r="C20">
        <v>29813308.165909901</v>
      </c>
      <c r="F20" s="24">
        <f>F37-F30</f>
        <v>6389.8001321022557</v>
      </c>
      <c r="G20" s="24">
        <f>G37-G30-G39</f>
        <v>6464.8982554622953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15267229362.032301</v>
      </c>
      <c r="G22" s="67">
        <f>G28-F28</f>
        <v>12.016047516629982</v>
      </c>
      <c r="O22" s="111"/>
    </row>
    <row r="23" spans="1:16">
      <c r="A23" t="s">
        <v>20</v>
      </c>
      <c r="C23">
        <v>1073279093.9727499</v>
      </c>
      <c r="O23" s="111"/>
    </row>
    <row r="24" spans="1:16">
      <c r="A24" t="s">
        <v>134</v>
      </c>
      <c r="C24">
        <v>296489813.446145</v>
      </c>
    </row>
    <row r="25" spans="1:16">
      <c r="A25" t="s">
        <v>133</v>
      </c>
      <c r="C25">
        <v>70365476.0079166</v>
      </c>
    </row>
    <row r="26" spans="1:16">
      <c r="C26">
        <f>C24-C5-C9-C13-C17</f>
        <v>73351427.858008191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51.493267794191759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7729.0520125972562</v>
      </c>
      <c r="H30" s="145"/>
      <c r="I30" s="145"/>
      <c r="J30" s="113">
        <f>(G30-F30)*1000000/E3</f>
        <v>4.993780490200959</v>
      </c>
      <c r="M30" t="s">
        <v>27</v>
      </c>
      <c r="N30" s="49">
        <f>F37-G37</f>
        <v>-2733.8249735556019</v>
      </c>
    </row>
    <row r="31" spans="1:16">
      <c r="E31" s="15" t="s">
        <v>24</v>
      </c>
      <c r="F31" s="45">
        <f>C8/C28</f>
        <v>297.67860554315797</v>
      </c>
      <c r="G31" s="46">
        <f>C10/C28</f>
        <v>386.25740058314102</v>
      </c>
      <c r="H31" s="168" t="s">
        <v>34</v>
      </c>
      <c r="I31" s="145"/>
      <c r="J31" s="114">
        <f>(G31-F31)*1000000/C7</f>
        <v>11.500500869962156</v>
      </c>
      <c r="M31" t="s">
        <v>22</v>
      </c>
      <c r="N31" s="49">
        <f>G30-F30</f>
        <v>1585.4477562228121</v>
      </c>
      <c r="P31">
        <f>G31/F31</f>
        <v>1.2975652041850914</v>
      </c>
    </row>
    <row r="32" spans="1:16">
      <c r="E32" s="15" t="s">
        <v>25</v>
      </c>
      <c r="F32" s="45">
        <f>C12/C28</f>
        <v>3182.1059790916502</v>
      </c>
      <c r="G32" s="46">
        <f>C14/C28</f>
        <v>4128.98999449865</v>
      </c>
      <c r="H32" s="168"/>
      <c r="I32" s="145"/>
      <c r="J32" s="114">
        <f>(G32-F32)*1000000/C11</f>
        <v>11.500500869962076</v>
      </c>
      <c r="M32" t="s">
        <v>29</v>
      </c>
      <c r="N32" s="49">
        <f>G39</f>
        <v>1073.2790939727499</v>
      </c>
      <c r="P32">
        <f>G32/F32</f>
        <v>1.2975652041850891</v>
      </c>
    </row>
    <row r="33" spans="5:16">
      <c r="E33" s="15" t="s">
        <v>23</v>
      </c>
      <c r="F33" s="45">
        <f>C4/C28</f>
        <v>2028.9797742576302</v>
      </c>
      <c r="G33" s="46">
        <f>C6/C28</f>
        <v>2632.7335550707598</v>
      </c>
      <c r="H33" s="168"/>
      <c r="I33" s="145"/>
      <c r="J33" s="114">
        <f>(G33-F33)*1000000/C3</f>
        <v>11.501183091491859</v>
      </c>
      <c r="M33" t="s">
        <v>93</v>
      </c>
      <c r="N33" s="49">
        <f>G40</f>
        <v>989.33111266356741</v>
      </c>
      <c r="P33">
        <f>G33/F33</f>
        <v>1.297565204184469</v>
      </c>
    </row>
    <row r="34" spans="5:16">
      <c r="E34" s="15" t="s">
        <v>26</v>
      </c>
      <c r="F34" s="45">
        <f>C16/C28</f>
        <v>634.83989748200599</v>
      </c>
      <c r="G34" s="46">
        <f>C18/C28</f>
        <v>581.07106244470594</v>
      </c>
      <c r="H34" s="168"/>
      <c r="I34" s="145"/>
      <c r="J34" s="112">
        <f>(G34-F34)*1000000/C15</f>
        <v>-0.51410263933169376</v>
      </c>
      <c r="N34" s="49"/>
      <c r="P34">
        <f>G34/F34</f>
        <v>0.91530331466159298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296.97850660725703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15267.229362032302</v>
      </c>
      <c r="H37" s="3" t="s">
        <v>34</v>
      </c>
      <c r="I37" s="3"/>
      <c r="J37" s="13"/>
      <c r="M37" t="s">
        <v>88</v>
      </c>
      <c r="N37" s="49">
        <f>SUM(N30:N35)</f>
        <v>1211.2114959107846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1073.2790939727499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989.33111266356741</v>
      </c>
      <c r="H40" s="3"/>
      <c r="I40" s="3"/>
      <c r="J40" s="13"/>
      <c r="N40" s="21">
        <f>N37/G37</f>
        <v>7.9334073471308206E-2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31515.300720462106</v>
      </c>
      <c r="H42" s="145" t="s">
        <v>37</v>
      </c>
      <c r="I42" s="145"/>
      <c r="N42" s="21">
        <f>(G37-F37)/F37</f>
        <v>0.21812309639263694</v>
      </c>
    </row>
    <row r="43" spans="5:16">
      <c r="E43" s="9" t="s">
        <v>36</v>
      </c>
      <c r="F43" s="43">
        <f>F42*36/C29</f>
        <v>1431.5293325438927</v>
      </c>
      <c r="G43" s="44">
        <f>G42*36/C29</f>
        <v>1134.5508259366356</v>
      </c>
      <c r="H43" s="3" t="s">
        <v>34</v>
      </c>
      <c r="I43" s="3"/>
    </row>
    <row r="44" spans="5:16" ht="10" customHeight="1">
      <c r="H44" s="2"/>
      <c r="I44" s="2"/>
      <c r="L44">
        <f>K45-L45</f>
        <v>-1366912486.7777996</v>
      </c>
    </row>
    <row r="45" spans="5:16">
      <c r="E45" s="9" t="s">
        <v>90</v>
      </c>
      <c r="F45" s="43">
        <f>E3/(2*C28)</f>
        <v>158.74223539999963</v>
      </c>
      <c r="G45" s="44">
        <f>E4/(2*C28)</f>
        <v>148.24490672307249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7633614681.0161495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ADB6-6601-3546-952C-A2665007EA4C}">
  <sheetPr codeName="Sheet10"/>
  <dimension ref="A1:P47"/>
  <sheetViews>
    <sheetView showGridLines="0" topLeftCell="A46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284452546.26801401</v>
      </c>
      <c r="G4" s="1">
        <f>F42/2</f>
        <v>19882.351840887401</v>
      </c>
    </row>
    <row r="5" spans="1:10">
      <c r="A5" t="s">
        <v>2</v>
      </c>
      <c r="C5">
        <v>52040130.773524202</v>
      </c>
    </row>
    <row r="6" spans="1:10">
      <c r="A6" t="s">
        <v>3</v>
      </c>
      <c r="C6">
        <v>2484989966.0443301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364581430.16867799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3897279573.34621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69354337.534281805</v>
      </c>
    </row>
    <row r="18" spans="1:16">
      <c r="A18" t="s">
        <v>15</v>
      </c>
      <c r="C18">
        <v>446602910.12217599</v>
      </c>
      <c r="G18" s="1">
        <f>G19*1000000</f>
        <v>-555233105.1104238</v>
      </c>
    </row>
    <row r="19" spans="1:16">
      <c r="A19" t="s">
        <v>16</v>
      </c>
      <c r="C19">
        <v>39764703.681774803</v>
      </c>
      <c r="G19" s="24">
        <f>G20-F20</f>
        <v>-555.23310511042382</v>
      </c>
    </row>
    <row r="20" spans="1:16">
      <c r="A20" t="s">
        <v>17</v>
      </c>
      <c r="C20">
        <v>25238611.7806242</v>
      </c>
      <c r="F20" s="24">
        <f>F37-F30</f>
        <v>6389.8001321022557</v>
      </c>
      <c r="G20" s="24">
        <f>G37-G30-G39</f>
        <v>5834.5670269918319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13936610930.7757</v>
      </c>
      <c r="G22" s="67">
        <f>G28-F28</f>
        <v>9.5172820168366954</v>
      </c>
    </row>
    <row r="23" spans="1:16">
      <c r="A23" t="s">
        <v>20</v>
      </c>
      <c r="C23">
        <v>908590024.10247397</v>
      </c>
    </row>
    <row r="24" spans="1:16">
      <c r="A24" t="s">
        <v>134</v>
      </c>
      <c r="C24">
        <v>284452546.26801401</v>
      </c>
    </row>
    <row r="25" spans="1:16">
      <c r="A25" t="s">
        <v>133</v>
      </c>
      <c r="C25">
        <v>70365476.0079166</v>
      </c>
    </row>
    <row r="26" spans="1:16">
      <c r="C26">
        <f>C24-C5-C9-C13-C17</f>
        <v>73021755.007397637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48.994502294398472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7193.453879681394</v>
      </c>
      <c r="H30" s="145"/>
      <c r="I30" s="145"/>
      <c r="J30" s="14">
        <f>(G30-F30)*1000000/E3</f>
        <v>3.3067747240094381</v>
      </c>
      <c r="M30" t="s">
        <v>27</v>
      </c>
      <c r="N30" s="49">
        <f>F37-G37</f>
        <v>-1403.2065422989999</v>
      </c>
    </row>
    <row r="31" spans="1:16">
      <c r="E31" s="15" t="s">
        <v>24</v>
      </c>
      <c r="F31" s="45">
        <f>C8/C28</f>
        <v>297.67860554315797</v>
      </c>
      <c r="G31" s="46">
        <f>C10/C28</f>
        <v>364.58143016867797</v>
      </c>
      <c r="H31" s="168" t="s">
        <v>34</v>
      </c>
      <c r="I31" s="145"/>
      <c r="J31" s="16">
        <f>(G31-F31)*1000000/C7</f>
        <v>8.6862323252581639</v>
      </c>
      <c r="M31" t="s">
        <v>22</v>
      </c>
      <c r="N31" s="49">
        <f>G30-F30</f>
        <v>1049.84962330695</v>
      </c>
      <c r="P31">
        <f>G31/F31</f>
        <v>1.2247485152768909</v>
      </c>
    </row>
    <row r="32" spans="1:16">
      <c r="E32" s="15" t="s">
        <v>25</v>
      </c>
      <c r="F32" s="45">
        <f>C12/C28</f>
        <v>3182.1059790916502</v>
      </c>
      <c r="G32" s="46">
        <f>C14/C28</f>
        <v>3897.2795733462099</v>
      </c>
      <c r="H32" s="168"/>
      <c r="I32" s="145"/>
      <c r="J32" s="16">
        <f>(G32-F32)*1000000/C11</f>
        <v>8.6862323252580982</v>
      </c>
      <c r="M32" t="s">
        <v>29</v>
      </c>
      <c r="N32" s="49">
        <f>G39</f>
        <v>908.59002410247399</v>
      </c>
      <c r="P32">
        <f>G32/F32</f>
        <v>1.2247485152768891</v>
      </c>
    </row>
    <row r="33" spans="5:16">
      <c r="E33" s="15" t="s">
        <v>23</v>
      </c>
      <c r="F33" s="45">
        <f>C4/C28</f>
        <v>2028.9797742576302</v>
      </c>
      <c r="G33" s="46">
        <f>C6/C28</f>
        <v>2484.9899660443302</v>
      </c>
      <c r="H33" s="168"/>
      <c r="I33" s="145"/>
      <c r="J33" s="16">
        <f>(G33-F33)*1000000/C3</f>
        <v>8.6867476014174212</v>
      </c>
      <c r="M33" t="s">
        <v>60</v>
      </c>
      <c r="N33" s="49">
        <f>G40</f>
        <v>783.59736795471213</v>
      </c>
      <c r="P33">
        <f>G33/F33</f>
        <v>1.2247485152746516</v>
      </c>
    </row>
    <row r="34" spans="5:16">
      <c r="E34" s="15" t="s">
        <v>26</v>
      </c>
      <c r="F34" s="45">
        <f>C16/C28</f>
        <v>634.83989748200599</v>
      </c>
      <c r="G34" s="46">
        <f>C18/C28</f>
        <v>446.60291012217601</v>
      </c>
      <c r="H34" s="168"/>
      <c r="I34" s="145"/>
      <c r="J34" s="27">
        <f>(G34-F34)*1000000/C15</f>
        <v>-1.7997996786503307</v>
      </c>
      <c r="N34" s="49"/>
      <c r="P34">
        <f>G34/F34</f>
        <v>0.70348904013997415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468.43246337207074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13936.6109307757</v>
      </c>
      <c r="H37" s="3" t="s">
        <v>34</v>
      </c>
      <c r="I37" s="3"/>
      <c r="J37" s="13"/>
      <c r="M37" t="s">
        <v>88</v>
      </c>
      <c r="N37" s="49">
        <f>SUM(N30:N35)</f>
        <v>1807.2629364372069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908.59002410247399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783.59736795471213</v>
      </c>
      <c r="H40" s="3"/>
      <c r="I40" s="3"/>
      <c r="J40" s="13"/>
      <c r="N40" s="21">
        <f>N37/G37</f>
        <v>0.12967736169245389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26752.690810328389</v>
      </c>
      <c r="H42" s="145" t="s">
        <v>37</v>
      </c>
      <c r="I42" s="145"/>
      <c r="N42" s="21">
        <f>(G37-F37)/F37</f>
        <v>0.11195733408148212</v>
      </c>
    </row>
    <row r="43" spans="5:16">
      <c r="E43" s="9" t="s">
        <v>36</v>
      </c>
      <c r="F43" s="43">
        <f>F42*36/C29</f>
        <v>1431.5293325438927</v>
      </c>
      <c r="G43" s="44">
        <f>G42*36/C29</f>
        <v>963.09686917182194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142.22627313400702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EDCF-627D-B641-BCC7-8CAD30E367A3}">
  <sheetPr codeName="Sheet11"/>
  <dimension ref="A1:P47"/>
  <sheetViews>
    <sheetView showGridLines="0" topLeftCell="A44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254200374.67852399</v>
      </c>
      <c r="G4" s="1">
        <f>F42/2</f>
        <v>19882.351840887401</v>
      </c>
    </row>
    <row r="5" spans="1:10">
      <c r="A5" t="s">
        <v>2</v>
      </c>
      <c r="C5">
        <v>48100703.2976491</v>
      </c>
    </row>
    <row r="6" spans="1:10">
      <c r="A6" t="s">
        <v>3</v>
      </c>
      <c r="C6">
        <v>1944066885.14838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7616002.6454654699</v>
      </c>
    </row>
    <row r="10" spans="1:10">
      <c r="A10" t="s">
        <v>7</v>
      </c>
      <c r="C10">
        <v>285220743.35446399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81364481.318063006</v>
      </c>
    </row>
    <row r="14" spans="1:10">
      <c r="A14" t="s">
        <v>11</v>
      </c>
      <c r="C14">
        <v>3048934709.74512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44211963.182723798</v>
      </c>
    </row>
    <row r="18" spans="1:16">
      <c r="A18" t="s">
        <v>15</v>
      </c>
      <c r="C18">
        <v>232765601.67387199</v>
      </c>
      <c r="G18" s="1">
        <f>G19*1000000</f>
        <v>-1839256327.87202</v>
      </c>
    </row>
    <row r="19" spans="1:16">
      <c r="A19" t="s">
        <v>16</v>
      </c>
      <c r="C19">
        <v>39764703.681774803</v>
      </c>
      <c r="G19" s="24">
        <f>G20-F20</f>
        <v>-1839.2563278720199</v>
      </c>
    </row>
    <row r="20" spans="1:16">
      <c r="A20" t="s">
        <v>17</v>
      </c>
      <c r="C20">
        <v>15685250.111359101</v>
      </c>
      <c r="F20" s="24">
        <f>F37-F30</f>
        <v>6389.8001321022557</v>
      </c>
      <c r="G20" s="24">
        <f>G37-G30-G39</f>
        <v>4550.5438042302358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10626200748.160999</v>
      </c>
      <c r="G22" s="67">
        <f>G28-F28</f>
        <v>2.3252387534270156</v>
      </c>
    </row>
    <row r="23" spans="1:16">
      <c r="A23" t="s">
        <v>20</v>
      </c>
      <c r="C23">
        <v>564669004.00892794</v>
      </c>
    </row>
    <row r="24" spans="1:16">
      <c r="A24" t="s">
        <v>134</v>
      </c>
      <c r="C24">
        <v>254200374.67852399</v>
      </c>
    </row>
    <row r="25" spans="1:16">
      <c r="A25" t="s">
        <v>133</v>
      </c>
      <c r="C25">
        <v>70365476.0079166</v>
      </c>
    </row>
    <row r="26" spans="1:16">
      <c r="C26">
        <f>C24-C5-C9-C13-C17</f>
        <v>72907224.234622598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41.802459030988793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5510.9879399218362</v>
      </c>
      <c r="H30" s="145"/>
      <c r="I30" s="145"/>
      <c r="J30" s="14">
        <f>(G30-F30)*1000000/E3</f>
        <v>-1.992589794576527</v>
      </c>
      <c r="M30" t="s">
        <v>27</v>
      </c>
      <c r="N30" s="49">
        <f>F37-G37</f>
        <v>1907.2036403156999</v>
      </c>
    </row>
    <row r="31" spans="1:16">
      <c r="E31" s="15" t="s">
        <v>24</v>
      </c>
      <c r="F31" s="45">
        <f>C8/C28</f>
        <v>297.67860554315797</v>
      </c>
      <c r="G31" s="46">
        <f>C10/C28</f>
        <v>285.22074335446399</v>
      </c>
      <c r="H31" s="168" t="s">
        <v>34</v>
      </c>
      <c r="I31" s="145"/>
      <c r="J31" s="16">
        <f>(G31-F31)*1000000/C7</f>
        <v>-1.617448678030371</v>
      </c>
      <c r="M31" t="s">
        <v>22</v>
      </c>
      <c r="N31" s="49">
        <f>G30-F30</f>
        <v>-632.61631645260786</v>
      </c>
      <c r="P31">
        <f>G31/F31</f>
        <v>0.95814995785147949</v>
      </c>
    </row>
    <row r="32" spans="1:16">
      <c r="E32" s="15" t="s">
        <v>25</v>
      </c>
      <c r="F32" s="45">
        <f>C12/C28</f>
        <v>3182.1059790916502</v>
      </c>
      <c r="G32" s="46">
        <f>C14/C28</f>
        <v>3048.93470974512</v>
      </c>
      <c r="H32" s="168"/>
      <c r="I32" s="145"/>
      <c r="J32" s="16">
        <f>(G32-F32)*1000000/C11</f>
        <v>-1.6174486780362667</v>
      </c>
      <c r="M32" t="s">
        <v>29</v>
      </c>
      <c r="N32" s="49">
        <f>G39</f>
        <v>564.66900400892791</v>
      </c>
      <c r="P32">
        <f>G32/F32</f>
        <v>0.95814995785132695</v>
      </c>
    </row>
    <row r="33" spans="5:16">
      <c r="E33" s="15" t="s">
        <v>23</v>
      </c>
      <c r="F33" s="45">
        <f>C4/C28</f>
        <v>2028.9797742576302</v>
      </c>
      <c r="G33" s="46">
        <f>C6/C28</f>
        <v>1944.0668851483802</v>
      </c>
      <c r="H33" s="168"/>
      <c r="I33" s="145"/>
      <c r="J33" s="16">
        <f>(G33-F33)*1000000/C3</f>
        <v>-1.6175446274767111</v>
      </c>
      <c r="M33" t="s">
        <v>60</v>
      </c>
      <c r="N33" s="49">
        <f>G40</f>
        <v>191.44656676437432</v>
      </c>
      <c r="P33">
        <f>G33/F33</f>
        <v>0.95814995783271506</v>
      </c>
    </row>
    <row r="34" spans="5:16">
      <c r="E34" s="15" t="s">
        <v>26</v>
      </c>
      <c r="F34" s="45">
        <f>C16/C28</f>
        <v>634.83989748200599</v>
      </c>
      <c r="G34" s="46">
        <f>C18/C28</f>
        <v>232.765601673872</v>
      </c>
      <c r="H34" s="168"/>
      <c r="I34" s="145"/>
      <c r="J34" s="27">
        <f>(G34-F34)*1000000/C15</f>
        <v>-3.8443729818397325</v>
      </c>
      <c r="N34" s="49"/>
      <c r="P34">
        <f>G34/F34</f>
        <v>0.36665244669892466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814.70365492295798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10626.200748161</v>
      </c>
      <c r="H37" s="3" t="s">
        <v>34</v>
      </c>
      <c r="I37" s="3"/>
      <c r="J37" s="13"/>
      <c r="M37" t="s">
        <v>88</v>
      </c>
      <c r="N37" s="49">
        <f>SUM(N30:N35)</f>
        <v>2845.4065495593522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564.66900400892791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191.44656676437432</v>
      </c>
      <c r="H40" s="3"/>
      <c r="I40" s="3"/>
      <c r="J40" s="13"/>
      <c r="N40" s="21">
        <f>N37/G37</f>
        <v>0.26777270795037317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17134.046600581518</v>
      </c>
      <c r="H42" s="145" t="s">
        <v>37</v>
      </c>
      <c r="I42" s="145"/>
      <c r="N42" s="21">
        <f>(G37-F37)/F37</f>
        <v>-0.15216964052234652</v>
      </c>
    </row>
    <row r="43" spans="5:16">
      <c r="E43" s="9" t="s">
        <v>36</v>
      </c>
      <c r="F43" s="43">
        <f>F42*36/C29</f>
        <v>1431.5293325438927</v>
      </c>
      <c r="G43" s="44">
        <f>G42*36/C29</f>
        <v>616.8256776209347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127.10018733926199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918E-15C1-E843-9134-50F496B6F369}">
  <sheetPr codeName="Sheet12"/>
  <dimension ref="A1:P47"/>
  <sheetViews>
    <sheetView showGridLines="0" topLeftCell="A20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309956164.42345202</v>
      </c>
      <c r="G4" s="1">
        <f>F42/2</f>
        <v>19882.351840887401</v>
      </c>
      <c r="O4" s="111"/>
    </row>
    <row r="5" spans="1:15">
      <c r="A5" t="s">
        <v>2</v>
      </c>
      <c r="C5">
        <v>52376520.3199303</v>
      </c>
      <c r="O5" s="111"/>
    </row>
    <row r="6" spans="1:15">
      <c r="A6" t="s">
        <v>3</v>
      </c>
      <c r="C6">
        <v>2689934685.59308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394649575.30335498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4218700134.4196801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87210157.688171297</v>
      </c>
      <c r="O17" s="111"/>
    </row>
    <row r="18" spans="1:16">
      <c r="A18" t="s">
        <v>15</v>
      </c>
      <c r="C18">
        <v>679046630.51855004</v>
      </c>
      <c r="G18" s="1">
        <f>G19*1000000</f>
        <v>733400230.04153955</v>
      </c>
      <c r="O18" s="111"/>
    </row>
    <row r="19" spans="1:16">
      <c r="A19" t="s">
        <v>16</v>
      </c>
      <c r="C19">
        <v>39764703.681774803</v>
      </c>
      <c r="G19" s="24">
        <f>G20-F20</f>
        <v>733.40023004153954</v>
      </c>
      <c r="O19" s="111"/>
    </row>
    <row r="20" spans="1:16">
      <c r="A20" t="s">
        <v>17</v>
      </c>
      <c r="C20">
        <v>32514522.575362202</v>
      </c>
      <c r="F20" s="24">
        <f>F37-F30</f>
        <v>6389.8001321022557</v>
      </c>
      <c r="G20" s="24">
        <f>G37-G30-G39</f>
        <v>7123.2003621437952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16276054200.6915</v>
      </c>
      <c r="G22" s="67">
        <f>G28-F28</f>
        <v>13.033605667669896</v>
      </c>
      <c r="O22" s="111"/>
    </row>
    <row r="23" spans="1:16">
      <c r="A23" t="s">
        <v>20</v>
      </c>
      <c r="C23">
        <v>1170522812.7130401</v>
      </c>
      <c r="O23" s="111"/>
    </row>
    <row r="24" spans="1:16">
      <c r="A24" t="s">
        <v>134</v>
      </c>
      <c r="C24">
        <v>309956164.42345202</v>
      </c>
    </row>
    <row r="25" spans="1:16">
      <c r="A25" t="s">
        <v>133</v>
      </c>
      <c r="C25">
        <v>70365476.0079166</v>
      </c>
    </row>
    <row r="26" spans="1:16">
      <c r="C26">
        <f>C24-C5-C9-C13-C17</f>
        <v>80333163.462540001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52.510825945231673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7982.3310258346646</v>
      </c>
      <c r="H30" s="145"/>
      <c r="I30" s="145"/>
      <c r="J30" s="113">
        <f>(G30-F30)*1000000/E3</f>
        <v>5.7915486852852549</v>
      </c>
      <c r="M30" t="s">
        <v>27</v>
      </c>
      <c r="N30" s="49">
        <f>F37-G37</f>
        <v>-3742.6498122148005</v>
      </c>
    </row>
    <row r="31" spans="1:16">
      <c r="E31" s="15" t="s">
        <v>24</v>
      </c>
      <c r="F31" s="45">
        <f>C8/C28</f>
        <v>297.67860554315797</v>
      </c>
      <c r="G31" s="46">
        <f>C10/C28</f>
        <v>394.64957530335499</v>
      </c>
      <c r="H31" s="168" t="s">
        <v>34</v>
      </c>
      <c r="I31" s="145"/>
      <c r="J31" s="114">
        <f>(G31-F31)*1000000/C7</f>
        <v>12.590086843976934</v>
      </c>
      <c r="M31" t="s">
        <v>22</v>
      </c>
      <c r="N31" s="49">
        <f>G30-F30</f>
        <v>1838.7267694602206</v>
      </c>
      <c r="P31">
        <f>G31/F31</f>
        <v>1.3257572696004114</v>
      </c>
    </row>
    <row r="32" spans="1:16">
      <c r="E32" s="15" t="s">
        <v>25</v>
      </c>
      <c r="F32" s="45">
        <f>C12/C28</f>
        <v>3182.1059790916502</v>
      </c>
      <c r="G32" s="46">
        <f>C14/C28</f>
        <v>4218.7001344196797</v>
      </c>
      <c r="H32" s="168"/>
      <c r="I32" s="145"/>
      <c r="J32" s="114">
        <f>(G32-F32)*1000000/C11</f>
        <v>12.590086843976813</v>
      </c>
      <c r="M32" t="s">
        <v>29</v>
      </c>
      <c r="N32" s="49">
        <f>G39</f>
        <v>1170.5228127130401</v>
      </c>
      <c r="P32">
        <f>G32/F32</f>
        <v>1.3257572696004081</v>
      </c>
    </row>
    <row r="33" spans="5:16">
      <c r="E33" s="15" t="s">
        <v>23</v>
      </c>
      <c r="F33" s="45">
        <f>C4/C28</f>
        <v>2028.9797742576302</v>
      </c>
      <c r="G33" s="46">
        <f>C6/C28</f>
        <v>2689.9346855930798</v>
      </c>
      <c r="H33" s="168"/>
      <c r="I33" s="145"/>
      <c r="J33" s="114">
        <f>(G33-F33)*1000000/C3</f>
        <v>12.590833700870235</v>
      </c>
      <c r="M33" t="s">
        <v>93</v>
      </c>
      <c r="N33" s="49">
        <f>G40</f>
        <v>1073.110902679789</v>
      </c>
      <c r="P33">
        <f>G33/F33</f>
        <v>1.3257572695998323</v>
      </c>
    </row>
    <row r="34" spans="5:16">
      <c r="E34" s="15" t="s">
        <v>26</v>
      </c>
      <c r="F34" s="45">
        <f>C16/C28</f>
        <v>634.83989748200599</v>
      </c>
      <c r="G34" s="46">
        <f>C18/C28</f>
        <v>679.04663051855005</v>
      </c>
      <c r="H34" s="168"/>
      <c r="I34" s="145"/>
      <c r="J34" s="112">
        <f>(G34-F34)*1000000/C15</f>
        <v>0.4226760374211761</v>
      </c>
      <c r="N34" s="49"/>
      <c r="P34">
        <f>G34/F34</f>
        <v>1.0696344593524811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56.469573261981168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16276.0542006915</v>
      </c>
      <c r="H37" s="3" t="s">
        <v>34</v>
      </c>
      <c r="I37" s="3"/>
      <c r="J37" s="13"/>
      <c r="M37" t="s">
        <v>88</v>
      </c>
      <c r="N37" s="49">
        <f>SUM(N30:N35)</f>
        <v>396.18024590023037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1170.5228127130401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1073.110902679789</v>
      </c>
      <c r="H40" s="3"/>
      <c r="I40" s="3"/>
      <c r="J40" s="13"/>
      <c r="N40" s="21">
        <f>N37/G37</f>
        <v>2.434129556311003E-2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38196.104424497542</v>
      </c>
      <c r="H42" s="145" t="s">
        <v>37</v>
      </c>
      <c r="I42" s="145"/>
      <c r="N42" s="21">
        <f>(G37-F37)/F37</f>
        <v>0.29861398357622765</v>
      </c>
    </row>
    <row r="43" spans="5:16">
      <c r="E43" s="9" t="s">
        <v>36</v>
      </c>
      <c r="F43" s="43">
        <f>F42*36/C29</f>
        <v>1431.5293325438927</v>
      </c>
      <c r="G43" s="44">
        <f>G42*36/C29</f>
        <v>1375.0597592819115</v>
      </c>
      <c r="H43" s="3" t="s">
        <v>34</v>
      </c>
      <c r="I43" s="3"/>
    </row>
    <row r="44" spans="5:16" ht="10" customHeight="1">
      <c r="H44" s="2"/>
      <c r="I44" s="2"/>
      <c r="L44">
        <f>K45-L45</f>
        <v>-1871324906.1073999</v>
      </c>
    </row>
    <row r="45" spans="5:16">
      <c r="E45" s="9" t="s">
        <v>90</v>
      </c>
      <c r="F45" s="43">
        <f>E3/(2*C28)</f>
        <v>158.74223539999963</v>
      </c>
      <c r="G45" s="44">
        <f>E4/(2*C28)</f>
        <v>154.97808221172602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8138027100.3457499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65AD-87CC-3C42-BFD8-1AEA86F34E16}">
  <sheetPr codeName="Sheet13"/>
  <dimension ref="A1:P47"/>
  <sheetViews>
    <sheetView showGridLines="0" topLeftCell="A47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296772777.134435</v>
      </c>
      <c r="G4" s="1">
        <f>F42/2</f>
        <v>19882.351840887401</v>
      </c>
      <c r="O4" s="111"/>
    </row>
    <row r="5" spans="1:15">
      <c r="A5" t="s">
        <v>2</v>
      </c>
      <c r="C5">
        <v>52081383.8269215</v>
      </c>
      <c r="O5" s="111"/>
    </row>
    <row r="6" spans="1:15">
      <c r="A6" t="s">
        <v>3</v>
      </c>
      <c r="C6">
        <v>2555392101.34729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374910369.73230302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4007693219.9134998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75469544.218798906</v>
      </c>
      <c r="O17" s="111"/>
    </row>
    <row r="18" spans="1:16">
      <c r="A18" t="s">
        <v>15</v>
      </c>
      <c r="C18">
        <v>544855827.97342598</v>
      </c>
      <c r="G18" s="1">
        <f>G19*1000000</f>
        <v>40714833.285622261</v>
      </c>
      <c r="O18" s="111"/>
    </row>
    <row r="19" spans="1:16">
      <c r="A19" t="s">
        <v>16</v>
      </c>
      <c r="C19">
        <v>39764703.681774803</v>
      </c>
      <c r="G19" s="24">
        <f>G20-F20</f>
        <v>40.714833285622262</v>
      </c>
      <c r="O19" s="111"/>
    </row>
    <row r="20" spans="1:16">
      <c r="A20" t="s">
        <v>17</v>
      </c>
      <c r="C20">
        <v>27743039.5438472</v>
      </c>
      <c r="F20" s="24">
        <f>F37-F30</f>
        <v>6389.8001321022557</v>
      </c>
      <c r="G20" s="24">
        <f>G37-G30-G39</f>
        <v>6430.514965387878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14912115907.932899</v>
      </c>
      <c r="G22" s="67">
        <f>G28-F28</f>
        <v>10.770366620133579</v>
      </c>
      <c r="O22" s="111"/>
    </row>
    <row r="23" spans="1:16">
      <c r="A23" t="s">
        <v>20</v>
      </c>
      <c r="C23">
        <v>998749423.57850206</v>
      </c>
      <c r="O23" s="111"/>
    </row>
    <row r="24" spans="1:16">
      <c r="A24" t="s">
        <v>134</v>
      </c>
      <c r="C24">
        <v>296772777.134435</v>
      </c>
    </row>
    <row r="25" spans="1:16">
      <c r="A25" t="s">
        <v>133</v>
      </c>
      <c r="C25">
        <v>70365476.0079166</v>
      </c>
    </row>
    <row r="26" spans="1:16">
      <c r="C26">
        <f>C24-C5-C9-C13-C17</f>
        <v>79185526.135904223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50.247586897695356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7482.8515189665195</v>
      </c>
      <c r="H30" s="145"/>
      <c r="I30" s="145"/>
      <c r="J30" s="113">
        <f>(G30-F30)*1000000/E3</f>
        <v>4.2183079355580206</v>
      </c>
      <c r="M30" t="s">
        <v>27</v>
      </c>
      <c r="N30" s="49">
        <f>F37-G37</f>
        <v>-2378.7115194561993</v>
      </c>
    </row>
    <row r="31" spans="1:16">
      <c r="E31" s="15" t="s">
        <v>24</v>
      </c>
      <c r="F31" s="45">
        <f>C8/C28</f>
        <v>297.67860554315797</v>
      </c>
      <c r="G31" s="46">
        <f>C10/C28</f>
        <v>374.91036973230302</v>
      </c>
      <c r="H31" s="168" t="s">
        <v>34</v>
      </c>
      <c r="I31" s="145"/>
      <c r="J31" s="114">
        <f>(G31-F31)*1000000/C7</f>
        <v>10.027275386225945</v>
      </c>
      <c r="M31" t="s">
        <v>22</v>
      </c>
      <c r="N31" s="49">
        <f>G30-F30</f>
        <v>1339.2472625920755</v>
      </c>
      <c r="P31">
        <f>G31/F31</f>
        <v>1.2594468085747192</v>
      </c>
    </row>
    <row r="32" spans="1:16">
      <c r="E32" s="15" t="s">
        <v>25</v>
      </c>
      <c r="F32" s="45">
        <f>C12/C28</f>
        <v>3182.1059790916502</v>
      </c>
      <c r="G32" s="46">
        <f>C14/C28</f>
        <v>4007.6932199134999</v>
      </c>
      <c r="H32" s="168"/>
      <c r="I32" s="145"/>
      <c r="J32" s="114">
        <f>(G32-F32)*1000000/C11</f>
        <v>10.027275386225812</v>
      </c>
      <c r="M32" t="s">
        <v>29</v>
      </c>
      <c r="N32" s="49">
        <f>G39</f>
        <v>998.74942357850205</v>
      </c>
      <c r="P32">
        <f>G32/F32</f>
        <v>1.2594468085747157</v>
      </c>
    </row>
    <row r="33" spans="5:16">
      <c r="E33" s="15" t="s">
        <v>23</v>
      </c>
      <c r="F33" s="45">
        <f>C4/C28</f>
        <v>2028.9797742576302</v>
      </c>
      <c r="G33" s="46">
        <f>C6/C28</f>
        <v>2555.39210134729</v>
      </c>
      <c r="H33" s="168"/>
      <c r="I33" s="145"/>
      <c r="J33" s="114">
        <f>(G33-F33)*1000000/C3</f>
        <v>10.02787021444821</v>
      </c>
      <c r="M33" t="s">
        <v>93</v>
      </c>
      <c r="N33" s="49">
        <f>G40</f>
        <v>886.76902927891626</v>
      </c>
      <c r="P33">
        <f>G33/F33</f>
        <v>1.2594468085726804</v>
      </c>
    </row>
    <row r="34" spans="5:16">
      <c r="E34" s="15" t="s">
        <v>26</v>
      </c>
      <c r="F34" s="45">
        <f>C16/C28</f>
        <v>634.83989748200599</v>
      </c>
      <c r="G34" s="46">
        <f>C18/C28</f>
        <v>544.85582797342602</v>
      </c>
      <c r="H34" s="168"/>
      <c r="I34" s="145"/>
      <c r="J34" s="112">
        <f>(G34-F34)*1000000/C15</f>
        <v>-0.86036916366284943</v>
      </c>
      <c r="N34" s="49"/>
      <c r="P34">
        <f>G34/F34</f>
        <v>0.85825706628476273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251.79248033908743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14912.115907932899</v>
      </c>
      <c r="H37" s="3" t="s">
        <v>34</v>
      </c>
      <c r="I37" s="3"/>
      <c r="J37" s="13"/>
      <c r="M37" t="s">
        <v>88</v>
      </c>
      <c r="N37" s="49">
        <f>SUM(N30:N35)</f>
        <v>1097.8466763323818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998.74942357850205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886.76902927891626</v>
      </c>
      <c r="H40" s="3"/>
      <c r="I40" s="3"/>
      <c r="J40" s="13"/>
      <c r="N40" s="21">
        <f>N37/G37</f>
        <v>7.3621120108673027E-2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32770.468116800148</v>
      </c>
      <c r="H42" s="145" t="s">
        <v>37</v>
      </c>
      <c r="I42" s="145"/>
      <c r="N42" s="21">
        <f>(G37-F37)/F37</f>
        <v>0.18978973674887595</v>
      </c>
    </row>
    <row r="43" spans="5:16">
      <c r="E43" s="9" t="s">
        <v>36</v>
      </c>
      <c r="F43" s="43">
        <f>F42*36/C29</f>
        <v>1431.5293325438927</v>
      </c>
      <c r="G43" s="44">
        <f>G42*36/C29</f>
        <v>1179.7368522048052</v>
      </c>
      <c r="H43" s="3" t="s">
        <v>34</v>
      </c>
      <c r="I43" s="3"/>
    </row>
    <row r="44" spans="5:16" ht="10" customHeight="1">
      <c r="H44" s="2"/>
      <c r="I44" s="2"/>
      <c r="L44">
        <f>K45-L45</f>
        <v>-1189355759.7280998</v>
      </c>
    </row>
    <row r="45" spans="5:16">
      <c r="E45" s="9" t="s">
        <v>90</v>
      </c>
      <c r="F45" s="43">
        <f>E3/(2*C28)</f>
        <v>158.74223539999963</v>
      </c>
      <c r="G45" s="44">
        <f>E4/(2*C28)</f>
        <v>148.38638856721749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7456057953.9664497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CDD2-A083-2044-9DE7-20AAF5CD4A4D}">
  <sheetPr codeName="Sheet14"/>
  <dimension ref="A1:P47"/>
  <sheetViews>
    <sheetView showGridLines="0" topLeftCell="A14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284125993.60294002</v>
      </c>
      <c r="G4" s="1">
        <f>F42/2</f>
        <v>19882.351840887401</v>
      </c>
    </row>
    <row r="5" spans="1:10">
      <c r="A5" t="s">
        <v>2</v>
      </c>
      <c r="C5">
        <v>51328107.3902383</v>
      </c>
    </row>
    <row r="6" spans="1:10">
      <c r="A6" t="s">
        <v>3</v>
      </c>
      <c r="C6">
        <v>2369391141.1486001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347621528.72862601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3715982688.8129001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64390337.634743802</v>
      </c>
    </row>
    <row r="18" spans="1:16">
      <c r="A18" t="s">
        <v>15</v>
      </c>
      <c r="C18">
        <v>417379373.05419999</v>
      </c>
      <c r="G18" s="1">
        <f>G19*1000000</f>
        <v>-679205329.49446356</v>
      </c>
    </row>
    <row r="19" spans="1:16">
      <c r="A19" t="s">
        <v>16</v>
      </c>
      <c r="C19">
        <v>39764703.681774803</v>
      </c>
      <c r="G19" s="24">
        <f>G20-F20</f>
        <v>-679.20532949446351</v>
      </c>
    </row>
    <row r="20" spans="1:16">
      <c r="A20" t="s">
        <v>17</v>
      </c>
      <c r="C20">
        <v>23358473.203907799</v>
      </c>
      <c r="F20" s="24">
        <f>F37-F30</f>
        <v>6389.8001321022557</v>
      </c>
      <c r="G20" s="24">
        <f>G37-G30-G39</f>
        <v>5710.5948026077922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13401874569.692801</v>
      </c>
      <c r="G22" s="67">
        <f>G28-F28</f>
        <v>7.6915529830137146</v>
      </c>
    </row>
    <row r="23" spans="1:16">
      <c r="A23" t="s">
        <v>20</v>
      </c>
      <c r="C23">
        <v>840905035.34068096</v>
      </c>
    </row>
    <row r="24" spans="1:16">
      <c r="A24" t="s">
        <v>134</v>
      </c>
      <c r="C24">
        <v>284125993.60294002</v>
      </c>
    </row>
    <row r="25" spans="1:16">
      <c r="A25" t="s">
        <v>133</v>
      </c>
      <c r="C25">
        <v>70365476.0079166</v>
      </c>
    </row>
    <row r="26" spans="1:16">
      <c r="C26">
        <f>C24-C5-C9-C13-C17</f>
        <v>78371225.625147521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47.168773260575492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6850.3747317443267</v>
      </c>
      <c r="H30" s="145"/>
      <c r="I30" s="145"/>
      <c r="J30" s="14">
        <f>(G30-F30)*1000000/E3</f>
        <v>2.226157624620059</v>
      </c>
      <c r="M30" t="s">
        <v>27</v>
      </c>
      <c r="N30" s="49">
        <f>F37-G37</f>
        <v>-868.47018121610017</v>
      </c>
    </row>
    <row r="31" spans="1:16">
      <c r="E31" s="15" t="s">
        <v>24</v>
      </c>
      <c r="F31" s="45">
        <f>C8/C28</f>
        <v>297.67860554315797</v>
      </c>
      <c r="G31" s="46">
        <f>C10/C28</f>
        <v>347.621528728626</v>
      </c>
      <c r="H31" s="168" t="s">
        <v>34</v>
      </c>
      <c r="I31" s="145"/>
      <c r="J31" s="16">
        <f>(G31-F31)*1000000/C7</f>
        <v>6.4842678350238057</v>
      </c>
      <c r="M31" t="s">
        <v>22</v>
      </c>
      <c r="N31" s="49">
        <f>G30-F30</f>
        <v>706.77047536988266</v>
      </c>
      <c r="P31">
        <f>G31/F31</f>
        <v>1.1677746477424533</v>
      </c>
    </row>
    <row r="32" spans="1:16">
      <c r="E32" s="15" t="s">
        <v>25</v>
      </c>
      <c r="F32" s="45">
        <f>C12/C28</f>
        <v>3182.1059790916502</v>
      </c>
      <c r="G32" s="46">
        <f>C14/C28</f>
        <v>3715.9826888129001</v>
      </c>
      <c r="H32" s="168"/>
      <c r="I32" s="145"/>
      <c r="J32" s="16">
        <f>(G32-F32)*1000000/C11</f>
        <v>6.4842678350237319</v>
      </c>
      <c r="M32" t="s">
        <v>29</v>
      </c>
      <c r="N32" s="49">
        <f>G39</f>
        <v>840.90503534068091</v>
      </c>
      <c r="P32">
        <f>G32/F32</f>
        <v>1.1677746477424513</v>
      </c>
    </row>
    <row r="33" spans="5:16">
      <c r="E33" s="15" t="s">
        <v>23</v>
      </c>
      <c r="F33" s="45">
        <f>C4/C28</f>
        <v>2028.9797742576302</v>
      </c>
      <c r="G33" s="46">
        <f>C6/C28</f>
        <v>2369.3911411486001</v>
      </c>
      <c r="H33" s="168"/>
      <c r="I33" s="145"/>
      <c r="J33" s="16">
        <f>(G33-F33)*1000000/C3</f>
        <v>6.4846524882464358</v>
      </c>
      <c r="M33" t="s">
        <v>60</v>
      </c>
      <c r="N33" s="49">
        <f>G40</f>
        <v>633.27751161639026</v>
      </c>
      <c r="P33">
        <f>G33/F33</f>
        <v>1.1677746477367035</v>
      </c>
    </row>
    <row r="34" spans="5:16">
      <c r="E34" s="15" t="s">
        <v>26</v>
      </c>
      <c r="F34" s="45">
        <f>C16/C28</f>
        <v>634.83989748200599</v>
      </c>
      <c r="G34" s="46">
        <f>C18/C28</f>
        <v>417.37937305420002</v>
      </c>
      <c r="H34" s="168"/>
      <c r="I34" s="145"/>
      <c r="J34" s="27">
        <f>(G34-F34)*1000000/C15</f>
        <v>-2.0792161385165677</v>
      </c>
      <c r="N34" s="49"/>
      <c r="P34">
        <f>G34/F34</f>
        <v>0.65745611564375617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426.34631505763332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13401.8745696928</v>
      </c>
      <c r="H37" s="3" t="s">
        <v>34</v>
      </c>
      <c r="I37" s="3"/>
      <c r="J37" s="13"/>
      <c r="M37" t="s">
        <v>88</v>
      </c>
      <c r="N37" s="49">
        <f>SUM(N30:N35)</f>
        <v>1738.8291561684871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840.90503534068091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633.27751161639026</v>
      </c>
      <c r="H40" s="3"/>
      <c r="I40" s="3"/>
      <c r="J40" s="13"/>
      <c r="N40" s="21">
        <f>N37/G37</f>
        <v>0.12974521938152603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27921.750485729426</v>
      </c>
      <c r="H42" s="145" t="s">
        <v>37</v>
      </c>
      <c r="I42" s="145"/>
      <c r="N42" s="21">
        <f>(G37-F37)/F37</f>
        <v>6.9292440768493654E-2</v>
      </c>
    </row>
    <row r="43" spans="5:16">
      <c r="E43" s="9" t="s">
        <v>36</v>
      </c>
      <c r="F43" s="43">
        <f>F42*36/C29</f>
        <v>1431.5293325438927</v>
      </c>
      <c r="G43" s="44">
        <f>G42*36/C29</f>
        <v>1005.1830174862594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142.06299680147001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3016-5991-544B-BD2D-4E164AE74382}">
  <sheetPr codeName="Sheet15"/>
  <dimension ref="A1:P47"/>
  <sheetViews>
    <sheetView showGridLines="0" topLeftCell="A20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253211724.43787101</v>
      </c>
      <c r="G4" s="1">
        <f>F42/2</f>
        <v>19882.351840887401</v>
      </c>
    </row>
    <row r="5" spans="1:10">
      <c r="A5" t="s">
        <v>2</v>
      </c>
      <c r="C5">
        <v>45571377.826147802</v>
      </c>
    </row>
    <row r="6" spans="1:10">
      <c r="A6" t="s">
        <v>3</v>
      </c>
      <c r="C6">
        <v>1755528298.1538501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7594088.2512599099</v>
      </c>
    </row>
    <row r="10" spans="1:10">
      <c r="A10" t="s">
        <v>7</v>
      </c>
      <c r="C10">
        <v>257559598.39255399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81101908.294746205</v>
      </c>
    </row>
    <row r="14" spans="1:10">
      <c r="A14" t="s">
        <v>11</v>
      </c>
      <c r="C14">
        <v>2753244347.2775402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40866009.115738399</v>
      </c>
    </row>
    <row r="18" spans="1:16">
      <c r="A18" t="s">
        <v>15</v>
      </c>
      <c r="C18">
        <v>212822790.09092</v>
      </c>
      <c r="G18" s="1">
        <f>G19*1000000</f>
        <v>-1992319559.3129077</v>
      </c>
    </row>
    <row r="19" spans="1:16">
      <c r="A19" t="s">
        <v>16</v>
      </c>
      <c r="C19">
        <v>39764703.681774803</v>
      </c>
      <c r="G19" s="24">
        <f>G20-F20</f>
        <v>-1992.3195593129076</v>
      </c>
    </row>
    <row r="20" spans="1:16">
      <c r="A20" t="s">
        <v>17</v>
      </c>
      <c r="C20">
        <v>14498321.1726149</v>
      </c>
      <c r="F20" s="24">
        <f>F37-F30</f>
        <v>6389.8001321022557</v>
      </c>
      <c r="G20" s="24">
        <f>G37-G30-G39</f>
        <v>4397.4805727893481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9898575168.9183502</v>
      </c>
      <c r="G22" s="67">
        <f>G28-F28</f>
        <v>-0.38513166715818414</v>
      </c>
    </row>
    <row r="23" spans="1:16">
      <c r="A23" t="s">
        <v>20</v>
      </c>
      <c r="C23">
        <v>521939562.21413797</v>
      </c>
    </row>
    <row r="24" spans="1:16">
      <c r="A24" t="s">
        <v>134</v>
      </c>
      <c r="C24">
        <v>253211724.43787101</v>
      </c>
    </row>
    <row r="25" spans="1:16">
      <c r="A25" t="s">
        <v>133</v>
      </c>
      <c r="C25">
        <v>70365476.0079166</v>
      </c>
    </row>
    <row r="26" spans="1:16">
      <c r="C26">
        <f>C24-C5-C9-C13-C17</f>
        <v>78078340.949978679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39.092088610403593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4979.1550339148644</v>
      </c>
      <c r="H30" s="145"/>
      <c r="I30" s="145"/>
      <c r="J30" s="14">
        <f>(G30-F30)*1000000/E3</f>
        <v>-3.6677359983163704</v>
      </c>
      <c r="M30" t="s">
        <v>27</v>
      </c>
      <c r="N30" s="49">
        <f>F37-G37</f>
        <v>2634.829219558349</v>
      </c>
    </row>
    <row r="31" spans="1:16">
      <c r="E31" s="15" t="s">
        <v>24</v>
      </c>
      <c r="F31" s="45">
        <f>C8/C28</f>
        <v>297.67860554315797</v>
      </c>
      <c r="G31" s="46">
        <f>C10/C28</f>
        <v>257.55959839255399</v>
      </c>
      <c r="H31" s="168" t="s">
        <v>34</v>
      </c>
      <c r="I31" s="145"/>
      <c r="J31" s="16">
        <f>(G31-F31)*1000000/C7</f>
        <v>-5.2087937799252702</v>
      </c>
      <c r="M31" t="s">
        <v>22</v>
      </c>
      <c r="N31" s="49">
        <f>G30-F30</f>
        <v>-1164.4492224595797</v>
      </c>
      <c r="P31">
        <f>G31/F31</f>
        <v>0.86522710600111485</v>
      </c>
    </row>
    <row r="32" spans="1:16">
      <c r="E32" s="15" t="s">
        <v>25</v>
      </c>
      <c r="F32" s="45">
        <f>C12/C28</f>
        <v>3182.1059790916502</v>
      </c>
      <c r="G32" s="46">
        <f>C14/C28</f>
        <v>2753.2443472775403</v>
      </c>
      <c r="H32" s="168"/>
      <c r="I32" s="145"/>
      <c r="J32" s="16">
        <f>(G32-F32)*1000000/C11</f>
        <v>-5.2087937799346502</v>
      </c>
      <c r="M32" t="s">
        <v>29</v>
      </c>
      <c r="N32" s="49">
        <f>G39</f>
        <v>521.93956221413794</v>
      </c>
      <c r="P32">
        <f>G32/F32</f>
        <v>0.86522710600087216</v>
      </c>
    </row>
    <row r="33" spans="5:16">
      <c r="E33" s="15" t="s">
        <v>23</v>
      </c>
      <c r="F33" s="45">
        <f>C4/C28</f>
        <v>2028.9797742576302</v>
      </c>
      <c r="G33" s="46">
        <f>C6/C28</f>
        <v>1755.5282981538501</v>
      </c>
      <c r="H33" s="168"/>
      <c r="I33" s="145"/>
      <c r="J33" s="16">
        <f>(G33-F33)*1000000/C3</f>
        <v>-5.2091027721145036</v>
      </c>
      <c r="M33" t="s">
        <v>60</v>
      </c>
      <c r="N33" s="49">
        <f>G40</f>
        <v>-31.709490185042359</v>
      </c>
      <c r="P33">
        <f>G33/F33</f>
        <v>0.86522710597061947</v>
      </c>
    </row>
    <row r="34" spans="5:16">
      <c r="E34" s="15" t="s">
        <v>26</v>
      </c>
      <c r="F34" s="45">
        <f>C16/C28</f>
        <v>634.83989748200599</v>
      </c>
      <c r="G34" s="46">
        <f>C18/C28</f>
        <v>212.82279009091999</v>
      </c>
      <c r="H34" s="168"/>
      <c r="I34" s="145"/>
      <c r="J34" s="27">
        <f>(G34-F34)*1000000/C15</f>
        <v>-4.0350531790836923</v>
      </c>
      <c r="N34" s="49"/>
      <c r="P34">
        <f>G34/F34</f>
        <v>0.33523852381529357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751.32178171864246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9898.5751689183508</v>
      </c>
      <c r="H37" s="3" t="s">
        <v>34</v>
      </c>
      <c r="I37" s="3"/>
      <c r="J37" s="13"/>
      <c r="M37" t="s">
        <v>88</v>
      </c>
      <c r="N37" s="49">
        <f>SUM(N30:N35)</f>
        <v>2711.9318508465071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521.93956221413794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-31.709490185042359</v>
      </c>
      <c r="H40" s="3"/>
      <c r="I40" s="3"/>
      <c r="J40" s="13"/>
      <c r="N40" s="21">
        <f>N37/G37</f>
        <v>0.27397194086700549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18894.654189590285</v>
      </c>
      <c r="H42" s="145" t="s">
        <v>37</v>
      </c>
      <c r="I42" s="145"/>
      <c r="N42" s="21">
        <f>(G37-F37)/F37</f>
        <v>-0.21022454377845093</v>
      </c>
    </row>
    <row r="43" spans="5:16">
      <c r="E43" s="9" t="s">
        <v>36</v>
      </c>
      <c r="F43" s="43">
        <f>F42*36/C29</f>
        <v>1431.5293325438927</v>
      </c>
      <c r="G43" s="44">
        <f>G42*36/C29</f>
        <v>680.20755082525022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126.6058622189355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F4AF-9456-2443-8E64-CF40BCBAAB8E}">
  <sheetPr codeName="Sheet16"/>
  <dimension ref="A1:P47"/>
  <sheetViews>
    <sheetView showGridLines="0" topLeftCell="A16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310126673.26101798</v>
      </c>
      <c r="G4" s="1">
        <f>F42/2</f>
        <v>19882.351840887401</v>
      </c>
    </row>
    <row r="5" spans="1:10">
      <c r="A5" t="s">
        <v>2</v>
      </c>
      <c r="C5">
        <v>52077273.630667001</v>
      </c>
    </row>
    <row r="6" spans="1:10">
      <c r="A6" t="s">
        <v>3</v>
      </c>
      <c r="C6">
        <v>2611464114.8053498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383136887.80211002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4095632533.8231301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81446861.360902295</v>
      </c>
    </row>
    <row r="18" spans="1:16">
      <c r="A18" t="s">
        <v>15</v>
      </c>
      <c r="C18">
        <v>635612545.71407795</v>
      </c>
      <c r="G18" s="1">
        <f>G19*1000000</f>
        <v>685918273.23857701</v>
      </c>
    </row>
    <row r="19" spans="1:16">
      <c r="A19" t="s">
        <v>16</v>
      </c>
      <c r="C19">
        <v>39764703.681774803</v>
      </c>
      <c r="G19" s="24">
        <f>G20-F20</f>
        <v>685.91827323857706</v>
      </c>
    </row>
    <row r="20" spans="1:16">
      <c r="A20" t="s">
        <v>17</v>
      </c>
      <c r="C20">
        <v>30223441.702805601</v>
      </c>
      <c r="F20" s="24">
        <f>F37-F30</f>
        <v>6389.8001321022557</v>
      </c>
      <c r="G20" s="24">
        <f>G37-G30-G39</f>
        <v>7075.7184053408328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15889608388.786501</v>
      </c>
      <c r="G22" s="67">
        <f>G28-F28</f>
        <v>11.758644802037551</v>
      </c>
    </row>
    <row r="23" spans="1:16">
      <c r="A23" t="s">
        <v>20</v>
      </c>
      <c r="C23">
        <v>1088043901.3010001</v>
      </c>
    </row>
    <row r="24" spans="1:16">
      <c r="A24" t="s">
        <v>134</v>
      </c>
      <c r="C24">
        <v>310126673.26101798</v>
      </c>
    </row>
    <row r="25" spans="1:16">
      <c r="A25" t="s">
        <v>133</v>
      </c>
      <c r="C25">
        <v>70365476.0079166</v>
      </c>
    </row>
    <row r="26" spans="1:16">
      <c r="C26">
        <f>C24-C5-C9-C13-C17</f>
        <v>86566215.316638306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51.235865079599328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7725.8460821446679</v>
      </c>
      <c r="H30" s="145"/>
      <c r="I30" s="145"/>
      <c r="J30" s="14">
        <f>(G30-F30)*1000000/E3</f>
        <v>4.9836825775549958</v>
      </c>
      <c r="M30" t="s">
        <v>27</v>
      </c>
      <c r="N30" s="49">
        <f>F37-G37</f>
        <v>-3356.2040003098009</v>
      </c>
    </row>
    <row r="31" spans="1:16">
      <c r="E31" s="15" t="s">
        <v>24</v>
      </c>
      <c r="F31" s="45">
        <f>C8/C28</f>
        <v>297.67860554315797</v>
      </c>
      <c r="G31" s="46">
        <f>C10/C28</f>
        <v>383.13688780211004</v>
      </c>
      <c r="H31" s="168" t="s">
        <v>34</v>
      </c>
      <c r="I31" s="145"/>
      <c r="J31" s="16">
        <f>(G31-F31)*1000000/C7</f>
        <v>11.09535356651582</v>
      </c>
      <c r="M31" t="s">
        <v>22</v>
      </c>
      <c r="N31" s="49">
        <f>G30-F30</f>
        <v>1582.2418257702238</v>
      </c>
      <c r="P31">
        <f>G31/F31</f>
        <v>1.2870823790074566</v>
      </c>
    </row>
    <row r="32" spans="1:16">
      <c r="E32" s="15" t="s">
        <v>25</v>
      </c>
      <c r="F32" s="45">
        <f>C12/C28</f>
        <v>3182.1059790916502</v>
      </c>
      <c r="G32" s="46">
        <f>C14/C28</f>
        <v>4095.63253382313</v>
      </c>
      <c r="H32" s="168"/>
      <c r="I32" s="145"/>
      <c r="J32" s="16">
        <f>(G32-F32)*1000000/C11</f>
        <v>11.095353566515783</v>
      </c>
      <c r="M32" t="s">
        <v>29</v>
      </c>
      <c r="N32" s="49">
        <f>G39</f>
        <v>1088.043901301</v>
      </c>
      <c r="P32">
        <f>G32/F32</f>
        <v>1.2870823790074557</v>
      </c>
    </row>
    <row r="33" spans="5:16">
      <c r="E33" s="15" t="s">
        <v>23</v>
      </c>
      <c r="F33" s="45">
        <f>C4/C28</f>
        <v>2028.9797742576302</v>
      </c>
      <c r="G33" s="46">
        <f>C6/C28</f>
        <v>2611.4641148053497</v>
      </c>
      <c r="H33" s="168"/>
      <c r="I33" s="145"/>
      <c r="J33" s="16">
        <f>(G33-F33)*1000000/C3</f>
        <v>11.096011754234848</v>
      </c>
      <c r="M33" t="s">
        <v>60</v>
      </c>
      <c r="N33" s="49">
        <f>G40</f>
        <v>968.13807779266574</v>
      </c>
      <c r="P33">
        <f>G33/F33</f>
        <v>1.2870823790053998</v>
      </c>
    </row>
    <row r="34" spans="5:16">
      <c r="E34" s="15" t="s">
        <v>26</v>
      </c>
      <c r="F34" s="45">
        <f>C16/C28</f>
        <v>634.83989748200599</v>
      </c>
      <c r="G34" s="46">
        <f>C18/C28</f>
        <v>635.6125457140779</v>
      </c>
      <c r="H34" s="168"/>
      <c r="I34" s="145"/>
      <c r="J34" s="27">
        <f>(G34-F34)*1000000/C15</f>
        <v>7.3875600077177653E-3</v>
      </c>
      <c r="N34" s="49"/>
      <c r="P34">
        <f>G34/F34</f>
        <v>1.0012170757306471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11.046260627921583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15889.608388786501</v>
      </c>
      <c r="H37" s="3" t="s">
        <v>34</v>
      </c>
      <c r="I37" s="3"/>
      <c r="J37" s="13"/>
      <c r="M37" t="s">
        <v>88</v>
      </c>
      <c r="N37" s="49">
        <f>SUM(N30:N35)</f>
        <v>293.26606518201027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1088.043901301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968.13807779266574</v>
      </c>
      <c r="H40" s="3"/>
      <c r="I40" s="3"/>
      <c r="J40" s="13"/>
      <c r="N40" s="21">
        <f>N37/G37</f>
        <v>1.8456469033495619E-2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39457.863108776975</v>
      </c>
      <c r="H42" s="145" t="s">
        <v>37</v>
      </c>
      <c r="I42" s="145"/>
      <c r="N42" s="21">
        <f>(G37-F37)/F37</f>
        <v>0.26778071593983821</v>
      </c>
    </row>
    <row r="43" spans="5:16">
      <c r="E43" s="9" t="s">
        <v>36</v>
      </c>
      <c r="F43" s="43">
        <f>F42*36/C29</f>
        <v>1431.5293325438927</v>
      </c>
      <c r="G43" s="44">
        <f>G42*36/C29</f>
        <v>1420.4830719159711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155.06333663050899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46D1-5C5D-1C49-A55B-8DDA6336504A}">
  <sheetPr codeName="Sheet17"/>
  <dimension ref="A1:P47"/>
  <sheetViews>
    <sheetView showGridLines="0" topLeftCell="A32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296606541.9465</v>
      </c>
      <c r="G4" s="1">
        <f>F42/2</f>
        <v>19882.351840887401</v>
      </c>
    </row>
    <row r="5" spans="1:10">
      <c r="A5" t="s">
        <v>2</v>
      </c>
      <c r="C5">
        <v>51350381.261342503</v>
      </c>
    </row>
    <row r="6" spans="1:10">
      <c r="A6" t="s">
        <v>3</v>
      </c>
      <c r="C6">
        <v>2440958624.3758702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358121440.49687201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3828223983.2677202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70293775.202740207</v>
      </c>
    </row>
    <row r="18" spans="1:16">
      <c r="A18" t="s">
        <v>15</v>
      </c>
      <c r="C18">
        <v>516116066.51461399</v>
      </c>
      <c r="G18" s="1">
        <f>G19*1000000</f>
        <v>-93750133.642561197</v>
      </c>
    </row>
    <row r="19" spans="1:16">
      <c r="A19" t="s">
        <v>16</v>
      </c>
      <c r="C19">
        <v>39764703.681774803</v>
      </c>
      <c r="G19" s="24">
        <f>G20-F20</f>
        <v>-93.750133642561195</v>
      </c>
    </row>
    <row r="20" spans="1:16">
      <c r="A20" t="s">
        <v>17</v>
      </c>
      <c r="C20">
        <v>25764207.0995702</v>
      </c>
      <c r="F20" s="24">
        <f>F37-F30</f>
        <v>6389.8001321022557</v>
      </c>
      <c r="G20" s="24">
        <f>G37-G30-G39</f>
        <v>6296.0499984596945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14366981568.699301</v>
      </c>
      <c r="G22" s="67">
        <f>G28-F28</f>
        <v>8.960624263610633</v>
      </c>
    </row>
    <row r="23" spans="1:16">
      <c r="A23" t="s">
        <v>20</v>
      </c>
      <c r="C23">
        <v>927511455.58452904</v>
      </c>
    </row>
    <row r="24" spans="1:16">
      <c r="A24" t="s">
        <v>134</v>
      </c>
      <c r="C24">
        <v>296606541.9465</v>
      </c>
    </row>
    <row r="25" spans="1:16">
      <c r="A25" t="s">
        <v>133</v>
      </c>
      <c r="C25">
        <v>70365476.0079166</v>
      </c>
    </row>
    <row r="26" spans="1:16">
      <c r="C26">
        <f>C24-C5-C9-C13-C17</f>
        <v>84926062.529606923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48.43784454117241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7143.4201146550768</v>
      </c>
      <c r="H30" s="145"/>
      <c r="I30" s="145"/>
      <c r="J30" s="14">
        <f>(G30-F30)*1000000/E3</f>
        <v>3.1491803544321106</v>
      </c>
      <c r="M30" t="s">
        <v>27</v>
      </c>
      <c r="N30" s="49">
        <f>F37-G37</f>
        <v>-1833.5771802226009</v>
      </c>
    </row>
    <row r="31" spans="1:16">
      <c r="E31" s="15" t="s">
        <v>24</v>
      </c>
      <c r="F31" s="45">
        <f>C8/C28</f>
        <v>297.67860554315797</v>
      </c>
      <c r="G31" s="46">
        <f>C10/C28</f>
        <v>358.12144049687203</v>
      </c>
      <c r="H31" s="168" t="s">
        <v>34</v>
      </c>
      <c r="I31" s="145"/>
      <c r="J31" s="16">
        <f>(G31-F31)*1000000/C7</f>
        <v>7.8475088270776343</v>
      </c>
      <c r="M31" t="s">
        <v>22</v>
      </c>
      <c r="N31" s="49">
        <f>G30-F30</f>
        <v>999.81585828063271</v>
      </c>
      <c r="P31">
        <f>G31/F31</f>
        <v>1.2030472927116387</v>
      </c>
    </row>
    <row r="32" spans="1:16">
      <c r="E32" s="15" t="s">
        <v>25</v>
      </c>
      <c r="F32" s="45">
        <f>C12/C28</f>
        <v>3182.1059790916502</v>
      </c>
      <c r="G32" s="46">
        <f>C14/C28</f>
        <v>3828.2239832677201</v>
      </c>
      <c r="H32" s="168"/>
      <c r="I32" s="145"/>
      <c r="J32" s="16">
        <f>(G32-F32)*1000000/C11</f>
        <v>7.8475088270775357</v>
      </c>
      <c r="M32" t="s">
        <v>29</v>
      </c>
      <c r="N32" s="49">
        <f>G39</f>
        <v>927.51145558452902</v>
      </c>
      <c r="P32">
        <f>G32/F32</f>
        <v>1.2030472927116362</v>
      </c>
    </row>
    <row r="33" spans="5:16">
      <c r="E33" s="15" t="s">
        <v>23</v>
      </c>
      <c r="F33" s="45">
        <f>C4/C28</f>
        <v>2028.9797742576302</v>
      </c>
      <c r="G33" s="46">
        <f>C6/C28</f>
        <v>2440.9586243758704</v>
      </c>
      <c r="H33" s="168"/>
      <c r="I33" s="145"/>
      <c r="J33" s="16">
        <f>(G33-F33)*1000000/C3</f>
        <v>7.8479743491638949</v>
      </c>
      <c r="M33" t="s">
        <v>60</v>
      </c>
      <c r="N33" s="49">
        <f>G40</f>
        <v>737.76542249929037</v>
      </c>
      <c r="P33">
        <f>G33/F33</f>
        <v>1.2030472927059987</v>
      </c>
    </row>
    <row r="34" spans="5:16">
      <c r="E34" s="15" t="s">
        <v>26</v>
      </c>
      <c r="F34" s="45">
        <f>C16/C28</f>
        <v>634.83989748200599</v>
      </c>
      <c r="G34" s="46">
        <f>C18/C28</f>
        <v>516.11606651461398</v>
      </c>
      <c r="H34" s="168"/>
      <c r="I34" s="145"/>
      <c r="J34" s="27">
        <f>(G34-F34)*1000000/C15</f>
        <v>-1.135160075712345</v>
      </c>
      <c r="N34" s="49"/>
      <c r="P34">
        <f>G34/F34</f>
        <v>0.81298618527554478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205.23464153427994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14366.981568699301</v>
      </c>
      <c r="H37" s="3" t="s">
        <v>34</v>
      </c>
      <c r="I37" s="3"/>
      <c r="J37" s="13"/>
      <c r="M37" t="s">
        <v>88</v>
      </c>
      <c r="N37" s="49">
        <f>SUM(N30:N35)</f>
        <v>1036.7501976761312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927.51145558452902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737.76542249929037</v>
      </c>
      <c r="H40" s="3"/>
      <c r="I40" s="3"/>
      <c r="J40" s="13"/>
      <c r="N40" s="21">
        <f>N37/G37</f>
        <v>7.2162005130907411E-2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34063.741416933684</v>
      </c>
      <c r="H42" s="145" t="s">
        <v>37</v>
      </c>
      <c r="I42" s="145"/>
      <c r="N42" s="21">
        <f>(G37-F37)/F37</f>
        <v>0.14629522222297436</v>
      </c>
    </row>
    <row r="43" spans="5:16">
      <c r="E43" s="9" t="s">
        <v>36</v>
      </c>
      <c r="F43" s="43">
        <f>F42*36/C29</f>
        <v>1431.5293325438927</v>
      </c>
      <c r="G43" s="44">
        <f>G42*36/C29</f>
        <v>1226.2946910096127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148.30327097324999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DE14-7ACB-6C4E-A75F-9212227614E6}">
  <sheetPr codeName="Sheet18"/>
  <dimension ref="A1:P47"/>
  <sheetViews>
    <sheetView showGridLines="0" topLeftCell="A32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283628200.388336</v>
      </c>
      <c r="G4" s="1">
        <f>F42/2</f>
        <v>19882.351840887401</v>
      </c>
    </row>
    <row r="5" spans="1:10">
      <c r="A5" t="s">
        <v>2</v>
      </c>
      <c r="C5">
        <v>49775748.058038399</v>
      </c>
    </row>
    <row r="6" spans="1:10">
      <c r="A6" t="s">
        <v>3</v>
      </c>
      <c r="C6">
        <v>2218870845.95507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7693815.6487122597</v>
      </c>
    </row>
    <row r="10" spans="1:10">
      <c r="A10" t="s">
        <v>7</v>
      </c>
      <c r="C10">
        <v>325538178.197891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82195219.876956895</v>
      </c>
    </row>
    <row r="14" spans="1:10">
      <c r="A14" t="s">
        <v>11</v>
      </c>
      <c r="C14">
        <v>3479917481.3917799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59730672.075537004</v>
      </c>
    </row>
    <row r="18" spans="1:16">
      <c r="A18" t="s">
        <v>15</v>
      </c>
      <c r="C18">
        <v>397871234.59524</v>
      </c>
      <c r="G18" s="1">
        <f>G19*1000000</f>
        <v>-839947543.99162591</v>
      </c>
    </row>
    <row r="19" spans="1:16">
      <c r="A19" t="s">
        <v>16</v>
      </c>
      <c r="C19">
        <v>39764703.681774803</v>
      </c>
      <c r="G19" s="24">
        <f>G20-F20</f>
        <v>-839.94754399162593</v>
      </c>
    </row>
    <row r="20" spans="1:16">
      <c r="A20" t="s">
        <v>17</v>
      </c>
      <c r="C20">
        <v>21651184.144944102</v>
      </c>
      <c r="F20" s="24">
        <f>F37-F30</f>
        <v>6389.8001321022557</v>
      </c>
      <c r="G20" s="24">
        <f>G37-G30-G39</f>
        <v>5549.8525881106298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12751492957.468599</v>
      </c>
      <c r="G22" s="67">
        <f>G28-F28</f>
        <v>5.4812603672034541</v>
      </c>
    </row>
    <row r="23" spans="1:16">
      <c r="A23" t="s">
        <v>20</v>
      </c>
      <c r="C23">
        <v>779442629.21798897</v>
      </c>
    </row>
    <row r="24" spans="1:16">
      <c r="A24" t="s">
        <v>134</v>
      </c>
      <c r="C24">
        <v>283628200.388336</v>
      </c>
    </row>
    <row r="25" spans="1:16">
      <c r="A25" t="s">
        <v>133</v>
      </c>
      <c r="C25">
        <v>70365476.0079166</v>
      </c>
    </row>
    <row r="26" spans="1:16">
      <c r="C26">
        <f>C24-C5-C9-C13-C17</f>
        <v>84232744.729091436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44.958480644765231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6422.1977401399809</v>
      </c>
      <c r="H30" s="145"/>
      <c r="I30" s="145"/>
      <c r="J30" s="14">
        <f>(G30-F30)*1000000/E3</f>
        <v>0.87750271080514675</v>
      </c>
      <c r="M30" t="s">
        <v>27</v>
      </c>
      <c r="N30" s="49">
        <f>F37-G37</f>
        <v>-218.08856899189959</v>
      </c>
    </row>
    <row r="31" spans="1:16">
      <c r="E31" s="15" t="s">
        <v>24</v>
      </c>
      <c r="F31" s="45">
        <f>C8/C28</f>
        <v>297.67860554315797</v>
      </c>
      <c r="G31" s="46">
        <f>C10/C28</f>
        <v>325.538178197891</v>
      </c>
      <c r="H31" s="168" t="s">
        <v>34</v>
      </c>
      <c r="I31" s="145"/>
      <c r="J31" s="16">
        <f>(G31-F31)*1000000/C7</f>
        <v>3.617107676932251</v>
      </c>
      <c r="M31" t="s">
        <v>22</v>
      </c>
      <c r="N31" s="49">
        <f>G30-F30</f>
        <v>278.5934837655368</v>
      </c>
      <c r="P31">
        <f>G31/F31</f>
        <v>1.0935894355051119</v>
      </c>
    </row>
    <row r="32" spans="1:16">
      <c r="E32" s="15" t="s">
        <v>25</v>
      </c>
      <c r="F32" s="45">
        <f>C12/C28</f>
        <v>3182.1059790916502</v>
      </c>
      <c r="G32" s="46">
        <f>C14/C28</f>
        <v>3479.9174813917798</v>
      </c>
      <c r="H32" s="168"/>
      <c r="I32" s="145"/>
      <c r="J32" s="16">
        <f>(G32-F32)*1000000/C11</f>
        <v>3.6171076769261878</v>
      </c>
      <c r="M32" t="s">
        <v>29</v>
      </c>
      <c r="N32" s="49">
        <f>G39</f>
        <v>779.44262921798895</v>
      </c>
      <c r="P32">
        <f>G32/F32</f>
        <v>1.0935894355049549</v>
      </c>
    </row>
    <row r="33" spans="5:16">
      <c r="E33" s="15" t="s">
        <v>23</v>
      </c>
      <c r="F33" s="45">
        <f>C4/C28</f>
        <v>2028.9797742576302</v>
      </c>
      <c r="G33" s="46">
        <f>C6/C28</f>
        <v>2218.8708459550699</v>
      </c>
      <c r="H33" s="168"/>
      <c r="I33" s="145"/>
      <c r="J33" s="16">
        <f>(G33-F33)*1000000/C3</f>
        <v>3.617322246977086</v>
      </c>
      <c r="M33" t="s">
        <v>60</v>
      </c>
      <c r="N33" s="49">
        <f>G40</f>
        <v>451.2949379052539</v>
      </c>
      <c r="P33">
        <f>G33/F33</f>
        <v>1.0935894354919913</v>
      </c>
    </row>
    <row r="34" spans="5:16">
      <c r="E34" s="15" t="s">
        <v>26</v>
      </c>
      <c r="F34" s="45">
        <f>C16/C28</f>
        <v>634.83989748200599</v>
      </c>
      <c r="G34" s="46">
        <f>C18/C28</f>
        <v>397.87123459523997</v>
      </c>
      <c r="H34" s="168"/>
      <c r="I34" s="145"/>
      <c r="J34" s="27">
        <f>(G34-F34)*1000000/C15</f>
        <v>-2.2657402739798358</v>
      </c>
      <c r="N34" s="49"/>
      <c r="P34">
        <f>G34/F34</f>
        <v>0.62672688999751669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367.53034916739739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12751.492957468599</v>
      </c>
      <c r="H37" s="3" t="s">
        <v>34</v>
      </c>
      <c r="I37" s="3"/>
      <c r="J37" s="13"/>
      <c r="M37" t="s">
        <v>88</v>
      </c>
      <c r="N37" s="49">
        <f>SUM(N30:N35)</f>
        <v>1658.7728310642774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779.44262921798895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451.2949379052539</v>
      </c>
      <c r="H40" s="3"/>
      <c r="I40" s="3"/>
      <c r="J40" s="13"/>
      <c r="N40" s="21">
        <f>N37/G37</f>
        <v>0.13008459767001068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29555.527316013759</v>
      </c>
      <c r="H42" s="145" t="s">
        <v>37</v>
      </c>
      <c r="I42" s="145"/>
      <c r="N42" s="21">
        <f>(G37-F37)/F37</f>
        <v>1.7400585047141044E-2</v>
      </c>
    </row>
    <row r="43" spans="5:16">
      <c r="E43" s="9" t="s">
        <v>36</v>
      </c>
      <c r="F43" s="43">
        <f>F42*36/C29</f>
        <v>1431.5293325438927</v>
      </c>
      <c r="G43" s="44">
        <f>G42*36/C29</f>
        <v>1063.9989833764953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141.81410019416799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35BE-AC02-8D49-961F-B2D9B13D952B}">
  <sheetPr codeName="Sheet27"/>
  <dimension ref="B3:W52"/>
  <sheetViews>
    <sheetView showGridLines="0" zoomScale="86" workbookViewId="0">
      <selection activeCell="B21" sqref="B21"/>
    </sheetView>
  </sheetViews>
  <sheetFormatPr baseColWidth="10" defaultRowHeight="16"/>
  <cols>
    <col min="2" max="2" width="20.5" bestFit="1" customWidth="1"/>
    <col min="3" max="3" width="10.83203125" style="68"/>
    <col min="4" max="4" width="10" style="1" customWidth="1"/>
    <col min="5" max="8" width="10" style="1" hidden="1" customWidth="1"/>
    <col min="9" max="9" width="10" style="1" customWidth="1"/>
    <col min="10" max="20" width="10" customWidth="1"/>
  </cols>
  <sheetData>
    <row r="3" spans="2:23" ht="30" customHeight="1">
      <c r="B3" s="26"/>
      <c r="C3" s="141"/>
      <c r="D3" s="160" t="s">
        <v>21</v>
      </c>
      <c r="E3" s="154" t="s">
        <v>135</v>
      </c>
      <c r="F3" s="155"/>
      <c r="G3" s="155"/>
      <c r="H3" s="156"/>
      <c r="I3" s="154" t="s">
        <v>136</v>
      </c>
      <c r="J3" s="155"/>
      <c r="K3" s="155"/>
      <c r="L3" s="156"/>
      <c r="M3" s="154" t="s">
        <v>138</v>
      </c>
      <c r="N3" s="155"/>
      <c r="O3" s="155"/>
      <c r="P3" s="156"/>
      <c r="Q3" s="154" t="s">
        <v>137</v>
      </c>
      <c r="R3" s="155"/>
      <c r="S3" s="155"/>
      <c r="T3" s="155"/>
      <c r="U3" s="26"/>
    </row>
    <row r="4" spans="2:23">
      <c r="B4" s="29"/>
      <c r="C4" s="70"/>
      <c r="D4" s="161"/>
      <c r="E4" s="72">
        <v>-0.1</v>
      </c>
      <c r="F4" s="73">
        <v>-0.3</v>
      </c>
      <c r="G4" s="73">
        <v>-0.5</v>
      </c>
      <c r="H4" s="89">
        <v>-1</v>
      </c>
      <c r="I4" s="72">
        <f>E4</f>
        <v>-0.1</v>
      </c>
      <c r="J4" s="73">
        <f t="shared" ref="J4:L4" si="0">F4</f>
        <v>-0.3</v>
      </c>
      <c r="K4" s="73">
        <f t="shared" si="0"/>
        <v>-0.5</v>
      </c>
      <c r="L4" s="89">
        <f t="shared" si="0"/>
        <v>-1</v>
      </c>
      <c r="M4" s="72">
        <f>I4</f>
        <v>-0.1</v>
      </c>
      <c r="N4" s="73">
        <f t="shared" ref="N4:P4" si="1">J4</f>
        <v>-0.3</v>
      </c>
      <c r="O4" s="73">
        <f t="shared" si="1"/>
        <v>-0.5</v>
      </c>
      <c r="P4" s="89">
        <f t="shared" si="1"/>
        <v>-1</v>
      </c>
      <c r="Q4" s="72">
        <f>M4</f>
        <v>-0.1</v>
      </c>
      <c r="R4" s="73">
        <f t="shared" ref="R4:T4" si="2">N4</f>
        <v>-0.3</v>
      </c>
      <c r="S4" s="73">
        <f t="shared" si="2"/>
        <v>-0.5</v>
      </c>
      <c r="T4" s="73">
        <f t="shared" si="2"/>
        <v>-1</v>
      </c>
      <c r="U4" s="26"/>
    </row>
    <row r="5" spans="2:23" ht="10" customHeight="1">
      <c r="C5" s="141"/>
      <c r="D5" s="76"/>
      <c r="E5" s="77"/>
      <c r="F5" s="39"/>
      <c r="G5" s="39"/>
      <c r="H5" s="90"/>
      <c r="I5" s="77"/>
      <c r="J5" s="39"/>
      <c r="K5" s="39"/>
      <c r="L5" s="90"/>
      <c r="M5" s="77"/>
      <c r="N5" s="39"/>
      <c r="O5" s="39"/>
      <c r="P5" s="90"/>
      <c r="Q5" s="77"/>
      <c r="R5" s="39"/>
      <c r="S5" s="39"/>
      <c r="T5" s="39"/>
      <c r="U5" s="26"/>
    </row>
    <row r="6" spans="2:23">
      <c r="B6" s="69" t="s">
        <v>32</v>
      </c>
      <c r="C6" s="142" t="str">
        <f>'0 -0.5'!H28</f>
        <v>[$/MWh]</v>
      </c>
      <c r="D6" s="78">
        <f>'0 -0.5'!F28</f>
        <v>39.477220277561777</v>
      </c>
      <c r="E6" s="79">
        <f>'0 -0.1'!$G28</f>
        <v>54.105676644261884</v>
      </c>
      <c r="F6" s="80">
        <f>'0 -0.3'!$G28</f>
        <v>52.295135047397551</v>
      </c>
      <c r="G6" s="80">
        <f>'0 -0.5'!$G28</f>
        <v>50.270947671249203</v>
      </c>
      <c r="H6" s="91">
        <f>'0 -1'!$G28</f>
        <v>42.749462639467005</v>
      </c>
      <c r="I6" s="79">
        <f>'-0.1 -0.1'!$G28</f>
        <v>53.4426680462918</v>
      </c>
      <c r="J6" s="80">
        <f>'-0.1 -0.3'!$G28</f>
        <v>51.493267794191759</v>
      </c>
      <c r="K6" s="80">
        <f>'-0.1 -0.5'!$G28</f>
        <v>48.994502294398472</v>
      </c>
      <c r="L6" s="91">
        <f>'-0.1 -1'!$G28</f>
        <v>41.802459030988793</v>
      </c>
      <c r="M6" s="79">
        <f>'-0.3 -0.1'!$G28</f>
        <v>52.510825945231673</v>
      </c>
      <c r="N6" s="80">
        <f>'-0.3 -0.3'!$G28</f>
        <v>50.247586897695356</v>
      </c>
      <c r="O6" s="80">
        <f>'-0.3 -0.5'!$G28</f>
        <v>47.168773260575492</v>
      </c>
      <c r="P6" s="91">
        <f>'-0.3 -1'!$G28</f>
        <v>39.092088610403593</v>
      </c>
      <c r="Q6" s="79">
        <f>'-0.5 -0.1'!$G28</f>
        <v>51.235865079599328</v>
      </c>
      <c r="R6" s="80">
        <f>'-0.5 -0.3'!$G28</f>
        <v>48.43784454117241</v>
      </c>
      <c r="S6" s="80">
        <f>'-0.5 -0.5'!$G28</f>
        <v>44.958480644765231</v>
      </c>
      <c r="T6" s="80">
        <f>'-0.5 -1'!$G28</f>
        <v>35.170942347565287</v>
      </c>
      <c r="U6" s="26"/>
    </row>
    <row r="7" spans="2:23" ht="10" customHeight="1">
      <c r="C7" s="141"/>
      <c r="D7" s="76"/>
      <c r="E7" s="77"/>
      <c r="F7" s="39"/>
      <c r="G7" s="39"/>
      <c r="H7" s="90"/>
      <c r="I7" s="77"/>
      <c r="J7" s="39"/>
      <c r="K7" s="39"/>
      <c r="L7" s="90"/>
      <c r="M7" s="77"/>
      <c r="N7" s="39"/>
      <c r="O7" s="39"/>
      <c r="P7" s="90"/>
      <c r="Q7" s="77"/>
      <c r="R7" s="39"/>
      <c r="S7" s="39"/>
      <c r="T7" s="39"/>
      <c r="U7" s="26"/>
    </row>
    <row r="8" spans="2:23">
      <c r="B8" t="s">
        <v>28</v>
      </c>
      <c r="C8" s="157" t="str">
        <f>'0 -0.5'!H31</f>
        <v>[MMUSD]</v>
      </c>
      <c r="D8" s="81">
        <f>'0 -0.5'!F37</f>
        <v>12533.4043884767</v>
      </c>
      <c r="E8" s="82">
        <f>'0 -0.1'!$G37</f>
        <v>15677.236279381201</v>
      </c>
      <c r="F8" s="38">
        <f>'0 -0.3'!$G37</f>
        <v>14546.4153514268</v>
      </c>
      <c r="G8" s="38">
        <f>'0 -0.5'!$G37</f>
        <v>13505.8993706482</v>
      </c>
      <c r="H8" s="92">
        <f>'0 -1'!$G37</f>
        <v>10607.2657550283</v>
      </c>
      <c r="I8" s="82">
        <f>'-0.1 -0.1'!$G37</f>
        <v>16551.7651990991</v>
      </c>
      <c r="J8" s="38">
        <f>'-0.1 -0.3'!$G37</f>
        <v>15267.229362032302</v>
      </c>
      <c r="K8" s="38">
        <f>'-0.1 -0.5'!$G37</f>
        <v>13936.6109307757</v>
      </c>
      <c r="L8" s="92">
        <f>'-0.1 -1'!$G37</f>
        <v>10626.200748161</v>
      </c>
      <c r="M8" s="82">
        <f>'-0.3 -0.1'!$G37</f>
        <v>16276.0542006915</v>
      </c>
      <c r="N8" s="38">
        <f>'-0.3 -0.3'!$G37</f>
        <v>14912.115907932899</v>
      </c>
      <c r="O8" s="38">
        <f>'-0.3 -0.5'!$G37</f>
        <v>13401.8745696928</v>
      </c>
      <c r="P8" s="92">
        <f>'-0.3 -1'!$G37</f>
        <v>9898.5751689183508</v>
      </c>
      <c r="Q8" s="82">
        <f>'-0.5 -0.1'!$G37</f>
        <v>15889.608388786501</v>
      </c>
      <c r="R8" s="38">
        <f>'-0.5 -0.3'!$G37</f>
        <v>14366.981568699301</v>
      </c>
      <c r="S8" s="38">
        <f>'-0.5 -0.5'!$G37</f>
        <v>12751.492957468599</v>
      </c>
      <c r="T8" s="38">
        <f>'-0.5 -1'!$G37</f>
        <v>8834.2241734764903</v>
      </c>
      <c r="U8" s="26"/>
    </row>
    <row r="9" spans="2:23">
      <c r="B9" t="s">
        <v>22</v>
      </c>
      <c r="C9" s="158"/>
      <c r="D9" s="81">
        <f>'0 -0.5'!F30</f>
        <v>6143.604256374444</v>
      </c>
      <c r="E9" s="82">
        <f>'0 -0.1'!$G30</f>
        <v>8273.7792335883369</v>
      </c>
      <c r="F9" s="38">
        <f>'0 -0.3'!$G30</f>
        <v>7826.3922395902828</v>
      </c>
      <c r="G9" s="38">
        <f>'0 -0.5'!$G30</f>
        <v>7358.8467543958641</v>
      </c>
      <c r="H9" s="92">
        <f>'0 -1'!$G30</f>
        <v>5737.668435824372</v>
      </c>
      <c r="I9" s="82">
        <f>'-0.1 -0.1'!$G30</f>
        <v>8184.3462561460447</v>
      </c>
      <c r="J9" s="38">
        <f>'-0.1 -0.3'!$G30</f>
        <v>7729.0520125972562</v>
      </c>
      <c r="K9" s="38">
        <f>'-0.1 -0.5'!$G30</f>
        <v>7193.453879681394</v>
      </c>
      <c r="L9" s="92">
        <f>'-0.1 -1'!$G30</f>
        <v>5510.9879399218362</v>
      </c>
      <c r="M9" s="82">
        <f>'-0.3 -0.1'!$G30</f>
        <v>7982.3310258346646</v>
      </c>
      <c r="N9" s="38">
        <f>'-0.3 -0.3'!$G30</f>
        <v>7482.8515189665195</v>
      </c>
      <c r="O9" s="38">
        <f>'-0.3 -0.5'!$G30</f>
        <v>6850.3747317443267</v>
      </c>
      <c r="P9" s="92">
        <f>'-0.3 -1'!$G30</f>
        <v>4979.1550339148644</v>
      </c>
      <c r="Q9" s="82">
        <f>'-0.5 -0.1'!$G30</f>
        <v>7725.8460821446679</v>
      </c>
      <c r="R9" s="38">
        <f>'-0.5 -0.3'!$G30</f>
        <v>7143.4201146550768</v>
      </c>
      <c r="S9" s="38">
        <f>'-0.5 -0.5'!$G30</f>
        <v>6422.1977401399809</v>
      </c>
      <c r="T9" s="38">
        <f>'-0.5 -1'!$G30</f>
        <v>4334.1448976643587</v>
      </c>
      <c r="U9" s="26"/>
      <c r="V9">
        <v>92</v>
      </c>
    </row>
    <row r="10" spans="2:23" ht="10" customHeight="1">
      <c r="C10" s="158"/>
      <c r="D10" s="76"/>
      <c r="E10" s="77"/>
      <c r="F10" s="39"/>
      <c r="G10" s="39"/>
      <c r="H10" s="90"/>
      <c r="I10" s="77"/>
      <c r="J10" s="39"/>
      <c r="K10" s="39"/>
      <c r="L10" s="90"/>
      <c r="M10" s="77"/>
      <c r="N10" s="39"/>
      <c r="O10" s="39"/>
      <c r="P10" s="90"/>
      <c r="Q10" s="77"/>
      <c r="R10" s="39"/>
      <c r="S10" s="39"/>
      <c r="T10" s="39"/>
      <c r="U10" s="26"/>
      <c r="V10">
        <v>82.5</v>
      </c>
    </row>
    <row r="11" spans="2:23">
      <c r="B11" t="s">
        <v>29</v>
      </c>
      <c r="C11" s="158"/>
      <c r="D11" s="81" t="s">
        <v>94</v>
      </c>
      <c r="E11" s="82">
        <f>'0 -0.1'!$G39</f>
        <v>1309.55949683532</v>
      </c>
      <c r="F11" s="38">
        <f>'0 -0.3'!$G39</f>
        <v>1111.2539836067199</v>
      </c>
      <c r="G11" s="38">
        <f>'0 -0.5'!$G39</f>
        <v>945.97308325003803</v>
      </c>
      <c r="H11" s="92">
        <f>'0 -1'!$G39</f>
        <v>586.645929081502</v>
      </c>
      <c r="I11" s="82">
        <f>'-0.1 -0.1'!$G39</f>
        <v>1261.27336335108</v>
      </c>
      <c r="J11" s="38">
        <f>'-0.1 -0.3'!$G39</f>
        <v>1073.2790939727499</v>
      </c>
      <c r="K11" s="38">
        <f>'-0.1 -0.5'!$G39</f>
        <v>908.59002410247399</v>
      </c>
      <c r="L11" s="92">
        <f>'-0.1 -1'!$G39</f>
        <v>564.66900400892791</v>
      </c>
      <c r="M11" s="82">
        <f>'-0.3 -0.1'!$G39</f>
        <v>1170.5228127130401</v>
      </c>
      <c r="N11" s="38">
        <f>'-0.3 -0.3'!$G39</f>
        <v>998.74942357850205</v>
      </c>
      <c r="O11" s="38">
        <f>'-0.3 -0.5'!$G39</f>
        <v>840.90503534068091</v>
      </c>
      <c r="P11" s="92">
        <f>'-0.3 -1'!$G39</f>
        <v>521.93956221413794</v>
      </c>
      <c r="Q11" s="82">
        <f>'-0.5 -0.1'!$G39</f>
        <v>1088.043901301</v>
      </c>
      <c r="R11" s="38">
        <f>'-0.5 -0.3'!$G39</f>
        <v>927.51145558452902</v>
      </c>
      <c r="S11" s="38">
        <f>'-0.5 -0.5'!$G39</f>
        <v>779.44262921798895</v>
      </c>
      <c r="T11" s="38">
        <f>'-0.5 -1'!$G39</f>
        <v>463.71866306171</v>
      </c>
      <c r="U11" s="26"/>
      <c r="W11">
        <f>(V9-V10)/V9</f>
        <v>0.10326086956521739</v>
      </c>
    </row>
    <row r="12" spans="2:23">
      <c r="B12" t="s">
        <v>92</v>
      </c>
      <c r="C12" s="159"/>
      <c r="D12" s="76" t="s">
        <v>94</v>
      </c>
      <c r="E12" s="82">
        <f>'0 -0.1'!$G40</f>
        <v>1204.4215865315409</v>
      </c>
      <c r="F12" s="38">
        <f>'0 -0.3'!$G40</f>
        <v>1055.3521749741678</v>
      </c>
      <c r="G12" s="38">
        <f>'0 -0.5'!$G40</f>
        <v>888.69241881784092</v>
      </c>
      <c r="H12" s="92">
        <f>'0 -1'!$G40</f>
        <v>269.4173081729374</v>
      </c>
      <c r="I12" s="82">
        <f>'-0.1 -0.1'!$G40</f>
        <v>1149.8333341942016</v>
      </c>
      <c r="J12" s="38">
        <f>'-0.1 -0.3'!$G40</f>
        <v>989.33111266356741</v>
      </c>
      <c r="K12" s="38">
        <f>'-0.1 -0.5'!$G40</f>
        <v>783.59736795471213</v>
      </c>
      <c r="L12" s="92">
        <f>'-0.1 -1'!$G40</f>
        <v>191.44656676437432</v>
      </c>
      <c r="M12" s="82">
        <f>'-0.3 -0.1'!$G40</f>
        <v>1073.110902679789</v>
      </c>
      <c r="N12" s="38">
        <f>'-0.3 -0.3'!$G40</f>
        <v>886.76902927891626</v>
      </c>
      <c r="O12" s="38">
        <f>'-0.3 -0.5'!$G40</f>
        <v>633.27751161639026</v>
      </c>
      <c r="P12" s="92">
        <f>'-0.3 -1'!$G40</f>
        <v>-31.709490185042359</v>
      </c>
      <c r="Q12" s="82">
        <f>'-0.5 -0.1'!$G40</f>
        <v>968.13807779266574</v>
      </c>
      <c r="R12" s="38">
        <f>'-0.5 -0.3'!$G40</f>
        <v>737.76542249929037</v>
      </c>
      <c r="S12" s="38">
        <f>'-0.5 -0.5'!$G40</f>
        <v>451.2949379052539</v>
      </c>
      <c r="T12" s="38">
        <f>'-0.5 -1'!$G40</f>
        <v>-354.55375239035709</v>
      </c>
      <c r="U12" s="26"/>
    </row>
    <row r="13" spans="2:23" ht="10" customHeight="1">
      <c r="C13" s="141"/>
      <c r="D13" s="76"/>
      <c r="E13" s="77"/>
      <c r="F13" s="39"/>
      <c r="G13" s="39"/>
      <c r="H13" s="90"/>
      <c r="I13" s="77"/>
      <c r="J13" s="39"/>
      <c r="K13" s="39"/>
      <c r="L13" s="90"/>
      <c r="M13" s="77"/>
      <c r="N13" s="39"/>
      <c r="O13" s="39"/>
      <c r="P13" s="90"/>
      <c r="Q13" s="77"/>
      <c r="R13" s="39"/>
      <c r="S13" s="39"/>
      <c r="T13" s="39"/>
      <c r="U13" s="26"/>
    </row>
    <row r="14" spans="2:23">
      <c r="B14" t="s">
        <v>30</v>
      </c>
      <c r="C14" s="141" t="str">
        <f>'0 -0.5'!H42</f>
        <v>[000 ton CO2]</v>
      </c>
      <c r="D14" s="81">
        <f>'0 -0.5'!F42</f>
        <v>39764.703681774801</v>
      </c>
      <c r="E14" s="82">
        <f>'0 -0.1'!$G42</f>
        <v>36376.6526898702</v>
      </c>
      <c r="F14" s="38">
        <f>'0 -0.3'!$G42</f>
        <v>30868.166211297797</v>
      </c>
      <c r="G14" s="38">
        <f>'0 -0.5'!$G42</f>
        <v>26277.0300902788</v>
      </c>
      <c r="H14" s="92">
        <f>'0 -1'!$G42</f>
        <v>16295.7202522639</v>
      </c>
      <c r="I14" s="82">
        <f>'-0.1 -0.1'!$G42</f>
        <v>36981.840347387551</v>
      </c>
      <c r="J14" s="38">
        <f>'-0.1 -0.3'!$G42</f>
        <v>31515.300720462106</v>
      </c>
      <c r="K14" s="38">
        <f>'-0.1 -0.5'!$G42</f>
        <v>26752.690810328389</v>
      </c>
      <c r="L14" s="92">
        <f>'-0.1 -1'!$G42</f>
        <v>17134.046600581518</v>
      </c>
      <c r="M14" s="82">
        <f>'-0.3 -0.1'!$G42</f>
        <v>38196.104424497542</v>
      </c>
      <c r="N14" s="38">
        <f>'-0.3 -0.3'!$G42</f>
        <v>32770.468116800148</v>
      </c>
      <c r="O14" s="38">
        <f>'-0.3 -0.5'!$G42</f>
        <v>27921.750485729426</v>
      </c>
      <c r="P14" s="92">
        <f>'-0.3 -1'!$G42</f>
        <v>18894.654189590285</v>
      </c>
      <c r="Q14" s="82">
        <f>'-0.5 -0.1'!$G42</f>
        <v>39457.863108776975</v>
      </c>
      <c r="R14" s="38">
        <f>'-0.5 -0.3'!$G42</f>
        <v>34063.741416933684</v>
      </c>
      <c r="S14" s="38">
        <f>'-0.5 -0.5'!$G42</f>
        <v>29555.527316013759</v>
      </c>
      <c r="T14" s="38">
        <f>'-0.5 -1'!$G42</f>
        <v>21017.478277815229</v>
      </c>
      <c r="U14" s="26"/>
    </row>
    <row r="15" spans="2:23">
      <c r="B15" t="s">
        <v>36</v>
      </c>
      <c r="C15" s="141" t="str">
        <f>C8</f>
        <v>[MMUSD]</v>
      </c>
      <c r="D15" s="81">
        <f>'0 -0.5'!F43</f>
        <v>1431.5293325438927</v>
      </c>
      <c r="E15" s="82">
        <f>'0 -0.1'!$G43</f>
        <v>1309.5594968353273</v>
      </c>
      <c r="F15" s="38">
        <f>'0 -0.3'!$G43</f>
        <v>1111.2539836067208</v>
      </c>
      <c r="G15" s="38">
        <f>'0 -0.5'!$G43</f>
        <v>945.97308325003678</v>
      </c>
      <c r="H15" s="92">
        <f>'0 -1'!$G43</f>
        <v>586.64592908150041</v>
      </c>
      <c r="I15" s="82">
        <f>'-0.1 -0.1'!$G43</f>
        <v>1331.3462525059517</v>
      </c>
      <c r="J15" s="38">
        <f>'-0.1 -0.3'!$G43</f>
        <v>1134.5508259366356</v>
      </c>
      <c r="K15" s="38">
        <f>'-0.1 -0.5'!$G43</f>
        <v>963.09686917182194</v>
      </c>
      <c r="L15" s="92">
        <f>'-0.1 -1'!$G43</f>
        <v>616.8256776209347</v>
      </c>
      <c r="M15" s="82">
        <f>'-0.3 -0.1'!$G43</f>
        <v>1375.0597592819115</v>
      </c>
      <c r="N15" s="38">
        <f>'-0.3 -0.3'!$G43</f>
        <v>1179.7368522048052</v>
      </c>
      <c r="O15" s="38">
        <f>'-0.3 -0.5'!$G43</f>
        <v>1005.1830174862594</v>
      </c>
      <c r="P15" s="92">
        <f>'-0.3 -1'!$G43</f>
        <v>680.20755082525022</v>
      </c>
      <c r="Q15" s="82">
        <f>'-0.5 -0.1'!$G43</f>
        <v>1420.4830719159711</v>
      </c>
      <c r="R15" s="38">
        <f>'-0.5 -0.3'!$G43</f>
        <v>1226.2946910096127</v>
      </c>
      <c r="S15" s="38">
        <f>'-0.5 -0.5'!$G43</f>
        <v>1063.9989833764953</v>
      </c>
      <c r="T15" s="38">
        <f>'-0.5 -1'!$G43</f>
        <v>756.62921800134825</v>
      </c>
      <c r="U15" s="26"/>
    </row>
    <row r="16" spans="2:23" ht="10" customHeight="1">
      <c r="C16" s="141"/>
      <c r="D16" s="76"/>
      <c r="E16" s="77"/>
      <c r="F16" s="39"/>
      <c r="G16" s="39"/>
      <c r="H16" s="90"/>
      <c r="I16" s="77"/>
      <c r="J16" s="39"/>
      <c r="K16" s="39"/>
      <c r="L16" s="90"/>
      <c r="M16" s="77"/>
      <c r="N16" s="39"/>
      <c r="O16" s="39"/>
      <c r="P16" s="90"/>
      <c r="Q16" s="77"/>
      <c r="R16" s="39"/>
      <c r="S16" s="39"/>
      <c r="T16" s="39"/>
      <c r="U16" s="26"/>
    </row>
    <row r="17" spans="2:21">
      <c r="B17" s="74" t="s">
        <v>88</v>
      </c>
      <c r="C17" s="75" t="str">
        <f>C15</f>
        <v>[MMUSD]</v>
      </c>
      <c r="D17" s="83" t="s">
        <v>94</v>
      </c>
      <c r="E17" s="84">
        <f>($D$8-E8)-($D$9-E9)+E11+E12+($D$15-E15)</f>
        <v>1622.2940053848181</v>
      </c>
      <c r="F17" s="85">
        <f t="shared" ref="F17:H17" si="3">($D$8-F8)-($D$9-F9)+F11+F12+($D$15-F15)</f>
        <v>2156.658527783798</v>
      </c>
      <c r="G17" s="85">
        <f t="shared" si="3"/>
        <v>2562.9692672116553</v>
      </c>
      <c r="H17" s="93">
        <f t="shared" si="3"/>
        <v>3221.149453615159</v>
      </c>
      <c r="I17" s="84">
        <f>($D$8-I8)-($D$9-I9)+I11+I12+($D$15-I15)</f>
        <v>533.67096673242304</v>
      </c>
      <c r="J17" s="85">
        <f t="shared" ref="J17:L17" si="4">($D$8-J8)-($D$9-J9)+J11+J12+($D$15-J15)</f>
        <v>1211.2114959107846</v>
      </c>
      <c r="K17" s="85">
        <f t="shared" si="4"/>
        <v>1807.2629364372069</v>
      </c>
      <c r="L17" s="93">
        <f t="shared" si="4"/>
        <v>2845.4065495593522</v>
      </c>
      <c r="M17" s="84">
        <f>($D$8-M8)-($D$9-M9)+M11+M12+($D$15-M15)</f>
        <v>396.18024590023037</v>
      </c>
      <c r="N17" s="85">
        <f t="shared" ref="N17:P17" si="5">($D$8-N8)-($D$9-N9)+N11+N12+($D$15-N15)</f>
        <v>1097.8466763323818</v>
      </c>
      <c r="O17" s="85">
        <f t="shared" si="5"/>
        <v>1738.8291561684871</v>
      </c>
      <c r="P17" s="93">
        <f t="shared" si="5"/>
        <v>2711.9318508465071</v>
      </c>
      <c r="Q17" s="84">
        <f>($D$8-Q8)-($D$9-Q9)+Q11+Q12+($D$15-Q15)</f>
        <v>293.26606518201027</v>
      </c>
      <c r="R17" s="85">
        <f t="shared" ref="R17:T17" si="6">($D$8-R8)-($D$9-R9)+R11+R12+($D$15-R15)</f>
        <v>1036.7501976761312</v>
      </c>
      <c r="S17" s="85">
        <f t="shared" si="6"/>
        <v>1658.7728310642774</v>
      </c>
      <c r="T17" s="85">
        <f t="shared" si="6"/>
        <v>2673.7858815040213</v>
      </c>
      <c r="U17" s="26"/>
    </row>
    <row r="18" spans="2:21" ht="10" customHeight="1">
      <c r="C18" s="141"/>
      <c r="D18" s="76"/>
      <c r="E18" s="77"/>
      <c r="F18" s="39"/>
      <c r="G18" s="39"/>
      <c r="H18" s="90"/>
      <c r="I18" s="77"/>
      <c r="J18" s="39"/>
      <c r="K18" s="39"/>
      <c r="L18" s="90"/>
      <c r="M18" s="77"/>
      <c r="N18" s="39"/>
      <c r="O18" s="39"/>
      <c r="P18" s="90"/>
      <c r="Q18" s="77"/>
      <c r="R18" s="39"/>
      <c r="S18" s="39"/>
      <c r="T18" s="39"/>
      <c r="U18" s="26"/>
    </row>
    <row r="19" spans="2:21">
      <c r="B19" t="s">
        <v>90</v>
      </c>
      <c r="C19" s="141" t="str">
        <f>'0 -0.5'!H45</f>
        <v>[TWh/year]</v>
      </c>
      <c r="D19" s="81">
        <f>'0 -0.5'!F45</f>
        <v>158.74223539999963</v>
      </c>
      <c r="E19" s="82">
        <f>'0 -0.1'!$G45</f>
        <v>154.78475253968548</v>
      </c>
      <c r="F19" s="38">
        <f>'0 -0.3'!$G45</f>
        <v>148.11365318646099</v>
      </c>
      <c r="G19" s="38">
        <f>'0 -0.5'!$G45</f>
        <v>142.31180000861048</v>
      </c>
      <c r="H19" s="92">
        <f>'0 -1'!$G45</f>
        <v>127.3466021721015</v>
      </c>
      <c r="I19" s="82">
        <f>'-0.1 -0.1'!$G45</f>
        <v>154.855341286124</v>
      </c>
      <c r="J19" s="38">
        <f>'-0.1 -0.3'!$G45</f>
        <v>148.24490672307249</v>
      </c>
      <c r="K19" s="38">
        <f>'-0.1 -0.5'!$G45</f>
        <v>142.22627313400702</v>
      </c>
      <c r="L19" s="92">
        <f>'-0.1 -1'!$G45</f>
        <v>127.10018733926199</v>
      </c>
      <c r="M19" s="82">
        <f>'-0.3 -0.1'!$G45</f>
        <v>154.97808221172602</v>
      </c>
      <c r="N19" s="38">
        <f>'-0.3 -0.3'!$G45</f>
        <v>148.38638856721749</v>
      </c>
      <c r="O19" s="38">
        <f>'-0.3 -0.5'!$G45</f>
        <v>142.06299680147001</v>
      </c>
      <c r="P19" s="92">
        <f>'-0.3 -1'!$G45</f>
        <v>126.6058622189355</v>
      </c>
      <c r="Q19" s="82">
        <f>'-0.5 -0.1'!$G45</f>
        <v>155.06333663050899</v>
      </c>
      <c r="R19" s="38">
        <f>'-0.5 -0.3'!$G45</f>
        <v>148.30327097324999</v>
      </c>
      <c r="S19" s="38">
        <f>'-0.5 -0.5'!$G45</f>
        <v>141.81410019416799</v>
      </c>
      <c r="T19" s="38">
        <f>'-0.5 -1'!$G45</f>
        <v>125.589813405839</v>
      </c>
      <c r="U19" s="26"/>
    </row>
    <row r="20" spans="2:21">
      <c r="C20" s="174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26"/>
    </row>
    <row r="23" spans="2:21" ht="30" customHeight="1">
      <c r="B23" s="26"/>
      <c r="C23" s="141"/>
      <c r="D23" s="160" t="s">
        <v>21</v>
      </c>
      <c r="E23" s="154" t="s">
        <v>95</v>
      </c>
      <c r="F23" s="155"/>
      <c r="G23" s="155"/>
      <c r="H23" s="155"/>
    </row>
    <row r="24" spans="2:21">
      <c r="B24" s="29"/>
      <c r="C24" s="70"/>
      <c r="D24" s="161"/>
      <c r="E24" s="72">
        <f>I4</f>
        <v>-0.1</v>
      </c>
      <c r="F24" s="73">
        <f t="shared" ref="F24:H24" si="7">J4</f>
        <v>-0.3</v>
      </c>
      <c r="G24" s="73">
        <f t="shared" si="7"/>
        <v>-0.5</v>
      </c>
      <c r="H24" s="73">
        <f t="shared" si="7"/>
        <v>-1</v>
      </c>
    </row>
    <row r="25" spans="2:21" ht="10" customHeight="1">
      <c r="C25" s="141"/>
      <c r="D25" s="76"/>
      <c r="E25" s="77"/>
      <c r="F25" s="39"/>
      <c r="G25" s="39"/>
      <c r="H25" s="39"/>
      <c r="I25" s="1">
        <f>I4</f>
        <v>-0.1</v>
      </c>
      <c r="J25" s="1">
        <f>J4</f>
        <v>-0.3</v>
      </c>
      <c r="K25" s="1">
        <f>K4</f>
        <v>-0.5</v>
      </c>
      <c r="L25" s="1">
        <f>L4</f>
        <v>-1</v>
      </c>
    </row>
    <row r="26" spans="2:21">
      <c r="B26" s="69" t="s">
        <v>32</v>
      </c>
      <c r="C26" s="142" t="str">
        <f>C6</f>
        <v>[$/MWh]</v>
      </c>
      <c r="D26" s="78">
        <f>D6</f>
        <v>39.477220277561777</v>
      </c>
      <c r="E26" s="79">
        <f>I6</f>
        <v>53.4426680462918</v>
      </c>
      <c r="F26" s="80">
        <f>J6</f>
        <v>51.493267794191759</v>
      </c>
      <c r="G26" s="80">
        <f>K6</f>
        <v>48.994502294398472</v>
      </c>
      <c r="H26" s="80">
        <f>L6</f>
        <v>41.802459030988793</v>
      </c>
      <c r="I26" s="140">
        <f>E17/E8</f>
        <v>0.10348086719331195</v>
      </c>
      <c r="J26" s="140">
        <f>F17/F8</f>
        <v>0.14826048037823009</v>
      </c>
      <c r="K26" s="140">
        <f>G17/G8</f>
        <v>0.18976664914160757</v>
      </c>
      <c r="L26" s="140">
        <f>H17/H8</f>
        <v>0.30367387109992938</v>
      </c>
      <c r="M26" s="140" t="str">
        <f>P26</f>
        <v>100% Pass-through</v>
      </c>
      <c r="P26" t="s">
        <v>96</v>
      </c>
    </row>
    <row r="27" spans="2:21" ht="10" customHeight="1">
      <c r="C27" s="141"/>
      <c r="D27" s="76"/>
      <c r="E27" s="77"/>
      <c r="F27" s="39"/>
      <c r="G27" s="39"/>
      <c r="H27" s="39"/>
      <c r="I27" s="140">
        <f>I17/I8</f>
        <v>3.2242540920135232E-2</v>
      </c>
      <c r="J27" s="140">
        <f>J17/J8</f>
        <v>7.9334073471308206E-2</v>
      </c>
      <c r="K27" s="140">
        <f>K17/K8</f>
        <v>0.12967736169245389</v>
      </c>
      <c r="L27" s="140">
        <f>L17/L8</f>
        <v>0.26777270795037317</v>
      </c>
      <c r="M27" s="140" t="str">
        <f>P28</f>
        <v>80% Pass-through</v>
      </c>
    </row>
    <row r="28" spans="2:21">
      <c r="B28" t="s">
        <v>28</v>
      </c>
      <c r="C28" s="157" t="str">
        <f>C8</f>
        <v>[MMUSD]</v>
      </c>
      <c r="D28" s="81">
        <f>D8</f>
        <v>12533.4043884767</v>
      </c>
      <c r="E28" s="82">
        <f>I8</f>
        <v>16551.7651990991</v>
      </c>
      <c r="F28" s="38">
        <f>J8</f>
        <v>15267.229362032302</v>
      </c>
      <c r="G28" s="38">
        <f>K8</f>
        <v>13936.6109307757</v>
      </c>
      <c r="H28" s="38">
        <f>L8</f>
        <v>10626.200748161</v>
      </c>
      <c r="I28" s="38"/>
      <c r="J28" s="38"/>
      <c r="K28" s="38"/>
      <c r="L28" s="38"/>
      <c r="P28" t="s">
        <v>97</v>
      </c>
    </row>
    <row r="29" spans="2:21">
      <c r="B29" t="s">
        <v>22</v>
      </c>
      <c r="C29" s="158"/>
      <c r="D29" s="81">
        <f>D9</f>
        <v>6143.604256374444</v>
      </c>
      <c r="E29" s="82">
        <f>I9</f>
        <v>8184.3462561460447</v>
      </c>
      <c r="F29" s="38">
        <f>J9</f>
        <v>7729.0520125972562</v>
      </c>
      <c r="G29" s="38">
        <f>K9</f>
        <v>7193.453879681394</v>
      </c>
      <c r="H29" s="38">
        <f>L9</f>
        <v>5510.9879399218362</v>
      </c>
      <c r="I29" s="38"/>
      <c r="J29" s="38"/>
      <c r="K29" s="38"/>
      <c r="L29" s="38"/>
    </row>
    <row r="30" spans="2:21" ht="10" customHeight="1">
      <c r="C30" s="158"/>
      <c r="D30" s="76"/>
      <c r="E30" s="77"/>
      <c r="F30" s="39"/>
      <c r="G30" s="39"/>
      <c r="H30" s="39"/>
      <c r="I30" s="39"/>
      <c r="J30" s="39"/>
      <c r="K30" s="39"/>
      <c r="L30" s="39"/>
    </row>
    <row r="31" spans="2:21">
      <c r="B31" t="s">
        <v>29</v>
      </c>
      <c r="C31" s="158"/>
      <c r="D31" s="81" t="str">
        <f>D11</f>
        <v>-</v>
      </c>
      <c r="E31" s="82">
        <f>I11</f>
        <v>1261.27336335108</v>
      </c>
      <c r="F31" s="38">
        <f>J11</f>
        <v>1073.2790939727499</v>
      </c>
      <c r="G31" s="38">
        <f>K11</f>
        <v>908.59002410247399</v>
      </c>
      <c r="H31" s="38">
        <f>L11</f>
        <v>564.66900400892791</v>
      </c>
      <c r="I31" s="38"/>
      <c r="J31" s="38"/>
      <c r="K31" s="38"/>
      <c r="L31" s="38"/>
      <c r="P31" t="str">
        <f>P26</f>
        <v>100% Pass-through</v>
      </c>
    </row>
    <row r="32" spans="2:21">
      <c r="B32" t="s">
        <v>92</v>
      </c>
      <c r="C32" s="159"/>
      <c r="D32" s="76" t="str">
        <f>D12</f>
        <v>-</v>
      </c>
      <c r="E32" s="82">
        <f>I12</f>
        <v>1149.8333341942016</v>
      </c>
      <c r="F32" s="38">
        <f>J12</f>
        <v>989.33111266356741</v>
      </c>
      <c r="G32" s="38">
        <f>K12</f>
        <v>783.59736795471213</v>
      </c>
      <c r="H32" s="38">
        <f>L12</f>
        <v>191.44656676437432</v>
      </c>
      <c r="I32" s="38"/>
      <c r="J32" s="38"/>
      <c r="K32" s="38"/>
      <c r="L32" s="38"/>
    </row>
    <row r="33" spans="2:19" ht="10" customHeight="1">
      <c r="C33" s="141"/>
      <c r="D33" s="76"/>
      <c r="E33" s="77"/>
      <c r="F33" s="39"/>
      <c r="G33" s="39"/>
      <c r="H33" s="39"/>
      <c r="I33" s="39"/>
      <c r="J33" s="39"/>
      <c r="K33" s="39"/>
      <c r="L33" s="39"/>
    </row>
    <row r="34" spans="2:19">
      <c r="B34" t="s">
        <v>30</v>
      </c>
      <c r="C34" s="141" t="str">
        <f>C14</f>
        <v>[000 ton CO2]</v>
      </c>
      <c r="D34" s="81">
        <f>D14</f>
        <v>39764.703681774801</v>
      </c>
      <c r="E34" s="82">
        <f>I14</f>
        <v>36981.840347387551</v>
      </c>
      <c r="F34" s="38">
        <f>J14</f>
        <v>31515.300720462106</v>
      </c>
      <c r="G34" s="38">
        <f>K14</f>
        <v>26752.690810328389</v>
      </c>
      <c r="H34" s="38">
        <f>L14</f>
        <v>17134.046600581518</v>
      </c>
      <c r="I34" s="38"/>
      <c r="J34" s="38"/>
      <c r="K34" s="38"/>
      <c r="L34" s="38"/>
      <c r="P34" t="str">
        <f>P28</f>
        <v>80% Pass-through</v>
      </c>
    </row>
    <row r="35" spans="2:19">
      <c r="B35" t="s">
        <v>36</v>
      </c>
      <c r="C35" s="141" t="str">
        <f>C28</f>
        <v>[MMUSD]</v>
      </c>
      <c r="D35" s="81">
        <f>D15</f>
        <v>1431.5293325438927</v>
      </c>
      <c r="E35" s="82">
        <f>I15</f>
        <v>1331.3462525059517</v>
      </c>
      <c r="F35" s="38">
        <f>J15</f>
        <v>1134.5508259366356</v>
      </c>
      <c r="G35" s="38">
        <f>K15</f>
        <v>963.09686917182194</v>
      </c>
      <c r="H35" s="38">
        <f>L15</f>
        <v>616.8256776209347</v>
      </c>
      <c r="I35" s="38"/>
      <c r="J35" s="38"/>
      <c r="K35" s="38"/>
      <c r="L35" s="38"/>
    </row>
    <row r="36" spans="2:19" ht="10" customHeight="1">
      <c r="C36" s="141"/>
      <c r="D36" s="76"/>
      <c r="E36" s="77"/>
      <c r="F36" s="39"/>
      <c r="G36" s="39"/>
      <c r="H36" s="39"/>
      <c r="I36" s="39"/>
      <c r="J36" s="39"/>
      <c r="K36" s="39"/>
      <c r="L36" s="39"/>
    </row>
    <row r="37" spans="2:19">
      <c r="B37" s="74" t="s">
        <v>88</v>
      </c>
      <c r="C37" s="75" t="str">
        <f>C17</f>
        <v>[MMUSD]</v>
      </c>
      <c r="D37" s="83" t="s">
        <v>94</v>
      </c>
      <c r="E37" s="84">
        <f>I17</f>
        <v>533.67096673242304</v>
      </c>
      <c r="F37" s="85">
        <f>J17</f>
        <v>1211.2114959107846</v>
      </c>
      <c r="G37" s="85">
        <f>K17</f>
        <v>1807.2629364372069</v>
      </c>
      <c r="H37" s="85">
        <f>L17</f>
        <v>2845.4065495593522</v>
      </c>
      <c r="I37" s="38"/>
      <c r="J37" s="38"/>
      <c r="K37" s="38"/>
      <c r="L37" s="38"/>
    </row>
    <row r="38" spans="2:19" ht="10" customHeight="1">
      <c r="C38" s="141"/>
      <c r="D38" s="76"/>
      <c r="E38" s="77"/>
      <c r="F38" s="39"/>
      <c r="G38" s="39"/>
      <c r="H38" s="39"/>
      <c r="I38" s="39"/>
      <c r="J38" s="39"/>
      <c r="K38" s="39"/>
      <c r="L38" s="39"/>
    </row>
    <row r="39" spans="2:19">
      <c r="B39" t="s">
        <v>90</v>
      </c>
      <c r="C39" s="141" t="str">
        <f>C19</f>
        <v>[TWh/year]</v>
      </c>
      <c r="D39" s="81">
        <f>D19</f>
        <v>158.74223539999963</v>
      </c>
      <c r="E39" s="82">
        <f>I19</f>
        <v>154.855341286124</v>
      </c>
      <c r="F39" s="38">
        <f>J19</f>
        <v>148.24490672307249</v>
      </c>
      <c r="G39" s="38">
        <f>K19</f>
        <v>142.22627313400702</v>
      </c>
      <c r="H39" s="38">
        <f>L19</f>
        <v>127.10018733926199</v>
      </c>
      <c r="I39" s="38"/>
      <c r="J39" s="38"/>
      <c r="K39" s="38"/>
      <c r="L39" s="38"/>
    </row>
    <row r="41" spans="2:19">
      <c r="N41">
        <f>I4</f>
        <v>-0.1</v>
      </c>
      <c r="O41">
        <f t="shared" ref="O41:Q41" si="8">J4</f>
        <v>-0.3</v>
      </c>
      <c r="P41">
        <f t="shared" si="8"/>
        <v>-0.5</v>
      </c>
      <c r="Q41">
        <f t="shared" si="8"/>
        <v>-1</v>
      </c>
    </row>
    <row r="42" spans="2:19">
      <c r="M42" t="s">
        <v>143</v>
      </c>
      <c r="N42" s="49">
        <f>E17</f>
        <v>1622.2940053848181</v>
      </c>
      <c r="O42" s="49">
        <f t="shared" ref="O42:Q42" si="9">F17</f>
        <v>2156.658527783798</v>
      </c>
      <c r="P42" s="49">
        <f t="shared" si="9"/>
        <v>2562.9692672116553</v>
      </c>
      <c r="Q42" s="49">
        <f t="shared" si="9"/>
        <v>3221.149453615159</v>
      </c>
      <c r="S42" s="22">
        <f>(N42-N45)/N42</f>
        <v>0.8192275480223784</v>
      </c>
    </row>
    <row r="43" spans="2:19">
      <c r="M43" t="s">
        <v>144</v>
      </c>
      <c r="N43" s="49">
        <f>I17</f>
        <v>533.67096673242304</v>
      </c>
      <c r="O43" s="49">
        <f t="shared" ref="O43:Q43" si="10">J17</f>
        <v>1211.2114959107846</v>
      </c>
      <c r="P43" s="49">
        <f t="shared" si="10"/>
        <v>1807.2629364372069</v>
      </c>
      <c r="Q43" s="49">
        <f t="shared" si="10"/>
        <v>2845.4065495593522</v>
      </c>
    </row>
    <row r="44" spans="2:19">
      <c r="M44" t="s">
        <v>145</v>
      </c>
      <c r="N44" s="49">
        <f>M17</f>
        <v>396.18024590023037</v>
      </c>
      <c r="O44" s="49">
        <f t="shared" ref="O44:Q44" si="11">N17</f>
        <v>1097.8466763323818</v>
      </c>
      <c r="P44" s="49">
        <f t="shared" si="11"/>
        <v>1738.8291561684871</v>
      </c>
      <c r="Q44" s="49">
        <f t="shared" si="11"/>
        <v>2711.9318508465071</v>
      </c>
    </row>
    <row r="45" spans="2:19">
      <c r="M45" t="s">
        <v>146</v>
      </c>
      <c r="N45" s="49">
        <f>Q17</f>
        <v>293.26606518201027</v>
      </c>
      <c r="O45" s="49">
        <f>R17</f>
        <v>1036.7501976761312</v>
      </c>
      <c r="P45" s="49">
        <f>S17</f>
        <v>1658.7728310642774</v>
      </c>
      <c r="Q45" s="49">
        <f>T17</f>
        <v>2673.7858815040213</v>
      </c>
    </row>
    <row r="48" spans="2:19">
      <c r="N48">
        <f t="shared" ref="N48:Q48" si="12">N41</f>
        <v>-0.1</v>
      </c>
      <c r="O48">
        <f t="shared" si="12"/>
        <v>-0.3</v>
      </c>
      <c r="P48">
        <f t="shared" si="12"/>
        <v>-0.5</v>
      </c>
      <c r="Q48">
        <f t="shared" si="12"/>
        <v>-1</v>
      </c>
    </row>
    <row r="49" spans="13:17">
      <c r="M49" t="str">
        <f t="shared" ref="M49:M51" si="13">M42</f>
        <v>Exchange Elasticity = 0</v>
      </c>
      <c r="N49" s="21">
        <f>E17/E8</f>
        <v>0.10348086719331195</v>
      </c>
      <c r="O49" s="21">
        <f t="shared" ref="O49:Q49" si="14">F17/F8</f>
        <v>0.14826048037823009</v>
      </c>
      <c r="P49" s="21">
        <f t="shared" si="14"/>
        <v>0.18976664914160757</v>
      </c>
      <c r="Q49" s="21">
        <f t="shared" si="14"/>
        <v>0.30367387109992938</v>
      </c>
    </row>
    <row r="50" spans="13:17">
      <c r="M50" t="str">
        <f t="shared" si="13"/>
        <v>Exch. Elast. = -0.1</v>
      </c>
      <c r="N50" s="21">
        <f>I17/I8</f>
        <v>3.2242540920135232E-2</v>
      </c>
      <c r="O50" s="21">
        <f t="shared" ref="O50:Q50" si="15">J17/J8</f>
        <v>7.9334073471308206E-2</v>
      </c>
      <c r="P50" s="22">
        <f t="shared" si="15"/>
        <v>0.12967736169245389</v>
      </c>
      <c r="Q50" s="21">
        <f t="shared" si="15"/>
        <v>0.26777270795037317</v>
      </c>
    </row>
    <row r="51" spans="13:17">
      <c r="M51" t="str">
        <f t="shared" si="13"/>
        <v>Exch. Elast. = -0.3</v>
      </c>
      <c r="N51" s="21">
        <f>M17/M8</f>
        <v>2.434129556311003E-2</v>
      </c>
      <c r="O51" s="21">
        <f t="shared" ref="O51:Q51" si="16">N17/N8</f>
        <v>7.3621120108673027E-2</v>
      </c>
      <c r="P51" s="22">
        <f t="shared" si="16"/>
        <v>0.12974521938152603</v>
      </c>
      <c r="Q51" s="21">
        <f t="shared" si="16"/>
        <v>0.27397194086700549</v>
      </c>
    </row>
    <row r="52" spans="13:17">
      <c r="M52" t="str">
        <f>M45</f>
        <v>Exch. Elast. = -0.5</v>
      </c>
      <c r="N52" s="21">
        <f>Q17/Q8</f>
        <v>1.8456469033495619E-2</v>
      </c>
      <c r="O52" s="21">
        <f t="shared" ref="O52:Q52" si="17">R17/R8</f>
        <v>7.2162005130907411E-2</v>
      </c>
      <c r="P52" s="22">
        <f t="shared" si="17"/>
        <v>0.13008459767001068</v>
      </c>
      <c r="Q52" s="21">
        <f t="shared" si="17"/>
        <v>0.30266221786987085</v>
      </c>
    </row>
  </sheetData>
  <mergeCells count="9">
    <mergeCell ref="I3:L3"/>
    <mergeCell ref="M3:P3"/>
    <mergeCell ref="Q3:T3"/>
    <mergeCell ref="C8:C12"/>
    <mergeCell ref="D23:D24"/>
    <mergeCell ref="E23:H23"/>
    <mergeCell ref="C28:C32"/>
    <mergeCell ref="D3:D4"/>
    <mergeCell ref="E3:H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4D2-7AC1-534B-9B23-62DF5097D619}">
  <sheetPr codeName="Sheet19"/>
  <dimension ref="A1:P47"/>
  <sheetViews>
    <sheetView showGridLines="0" topLeftCell="A12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251179626.81167799</v>
      </c>
      <c r="G4" s="1">
        <f>F42/2</f>
        <v>19882.351840887401</v>
      </c>
    </row>
    <row r="5" spans="1:10">
      <c r="A5" t="s">
        <v>2</v>
      </c>
      <c r="C5">
        <v>41845989.306686901</v>
      </c>
    </row>
    <row r="6" spans="1:10">
      <c r="A6" t="s">
        <v>3</v>
      </c>
      <c r="C6">
        <v>1525454459.31267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7584727.4722805796</v>
      </c>
    </row>
    <row r="10" spans="1:10">
      <c r="A10" t="s">
        <v>7</v>
      </c>
      <c r="C10">
        <v>223804673.68791401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80849624.3321646</v>
      </c>
    </row>
    <row r="14" spans="1:10">
      <c r="A14" t="s">
        <v>11</v>
      </c>
      <c r="C14">
        <v>2392413082.5284801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36259416.177052401</v>
      </c>
    </row>
    <row r="18" spans="1:16">
      <c r="A18" t="s">
        <v>15</v>
      </c>
      <c r="C18">
        <v>192472682.13529399</v>
      </c>
      <c r="G18" s="1">
        <f>G19*1000000</f>
        <v>-2353439519.3518338</v>
      </c>
    </row>
    <row r="19" spans="1:16">
      <c r="A19" t="s">
        <v>16</v>
      </c>
      <c r="C19">
        <v>39764703.681774803</v>
      </c>
      <c r="G19" s="24">
        <f>G20-F20</f>
        <v>-2353.439519351834</v>
      </c>
    </row>
    <row r="20" spans="1:16">
      <c r="A20" t="s">
        <v>17</v>
      </c>
      <c r="C20">
        <v>12881073.973936399</v>
      </c>
      <c r="F20" s="24">
        <f>F37-F30</f>
        <v>6389.8001321022557</v>
      </c>
      <c r="G20" s="24">
        <f>G37-G30-G39</f>
        <v>4036.3606127504218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8834224173.47649</v>
      </c>
      <c r="G22" s="67">
        <f>G28-F28</f>
        <v>-4.3062779299964902</v>
      </c>
    </row>
    <row r="23" spans="1:16">
      <c r="A23" t="s">
        <v>20</v>
      </c>
      <c r="C23">
        <v>463718663.06171</v>
      </c>
    </row>
    <row r="24" spans="1:16">
      <c r="A24" t="s">
        <v>134</v>
      </c>
      <c r="C24">
        <v>251179626.81167799</v>
      </c>
    </row>
    <row r="25" spans="1:16">
      <c r="A25" t="s">
        <v>133</v>
      </c>
      <c r="C25">
        <v>70365476.0079166</v>
      </c>
    </row>
    <row r="26" spans="1:16">
      <c r="C26">
        <f>C24-C5-C9-C13-C17</f>
        <v>84639869.523493499</v>
      </c>
      <c r="E26" s="4"/>
      <c r="F26" s="143" t="s">
        <v>21</v>
      </c>
      <c r="G26" s="6" t="s">
        <v>31</v>
      </c>
      <c r="H26" s="144"/>
      <c r="I26" s="14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14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35.170942347565287</v>
      </c>
      <c r="H28" s="145" t="s">
        <v>33</v>
      </c>
      <c r="I28" s="145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45"/>
      <c r="I29" s="145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4334.1448976643587</v>
      </c>
      <c r="H30" s="145"/>
      <c r="I30" s="145"/>
      <c r="J30" s="14">
        <f>(G30-F30)*1000000/E3</f>
        <v>-5.6993633551606449</v>
      </c>
      <c r="M30" t="s">
        <v>27</v>
      </c>
      <c r="N30" s="49">
        <f>F37-G37</f>
        <v>3699.1802150002095</v>
      </c>
    </row>
    <row r="31" spans="1:16">
      <c r="E31" s="15" t="s">
        <v>24</v>
      </c>
      <c r="F31" s="45">
        <f>C8/C28</f>
        <v>297.67860554315797</v>
      </c>
      <c r="G31" s="46">
        <f>C10/C28</f>
        <v>223.804673687914</v>
      </c>
      <c r="H31" s="168" t="s">
        <v>34</v>
      </c>
      <c r="I31" s="145"/>
      <c r="J31" s="16">
        <f>(G31-F31)*1000000/C7</f>
        <v>-9.5913160388473138</v>
      </c>
      <c r="M31" t="s">
        <v>22</v>
      </c>
      <c r="N31" s="49">
        <f>G30-F30</f>
        <v>-1809.4593587100853</v>
      </c>
      <c r="P31">
        <f>G31/F31</f>
        <v>0.75183325076234409</v>
      </c>
    </row>
    <row r="32" spans="1:16">
      <c r="E32" s="15" t="s">
        <v>25</v>
      </c>
      <c r="F32" s="45">
        <f>C12/C28</f>
        <v>3182.1059790916502</v>
      </c>
      <c r="G32" s="46">
        <f>C14/C28</f>
        <v>2392.4130825284801</v>
      </c>
      <c r="H32" s="168"/>
      <c r="I32" s="145"/>
      <c r="J32" s="16">
        <f>(G32-F32)*1000000/C11</f>
        <v>-9.5913160388750942</v>
      </c>
      <c r="M32" t="s">
        <v>29</v>
      </c>
      <c r="N32" s="49">
        <f>G39</f>
        <v>463.71866306171</v>
      </c>
      <c r="P32">
        <f>G32/F32</f>
        <v>0.75183325076162544</v>
      </c>
    </row>
    <row r="33" spans="5:16">
      <c r="E33" s="15" t="s">
        <v>23</v>
      </c>
      <c r="F33" s="45">
        <f>C4/C28</f>
        <v>2028.9797742576302</v>
      </c>
      <c r="G33" s="46">
        <f>C6/C28</f>
        <v>1525.45445931267</v>
      </c>
      <c r="H33" s="168"/>
      <c r="I33" s="145"/>
      <c r="J33" s="16">
        <f>(G33-F33)*1000000/C3</f>
        <v>-9.5918850074671873</v>
      </c>
      <c r="M33" t="s">
        <v>60</v>
      </c>
      <c r="N33" s="49">
        <f>G40</f>
        <v>-354.55375239035709</v>
      </c>
      <c r="P33">
        <f>G33/F33</f>
        <v>0.75183325071380191</v>
      </c>
    </row>
    <row r="34" spans="5:16">
      <c r="E34" s="15" t="s">
        <v>26</v>
      </c>
      <c r="F34" s="45">
        <f>C16/C28</f>
        <v>634.83989748200599</v>
      </c>
      <c r="G34" s="46">
        <f>C18/C28</f>
        <v>192.47268213529398</v>
      </c>
      <c r="H34" s="168"/>
      <c r="I34" s="145"/>
      <c r="J34" s="27">
        <f>(G34-F34)*1000000/C15</f>
        <v>-4.229627679413011</v>
      </c>
      <c r="N34" s="49"/>
      <c r="P34">
        <f>G34/F34</f>
        <v>0.30318302756129067</v>
      </c>
    </row>
    <row r="35" spans="5:16" ht="10" customHeight="1">
      <c r="E35" s="4"/>
      <c r="F35" s="47"/>
      <c r="G35" s="47"/>
      <c r="H35" s="145"/>
      <c r="I35" s="145"/>
      <c r="J35" s="13"/>
      <c r="M35" t="s">
        <v>35</v>
      </c>
      <c r="N35" s="49">
        <f>F43-G43</f>
        <v>674.90011454254443</v>
      </c>
    </row>
    <row r="36" spans="5:16" ht="10" customHeight="1">
      <c r="E36" s="4"/>
      <c r="F36" s="47"/>
      <c r="G36" s="47"/>
      <c r="H36" s="145"/>
      <c r="I36" s="145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8834.2241734764903</v>
      </c>
      <c r="H37" s="3" t="s">
        <v>34</v>
      </c>
      <c r="I37" s="3"/>
      <c r="J37" s="13"/>
      <c r="M37" t="s">
        <v>88</v>
      </c>
      <c r="N37" s="49">
        <f>SUM(N30:N35)</f>
        <v>2673.7858815040213</v>
      </c>
    </row>
    <row r="38" spans="5:16" ht="10" customHeight="1">
      <c r="E38" s="4"/>
      <c r="F38" s="47"/>
      <c r="G38" s="47"/>
      <c r="H38" s="145"/>
      <c r="I38" s="145"/>
      <c r="J38" s="13"/>
    </row>
    <row r="39" spans="5:16">
      <c r="E39" s="4" t="s">
        <v>29</v>
      </c>
      <c r="F39" s="47"/>
      <c r="G39" s="48">
        <f>C23/C28</f>
        <v>463.71866306171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-354.55375239035709</v>
      </c>
      <c r="H40" s="3"/>
      <c r="I40" s="3"/>
      <c r="J40" s="13"/>
      <c r="N40" s="21">
        <f>N37/G37</f>
        <v>0.30266221786987085</v>
      </c>
    </row>
    <row r="41" spans="5:16" ht="10" customHeight="1">
      <c r="E41" s="4"/>
      <c r="F41" s="47"/>
      <c r="G41" s="47"/>
      <c r="H41" s="145"/>
      <c r="I41" s="145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21017.478277815229</v>
      </c>
      <c r="H42" s="145" t="s">
        <v>37</v>
      </c>
      <c r="I42" s="145"/>
      <c r="N42" s="21">
        <f>(G37-F37)/F37</f>
        <v>-0.29514568431233751</v>
      </c>
    </row>
    <row r="43" spans="5:16">
      <c r="E43" s="9" t="s">
        <v>36</v>
      </c>
      <c r="F43" s="43">
        <f>F42*36/C29</f>
        <v>1431.5293325438927</v>
      </c>
      <c r="G43" s="44">
        <f>G42*36/C29</f>
        <v>756.62921800134825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125.589813405839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sheetPr codeName="Sheet20"/>
  <dimension ref="C2:N11"/>
  <sheetViews>
    <sheetView showGridLines="0" zoomScale="117" workbookViewId="0">
      <selection activeCell="D7" sqref="D7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50" customWidth="1"/>
    <col min="9" max="10" width="10.6640625" customWidth="1"/>
  </cols>
  <sheetData>
    <row r="2" spans="3:14">
      <c r="G2" s="172" t="s">
        <v>98</v>
      </c>
      <c r="H2" s="173"/>
      <c r="I2" s="173"/>
      <c r="J2" s="173"/>
    </row>
    <row r="3" spans="3:14">
      <c r="F3" s="106"/>
      <c r="G3" s="169" t="s">
        <v>99</v>
      </c>
      <c r="H3" s="170"/>
      <c r="I3" s="171" t="s">
        <v>100</v>
      </c>
      <c r="J3" s="171"/>
    </row>
    <row r="4" spans="3:14" ht="34">
      <c r="D4" s="1"/>
      <c r="F4" s="107" t="s">
        <v>101</v>
      </c>
      <c r="G4" s="97" t="s">
        <v>68</v>
      </c>
      <c r="H4" s="98" t="s">
        <v>69</v>
      </c>
      <c r="I4" s="96" t="s">
        <v>68</v>
      </c>
      <c r="J4" s="96" t="s">
        <v>69</v>
      </c>
    </row>
    <row r="5" spans="3:14">
      <c r="C5" s="51" t="s">
        <v>61</v>
      </c>
      <c r="D5" s="52">
        <v>0.14879065</v>
      </c>
      <c r="F5" s="39" t="s">
        <v>65</v>
      </c>
      <c r="G5" s="101">
        <v>0.637650297778806</v>
      </c>
      <c r="H5" s="99">
        <v>2.3236848825557201E-4</v>
      </c>
      <c r="I5" s="101">
        <v>0.63762592240836302</v>
      </c>
      <c r="J5" s="103">
        <v>2.2254688000648599E-8</v>
      </c>
      <c r="K5" s="26"/>
    </row>
    <row r="6" spans="3:14">
      <c r="C6" s="39" t="s">
        <v>62</v>
      </c>
      <c r="D6" s="53">
        <v>-0.13232826</v>
      </c>
      <c r="F6" s="39" t="s">
        <v>66</v>
      </c>
      <c r="G6" s="101">
        <v>1.21789301981552</v>
      </c>
      <c r="H6" s="99">
        <v>3.9447126644578303E-3</v>
      </c>
      <c r="I6" s="101">
        <v>1.2178018706353799</v>
      </c>
      <c r="J6" s="103">
        <v>2.25705845523682E-6</v>
      </c>
      <c r="K6" s="26"/>
    </row>
    <row r="7" spans="3:14" ht="17">
      <c r="C7" s="39" t="s">
        <v>63</v>
      </c>
      <c r="D7" s="53">
        <v>-0.70620249999999996</v>
      </c>
      <c r="F7" s="35" t="s">
        <v>67</v>
      </c>
      <c r="G7" s="102">
        <v>3.5534479497935498</v>
      </c>
      <c r="H7" s="100">
        <v>5.5266239378950798E-3</v>
      </c>
      <c r="I7" s="102">
        <v>3.55321935167817</v>
      </c>
      <c r="J7" s="104">
        <v>3.3262038463098199E-7</v>
      </c>
      <c r="K7" s="26"/>
      <c r="N7" s="19"/>
    </row>
    <row r="8" spans="3:14" ht="17">
      <c r="C8" s="39" t="s">
        <v>64</v>
      </c>
      <c r="D8" s="65">
        <v>-1.10531E-3</v>
      </c>
      <c r="L8" s="19"/>
      <c r="N8" s="66"/>
    </row>
    <row r="9" spans="3:14">
      <c r="C9" s="35" t="s">
        <v>89</v>
      </c>
      <c r="D9" s="54">
        <v>8.2116499999999995E-2</v>
      </c>
      <c r="I9" s="105">
        <f>I5-G5</f>
        <v>-2.4375370442974997E-5</v>
      </c>
    </row>
    <row r="10" spans="3:14">
      <c r="C10" s="55" t="s">
        <v>70</v>
      </c>
      <c r="D10" s="1">
        <v>0.54511573046643602</v>
      </c>
      <c r="I10" s="105">
        <f t="shared" ref="I10:I11" si="0">I6-G6</f>
        <v>-9.1149180140082109E-5</v>
      </c>
    </row>
    <row r="11" spans="3:14">
      <c r="I11" s="105">
        <f t="shared" si="0"/>
        <v>-2.2859811537978558E-4</v>
      </c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sheetPr codeName="Sheet21"/>
  <dimension ref="A2:L54"/>
  <sheetViews>
    <sheetView showGridLines="0" topLeftCell="A2" workbookViewId="0">
      <selection activeCell="K16" sqref="K16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3" t="s">
        <v>39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44</v>
      </c>
      <c r="J15" t="s">
        <v>45</v>
      </c>
    </row>
    <row r="16" spans="1:12">
      <c r="H16" t="s">
        <v>40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41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40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sheetPr codeName="Sheet22"/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46</v>
      </c>
      <c r="B4">
        <v>10172.688602288181</v>
      </c>
      <c r="C4">
        <v>1255.8399390243903</v>
      </c>
    </row>
    <row r="5" spans="1:7">
      <c r="A5" t="s">
        <v>47</v>
      </c>
      <c r="B5">
        <v>6827.9021176386268</v>
      </c>
      <c r="C5">
        <v>925.06201875194051</v>
      </c>
    </row>
    <row r="6" spans="1:7">
      <c r="A6" t="s">
        <v>48</v>
      </c>
      <c r="B6">
        <v>56164.710588235299</v>
      </c>
      <c r="C6">
        <v>6904.5280000000002</v>
      </c>
    </row>
    <row r="7" spans="1:7">
      <c r="A7" t="s">
        <v>49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51</v>
      </c>
      <c r="G10" s="36" t="s">
        <v>58</v>
      </c>
    </row>
    <row r="11" spans="1:7">
      <c r="E11" s="37"/>
      <c r="F11" s="40" t="s">
        <v>56</v>
      </c>
      <c r="G11" s="40" t="s">
        <v>57</v>
      </c>
    </row>
    <row r="12" spans="1:7">
      <c r="E12" s="37" t="s">
        <v>52</v>
      </c>
      <c r="F12" s="38">
        <f>B4</f>
        <v>10172.688602288181</v>
      </c>
      <c r="G12" s="38">
        <f>C4</f>
        <v>1255.8399390243903</v>
      </c>
    </row>
    <row r="13" spans="1:7">
      <c r="E13" s="37" t="s">
        <v>53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54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55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59</v>
      </c>
      <c r="G17" s="38">
        <v>24348.074331609998</v>
      </c>
    </row>
    <row r="18" spans="2:7">
      <c r="B18" s="33" t="s">
        <v>50</v>
      </c>
      <c r="C18">
        <f>B8</f>
        <v>82</v>
      </c>
      <c r="E18" s="29"/>
      <c r="F18" s="34" t="s">
        <v>50</v>
      </c>
      <c r="G18" s="35">
        <f>B8</f>
        <v>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sheetPr codeName="Sheet23"/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J1" t="s">
        <v>77</v>
      </c>
      <c r="K1">
        <v>36</v>
      </c>
      <c r="M1" t="s">
        <v>84</v>
      </c>
    </row>
    <row r="2" spans="1:13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79</v>
      </c>
      <c r="K2">
        <v>453.59199999999998</v>
      </c>
      <c r="M2" t="s">
        <v>21</v>
      </c>
    </row>
    <row r="3" spans="1:13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80</v>
      </c>
      <c r="K3">
        <v>4.3820427111430096</v>
      </c>
    </row>
    <row r="4" spans="1:13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83</v>
      </c>
      <c r="C184" s="56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83</v>
      </c>
      <c r="C185" s="56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83</v>
      </c>
      <c r="C186" s="56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83</v>
      </c>
      <c r="C187" s="56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83</v>
      </c>
      <c r="C188" s="56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83</v>
      </c>
      <c r="C189" s="56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83</v>
      </c>
      <c r="C190" s="56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83</v>
      </c>
      <c r="C191" s="56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83</v>
      </c>
      <c r="C192" s="56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83</v>
      </c>
      <c r="C193" s="56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83</v>
      </c>
      <c r="C194" s="56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83</v>
      </c>
      <c r="C195" s="56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83</v>
      </c>
      <c r="C196" s="56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83</v>
      </c>
      <c r="C202" s="56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83</v>
      </c>
      <c r="C203" s="56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83</v>
      </c>
      <c r="C209" s="56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83</v>
      </c>
      <c r="C210" s="56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83</v>
      </c>
      <c r="C211" s="56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83</v>
      </c>
      <c r="C212" s="56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83</v>
      </c>
      <c r="C213" s="56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83</v>
      </c>
      <c r="C214" s="56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83</v>
      </c>
      <c r="C215" s="56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83</v>
      </c>
      <c r="C217" s="56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83</v>
      </c>
      <c r="C218" s="56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83</v>
      </c>
      <c r="C219" s="56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83</v>
      </c>
      <c r="C220" s="56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83</v>
      </c>
      <c r="C228" s="56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83</v>
      </c>
      <c r="C229" s="56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83</v>
      </c>
      <c r="C230" s="56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83</v>
      </c>
      <c r="C231" s="56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83</v>
      </c>
      <c r="C232" s="56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83</v>
      </c>
      <c r="C240" s="56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83</v>
      </c>
      <c r="C241" s="56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83</v>
      </c>
      <c r="C243" s="56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83</v>
      </c>
      <c r="C244" s="56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83</v>
      </c>
      <c r="C245" s="56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83</v>
      </c>
      <c r="C246" s="56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83</v>
      </c>
      <c r="C247" s="56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83</v>
      </c>
      <c r="C249" s="56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83</v>
      </c>
      <c r="C250" s="56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83</v>
      </c>
      <c r="C251" s="56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83</v>
      </c>
      <c r="C252" s="56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83</v>
      </c>
      <c r="C253" s="56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83</v>
      </c>
      <c r="C254" s="56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83</v>
      </c>
      <c r="C255" s="56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83</v>
      </c>
      <c r="C256" s="56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83</v>
      </c>
      <c r="C257" s="56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sheetPr codeName="Sheet24"/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80</v>
      </c>
      <c r="I1">
        <v>4.3820427111430096</v>
      </c>
    </row>
    <row r="2" spans="1:9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83</v>
      </c>
      <c r="C184" s="56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83</v>
      </c>
      <c r="C185" s="56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83</v>
      </c>
      <c r="C186" s="56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83</v>
      </c>
      <c r="C187" s="56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83</v>
      </c>
      <c r="C188" s="56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83</v>
      </c>
      <c r="C189" s="56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83</v>
      </c>
      <c r="C190" s="56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83</v>
      </c>
      <c r="C191" s="56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83</v>
      </c>
      <c r="C192" s="56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83</v>
      </c>
      <c r="C193" s="56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83</v>
      </c>
      <c r="C194" s="56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83</v>
      </c>
      <c r="C195" s="56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83</v>
      </c>
      <c r="C196" s="56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83</v>
      </c>
      <c r="C202" s="56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83</v>
      </c>
      <c r="C203" s="56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83</v>
      </c>
      <c r="C209" s="56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83</v>
      </c>
      <c r="C210" s="56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83</v>
      </c>
      <c r="C211" s="56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83</v>
      </c>
      <c r="C212" s="56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83</v>
      </c>
      <c r="C213" s="56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83</v>
      </c>
      <c r="C214" s="56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83</v>
      </c>
      <c r="C215" s="56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83</v>
      </c>
      <c r="C217" s="56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83</v>
      </c>
      <c r="C218" s="56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83</v>
      </c>
      <c r="C219" s="56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83</v>
      </c>
      <c r="C220" s="56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83</v>
      </c>
      <c r="C228" s="56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83</v>
      </c>
      <c r="C229" s="56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83</v>
      </c>
      <c r="C230" s="56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83</v>
      </c>
      <c r="C231" s="56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83</v>
      </c>
      <c r="C232" s="56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83</v>
      </c>
      <c r="C240" s="56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83</v>
      </c>
      <c r="C241" s="56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83</v>
      </c>
      <c r="C243" s="56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83</v>
      </c>
      <c r="C244" s="56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83</v>
      </c>
      <c r="C245" s="56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83</v>
      </c>
      <c r="C246" s="56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83</v>
      </c>
      <c r="C247" s="56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83</v>
      </c>
      <c r="C249" s="56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83</v>
      </c>
      <c r="C250" s="56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83</v>
      </c>
      <c r="C251" s="56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83</v>
      </c>
      <c r="C252" s="56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83</v>
      </c>
      <c r="C253" s="56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83</v>
      </c>
      <c r="C254" s="56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83</v>
      </c>
      <c r="C255" s="56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83</v>
      </c>
      <c r="C256" s="56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83</v>
      </c>
      <c r="C257" s="56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sheetPr codeName="Sheet25"/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57">
        <v>17312.7</v>
      </c>
      <c r="B1" s="57">
        <v>1</v>
      </c>
      <c r="C1" s="57">
        <v>0</v>
      </c>
      <c r="D1" s="58">
        <v>42743</v>
      </c>
    </row>
    <row r="2" spans="1:4">
      <c r="A2" s="57">
        <v>16711.400000000001</v>
      </c>
      <c r="B2" s="57">
        <v>2</v>
      </c>
      <c r="C2" s="57">
        <v>0</v>
      </c>
      <c r="D2" s="58">
        <v>42743.041666666701</v>
      </c>
    </row>
    <row r="3" spans="1:4">
      <c r="A3" s="57">
        <v>16364.6</v>
      </c>
      <c r="B3" s="57">
        <v>3</v>
      </c>
      <c r="C3" s="57">
        <v>0</v>
      </c>
      <c r="D3" s="58">
        <v>42743.083333333299</v>
      </c>
    </row>
    <row r="4" spans="1:4">
      <c r="A4" s="57">
        <v>16202.3</v>
      </c>
      <c r="B4" s="57">
        <v>4</v>
      </c>
      <c r="C4" s="57">
        <v>0</v>
      </c>
      <c r="D4" s="58">
        <v>42743.125</v>
      </c>
    </row>
    <row r="5" spans="1:4">
      <c r="A5" s="57">
        <v>16202.3</v>
      </c>
      <c r="B5" s="57">
        <v>5</v>
      </c>
      <c r="C5" s="57">
        <v>0</v>
      </c>
      <c r="D5" s="58">
        <v>42743.166666666701</v>
      </c>
    </row>
    <row r="6" spans="1:4">
      <c r="A6" s="57">
        <v>16442</v>
      </c>
      <c r="B6" s="57">
        <v>6</v>
      </c>
      <c r="C6" s="57">
        <v>0</v>
      </c>
      <c r="D6" s="58">
        <v>42743.208333333299</v>
      </c>
    </row>
    <row r="7" spans="1:4">
      <c r="A7" s="57">
        <v>16962.099999999999</v>
      </c>
      <c r="B7" s="57">
        <v>7</v>
      </c>
      <c r="C7" s="57">
        <v>0</v>
      </c>
      <c r="D7" s="58">
        <v>42743.25</v>
      </c>
    </row>
    <row r="8" spans="1:4">
      <c r="A8" s="57">
        <v>17555.400000000001</v>
      </c>
      <c r="B8" s="57">
        <v>8</v>
      </c>
      <c r="C8" s="57">
        <v>0</v>
      </c>
      <c r="D8" s="58">
        <v>42743.291666666701</v>
      </c>
    </row>
    <row r="9" spans="1:4">
      <c r="A9" s="57">
        <v>18336.2</v>
      </c>
      <c r="B9" s="57">
        <v>9</v>
      </c>
      <c r="C9" s="57">
        <v>0</v>
      </c>
      <c r="D9" s="58">
        <v>42743.333333333299</v>
      </c>
    </row>
    <row r="10" spans="1:4">
      <c r="A10" s="57">
        <v>19036.400000000001</v>
      </c>
      <c r="B10" s="57">
        <v>10</v>
      </c>
      <c r="C10" s="57">
        <v>0</v>
      </c>
      <c r="D10" s="58">
        <v>42743.375</v>
      </c>
    </row>
    <row r="11" spans="1:4">
      <c r="A11" s="57">
        <v>19528.8</v>
      </c>
      <c r="B11" s="57">
        <v>11</v>
      </c>
      <c r="C11" s="57">
        <v>0</v>
      </c>
      <c r="D11" s="58">
        <v>42743.416666666701</v>
      </c>
    </row>
    <row r="12" spans="1:4">
      <c r="A12" s="57">
        <v>19776.099999999999</v>
      </c>
      <c r="B12" s="57">
        <v>12</v>
      </c>
      <c r="C12" s="57">
        <v>0</v>
      </c>
      <c r="D12" s="58">
        <v>42743.458333333299</v>
      </c>
    </row>
    <row r="13" spans="1:4">
      <c r="A13" s="57">
        <v>19990.599999999999</v>
      </c>
      <c r="B13" s="57">
        <v>13</v>
      </c>
      <c r="C13" s="57">
        <v>0</v>
      </c>
      <c r="D13" s="58">
        <v>42743.5</v>
      </c>
    </row>
    <row r="14" spans="1:4">
      <c r="A14" s="57">
        <v>20025.5</v>
      </c>
      <c r="B14" s="57">
        <v>14</v>
      </c>
      <c r="C14" s="57">
        <v>0</v>
      </c>
      <c r="D14" s="58">
        <v>42743.541666666701</v>
      </c>
    </row>
    <row r="15" spans="1:4">
      <c r="A15" s="57">
        <v>19982.7</v>
      </c>
      <c r="B15" s="57">
        <v>15</v>
      </c>
      <c r="C15" s="57">
        <v>0</v>
      </c>
      <c r="D15" s="58">
        <v>42743.583333333299</v>
      </c>
    </row>
    <row r="16" spans="1:4">
      <c r="A16" s="57">
        <v>20214.599999999999</v>
      </c>
      <c r="B16" s="57">
        <v>16</v>
      </c>
      <c r="C16" s="57">
        <v>0</v>
      </c>
      <c r="D16" s="58">
        <v>42743.625</v>
      </c>
    </row>
    <row r="17" spans="1:4">
      <c r="A17" s="57">
        <v>20952.099999999999</v>
      </c>
      <c r="B17" s="57">
        <v>17</v>
      </c>
      <c r="C17" s="57">
        <v>0</v>
      </c>
      <c r="D17" s="58">
        <v>42743.666666666701</v>
      </c>
    </row>
    <row r="18" spans="1:4">
      <c r="A18" s="57">
        <v>22171.5</v>
      </c>
      <c r="B18" s="57">
        <v>18</v>
      </c>
      <c r="C18" s="57">
        <v>0</v>
      </c>
      <c r="D18" s="58">
        <v>42743.708333333299</v>
      </c>
    </row>
    <row r="19" spans="1:4">
      <c r="A19" s="57">
        <v>22225.8</v>
      </c>
      <c r="B19" s="57">
        <v>19</v>
      </c>
      <c r="C19" s="57">
        <v>0</v>
      </c>
      <c r="D19" s="58">
        <v>42743.75</v>
      </c>
    </row>
    <row r="20" spans="1:4">
      <c r="A20" s="57">
        <v>21904.7</v>
      </c>
      <c r="B20" s="57">
        <v>20</v>
      </c>
      <c r="C20" s="57">
        <v>0</v>
      </c>
      <c r="D20" s="58">
        <v>42743.791666666701</v>
      </c>
    </row>
    <row r="21" spans="1:4">
      <c r="A21" s="57">
        <v>21429.1</v>
      </c>
      <c r="B21" s="57">
        <v>21</v>
      </c>
      <c r="C21" s="57">
        <v>0</v>
      </c>
      <c r="D21" s="58">
        <v>42743.833333333299</v>
      </c>
    </row>
    <row r="22" spans="1:4">
      <c r="A22" s="57">
        <v>20566.5</v>
      </c>
      <c r="B22" s="57">
        <v>22</v>
      </c>
      <c r="C22" s="57">
        <v>0</v>
      </c>
      <c r="D22" s="58">
        <v>42743.875</v>
      </c>
    </row>
    <row r="23" spans="1:4">
      <c r="A23" s="57">
        <v>19398.3</v>
      </c>
      <c r="B23" s="57">
        <v>23</v>
      </c>
      <c r="C23" s="57">
        <v>0</v>
      </c>
      <c r="D23" s="58">
        <v>42743.916666666701</v>
      </c>
    </row>
    <row r="24" spans="1:4">
      <c r="A24" s="57">
        <v>18220.5</v>
      </c>
      <c r="B24" s="57">
        <v>24</v>
      </c>
      <c r="C24" s="57">
        <v>1</v>
      </c>
      <c r="D24" s="58">
        <v>42743.958333333299</v>
      </c>
    </row>
    <row r="25" spans="1:4">
      <c r="A25" s="57">
        <v>17413.900000000001</v>
      </c>
      <c r="B25" s="57">
        <v>1</v>
      </c>
      <c r="C25" s="57">
        <v>0</v>
      </c>
      <c r="D25" s="58">
        <v>42744</v>
      </c>
    </row>
    <row r="26" spans="1:4">
      <c r="A26" s="57">
        <v>16961.900000000001</v>
      </c>
      <c r="B26" s="57">
        <v>2</v>
      </c>
      <c r="C26" s="57">
        <v>0</v>
      </c>
      <c r="D26" s="58">
        <v>42744.041666666701</v>
      </c>
    </row>
    <row r="27" spans="1:4">
      <c r="A27" s="57">
        <v>16733.8</v>
      </c>
      <c r="B27" s="57">
        <v>3</v>
      </c>
      <c r="C27" s="57">
        <v>0</v>
      </c>
      <c r="D27" s="58">
        <v>42744.083333333299</v>
      </c>
    </row>
    <row r="28" spans="1:4">
      <c r="A28" s="57">
        <v>16787.099999999999</v>
      </c>
      <c r="B28" s="57">
        <v>4</v>
      </c>
      <c r="C28" s="57">
        <v>0</v>
      </c>
      <c r="D28" s="58">
        <v>42744.125</v>
      </c>
    </row>
    <row r="29" spans="1:4">
      <c r="A29" s="57">
        <v>17071.7</v>
      </c>
      <c r="B29" s="57">
        <v>5</v>
      </c>
      <c r="C29" s="57">
        <v>0</v>
      </c>
      <c r="D29" s="58">
        <v>42744.166666666701</v>
      </c>
    </row>
    <row r="30" spans="1:4">
      <c r="A30" s="57">
        <v>18021.900000000001</v>
      </c>
      <c r="B30" s="57">
        <v>6</v>
      </c>
      <c r="C30" s="57">
        <v>0</v>
      </c>
      <c r="D30" s="58">
        <v>42744.208333333299</v>
      </c>
    </row>
    <row r="31" spans="1:4">
      <c r="A31" s="57">
        <v>19816.3</v>
      </c>
      <c r="B31" s="57">
        <v>7</v>
      </c>
      <c r="C31" s="57">
        <v>0</v>
      </c>
      <c r="D31" s="58">
        <v>42744.25</v>
      </c>
    </row>
    <row r="32" spans="1:4">
      <c r="A32" s="57">
        <v>21202.9</v>
      </c>
      <c r="B32" s="57">
        <v>8</v>
      </c>
      <c r="C32" s="57">
        <v>0</v>
      </c>
      <c r="D32" s="58">
        <v>42744.291666666701</v>
      </c>
    </row>
    <row r="33" spans="1:4">
      <c r="A33" s="57">
        <v>21620.5</v>
      </c>
      <c r="B33" s="57">
        <v>9</v>
      </c>
      <c r="C33" s="57">
        <v>0</v>
      </c>
      <c r="D33" s="58">
        <v>42744.333333333299</v>
      </c>
    </row>
    <row r="34" spans="1:4">
      <c r="A34" s="57">
        <v>21959.3</v>
      </c>
      <c r="B34" s="57">
        <v>10</v>
      </c>
      <c r="C34" s="57">
        <v>0</v>
      </c>
      <c r="D34" s="58">
        <v>42744.375</v>
      </c>
    </row>
    <row r="35" spans="1:4">
      <c r="A35" s="57">
        <v>22144.7</v>
      </c>
      <c r="B35" s="57">
        <v>11</v>
      </c>
      <c r="C35" s="57">
        <v>0</v>
      </c>
      <c r="D35" s="58">
        <v>42744.416666666701</v>
      </c>
    </row>
    <row r="36" spans="1:4">
      <c r="A36" s="57">
        <v>22129.200000000001</v>
      </c>
      <c r="B36" s="57">
        <v>12</v>
      </c>
      <c r="C36" s="57">
        <v>0</v>
      </c>
      <c r="D36" s="58">
        <v>42744.458333333299</v>
      </c>
    </row>
    <row r="37" spans="1:4">
      <c r="A37" s="57">
        <v>21984.3</v>
      </c>
      <c r="B37" s="57">
        <v>13</v>
      </c>
      <c r="C37" s="57">
        <v>0</v>
      </c>
      <c r="D37" s="58">
        <v>42744.5</v>
      </c>
    </row>
    <row r="38" spans="1:4">
      <c r="A38" s="57">
        <v>21880.400000000001</v>
      </c>
      <c r="B38" s="57">
        <v>14</v>
      </c>
      <c r="C38" s="57">
        <v>0</v>
      </c>
      <c r="D38" s="58">
        <v>42744.541666666701</v>
      </c>
    </row>
    <row r="39" spans="1:4">
      <c r="A39" s="57">
        <v>21727.5</v>
      </c>
      <c r="B39" s="57">
        <v>15</v>
      </c>
      <c r="C39" s="57">
        <v>0</v>
      </c>
      <c r="D39" s="58">
        <v>42744.583333333299</v>
      </c>
    </row>
    <row r="40" spans="1:4">
      <c r="A40" s="57">
        <v>21705.599999999999</v>
      </c>
      <c r="B40" s="57">
        <v>16</v>
      </c>
      <c r="C40" s="57">
        <v>0</v>
      </c>
      <c r="D40" s="58">
        <v>42744.625</v>
      </c>
    </row>
    <row r="41" spans="1:4">
      <c r="A41" s="57">
        <v>22311.3</v>
      </c>
      <c r="B41" s="57">
        <v>17</v>
      </c>
      <c r="C41" s="57">
        <v>0</v>
      </c>
      <c r="D41" s="58">
        <v>42744.666666666701</v>
      </c>
    </row>
    <row r="42" spans="1:4">
      <c r="A42" s="57">
        <v>23525.7</v>
      </c>
      <c r="B42" s="57">
        <v>18</v>
      </c>
      <c r="C42" s="57">
        <v>0</v>
      </c>
      <c r="D42" s="58">
        <v>42744.708333333299</v>
      </c>
    </row>
    <row r="43" spans="1:4">
      <c r="A43" s="57">
        <v>23511.200000000001</v>
      </c>
      <c r="B43" s="57">
        <v>19</v>
      </c>
      <c r="C43" s="57">
        <v>0</v>
      </c>
      <c r="D43" s="58">
        <v>42744.75</v>
      </c>
    </row>
    <row r="44" spans="1:4">
      <c r="A44" s="57">
        <v>23121.4</v>
      </c>
      <c r="B44" s="57">
        <v>20</v>
      </c>
      <c r="C44" s="57">
        <v>0</v>
      </c>
      <c r="D44" s="58">
        <v>42744.791666666701</v>
      </c>
    </row>
    <row r="45" spans="1:4">
      <c r="A45" s="57">
        <v>22484.9</v>
      </c>
      <c r="B45" s="57">
        <v>21</v>
      </c>
      <c r="C45" s="57">
        <v>0</v>
      </c>
      <c r="D45" s="58">
        <v>42744.833333333299</v>
      </c>
    </row>
    <row r="46" spans="1:4">
      <c r="A46" s="57">
        <v>21493.8</v>
      </c>
      <c r="B46" s="57">
        <v>22</v>
      </c>
      <c r="C46" s="57">
        <v>0</v>
      </c>
      <c r="D46" s="58">
        <v>42744.875</v>
      </c>
    </row>
    <row r="47" spans="1:4">
      <c r="A47" s="57">
        <v>20072.3</v>
      </c>
      <c r="B47" s="57">
        <v>23</v>
      </c>
      <c r="C47" s="57">
        <v>0</v>
      </c>
      <c r="D47" s="58">
        <v>42744.916666666701</v>
      </c>
    </row>
    <row r="48" spans="1:4">
      <c r="A48" s="57">
        <v>18669.7</v>
      </c>
      <c r="B48" s="57">
        <v>24</v>
      </c>
      <c r="C48" s="57">
        <v>1</v>
      </c>
      <c r="D48" s="58">
        <v>42744.958333333299</v>
      </c>
    </row>
    <row r="49" spans="1:4">
      <c r="A49" s="57">
        <v>17663.2</v>
      </c>
      <c r="B49" s="57">
        <v>1</v>
      </c>
      <c r="C49" s="57">
        <v>0</v>
      </c>
      <c r="D49" s="58">
        <v>42745</v>
      </c>
    </row>
    <row r="50" spans="1:4">
      <c r="A50" s="57">
        <v>17043.5</v>
      </c>
      <c r="B50" s="57">
        <v>2</v>
      </c>
      <c r="C50" s="57">
        <v>0</v>
      </c>
      <c r="D50" s="58">
        <v>42745.041666666701</v>
      </c>
    </row>
    <row r="51" spans="1:4">
      <c r="A51" s="57">
        <v>16696.3</v>
      </c>
      <c r="B51" s="57">
        <v>3</v>
      </c>
      <c r="C51" s="57">
        <v>0</v>
      </c>
      <c r="D51" s="58">
        <v>42745.083333333299</v>
      </c>
    </row>
    <row r="52" spans="1:4">
      <c r="A52" s="57">
        <v>16597.599999999999</v>
      </c>
      <c r="B52" s="57">
        <v>4</v>
      </c>
      <c r="C52" s="57">
        <v>0</v>
      </c>
      <c r="D52" s="58">
        <v>42745.125</v>
      </c>
    </row>
    <row r="53" spans="1:4">
      <c r="A53" s="57">
        <v>16856.8</v>
      </c>
      <c r="B53" s="57">
        <v>5</v>
      </c>
      <c r="C53" s="57">
        <v>0</v>
      </c>
      <c r="D53" s="58">
        <v>42745.166666666701</v>
      </c>
    </row>
    <row r="54" spans="1:4">
      <c r="A54" s="57">
        <v>17801.400000000001</v>
      </c>
      <c r="B54" s="57">
        <v>6</v>
      </c>
      <c r="C54" s="57">
        <v>0</v>
      </c>
      <c r="D54" s="58">
        <v>42745.208333333299</v>
      </c>
    </row>
    <row r="55" spans="1:4">
      <c r="A55" s="57">
        <v>19620.099999999999</v>
      </c>
      <c r="B55" s="57">
        <v>7</v>
      </c>
      <c r="C55" s="57">
        <v>0</v>
      </c>
      <c r="D55" s="58">
        <v>42745.25</v>
      </c>
    </row>
    <row r="56" spans="1:4">
      <c r="A56" s="57">
        <v>20910.5</v>
      </c>
      <c r="B56" s="57">
        <v>8</v>
      </c>
      <c r="C56" s="57">
        <v>0</v>
      </c>
      <c r="D56" s="58">
        <v>42745.291666666701</v>
      </c>
    </row>
    <row r="57" spans="1:4">
      <c r="A57" s="57">
        <v>21217.9</v>
      </c>
      <c r="B57" s="57">
        <v>9</v>
      </c>
      <c r="C57" s="57">
        <v>0</v>
      </c>
      <c r="D57" s="58">
        <v>42745.333333333299</v>
      </c>
    </row>
    <row r="58" spans="1:4">
      <c r="A58" s="57">
        <v>21434.7</v>
      </c>
      <c r="B58" s="57">
        <v>10</v>
      </c>
      <c r="C58" s="57">
        <v>0</v>
      </c>
      <c r="D58" s="58">
        <v>42745.375</v>
      </c>
    </row>
    <row r="59" spans="1:4">
      <c r="A59" s="57">
        <v>21582.7</v>
      </c>
      <c r="B59" s="57">
        <v>11</v>
      </c>
      <c r="C59" s="57">
        <v>0</v>
      </c>
      <c r="D59" s="58">
        <v>42745.416666666701</v>
      </c>
    </row>
    <row r="60" spans="1:4">
      <c r="A60" s="57">
        <v>21450.2</v>
      </c>
      <c r="B60" s="57">
        <v>12</v>
      </c>
      <c r="C60" s="57">
        <v>0</v>
      </c>
      <c r="D60" s="58">
        <v>42745.458333333299</v>
      </c>
    </row>
    <row r="61" spans="1:4">
      <c r="A61" s="57">
        <v>21219.9</v>
      </c>
      <c r="B61" s="57">
        <v>13</v>
      </c>
      <c r="C61" s="57">
        <v>0</v>
      </c>
      <c r="D61" s="58">
        <v>42745.5</v>
      </c>
    </row>
    <row r="62" spans="1:4">
      <c r="A62" s="57">
        <v>21163.599999999999</v>
      </c>
      <c r="B62" s="57">
        <v>14</v>
      </c>
      <c r="C62" s="57">
        <v>0</v>
      </c>
      <c r="D62" s="58">
        <v>42745.541666666701</v>
      </c>
    </row>
    <row r="63" spans="1:4">
      <c r="A63" s="57">
        <v>21098.3</v>
      </c>
      <c r="B63" s="57">
        <v>15</v>
      </c>
      <c r="C63" s="57">
        <v>0</v>
      </c>
      <c r="D63" s="58">
        <v>42745.583333333299</v>
      </c>
    </row>
    <row r="64" spans="1:4">
      <c r="A64" s="57">
        <v>21191.8</v>
      </c>
      <c r="B64" s="57">
        <v>16</v>
      </c>
      <c r="C64" s="57">
        <v>0</v>
      </c>
      <c r="D64" s="58">
        <v>42745.625</v>
      </c>
    </row>
    <row r="65" spans="1:4">
      <c r="A65" s="57">
        <v>21827.5</v>
      </c>
      <c r="B65" s="57">
        <v>17</v>
      </c>
      <c r="C65" s="57">
        <v>0</v>
      </c>
      <c r="D65" s="58">
        <v>42745.666666666701</v>
      </c>
    </row>
    <row r="66" spans="1:4">
      <c r="A66" s="57">
        <v>22636.400000000001</v>
      </c>
      <c r="B66" s="57">
        <v>18</v>
      </c>
      <c r="C66" s="57">
        <v>0</v>
      </c>
      <c r="D66" s="58">
        <v>42745.708333333299</v>
      </c>
    </row>
    <row r="67" spans="1:4">
      <c r="A67" s="57">
        <v>22398.6</v>
      </c>
      <c r="B67" s="57">
        <v>19</v>
      </c>
      <c r="C67" s="57">
        <v>0</v>
      </c>
      <c r="D67" s="58">
        <v>42745.75</v>
      </c>
    </row>
    <row r="68" spans="1:4">
      <c r="A68" s="57">
        <v>21880.2</v>
      </c>
      <c r="B68" s="57">
        <v>20</v>
      </c>
      <c r="C68" s="57">
        <v>0</v>
      </c>
      <c r="D68" s="58">
        <v>42745.791666666701</v>
      </c>
    </row>
    <row r="69" spans="1:4">
      <c r="A69" s="57">
        <v>21140.2</v>
      </c>
      <c r="B69" s="57">
        <v>21</v>
      </c>
      <c r="C69" s="57">
        <v>0</v>
      </c>
      <c r="D69" s="58">
        <v>42745.833333333299</v>
      </c>
    </row>
    <row r="70" spans="1:4">
      <c r="A70" s="57">
        <v>19958.2</v>
      </c>
      <c r="B70" s="57">
        <v>22</v>
      </c>
      <c r="C70" s="57">
        <v>0</v>
      </c>
      <c r="D70" s="58">
        <v>42745.875</v>
      </c>
    </row>
    <row r="71" spans="1:4">
      <c r="A71" s="57">
        <v>18530.400000000009</v>
      </c>
      <c r="B71" s="57">
        <v>23</v>
      </c>
      <c r="C71" s="57">
        <v>0</v>
      </c>
      <c r="D71" s="58">
        <v>42745.916666666701</v>
      </c>
    </row>
    <row r="72" spans="1:4">
      <c r="A72" s="57">
        <v>17028.8</v>
      </c>
      <c r="B72" s="57">
        <v>24</v>
      </c>
      <c r="C72" s="57">
        <v>1</v>
      </c>
      <c r="D72" s="58">
        <v>42745.958333333299</v>
      </c>
    </row>
    <row r="73" spans="1:4">
      <c r="A73" s="57">
        <v>16005.3</v>
      </c>
      <c r="B73" s="57">
        <v>1</v>
      </c>
      <c r="C73" s="57">
        <v>0</v>
      </c>
      <c r="D73" s="58">
        <v>42746</v>
      </c>
    </row>
    <row r="74" spans="1:4">
      <c r="A74" s="57">
        <v>15411.3</v>
      </c>
      <c r="B74" s="57">
        <v>2</v>
      </c>
      <c r="C74" s="57">
        <v>0</v>
      </c>
      <c r="D74" s="58">
        <v>42746.041666666701</v>
      </c>
    </row>
    <row r="75" spans="1:4">
      <c r="A75" s="57">
        <v>15086.1</v>
      </c>
      <c r="B75" s="57">
        <v>3</v>
      </c>
      <c r="C75" s="57">
        <v>0</v>
      </c>
      <c r="D75" s="58">
        <v>42746.083333333299</v>
      </c>
    </row>
    <row r="76" spans="1:4">
      <c r="A76" s="57">
        <v>14932.8</v>
      </c>
      <c r="B76" s="57">
        <v>4</v>
      </c>
      <c r="C76" s="57">
        <v>0</v>
      </c>
      <c r="D76" s="58">
        <v>42746.125</v>
      </c>
    </row>
    <row r="77" spans="1:4">
      <c r="A77" s="57">
        <v>15092.4</v>
      </c>
      <c r="B77" s="57">
        <v>5</v>
      </c>
      <c r="C77" s="57">
        <v>0</v>
      </c>
      <c r="D77" s="58">
        <v>42746.166666666701</v>
      </c>
    </row>
    <row r="78" spans="1:4">
      <c r="A78" s="57">
        <v>15912.5</v>
      </c>
      <c r="B78" s="57">
        <v>6</v>
      </c>
      <c r="C78" s="57">
        <v>0</v>
      </c>
      <c r="D78" s="58">
        <v>42746.208333333299</v>
      </c>
    </row>
    <row r="79" spans="1:4">
      <c r="A79" s="57">
        <v>17673.8</v>
      </c>
      <c r="B79" s="57">
        <v>7</v>
      </c>
      <c r="C79" s="57">
        <v>0</v>
      </c>
      <c r="D79" s="58">
        <v>42746.25</v>
      </c>
    </row>
    <row r="80" spans="1:4">
      <c r="A80" s="57">
        <v>18973.5</v>
      </c>
      <c r="B80" s="57">
        <v>8</v>
      </c>
      <c r="C80" s="57">
        <v>0</v>
      </c>
      <c r="D80" s="58">
        <v>42746.291666666701</v>
      </c>
    </row>
    <row r="81" spans="1:4">
      <c r="A81" s="57">
        <v>19177.5</v>
      </c>
      <c r="B81" s="57">
        <v>9</v>
      </c>
      <c r="C81" s="57">
        <v>0</v>
      </c>
      <c r="D81" s="58">
        <v>42746.333333333299</v>
      </c>
    </row>
    <row r="82" spans="1:4">
      <c r="A82" s="57">
        <v>19168.3</v>
      </c>
      <c r="B82" s="57">
        <v>10</v>
      </c>
      <c r="C82" s="57">
        <v>0</v>
      </c>
      <c r="D82" s="58">
        <v>42746.375</v>
      </c>
    </row>
    <row r="83" spans="1:4">
      <c r="A83" s="57">
        <v>19050</v>
      </c>
      <c r="B83" s="57">
        <v>11</v>
      </c>
      <c r="C83" s="57">
        <v>0</v>
      </c>
      <c r="D83" s="58">
        <v>42746.416666666701</v>
      </c>
    </row>
    <row r="84" spans="1:4">
      <c r="A84" s="57">
        <v>19058.7</v>
      </c>
      <c r="B84" s="57">
        <v>12</v>
      </c>
      <c r="C84" s="57">
        <v>0</v>
      </c>
      <c r="D84" s="58">
        <v>42746.458333333299</v>
      </c>
    </row>
    <row r="85" spans="1:4">
      <c r="A85" s="57">
        <v>18857.3</v>
      </c>
      <c r="B85" s="57">
        <v>13</v>
      </c>
      <c r="C85" s="57">
        <v>0</v>
      </c>
      <c r="D85" s="58">
        <v>42746.5</v>
      </c>
    </row>
    <row r="86" spans="1:4">
      <c r="A86" s="57">
        <v>18816.099999999999</v>
      </c>
      <c r="B86" s="57">
        <v>14</v>
      </c>
      <c r="C86" s="57">
        <v>0</v>
      </c>
      <c r="D86" s="58">
        <v>42746.541666666701</v>
      </c>
    </row>
    <row r="87" spans="1:4">
      <c r="A87" s="57">
        <v>18700.7</v>
      </c>
      <c r="B87" s="57">
        <v>15</v>
      </c>
      <c r="C87" s="57">
        <v>0</v>
      </c>
      <c r="D87" s="58">
        <v>42746.583333333299</v>
      </c>
    </row>
    <row r="88" spans="1:4">
      <c r="A88" s="57">
        <v>18804.100000000009</v>
      </c>
      <c r="B88" s="57">
        <v>16</v>
      </c>
      <c r="C88" s="57">
        <v>0</v>
      </c>
      <c r="D88" s="58">
        <v>42746.625</v>
      </c>
    </row>
    <row r="89" spans="1:4">
      <c r="A89" s="57">
        <v>19507.599999999999</v>
      </c>
      <c r="B89" s="57">
        <v>17</v>
      </c>
      <c r="C89" s="57">
        <v>0</v>
      </c>
      <c r="D89" s="58">
        <v>42746.666666666701</v>
      </c>
    </row>
    <row r="90" spans="1:4">
      <c r="A90" s="57">
        <v>20612</v>
      </c>
      <c r="B90" s="57">
        <v>18</v>
      </c>
      <c r="C90" s="57">
        <v>0</v>
      </c>
      <c r="D90" s="58">
        <v>42746.708333333299</v>
      </c>
    </row>
    <row r="91" spans="1:4">
      <c r="A91" s="57">
        <v>20540.900000000001</v>
      </c>
      <c r="B91" s="57">
        <v>19</v>
      </c>
      <c r="C91" s="57">
        <v>0</v>
      </c>
      <c r="D91" s="58">
        <v>42746.75</v>
      </c>
    </row>
    <row r="92" spans="1:4">
      <c r="A92" s="57">
        <v>20115.7</v>
      </c>
      <c r="B92" s="57">
        <v>20</v>
      </c>
      <c r="C92" s="57">
        <v>0</v>
      </c>
      <c r="D92" s="58">
        <v>42746.791666666701</v>
      </c>
    </row>
    <row r="93" spans="1:4">
      <c r="A93" s="57">
        <v>19469.7</v>
      </c>
      <c r="B93" s="57">
        <v>21</v>
      </c>
      <c r="C93" s="57">
        <v>0</v>
      </c>
      <c r="D93" s="58">
        <v>42746.833333333299</v>
      </c>
    </row>
    <row r="94" spans="1:4">
      <c r="A94" s="57">
        <v>18506.2</v>
      </c>
      <c r="B94" s="57">
        <v>22</v>
      </c>
      <c r="C94" s="57">
        <v>0</v>
      </c>
      <c r="D94" s="58">
        <v>42746.875</v>
      </c>
    </row>
    <row r="95" spans="1:4">
      <c r="A95" s="57">
        <v>17166.400000000001</v>
      </c>
      <c r="B95" s="57">
        <v>23</v>
      </c>
      <c r="C95" s="57">
        <v>0</v>
      </c>
      <c r="D95" s="58">
        <v>42746.916666666701</v>
      </c>
    </row>
    <row r="96" spans="1:4">
      <c r="A96" s="57">
        <v>15828.6</v>
      </c>
      <c r="B96" s="57">
        <v>24</v>
      </c>
      <c r="C96" s="57">
        <v>1</v>
      </c>
      <c r="D96" s="58">
        <v>42746.958333333299</v>
      </c>
    </row>
    <row r="97" spans="1:4">
      <c r="A97" s="57">
        <v>14844.3</v>
      </c>
      <c r="B97" s="57">
        <v>1</v>
      </c>
      <c r="C97" s="57">
        <v>0</v>
      </c>
      <c r="D97" s="58">
        <v>42747</v>
      </c>
    </row>
    <row r="98" spans="1:4">
      <c r="A98" s="57">
        <v>14266.7</v>
      </c>
      <c r="B98" s="57">
        <v>2</v>
      </c>
      <c r="C98" s="57">
        <v>0</v>
      </c>
      <c r="D98" s="58">
        <v>42747.041666666701</v>
      </c>
    </row>
    <row r="99" spans="1:4">
      <c r="A99" s="57">
        <v>13944.8</v>
      </c>
      <c r="B99" s="57">
        <v>3</v>
      </c>
      <c r="C99" s="57">
        <v>0</v>
      </c>
      <c r="D99" s="58">
        <v>42747.083333333299</v>
      </c>
    </row>
    <row r="100" spans="1:4">
      <c r="A100" s="57">
        <v>13839.1</v>
      </c>
      <c r="B100" s="57">
        <v>4</v>
      </c>
      <c r="C100" s="57">
        <v>0</v>
      </c>
      <c r="D100" s="58">
        <v>42747.125</v>
      </c>
    </row>
    <row r="101" spans="1:4">
      <c r="A101" s="57">
        <v>14043.5</v>
      </c>
      <c r="B101" s="57">
        <v>5</v>
      </c>
      <c r="C101" s="57">
        <v>0</v>
      </c>
      <c r="D101" s="58">
        <v>42747.166666666701</v>
      </c>
    </row>
    <row r="102" spans="1:4">
      <c r="A102" s="57">
        <v>14914.7</v>
      </c>
      <c r="B102" s="57">
        <v>6</v>
      </c>
      <c r="C102" s="57">
        <v>0</v>
      </c>
      <c r="D102" s="58">
        <v>42747.208333333299</v>
      </c>
    </row>
    <row r="103" spans="1:4">
      <c r="A103" s="57">
        <v>16732.7</v>
      </c>
      <c r="B103" s="57">
        <v>7</v>
      </c>
      <c r="C103" s="57">
        <v>0</v>
      </c>
      <c r="D103" s="58">
        <v>42747.25</v>
      </c>
    </row>
    <row r="104" spans="1:4">
      <c r="A104" s="57">
        <v>18095</v>
      </c>
      <c r="B104" s="57">
        <v>8</v>
      </c>
      <c r="C104" s="57">
        <v>0</v>
      </c>
      <c r="D104" s="58">
        <v>42747.291666666701</v>
      </c>
    </row>
    <row r="105" spans="1:4">
      <c r="A105" s="57">
        <v>18483.400000000001</v>
      </c>
      <c r="B105" s="57">
        <v>9</v>
      </c>
      <c r="C105" s="57">
        <v>0</v>
      </c>
      <c r="D105" s="58">
        <v>42747.333333333299</v>
      </c>
    </row>
    <row r="106" spans="1:4">
      <c r="A106" s="57">
        <v>18725.3</v>
      </c>
      <c r="B106" s="57">
        <v>10</v>
      </c>
      <c r="C106" s="57">
        <v>0</v>
      </c>
      <c r="D106" s="58">
        <v>42747.375</v>
      </c>
    </row>
    <row r="107" spans="1:4">
      <c r="A107" s="57">
        <v>18752.099999999999</v>
      </c>
      <c r="B107" s="57">
        <v>11</v>
      </c>
      <c r="C107" s="57">
        <v>0</v>
      </c>
      <c r="D107" s="58">
        <v>42747.416666666701</v>
      </c>
    </row>
    <row r="108" spans="1:4">
      <c r="A108" s="57">
        <v>18724</v>
      </c>
      <c r="B108" s="57">
        <v>12</v>
      </c>
      <c r="C108" s="57">
        <v>0</v>
      </c>
      <c r="D108" s="58">
        <v>42747.458333333299</v>
      </c>
    </row>
    <row r="109" spans="1:4">
      <c r="A109" s="57">
        <v>18655.2</v>
      </c>
      <c r="B109" s="57">
        <v>13</v>
      </c>
      <c r="C109" s="57">
        <v>0</v>
      </c>
      <c r="D109" s="58">
        <v>42747.5</v>
      </c>
    </row>
    <row r="110" spans="1:4">
      <c r="A110" s="57">
        <v>18608.900000000001</v>
      </c>
      <c r="B110" s="57">
        <v>14</v>
      </c>
      <c r="C110" s="57">
        <v>0</v>
      </c>
      <c r="D110" s="58">
        <v>42747.541666666701</v>
      </c>
    </row>
    <row r="111" spans="1:4">
      <c r="A111" s="57">
        <v>18552.599999999999</v>
      </c>
      <c r="B111" s="57">
        <v>15</v>
      </c>
      <c r="C111" s="57">
        <v>0</v>
      </c>
      <c r="D111" s="58">
        <v>42747.583333333299</v>
      </c>
    </row>
    <row r="112" spans="1:4">
      <c r="A112" s="57">
        <v>18649.3</v>
      </c>
      <c r="B112" s="57">
        <v>16</v>
      </c>
      <c r="C112" s="57">
        <v>0</v>
      </c>
      <c r="D112" s="58">
        <v>42747.625</v>
      </c>
    </row>
    <row r="113" spans="1:4">
      <c r="A113" s="57">
        <v>19201.099999999999</v>
      </c>
      <c r="B113" s="57">
        <v>17</v>
      </c>
      <c r="C113" s="57">
        <v>0</v>
      </c>
      <c r="D113" s="58">
        <v>42747.666666666701</v>
      </c>
    </row>
    <row r="114" spans="1:4">
      <c r="A114" s="57">
        <v>20079.099999999999</v>
      </c>
      <c r="B114" s="57">
        <v>18</v>
      </c>
      <c r="C114" s="57">
        <v>0</v>
      </c>
      <c r="D114" s="58">
        <v>42747.708333333299</v>
      </c>
    </row>
    <row r="115" spans="1:4">
      <c r="A115" s="57">
        <v>19948.099999999999</v>
      </c>
      <c r="B115" s="57">
        <v>19</v>
      </c>
      <c r="C115" s="57">
        <v>0</v>
      </c>
      <c r="D115" s="58">
        <v>42747.75</v>
      </c>
    </row>
    <row r="116" spans="1:4">
      <c r="A116" s="57">
        <v>19502.099999999999</v>
      </c>
      <c r="B116" s="57">
        <v>20</v>
      </c>
      <c r="C116" s="57">
        <v>0</v>
      </c>
      <c r="D116" s="58">
        <v>42747.791666666701</v>
      </c>
    </row>
    <row r="117" spans="1:4">
      <c r="A117" s="57">
        <v>18878.099999999999</v>
      </c>
      <c r="B117" s="57">
        <v>21</v>
      </c>
      <c r="C117" s="57">
        <v>0</v>
      </c>
      <c r="D117" s="58">
        <v>42747.833333333299</v>
      </c>
    </row>
    <row r="118" spans="1:4">
      <c r="A118" s="57">
        <v>17954.900000000001</v>
      </c>
      <c r="B118" s="57">
        <v>22</v>
      </c>
      <c r="C118" s="57">
        <v>0</v>
      </c>
      <c r="D118" s="58">
        <v>42747.875</v>
      </c>
    </row>
    <row r="119" spans="1:4">
      <c r="A119" s="57">
        <v>16674.599999999999</v>
      </c>
      <c r="B119" s="57">
        <v>23</v>
      </c>
      <c r="C119" s="57">
        <v>0</v>
      </c>
      <c r="D119" s="58">
        <v>42747.916666666701</v>
      </c>
    </row>
    <row r="120" spans="1:4">
      <c r="A120" s="57">
        <v>15368.6</v>
      </c>
      <c r="B120" s="57">
        <v>24</v>
      </c>
      <c r="C120" s="57">
        <v>1</v>
      </c>
      <c r="D120" s="58">
        <v>42747.958333333299</v>
      </c>
    </row>
    <row r="121" spans="1:4">
      <c r="A121" s="57">
        <v>14467.1</v>
      </c>
      <c r="B121" s="57">
        <v>1</v>
      </c>
      <c r="C121" s="57">
        <v>0</v>
      </c>
      <c r="D121" s="58">
        <v>42748</v>
      </c>
    </row>
    <row r="122" spans="1:4">
      <c r="A122" s="57">
        <v>13918.6</v>
      </c>
      <c r="B122" s="57">
        <v>2</v>
      </c>
      <c r="C122" s="57">
        <v>0</v>
      </c>
      <c r="D122" s="58">
        <v>42748.041666666701</v>
      </c>
    </row>
    <row r="123" spans="1:4">
      <c r="A123" s="57">
        <v>13617.6</v>
      </c>
      <c r="B123" s="57">
        <v>3</v>
      </c>
      <c r="C123" s="57">
        <v>0</v>
      </c>
      <c r="D123" s="58">
        <v>42748.083333333299</v>
      </c>
    </row>
    <row r="124" spans="1:4">
      <c r="A124" s="57">
        <v>13568.6</v>
      </c>
      <c r="B124" s="57">
        <v>4</v>
      </c>
      <c r="C124" s="57">
        <v>0</v>
      </c>
      <c r="D124" s="58">
        <v>42748.125</v>
      </c>
    </row>
    <row r="125" spans="1:4">
      <c r="A125" s="57">
        <v>13838.4</v>
      </c>
      <c r="B125" s="57">
        <v>5</v>
      </c>
      <c r="C125" s="57">
        <v>0</v>
      </c>
      <c r="D125" s="58">
        <v>42748.166666666701</v>
      </c>
    </row>
    <row r="126" spans="1:4">
      <c r="A126" s="57">
        <v>14756.2</v>
      </c>
      <c r="B126" s="57">
        <v>6</v>
      </c>
      <c r="C126" s="57">
        <v>0</v>
      </c>
      <c r="D126" s="58">
        <v>42748.208333333299</v>
      </c>
    </row>
    <row r="127" spans="1:4">
      <c r="A127" s="57">
        <v>16650.599999999999</v>
      </c>
      <c r="B127" s="57">
        <v>7</v>
      </c>
      <c r="C127" s="57">
        <v>0</v>
      </c>
      <c r="D127" s="58">
        <v>42748.25</v>
      </c>
    </row>
    <row r="128" spans="1:4">
      <c r="A128" s="57">
        <v>18062.400000000001</v>
      </c>
      <c r="B128" s="57">
        <v>8</v>
      </c>
      <c r="C128" s="57">
        <v>0</v>
      </c>
      <c r="D128" s="58">
        <v>42748.291666666701</v>
      </c>
    </row>
    <row r="129" spans="1:4">
      <c r="A129" s="57">
        <v>18509.3</v>
      </c>
      <c r="B129" s="57">
        <v>9</v>
      </c>
      <c r="C129" s="57">
        <v>0</v>
      </c>
      <c r="D129" s="58">
        <v>42748.333333333299</v>
      </c>
    </row>
    <row r="130" spans="1:4">
      <c r="A130" s="57">
        <v>18750.7</v>
      </c>
      <c r="B130" s="57">
        <v>10</v>
      </c>
      <c r="C130" s="57">
        <v>0</v>
      </c>
      <c r="D130" s="58">
        <v>42748.375</v>
      </c>
    </row>
    <row r="131" spans="1:4">
      <c r="A131" s="57">
        <v>18882.7</v>
      </c>
      <c r="B131" s="57">
        <v>11</v>
      </c>
      <c r="C131" s="57">
        <v>0</v>
      </c>
      <c r="D131" s="58">
        <v>42748.416666666701</v>
      </c>
    </row>
    <row r="132" spans="1:4">
      <c r="A132" s="57">
        <v>18774.900000000001</v>
      </c>
      <c r="B132" s="57">
        <v>12</v>
      </c>
      <c r="C132" s="57">
        <v>0</v>
      </c>
      <c r="D132" s="58">
        <v>42748.458333333299</v>
      </c>
    </row>
    <row r="133" spans="1:4">
      <c r="A133" s="57">
        <v>18610.5</v>
      </c>
      <c r="B133" s="57">
        <v>13</v>
      </c>
      <c r="C133" s="57">
        <v>0</v>
      </c>
      <c r="D133" s="58">
        <v>42748.5</v>
      </c>
    </row>
    <row r="134" spans="1:4">
      <c r="A134" s="57">
        <v>18581.900000000001</v>
      </c>
      <c r="B134" s="57">
        <v>14</v>
      </c>
      <c r="C134" s="57">
        <v>0</v>
      </c>
      <c r="D134" s="58">
        <v>42748.541666666701</v>
      </c>
    </row>
    <row r="135" spans="1:4">
      <c r="A135" s="57">
        <v>18574.2</v>
      </c>
      <c r="B135" s="57">
        <v>15</v>
      </c>
      <c r="C135" s="57">
        <v>0</v>
      </c>
      <c r="D135" s="58">
        <v>42748.583333333299</v>
      </c>
    </row>
    <row r="136" spans="1:4">
      <c r="A136" s="57">
        <v>18827.5</v>
      </c>
      <c r="B136" s="57">
        <v>16</v>
      </c>
      <c r="C136" s="57">
        <v>0</v>
      </c>
      <c r="D136" s="58">
        <v>42748.625</v>
      </c>
    </row>
    <row r="137" spans="1:4">
      <c r="A137" s="57">
        <v>19512</v>
      </c>
      <c r="B137" s="57">
        <v>17</v>
      </c>
      <c r="C137" s="57">
        <v>0</v>
      </c>
      <c r="D137" s="58">
        <v>42748.666666666701</v>
      </c>
    </row>
    <row r="138" spans="1:4">
      <c r="A138" s="57">
        <v>20576.400000000001</v>
      </c>
      <c r="B138" s="57">
        <v>18</v>
      </c>
      <c r="C138" s="57">
        <v>0</v>
      </c>
      <c r="D138" s="58">
        <v>42748.708333333299</v>
      </c>
    </row>
    <row r="139" spans="1:4">
      <c r="A139" s="57">
        <v>20478.7</v>
      </c>
      <c r="B139" s="57">
        <v>19</v>
      </c>
      <c r="C139" s="57">
        <v>0</v>
      </c>
      <c r="D139" s="58">
        <v>42748.75</v>
      </c>
    </row>
    <row r="140" spans="1:4">
      <c r="A140" s="57">
        <v>20038.599999999999</v>
      </c>
      <c r="B140" s="57">
        <v>20</v>
      </c>
      <c r="C140" s="57">
        <v>0</v>
      </c>
      <c r="D140" s="58">
        <v>42748.791666666701</v>
      </c>
    </row>
    <row r="141" spans="1:4">
      <c r="A141" s="57">
        <v>19529.3</v>
      </c>
      <c r="B141" s="57">
        <v>21</v>
      </c>
      <c r="C141" s="57">
        <v>0</v>
      </c>
      <c r="D141" s="58">
        <v>42748.833333333299</v>
      </c>
    </row>
    <row r="142" spans="1:4">
      <c r="A142" s="57">
        <v>18842.599999999999</v>
      </c>
      <c r="B142" s="57">
        <v>22</v>
      </c>
      <c r="C142" s="57">
        <v>0</v>
      </c>
      <c r="D142" s="58">
        <v>42748.875</v>
      </c>
    </row>
    <row r="143" spans="1:4">
      <c r="A143" s="57">
        <v>17851.599999999999</v>
      </c>
      <c r="B143" s="57">
        <v>23</v>
      </c>
      <c r="C143" s="57">
        <v>0</v>
      </c>
      <c r="D143" s="58">
        <v>42748.916666666701</v>
      </c>
    </row>
    <row r="144" spans="1:4">
      <c r="A144" s="57">
        <v>16752.599999999999</v>
      </c>
      <c r="B144" s="57">
        <v>24</v>
      </c>
      <c r="C144" s="57">
        <v>1</v>
      </c>
      <c r="D144" s="58">
        <v>42748.958333333299</v>
      </c>
    </row>
    <row r="145" spans="1:4">
      <c r="A145" s="57">
        <v>15869.3</v>
      </c>
      <c r="B145" s="57">
        <v>1</v>
      </c>
      <c r="C145" s="57">
        <v>0</v>
      </c>
      <c r="D145" s="58">
        <v>42749</v>
      </c>
    </row>
    <row r="146" spans="1:4">
      <c r="A146" s="57">
        <v>15311</v>
      </c>
      <c r="B146" s="57">
        <v>2</v>
      </c>
      <c r="C146" s="57">
        <v>0</v>
      </c>
      <c r="D146" s="58">
        <v>42749.041666666701</v>
      </c>
    </row>
    <row r="147" spans="1:4">
      <c r="A147" s="57">
        <v>14991.2</v>
      </c>
      <c r="B147" s="57">
        <v>3</v>
      </c>
      <c r="C147" s="57">
        <v>0</v>
      </c>
      <c r="D147" s="58">
        <v>42749.083333333299</v>
      </c>
    </row>
    <row r="148" spans="1:4">
      <c r="A148" s="57">
        <v>14869.4</v>
      </c>
      <c r="B148" s="57">
        <v>4</v>
      </c>
      <c r="C148" s="57">
        <v>0</v>
      </c>
      <c r="D148" s="58">
        <v>42749.125</v>
      </c>
    </row>
    <row r="149" spans="1:4">
      <c r="A149" s="57">
        <v>14945.3</v>
      </c>
      <c r="B149" s="57">
        <v>5</v>
      </c>
      <c r="C149" s="57">
        <v>0</v>
      </c>
      <c r="D149" s="58">
        <v>42749.166666666701</v>
      </c>
    </row>
    <row r="150" spans="1:4">
      <c r="A150" s="57">
        <v>15330.9</v>
      </c>
      <c r="B150" s="57">
        <v>6</v>
      </c>
      <c r="C150" s="57">
        <v>0</v>
      </c>
      <c r="D150" s="58">
        <v>42749.208333333299</v>
      </c>
    </row>
    <row r="151" spans="1:4">
      <c r="A151" s="57">
        <v>16055.3</v>
      </c>
      <c r="B151" s="57">
        <v>7</v>
      </c>
      <c r="C151" s="57">
        <v>0</v>
      </c>
      <c r="D151" s="58">
        <v>42749.25</v>
      </c>
    </row>
    <row r="152" spans="1:4">
      <c r="A152" s="57">
        <v>16844.900000000001</v>
      </c>
      <c r="B152" s="57">
        <v>8</v>
      </c>
      <c r="C152" s="57">
        <v>0</v>
      </c>
      <c r="D152" s="58">
        <v>42749.291666666701</v>
      </c>
    </row>
    <row r="153" spans="1:4">
      <c r="A153" s="57">
        <v>17575</v>
      </c>
      <c r="B153" s="57">
        <v>9</v>
      </c>
      <c r="C153" s="57">
        <v>0</v>
      </c>
      <c r="D153" s="58">
        <v>42749.333333333299</v>
      </c>
    </row>
    <row r="154" spans="1:4">
      <c r="A154" s="57">
        <v>18152.400000000001</v>
      </c>
      <c r="B154" s="57">
        <v>10</v>
      </c>
      <c r="C154" s="57">
        <v>0</v>
      </c>
      <c r="D154" s="58">
        <v>42749.375</v>
      </c>
    </row>
    <row r="155" spans="1:4">
      <c r="A155" s="57">
        <v>18456.5</v>
      </c>
      <c r="B155" s="57">
        <v>11</v>
      </c>
      <c r="C155" s="57">
        <v>0</v>
      </c>
      <c r="D155" s="58">
        <v>42749.416666666701</v>
      </c>
    </row>
    <row r="156" spans="1:4">
      <c r="A156" s="57">
        <v>18531.3</v>
      </c>
      <c r="B156" s="57">
        <v>12</v>
      </c>
      <c r="C156" s="57">
        <v>0</v>
      </c>
      <c r="D156" s="58">
        <v>42749.458333333299</v>
      </c>
    </row>
    <row r="157" spans="1:4">
      <c r="A157" s="57">
        <v>18637.3</v>
      </c>
      <c r="B157" s="57">
        <v>13</v>
      </c>
      <c r="C157" s="57">
        <v>0</v>
      </c>
      <c r="D157" s="58">
        <v>42749.5</v>
      </c>
    </row>
    <row r="158" spans="1:4">
      <c r="A158" s="57">
        <v>18622.7</v>
      </c>
      <c r="B158" s="57">
        <v>14</v>
      </c>
      <c r="C158" s="57">
        <v>0</v>
      </c>
      <c r="D158" s="58">
        <v>42749.541666666701</v>
      </c>
    </row>
    <row r="159" spans="1:4">
      <c r="A159" s="57">
        <v>18630.2</v>
      </c>
      <c r="B159" s="57">
        <v>15</v>
      </c>
      <c r="C159" s="57">
        <v>0</v>
      </c>
      <c r="D159" s="58">
        <v>42749.583333333299</v>
      </c>
    </row>
    <row r="160" spans="1:4">
      <c r="A160" s="57">
        <v>18808.5</v>
      </c>
      <c r="B160" s="57">
        <v>16</v>
      </c>
      <c r="C160" s="57">
        <v>0</v>
      </c>
      <c r="D160" s="58">
        <v>42749.625</v>
      </c>
    </row>
    <row r="161" spans="1:4">
      <c r="A161" s="57">
        <v>19317.5</v>
      </c>
      <c r="B161" s="57">
        <v>17</v>
      </c>
      <c r="C161" s="57">
        <v>0</v>
      </c>
      <c r="D161" s="58">
        <v>42749.666666666701</v>
      </c>
    </row>
    <row r="162" spans="1:4">
      <c r="A162" s="57">
        <v>20071.3</v>
      </c>
      <c r="B162" s="57">
        <v>18</v>
      </c>
      <c r="C162" s="57">
        <v>0</v>
      </c>
      <c r="D162" s="58">
        <v>42749.708333333299</v>
      </c>
    </row>
    <row r="163" spans="1:4">
      <c r="A163" s="57">
        <v>20064.3</v>
      </c>
      <c r="B163" s="57">
        <v>19</v>
      </c>
      <c r="C163" s="57">
        <v>0</v>
      </c>
      <c r="D163" s="58">
        <v>42749.75</v>
      </c>
    </row>
    <row r="164" spans="1:4">
      <c r="A164" s="57">
        <v>19664.500000000011</v>
      </c>
      <c r="B164" s="57">
        <v>20</v>
      </c>
      <c r="C164" s="57">
        <v>0</v>
      </c>
      <c r="D164" s="58">
        <v>42749.791666666701</v>
      </c>
    </row>
    <row r="165" spans="1:4">
      <c r="A165" s="57">
        <v>19210</v>
      </c>
      <c r="B165" s="57">
        <v>21</v>
      </c>
      <c r="C165" s="57">
        <v>0</v>
      </c>
      <c r="D165" s="58">
        <v>42749.833333333299</v>
      </c>
    </row>
    <row r="166" spans="1:4">
      <c r="A166" s="57">
        <v>18530.900000000001</v>
      </c>
      <c r="B166" s="57">
        <v>22</v>
      </c>
      <c r="C166" s="57">
        <v>0</v>
      </c>
      <c r="D166" s="58">
        <v>42749.875</v>
      </c>
    </row>
    <row r="167" spans="1:4">
      <c r="A167" s="57">
        <v>17661.099999999999</v>
      </c>
      <c r="B167" s="57">
        <v>23</v>
      </c>
      <c r="C167" s="57">
        <v>0</v>
      </c>
      <c r="D167" s="58">
        <v>42749.916666666701</v>
      </c>
    </row>
    <row r="168" spans="1:4">
      <c r="A168" s="57">
        <v>16728.7</v>
      </c>
      <c r="B168" s="57">
        <v>24</v>
      </c>
      <c r="C168" s="57">
        <v>1</v>
      </c>
      <c r="D168" s="58">
        <v>42749.958333333299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sheetPr codeName="Sheet26"/>
  <dimension ref="B3:D9"/>
  <sheetViews>
    <sheetView showGridLines="0" workbookViewId="0">
      <selection activeCell="B3" sqref="B3:D9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59" t="s">
        <v>85</v>
      </c>
      <c r="D3" s="59" t="s">
        <v>86</v>
      </c>
    </row>
    <row r="4" spans="2:4">
      <c r="B4" s="37" t="s">
        <v>52</v>
      </c>
      <c r="C4" s="60">
        <v>33.642937136035123</v>
      </c>
      <c r="D4" s="38">
        <v>18121.259748858403</v>
      </c>
    </row>
    <row r="5" spans="2:4">
      <c r="B5" s="37" t="s">
        <v>55</v>
      </c>
      <c r="C5" s="60">
        <v>0</v>
      </c>
      <c r="D5" s="38">
        <v>11830.5</v>
      </c>
    </row>
    <row r="6" spans="2:4">
      <c r="B6" s="37" t="s">
        <v>54</v>
      </c>
      <c r="C6" s="60">
        <v>1188.6803584851809</v>
      </c>
      <c r="D6" s="38">
        <v>31860.9</v>
      </c>
    </row>
    <row r="7" spans="2:4">
      <c r="B7" s="37" t="s">
        <v>53</v>
      </c>
      <c r="C7" s="60">
        <v>33.431224860070749</v>
      </c>
      <c r="D7" s="38">
        <v>3301.5450243005662</v>
      </c>
    </row>
    <row r="8" spans="2:4" ht="11" customHeight="1">
      <c r="B8" s="37"/>
      <c r="C8" s="60"/>
      <c r="D8" s="38"/>
    </row>
    <row r="9" spans="2:4">
      <c r="B9" s="34" t="s">
        <v>87</v>
      </c>
      <c r="C9" s="61">
        <f>365*2*24</f>
        <v>17520</v>
      </c>
      <c r="D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sheetPr codeName="Sheet2"/>
  <dimension ref="A1:X13"/>
  <sheetViews>
    <sheetView showGridLines="0" topLeftCell="K1" zoomScale="91" zoomScaleNormal="91" workbookViewId="0">
      <selection activeCell="Q19" sqref="Q19"/>
    </sheetView>
  </sheetViews>
  <sheetFormatPr baseColWidth="10" defaultRowHeight="16"/>
  <cols>
    <col min="14" max="14" width="13.5" bestFit="1" customWidth="1"/>
  </cols>
  <sheetData>
    <row r="1" spans="1:24">
      <c r="D1">
        <f>'0 -0.1'!C16</f>
        <v>634839897.48200595</v>
      </c>
      <c r="P1">
        <v>1000000</v>
      </c>
      <c r="U1" t="s">
        <v>154</v>
      </c>
      <c r="V1">
        <v>-0.1</v>
      </c>
      <c r="X1">
        <v>-0.3</v>
      </c>
    </row>
    <row r="2" spans="1:24">
      <c r="U2" t="s">
        <v>155</v>
      </c>
      <c r="V2">
        <v>-0.5</v>
      </c>
      <c r="X2">
        <v>-0.5</v>
      </c>
    </row>
    <row r="3" spans="1:24">
      <c r="B3" t="s">
        <v>103</v>
      </c>
      <c r="D3" t="s">
        <v>104</v>
      </c>
      <c r="R3" t="s">
        <v>102</v>
      </c>
      <c r="S3" t="s">
        <v>147</v>
      </c>
      <c r="T3">
        <v>102741605.82683399</v>
      </c>
      <c r="V3">
        <v>102709124.422034</v>
      </c>
      <c r="X3">
        <v>102741605.82683399</v>
      </c>
    </row>
    <row r="4" spans="1:24">
      <c r="A4" t="s">
        <v>102</v>
      </c>
      <c r="B4" s="110" t="s">
        <v>142</v>
      </c>
      <c r="C4" s="110" t="s">
        <v>139</v>
      </c>
      <c r="D4" s="110" t="s">
        <v>140</v>
      </c>
      <c r="E4" s="110" t="s">
        <v>141</v>
      </c>
      <c r="O4" t="s">
        <v>103</v>
      </c>
      <c r="P4" t="s">
        <v>104</v>
      </c>
      <c r="S4" t="s">
        <v>148</v>
      </c>
      <c r="T4">
        <v>632117129.82570398</v>
      </c>
      <c r="V4">
        <v>632027691.88537598</v>
      </c>
      <c r="X4">
        <v>632117129.82570398</v>
      </c>
    </row>
    <row r="5" spans="1:24">
      <c r="A5">
        <v>0</v>
      </c>
      <c r="B5">
        <f>'0 -0.1'!C15</f>
        <v>104587743.620995</v>
      </c>
      <c r="C5">
        <f>B5</f>
        <v>104587743.620995</v>
      </c>
      <c r="D5">
        <f>'0 -0.1'!C16-D1</f>
        <v>0</v>
      </c>
      <c r="E5">
        <f>'0 -0.5'!C16-D1</f>
        <v>0</v>
      </c>
      <c r="G5">
        <f>B5/1000000</f>
        <v>104.587743620995</v>
      </c>
      <c r="H5">
        <f t="shared" ref="H5:J5" si="0">C5/1000000</f>
        <v>104.587743620995</v>
      </c>
      <c r="I5">
        <f t="shared" si="0"/>
        <v>0</v>
      </c>
      <c r="J5">
        <f t="shared" si="0"/>
        <v>0</v>
      </c>
      <c r="M5" t="s">
        <v>102</v>
      </c>
      <c r="N5" t="s">
        <v>151</v>
      </c>
      <c r="O5">
        <f>T3/P1</f>
        <v>102.74160582683399</v>
      </c>
      <c r="P5">
        <f>T4/P1</f>
        <v>632.11712982570396</v>
      </c>
      <c r="S5" t="s">
        <v>149</v>
      </c>
      <c r="T5">
        <v>1846137.7941608699</v>
      </c>
      <c r="V5">
        <v>1878619.19896125</v>
      </c>
      <c r="X5">
        <v>1846137.7941608699</v>
      </c>
    </row>
    <row r="6" spans="1:24">
      <c r="A6">
        <v>-0.1</v>
      </c>
      <c r="B6">
        <f>'0 -0.1'!C17</f>
        <v>96676744.295320004</v>
      </c>
      <c r="C6">
        <f>'-0.5 -0.1'!C17</f>
        <v>81446861.360902295</v>
      </c>
      <c r="D6">
        <f>'0 -0.1'!C18-D1</f>
        <v>134033059.58362508</v>
      </c>
      <c r="E6">
        <f>'-0.5 -0.1'!$C$18-D1</f>
        <v>772648.23207199574</v>
      </c>
      <c r="F6">
        <f>'0 -0.3'!$C$18</f>
        <v>601863221.98059702</v>
      </c>
      <c r="G6" t="e">
        <f>#REF!</f>
        <v>#REF!</v>
      </c>
      <c r="N6" t="s">
        <v>152</v>
      </c>
      <c r="O6">
        <f>T5/P1</f>
        <v>1.8461377941608699</v>
      </c>
      <c r="P6">
        <f>T6/P1</f>
        <v>2.7227676563024699</v>
      </c>
      <c r="S6" t="s">
        <v>150</v>
      </c>
      <c r="T6">
        <v>2722767.6563024698</v>
      </c>
      <c r="V6">
        <v>2812205.59663032</v>
      </c>
      <c r="X6">
        <v>2722767.6563024698</v>
      </c>
    </row>
    <row r="7" spans="1:24">
      <c r="A7">
        <v>-0.3</v>
      </c>
      <c r="B7">
        <f>'0 -0.3'!C17</f>
        <v>83388300.730003506</v>
      </c>
      <c r="C7">
        <f>'-0.5 -0.3'!C17</f>
        <v>70293775.202740207</v>
      </c>
      <c r="D7">
        <f>'0 -0.3'!C18-D1</f>
        <v>-32976675.501408935</v>
      </c>
      <c r="E7">
        <f>'-0.5 -0.3'!$C$18-D1</f>
        <v>-118723830.96739197</v>
      </c>
      <c r="F7">
        <f>'0 -0.5'!$C$18</f>
        <v>474452010.54303199</v>
      </c>
      <c r="G7" t="e">
        <f>#REF!</f>
        <v>#REF!</v>
      </c>
      <c r="M7" t="s">
        <v>153</v>
      </c>
      <c r="N7" t="str">
        <f>N5</f>
        <v>Baseload</v>
      </c>
      <c r="O7">
        <f>T7/P1</f>
        <v>69.974169861745992</v>
      </c>
      <c r="P7">
        <f>T8/P1</f>
        <v>515.77104003479099</v>
      </c>
      <c r="R7" t="s">
        <v>77</v>
      </c>
      <c r="T7">
        <v>69974169.861745998</v>
      </c>
      <c r="V7">
        <v>79297678.132753894</v>
      </c>
      <c r="X7">
        <v>69974169.861745998</v>
      </c>
    </row>
    <row r="8" spans="1:24">
      <c r="A8">
        <v>-0.5</v>
      </c>
      <c r="B8">
        <f>'0 -0.5'!C17</f>
        <v>71992151.346977502</v>
      </c>
      <c r="C8">
        <f>'-0.5 -0.5'!C17</f>
        <v>59730672.075537004</v>
      </c>
      <c r="D8">
        <f>'0 -0.5'!C18-D1</f>
        <v>-160387886.93897396</v>
      </c>
      <c r="E8">
        <f>'-0.5 -0.5'!$C$18-D1</f>
        <v>-236968662.88676596</v>
      </c>
      <c r="F8">
        <f>'0 -1'!$C$18</f>
        <v>240087567.88642401</v>
      </c>
      <c r="G8" t="e">
        <f>#REF!</f>
        <v>#REF!</v>
      </c>
      <c r="N8" t="str">
        <f>N6</f>
        <v>Peakers</v>
      </c>
      <c r="O8">
        <f>T9/P1</f>
        <v>0.31960534099418503</v>
      </c>
      <c r="P8">
        <f>T10/P1</f>
        <v>0.34502647982294898</v>
      </c>
      <c r="T8">
        <v>515771040.03479099</v>
      </c>
      <c r="V8">
        <v>631113618.94682598</v>
      </c>
      <c r="X8">
        <v>515771040.03479099</v>
      </c>
    </row>
    <row r="9" spans="1:24">
      <c r="A9">
        <v>-1</v>
      </c>
      <c r="B9">
        <f>'0 -1'!C17</f>
        <v>45900671.535320297</v>
      </c>
      <c r="C9">
        <f>'-0.5 -1'!C17</f>
        <v>36259416.177052401</v>
      </c>
      <c r="D9">
        <f>'0 -1'!C18-D1</f>
        <v>-394752329.59558195</v>
      </c>
      <c r="E9">
        <f>'-0.5 -1'!$C$18-D1</f>
        <v>-442367215.34671199</v>
      </c>
      <c r="F9">
        <f>'-0.1 -0.1'!$C$18</f>
        <v>734825025.18821704</v>
      </c>
      <c r="G9" t="e">
        <f>#REF!</f>
        <v>#REF!</v>
      </c>
      <c r="T9">
        <v>319605.34099418501</v>
      </c>
      <c r="V9">
        <v>2149183.2281484399</v>
      </c>
      <c r="X9">
        <v>319605.34099418501</v>
      </c>
    </row>
    <row r="10" spans="1:24">
      <c r="T10">
        <v>345026.47982294898</v>
      </c>
      <c r="V10">
        <v>4498926.7672524201</v>
      </c>
      <c r="X10">
        <v>345026.47982294898</v>
      </c>
    </row>
    <row r="11" spans="1:24">
      <c r="N11" s="147"/>
      <c r="O11" s="59" t="s">
        <v>157</v>
      </c>
      <c r="P11" s="149" t="s">
        <v>156</v>
      </c>
    </row>
    <row r="12" spans="1:24">
      <c r="N12" s="77" t="s">
        <v>151</v>
      </c>
      <c r="O12" s="152">
        <f>-(O5-O7)/O5</f>
        <v>-0.31893054134579057</v>
      </c>
      <c r="P12" s="150">
        <f>-(P5-P7)/P5</f>
        <v>-0.18405780242499284</v>
      </c>
    </row>
    <row r="13" spans="1:24">
      <c r="N13" s="148" t="s">
        <v>158</v>
      </c>
      <c r="O13" s="153">
        <f>-(O6-O8)/O6</f>
        <v>-0.82687893503666876</v>
      </c>
      <c r="P13" s="151">
        <f>-(P6-P8)/P6</f>
        <v>-0.87328096871420302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sheetPr codeName="Sheet3"/>
  <dimension ref="A2:R35"/>
  <sheetViews>
    <sheetView showGridLines="0" workbookViewId="0">
      <selection activeCell="L6" sqref="L6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108</v>
      </c>
      <c r="I2" t="s">
        <v>109</v>
      </c>
      <c r="J2" t="s">
        <v>46</v>
      </c>
      <c r="L2" t="s">
        <v>110</v>
      </c>
      <c r="M2">
        <v>36</v>
      </c>
      <c r="O2" t="s">
        <v>111</v>
      </c>
    </row>
    <row r="3" spans="1:17">
      <c r="A3" t="s">
        <v>105</v>
      </c>
      <c r="B3">
        <f>'0 -0.3'!C24</f>
        <v>296227306.372922</v>
      </c>
      <c r="L3" t="s">
        <v>112</v>
      </c>
      <c r="Q3">
        <v>1000000</v>
      </c>
    </row>
    <row r="4" spans="1:17">
      <c r="A4" t="s">
        <v>106</v>
      </c>
      <c r="B4" s="115">
        <f>'0 -0.3'!F28</f>
        <v>39.477220277561777</v>
      </c>
      <c r="E4" t="s">
        <v>107</v>
      </c>
      <c r="H4" s="49">
        <f>Summary!D14</f>
        <v>39764.703681774801</v>
      </c>
      <c r="I4">
        <f>'0 -0.3'!E3-Imports!B3</f>
        <v>21257164.427077234</v>
      </c>
      <c r="J4">
        <f>('Gas Gen'!G12*0.456)/1000</f>
        <v>0.57266301219512206</v>
      </c>
      <c r="M4" t="s">
        <v>68</v>
      </c>
    </row>
    <row r="5" spans="1:17">
      <c r="A5" t="s">
        <v>106</v>
      </c>
      <c r="B5" s="115">
        <f>Summary!E$6</f>
        <v>54.105676644261884</v>
      </c>
      <c r="C5">
        <v>-0.3</v>
      </c>
      <c r="E5">
        <f>$B$3/($B$4^C5)</f>
        <v>892337324.58628404</v>
      </c>
      <c r="F5">
        <f>E5*(($B$4-(B5-$B$4))^C5)</f>
        <v>340359300.18717003</v>
      </c>
      <c r="H5" s="49">
        <f>Summary!$E$14</f>
        <v>36376.6526898702</v>
      </c>
      <c r="I5">
        <f>'0 -0.3'!E4-B3</f>
        <v>0</v>
      </c>
      <c r="J5" t="e">
        <f>(H5*1000)/I5</f>
        <v>#DIV/0!</v>
      </c>
      <c r="L5" t="e">
        <f>(F5-$B$3)*($J$4-J5)</f>
        <v>#DIV/0!</v>
      </c>
      <c r="M5" t="e">
        <f>L5*$M$2</f>
        <v>#DIV/0!</v>
      </c>
      <c r="O5" s="49">
        <f>Summary!$E$17</f>
        <v>1622.2940053848181</v>
      </c>
      <c r="Q5" s="116" t="e">
        <f>(M5/$Q$3)/O5</f>
        <v>#DIV/0!</v>
      </c>
    </row>
    <row r="6" spans="1:17">
      <c r="B6" s="115">
        <f>Summary!F$6</f>
        <v>52.295135047397551</v>
      </c>
      <c r="C6">
        <v>-0.3</v>
      </c>
      <c r="E6">
        <f t="shared" ref="E6:E8" si="0">$B$3/($B$4^C6)</f>
        <v>892337324.58628404</v>
      </c>
      <c r="F6">
        <f t="shared" ref="F6:F8" si="1">E6*(($B$4-(B6-$B$4))^C6)</f>
        <v>333253262.29327404</v>
      </c>
      <c r="H6" s="49">
        <f>Summary!$F$14</f>
        <v>30868.166211297797</v>
      </c>
      <c r="I6">
        <f>'0 -0.5'!E4-B3</f>
        <v>-11603706.355701029</v>
      </c>
      <c r="J6">
        <f t="shared" ref="J6:J8" si="2">(H6*1000)/I6</f>
        <v>-2.6601988420822047</v>
      </c>
      <c r="L6">
        <f t="shared" ref="L6:L8" si="3">(F6-$B$3)*($J$4-J6)</f>
        <v>119699800.51305987</v>
      </c>
      <c r="M6">
        <f t="shared" ref="M6:M8" si="4">L6*$M$2</f>
        <v>4309192818.4701557</v>
      </c>
      <c r="O6" s="49">
        <f>Summary!$F$17</f>
        <v>2156.658527783798</v>
      </c>
      <c r="Q6" s="116">
        <f t="shared" ref="Q6:Q8" si="5">(M6/$Q$3)/O6</f>
        <v>1.9980876726452941</v>
      </c>
    </row>
    <row r="7" spans="1:17">
      <c r="B7" s="115">
        <f>Summary!G$6</f>
        <v>50.270947671249203</v>
      </c>
      <c r="C7">
        <v>-0.3</v>
      </c>
      <c r="E7">
        <f t="shared" si="0"/>
        <v>892337324.58628404</v>
      </c>
      <c r="F7">
        <f t="shared" si="1"/>
        <v>326016400.61382926</v>
      </c>
      <c r="H7" s="49">
        <f>Summary!$G$14</f>
        <v>26277.0300902788</v>
      </c>
      <c r="I7">
        <f>'0 -1'!E4-B3</f>
        <v>-41534102.028719008</v>
      </c>
      <c r="J7">
        <f t="shared" si="2"/>
        <v>-0.6326615674057281</v>
      </c>
      <c r="L7">
        <f t="shared" si="3"/>
        <v>35905527.492611639</v>
      </c>
      <c r="M7">
        <f t="shared" si="4"/>
        <v>1292598989.734019</v>
      </c>
      <c r="O7" s="49">
        <f>Summary!$G$17</f>
        <v>2562.9692672116553</v>
      </c>
      <c r="Q7" s="116">
        <f t="shared" si="5"/>
        <v>0.50433651556824288</v>
      </c>
    </row>
    <row r="8" spans="1:17">
      <c r="B8" s="115">
        <f>Summary!H$6</f>
        <v>42.749462639467005</v>
      </c>
      <c r="C8">
        <v>-0.3</v>
      </c>
      <c r="E8">
        <f t="shared" si="0"/>
        <v>892337324.58628404</v>
      </c>
      <c r="F8">
        <f t="shared" si="1"/>
        <v>304017492.66488487</v>
      </c>
      <c r="H8" s="49">
        <f>Summary!$H$14</f>
        <v>16295.7202522639</v>
      </c>
      <c r="I8">
        <f>'-0.1 -0.1'!E4-B3</f>
        <v>13483376.199325979</v>
      </c>
      <c r="J8">
        <f t="shared" si="2"/>
        <v>1.2085786238819405</v>
      </c>
      <c r="L8">
        <f t="shared" si="3"/>
        <v>-4953901.0810078317</v>
      </c>
      <c r="M8">
        <f t="shared" si="4"/>
        <v>-178340438.91628194</v>
      </c>
      <c r="O8" s="49">
        <f>Summary!$H$17</f>
        <v>3221.149453615159</v>
      </c>
      <c r="Q8" s="116">
        <f t="shared" si="5"/>
        <v>-5.5365465491247844E-2</v>
      </c>
    </row>
    <row r="10" spans="1:17">
      <c r="F10" s="21">
        <f>(F5-$B$3)/$B$3</f>
        <v>0.14898016781305787</v>
      </c>
    </row>
    <row r="11" spans="1:17">
      <c r="F11" s="21">
        <f t="shared" ref="F11:F13" si="6">(F6-$B$3)/$B$3</f>
        <v>0.12499170442356143</v>
      </c>
    </row>
    <row r="12" spans="1:17">
      <c r="F12" s="21">
        <f t="shared" si="6"/>
        <v>0.10056160792754743</v>
      </c>
    </row>
    <row r="13" spans="1:17">
      <c r="F13" s="21">
        <f t="shared" si="6"/>
        <v>2.6298001988229128E-2</v>
      </c>
    </row>
    <row r="15" spans="1:17" ht="51">
      <c r="C15" s="162" t="s">
        <v>132</v>
      </c>
      <c r="D15" s="128" t="s">
        <v>119</v>
      </c>
      <c r="E15" s="127" t="s">
        <v>120</v>
      </c>
      <c r="F15" s="127" t="s">
        <v>121</v>
      </c>
      <c r="G15" s="163" t="s">
        <v>115</v>
      </c>
      <c r="H15" s="162"/>
    </row>
    <row r="16" spans="1:17">
      <c r="A16" s="50"/>
      <c r="B16" s="50"/>
      <c r="C16" s="164"/>
      <c r="D16" s="139" t="s">
        <v>118</v>
      </c>
      <c r="E16" s="129" t="s">
        <v>116</v>
      </c>
      <c r="F16" s="130" t="s">
        <v>117</v>
      </c>
      <c r="G16" s="132" t="s">
        <v>116</v>
      </c>
      <c r="H16" s="131" t="s">
        <v>34</v>
      </c>
    </row>
    <row r="17" spans="3:18">
      <c r="C17" s="125" t="s">
        <v>102</v>
      </c>
      <c r="D17" s="126">
        <f>B4</f>
        <v>39.477220277561777</v>
      </c>
      <c r="E17" s="125" t="s">
        <v>94</v>
      </c>
      <c r="F17" s="125" t="s">
        <v>94</v>
      </c>
      <c r="G17" s="133" t="s">
        <v>94</v>
      </c>
      <c r="H17" s="125" t="s">
        <v>94</v>
      </c>
    </row>
    <row r="18" spans="3:18">
      <c r="C18" s="39">
        <v>-0.1</v>
      </c>
      <c r="D18" s="123">
        <f t="shared" ref="D18:D21" si="7">B5</f>
        <v>54.105676644261884</v>
      </c>
      <c r="E18" s="118">
        <f>F10</f>
        <v>0.14898016781305787</v>
      </c>
      <c r="F18" s="53" t="e">
        <f>J5</f>
        <v>#DIV/0!</v>
      </c>
      <c r="G18" s="134" t="e">
        <f>Q5</f>
        <v>#DIV/0!</v>
      </c>
      <c r="H18" s="119" t="e">
        <f>G18*O5</f>
        <v>#DIV/0!</v>
      </c>
    </row>
    <row r="19" spans="3:18">
      <c r="C19" s="39">
        <v>-0.3</v>
      </c>
      <c r="D19" s="123">
        <f t="shared" si="7"/>
        <v>52.295135047397551</v>
      </c>
      <c r="E19" s="118">
        <f>F11</f>
        <v>0.12499170442356143</v>
      </c>
      <c r="F19" s="53">
        <f t="shared" ref="F19:F21" si="8">J6</f>
        <v>-2.6601988420822047</v>
      </c>
      <c r="G19" s="134">
        <f t="shared" ref="G19:G21" si="9">Q6</f>
        <v>1.9980876726452941</v>
      </c>
      <c r="H19" s="119">
        <f t="shared" ref="H19:H21" si="10">G19*O6</f>
        <v>4309.1928184701555</v>
      </c>
    </row>
    <row r="20" spans="3:18">
      <c r="C20" s="39">
        <v>-0.5</v>
      </c>
      <c r="D20" s="123">
        <f t="shared" si="7"/>
        <v>50.270947671249203</v>
      </c>
      <c r="E20" s="118">
        <f>F12</f>
        <v>0.10056160792754743</v>
      </c>
      <c r="F20" s="53">
        <f t="shared" si="8"/>
        <v>-0.6326615674057281</v>
      </c>
      <c r="G20" s="134">
        <f t="shared" si="9"/>
        <v>0.50433651556824288</v>
      </c>
      <c r="H20" s="119">
        <f t="shared" si="10"/>
        <v>1292.5989897340191</v>
      </c>
    </row>
    <row r="21" spans="3:18">
      <c r="C21" s="35">
        <v>-1</v>
      </c>
      <c r="D21" s="124">
        <f t="shared" si="7"/>
        <v>42.749462639467005</v>
      </c>
      <c r="E21" s="121">
        <f>F13</f>
        <v>2.6298001988229128E-2</v>
      </c>
      <c r="F21" s="120">
        <f t="shared" si="8"/>
        <v>1.2085786238819405</v>
      </c>
      <c r="G21" s="135">
        <f t="shared" si="9"/>
        <v>-5.5365465491247844E-2</v>
      </c>
      <c r="H21" s="122">
        <f t="shared" si="10"/>
        <v>-178.34043891628193</v>
      </c>
    </row>
    <row r="22" spans="3:18">
      <c r="E22" s="117"/>
    </row>
    <row r="23" spans="3:18">
      <c r="E23" s="137" t="s">
        <v>114</v>
      </c>
      <c r="F23" s="138">
        <f>J4</f>
        <v>0.57266301219512206</v>
      </c>
      <c r="G23" s="136" t="str">
        <f>F16</f>
        <v>[CO2 ton/MWh]</v>
      </c>
    </row>
    <row r="24" spans="3:18">
      <c r="E24" s="137"/>
      <c r="F24" s="138"/>
      <c r="G24" s="136"/>
      <c r="L24" t="s">
        <v>24</v>
      </c>
      <c r="O24" t="s">
        <v>122</v>
      </c>
    </row>
    <row r="25" spans="3:18">
      <c r="D25" t="s">
        <v>125</v>
      </c>
      <c r="E25" s="137"/>
      <c r="F25" s="138" t="s">
        <v>126</v>
      </c>
      <c r="G25" s="136"/>
      <c r="J25" t="s">
        <v>130</v>
      </c>
      <c r="K25" t="s">
        <v>129</v>
      </c>
      <c r="L25" t="s">
        <v>131</v>
      </c>
      <c r="M25" t="s">
        <v>125</v>
      </c>
      <c r="N25" t="s">
        <v>129</v>
      </c>
      <c r="O25" t="s">
        <v>131</v>
      </c>
      <c r="P25" t="s">
        <v>125</v>
      </c>
    </row>
    <row r="26" spans="3:18">
      <c r="C26" s="33" t="s">
        <v>24</v>
      </c>
      <c r="D26">
        <v>1624</v>
      </c>
      <c r="E26" t="s">
        <v>123</v>
      </c>
      <c r="F26" s="110">
        <v>0.35</v>
      </c>
      <c r="G26" t="s">
        <v>127</v>
      </c>
      <c r="I26" s="49">
        <f>D26/F26</f>
        <v>4640</v>
      </c>
      <c r="J26" s="49">
        <f>I26*1000</f>
        <v>4640000</v>
      </c>
      <c r="K26">
        <v>1</v>
      </c>
      <c r="L26" s="49">
        <f>$K$26*(24*365)*$D32</f>
        <v>473965.72740373411</v>
      </c>
      <c r="M26" s="49">
        <f>((((((K26-1)*1.1)+2)/2)*(K26-1))+1)*$J$26</f>
        <v>4640000</v>
      </c>
      <c r="N26">
        <v>1</v>
      </c>
      <c r="O26" s="49">
        <f>$N$26*(24*365)*$D32</f>
        <v>473965.72740373411</v>
      </c>
      <c r="P26" s="49">
        <f>((((((N26-1)*1.1)+2)/2)*(N26-1))+1)*$J$27</f>
        <v>7132000</v>
      </c>
      <c r="R26">
        <f>(L26-M26)+(O26-P26)</f>
        <v>-10824068.545192532</v>
      </c>
    </row>
    <row r="27" spans="3:18">
      <c r="C27" s="33" t="s">
        <v>124</v>
      </c>
      <c r="D27">
        <v>1783</v>
      </c>
      <c r="E27" t="s">
        <v>123</v>
      </c>
      <c r="F27" s="110">
        <v>0.25</v>
      </c>
      <c r="G27" t="s">
        <v>128</v>
      </c>
      <c r="I27" s="49">
        <f>D27/F27</f>
        <v>7132</v>
      </c>
      <c r="J27" s="49">
        <f>I27*1000</f>
        <v>7132000</v>
      </c>
      <c r="K27">
        <v>1</v>
      </c>
      <c r="L27" s="49">
        <f>$K$27*(24*365)*$D33</f>
        <v>458105.38301520253</v>
      </c>
      <c r="M27" s="49">
        <f t="shared" ref="M27:M29" si="11">((((((K27-1)*1.1)+2)/2)*(K27-1))+1)*$J$26</f>
        <v>4640000</v>
      </c>
      <c r="N27">
        <v>1</v>
      </c>
      <c r="O27" s="49">
        <f>$N$27*(24*365)*$D33</f>
        <v>458105.38301520253</v>
      </c>
      <c r="P27" s="49">
        <f t="shared" ref="P27:P29" si="12">((((((N27-1)*1.1)+2)/2)*(N27-1))+1)*$J$27</f>
        <v>7132000</v>
      </c>
    </row>
    <row r="28" spans="3:18">
      <c r="K28">
        <v>1</v>
      </c>
      <c r="L28" s="49">
        <f>$K$28*(24*365)*$D34</f>
        <v>440373.50160014303</v>
      </c>
      <c r="M28" s="49">
        <f t="shared" si="11"/>
        <v>4640000</v>
      </c>
      <c r="N28">
        <v>1</v>
      </c>
      <c r="O28" s="49">
        <f>$N$28*(24*365)*$D34</f>
        <v>440373.50160014303</v>
      </c>
      <c r="P28" s="49">
        <f t="shared" si="12"/>
        <v>7132000</v>
      </c>
    </row>
    <row r="29" spans="3:18" ht="34">
      <c r="C29" s="165" t="s">
        <v>113</v>
      </c>
      <c r="D29" s="128" t="s">
        <v>119</v>
      </c>
      <c r="K29">
        <v>1</v>
      </c>
      <c r="L29" s="49">
        <f>$K$29*(24*365)*$D35</f>
        <v>374485.29272173095</v>
      </c>
      <c r="M29" s="49">
        <f t="shared" si="11"/>
        <v>4640000</v>
      </c>
      <c r="N29">
        <v>1</v>
      </c>
      <c r="O29" s="49">
        <f>$N$29*(24*365)*$D35</f>
        <v>374485.29272173095</v>
      </c>
      <c r="P29" s="49">
        <f t="shared" si="12"/>
        <v>7132000</v>
      </c>
    </row>
    <row r="30" spans="3:18">
      <c r="C30" s="166"/>
      <c r="D30" s="139" t="s">
        <v>118</v>
      </c>
    </row>
    <row r="31" spans="3:18">
      <c r="C31" s="125" t="s">
        <v>102</v>
      </c>
      <c r="D31" s="126">
        <f>D17</f>
        <v>39.477220277561777</v>
      </c>
    </row>
    <row r="32" spans="3:18">
      <c r="C32" s="39">
        <v>-0.1</v>
      </c>
      <c r="D32" s="123">
        <f>D18</f>
        <v>54.105676644261884</v>
      </c>
    </row>
    <row r="33" spans="3:4">
      <c r="C33" s="39">
        <v>-0.3</v>
      </c>
      <c r="D33" s="123">
        <f>D19</f>
        <v>52.295135047397551</v>
      </c>
    </row>
    <row r="34" spans="3:4">
      <c r="C34" s="39">
        <v>-0.5</v>
      </c>
      <c r="D34" s="123">
        <f t="shared" ref="D34:D35" si="13">D20</f>
        <v>50.270947671249203</v>
      </c>
    </row>
    <row r="35" spans="3:4">
      <c r="C35" s="35">
        <v>-1</v>
      </c>
      <c r="D35" s="123">
        <f t="shared" si="13"/>
        <v>42.749462639467005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sheetPr codeName="Sheet4"/>
  <dimension ref="A1:P47"/>
  <sheetViews>
    <sheetView showGridLines="0" workbookViewId="0">
      <selection activeCell="C26" sqref="C26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3">
      <c r="E1">
        <v>2734940430.43644</v>
      </c>
    </row>
    <row r="3" spans="1:13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2028979774.2576301</v>
      </c>
      <c r="E4">
        <f>C24</f>
        <v>309569505.07937098</v>
      </c>
      <c r="G4" s="1">
        <f>F42/2</f>
        <v>19882.351840887401</v>
      </c>
      <c r="M4">
        <v>2028979774.2576301</v>
      </c>
    </row>
    <row r="5" spans="1:13">
      <c r="A5" t="s">
        <v>2</v>
      </c>
      <c r="C5">
        <v>52490961.823324598</v>
      </c>
      <c r="M5">
        <v>52490961.823324598</v>
      </c>
    </row>
    <row r="6" spans="1:13">
      <c r="A6" t="s">
        <v>3</v>
      </c>
      <c r="C6">
        <v>2764195752.5707502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2764195752.5707502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297678605.54315799</v>
      </c>
      <c r="M8">
        <v>297678605.54315799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405544672.01362598</v>
      </c>
      <c r="M10">
        <v>405544672.01362598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3182105979.09165</v>
      </c>
      <c r="H12" s="1">
        <v>42.141114695835299</v>
      </c>
      <c r="M12">
        <v>3182105979.09165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4335165851.9383297</v>
      </c>
      <c r="M14">
        <v>4335165851.9383297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634839897.48200595</v>
      </c>
      <c r="M16">
        <v>634839897.48200595</v>
      </c>
    </row>
    <row r="17" spans="1:16">
      <c r="A17" t="s">
        <v>14</v>
      </c>
      <c r="C17">
        <v>96676744.295320004</v>
      </c>
      <c r="M17">
        <v>96676744.295320004</v>
      </c>
    </row>
    <row r="18" spans="1:16">
      <c r="A18" t="s">
        <v>15</v>
      </c>
      <c r="C18">
        <v>768872957.06563103</v>
      </c>
      <c r="G18" s="1">
        <f>G19*1000000</f>
        <v>-295902583.14471155</v>
      </c>
      <c r="M18">
        <v>768872957.06563103</v>
      </c>
    </row>
    <row r="19" spans="1:16">
      <c r="A19" t="s">
        <v>16</v>
      </c>
      <c r="C19">
        <v>39764703.681774803</v>
      </c>
      <c r="G19" s="24">
        <f>G20-F20</f>
        <v>-295.90258314471157</v>
      </c>
      <c r="M19">
        <v>39764703.681774803</v>
      </c>
    </row>
    <row r="20" spans="1:16">
      <c r="A20" t="s">
        <v>17</v>
      </c>
      <c r="C20">
        <v>36376652.689870201</v>
      </c>
      <c r="F20" s="24">
        <f>F37-F30</f>
        <v>6389.8001321022557</v>
      </c>
      <c r="G20" s="24">
        <f>G37-G30-G39</f>
        <v>6093.8975489575441</v>
      </c>
      <c r="M20">
        <v>36376652.689870201</v>
      </c>
    </row>
    <row r="21" spans="1:16">
      <c r="A21" t="s">
        <v>18</v>
      </c>
      <c r="C21">
        <v>12533404388.4767</v>
      </c>
      <c r="M21">
        <v>12533404388.4767</v>
      </c>
    </row>
    <row r="22" spans="1:16">
      <c r="A22" t="s">
        <v>19</v>
      </c>
      <c r="C22">
        <v>15677236279.381201</v>
      </c>
      <c r="G22" s="67">
        <f>G28-F28</f>
        <v>14.628456366700107</v>
      </c>
      <c r="M22">
        <v>15677236279.381201</v>
      </c>
    </row>
    <row r="23" spans="1:16">
      <c r="A23" t="s">
        <v>20</v>
      </c>
      <c r="C23">
        <v>1309559496.83532</v>
      </c>
      <c r="M23">
        <v>1309559496.83532</v>
      </c>
    </row>
    <row r="24" spans="1:16">
      <c r="A24" t="s">
        <v>134</v>
      </c>
      <c r="C24">
        <v>309569505.07937098</v>
      </c>
      <c r="M24">
        <v>309569505.07937098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70365476.007916003</v>
      </c>
      <c r="E26" s="4"/>
      <c r="F26" s="5" t="s">
        <v>21</v>
      </c>
      <c r="G26" s="6" t="s">
        <v>31</v>
      </c>
      <c r="H26" s="87"/>
      <c r="I26" s="87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87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54.105676644261884</v>
      </c>
      <c r="H28" s="88" t="s">
        <v>33</v>
      </c>
      <c r="I28" s="88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88"/>
      <c r="I29" s="88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8273.7792335883369</v>
      </c>
      <c r="H30" s="88"/>
      <c r="I30" s="88"/>
      <c r="J30" s="14">
        <f>(G30-F30)*1000000/E3</f>
        <v>6.7095406961048054</v>
      </c>
      <c r="M30" t="s">
        <v>27</v>
      </c>
      <c r="N30" s="49">
        <f>F37-G37</f>
        <v>-3143.8318909045011</v>
      </c>
    </row>
    <row r="31" spans="1:16">
      <c r="E31" s="15" t="s">
        <v>24</v>
      </c>
      <c r="F31" s="45">
        <f>C8/C28</f>
        <v>297.67860554315797</v>
      </c>
      <c r="G31" s="46">
        <f>C10/C28</f>
        <v>405.54467201362598</v>
      </c>
      <c r="H31" s="168" t="s">
        <v>34</v>
      </c>
      <c r="I31" s="88"/>
      <c r="J31" s="16">
        <f>(G31-F31)*1000000/C7</f>
        <v>14.004636106452624</v>
      </c>
      <c r="M31" t="s">
        <v>22</v>
      </c>
      <c r="N31" s="49">
        <f>G30-F30</f>
        <v>2130.1749772138928</v>
      </c>
      <c r="P31">
        <f>G31/F31</f>
        <v>1.3623574703114814</v>
      </c>
    </row>
    <row r="32" spans="1:16">
      <c r="E32" s="15" t="s">
        <v>25</v>
      </c>
      <c r="F32" s="45">
        <f>C12/C28</f>
        <v>3182.1059790916502</v>
      </c>
      <c r="G32" s="46">
        <f>C14/C28</f>
        <v>4335.16585193833</v>
      </c>
      <c r="H32" s="168"/>
      <c r="I32" s="88"/>
      <c r="J32" s="16">
        <f>(G32-F32)*1000000/C11</f>
        <v>14.004636106452509</v>
      </c>
      <c r="M32" t="s">
        <v>29</v>
      </c>
      <c r="N32" s="49">
        <f>G39</f>
        <v>1309.55949683532</v>
      </c>
      <c r="P32">
        <f>G32/F32</f>
        <v>1.3623574703114782</v>
      </c>
    </row>
    <row r="33" spans="5:16">
      <c r="E33" s="15" t="s">
        <v>23</v>
      </c>
      <c r="F33" s="45">
        <f>C4/C28</f>
        <v>2028.9797742576302</v>
      </c>
      <c r="G33" s="46">
        <f>C6/C28</f>
        <v>2764.1957525707503</v>
      </c>
      <c r="H33" s="168"/>
      <c r="I33" s="88"/>
      <c r="J33" s="16">
        <f>(G33-F33)*1000000/C3</f>
        <v>14.00546687588646</v>
      </c>
      <c r="M33" t="s">
        <v>60</v>
      </c>
      <c r="N33" s="49">
        <f>G40</f>
        <v>1204.4215865315409</v>
      </c>
      <c r="P33">
        <f>G33/F33</f>
        <v>1.362357470311464</v>
      </c>
    </row>
    <row r="34" spans="5:16">
      <c r="E34" s="15" t="s">
        <v>26</v>
      </c>
      <c r="F34" s="45">
        <f>C16/C28</f>
        <v>634.83989748200599</v>
      </c>
      <c r="G34" s="46">
        <f>C18/C28</f>
        <v>768.872957065631</v>
      </c>
      <c r="H34" s="168"/>
      <c r="I34" s="88"/>
      <c r="J34" s="27">
        <f>(G34-F34)*1000000/C15</f>
        <v>1.2815369654529878</v>
      </c>
      <c r="N34" s="49"/>
      <c r="P34">
        <f>G34/F34</f>
        <v>1.2111289163066883</v>
      </c>
    </row>
    <row r="35" spans="5:16" ht="10" customHeight="1">
      <c r="E35" s="4"/>
      <c r="F35" s="47"/>
      <c r="G35" s="47"/>
      <c r="H35" s="88"/>
      <c r="I35" s="88"/>
      <c r="J35" s="13"/>
      <c r="M35" t="s">
        <v>35</v>
      </c>
      <c r="N35" s="49">
        <f>F43-G43</f>
        <v>121.96983570856537</v>
      </c>
    </row>
    <row r="36" spans="5:16" ht="10" customHeight="1">
      <c r="E36" s="4"/>
      <c r="F36" s="47"/>
      <c r="G36" s="47"/>
      <c r="H36" s="88"/>
      <c r="I36" s="8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15677.236279381201</v>
      </c>
      <c r="H37" s="3" t="s">
        <v>34</v>
      </c>
      <c r="I37" s="3"/>
      <c r="J37" s="13"/>
      <c r="M37" t="s">
        <v>88</v>
      </c>
      <c r="N37" s="49">
        <f>SUM(N30:N35)</f>
        <v>1622.2940053848181</v>
      </c>
    </row>
    <row r="38" spans="5:16" ht="10" customHeight="1">
      <c r="E38" s="4"/>
      <c r="F38" s="47"/>
      <c r="G38" s="47"/>
      <c r="H38" s="88"/>
      <c r="I38" s="88"/>
      <c r="J38" s="13"/>
    </row>
    <row r="39" spans="5:16">
      <c r="E39" s="4" t="s">
        <v>29</v>
      </c>
      <c r="F39" s="47"/>
      <c r="G39" s="48">
        <f>C23/C28</f>
        <v>1309.55949683532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1204.4215865315409</v>
      </c>
      <c r="H40" s="3"/>
      <c r="I40" s="3"/>
      <c r="J40" s="13"/>
      <c r="N40" s="21">
        <f>N37/G37</f>
        <v>0.10348086719331195</v>
      </c>
    </row>
    <row r="41" spans="5:16" ht="10" customHeight="1">
      <c r="E41" s="4"/>
      <c r="F41" s="47"/>
      <c r="G41" s="47"/>
      <c r="H41" s="88"/>
      <c r="I41" s="8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36376.6526898702</v>
      </c>
      <c r="H42" s="88" t="s">
        <v>37</v>
      </c>
      <c r="I42" s="88"/>
      <c r="N42" s="21">
        <f>(G37-F37)/F37</f>
        <v>0.25083622880587514</v>
      </c>
    </row>
    <row r="43" spans="5:16">
      <c r="E43" s="9" t="s">
        <v>36</v>
      </c>
      <c r="F43" s="43">
        <f>F42*36/C29</f>
        <v>1431.5293325438927</v>
      </c>
      <c r="G43" s="44">
        <f>G42*36/C29</f>
        <v>1309.5594968353273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154.78475253968548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sheetPr codeName="Sheet5"/>
  <dimension ref="A1:P47"/>
  <sheetViews>
    <sheetView showGridLines="0" topLeftCell="A46" workbookViewId="0">
      <selection activeCell="N40" sqref="N40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D4">
        <f>C3-C5</f>
        <v>57721.536085695028</v>
      </c>
      <c r="E4">
        <f>C24</f>
        <v>296227306.372922</v>
      </c>
      <c r="G4" s="1">
        <f>F42/2</f>
        <v>19882.351840887401</v>
      </c>
    </row>
    <row r="5" spans="1:10">
      <c r="A5" t="s">
        <v>2</v>
      </c>
      <c r="C5">
        <v>52437206.682191603</v>
      </c>
    </row>
    <row r="6" spans="1:10">
      <c r="A6" t="s">
        <v>3</v>
      </c>
      <c r="C6">
        <v>2660927623.7425699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  <c r="D8">
        <f>C7-C9</f>
        <v>0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390393849.429546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D12">
        <f>C11-C13</f>
        <v>0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4173207544.4375701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83388300.730003506</v>
      </c>
    </row>
    <row r="18" spans="1:16">
      <c r="A18" t="s">
        <v>15</v>
      </c>
      <c r="C18">
        <v>601863221.98059702</v>
      </c>
      <c r="G18" s="1">
        <f>G19*1000000</f>
        <v>-781031003.87245834</v>
      </c>
    </row>
    <row r="19" spans="1:16">
      <c r="A19" t="s">
        <v>16</v>
      </c>
      <c r="C19">
        <v>39764703.681774803</v>
      </c>
      <c r="G19" s="24">
        <f>G20-F20</f>
        <v>-781.03100387245831</v>
      </c>
    </row>
    <row r="20" spans="1:16">
      <c r="A20" t="s">
        <v>17</v>
      </c>
      <c r="C20">
        <v>30868166.211297799</v>
      </c>
      <c r="F20" s="24">
        <f>F37-F30</f>
        <v>6389.8001321022557</v>
      </c>
      <c r="G20" s="24">
        <f>G37-G30-G39</f>
        <v>5608.7691282297974</v>
      </c>
    </row>
    <row r="21" spans="1:16">
      <c r="A21" t="s">
        <v>18</v>
      </c>
      <c r="C21">
        <v>12533404388.4767</v>
      </c>
      <c r="D21">
        <v>12533409814.1101</v>
      </c>
    </row>
    <row r="22" spans="1:16">
      <c r="A22" t="s">
        <v>19</v>
      </c>
      <c r="C22">
        <v>14546415351.4268</v>
      </c>
      <c r="D22">
        <v>15710349551.438299</v>
      </c>
      <c r="E22">
        <v>16706710641.534901</v>
      </c>
      <c r="G22" s="67">
        <f>G28-F28</f>
        <v>12.817914769835774</v>
      </c>
    </row>
    <row r="23" spans="1:16">
      <c r="A23" t="s">
        <v>20</v>
      </c>
      <c r="C23">
        <v>1111253983.60672</v>
      </c>
    </row>
    <row r="24" spans="1:16">
      <c r="A24" t="s">
        <v>134</v>
      </c>
      <c r="C24">
        <v>296227306.372922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70365476.00791648</v>
      </c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52.295135047397551</v>
      </c>
      <c r="H28" s="18" t="s">
        <v>33</v>
      </c>
      <c r="I28" s="18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7826.3922395902828</v>
      </c>
      <c r="H30" s="18"/>
      <c r="I30" s="18"/>
      <c r="J30" s="14">
        <f>(G30-F30)*1000000/E3</f>
        <v>5.3003788782976997</v>
      </c>
      <c r="M30" t="s">
        <v>27</v>
      </c>
      <c r="N30" s="49">
        <f>F37-G37</f>
        <v>-2013.0109629501003</v>
      </c>
    </row>
    <row r="31" spans="1:16">
      <c r="E31" s="15" t="s">
        <v>24</v>
      </c>
      <c r="F31" s="45">
        <f>C8/C28</f>
        <v>297.67860554315797</v>
      </c>
      <c r="G31" s="46">
        <f>C10/C28</f>
        <v>390.39384942954598</v>
      </c>
      <c r="H31" s="168" t="s">
        <v>34</v>
      </c>
      <c r="I31" s="18"/>
      <c r="J31" s="16">
        <f>(G31-F31)*1000000/C7</f>
        <v>12.037550776039128</v>
      </c>
      <c r="M31" t="s">
        <v>22</v>
      </c>
      <c r="N31" s="49">
        <f>G30-F30</f>
        <v>1682.7879832158387</v>
      </c>
      <c r="P31">
        <f>G31/F31</f>
        <v>1.31146089157874</v>
      </c>
    </row>
    <row r="32" spans="1:16">
      <c r="E32" s="15" t="s">
        <v>25</v>
      </c>
      <c r="F32" s="45">
        <f>C12/C28</f>
        <v>3182.1059790916502</v>
      </c>
      <c r="G32" s="46">
        <f>C14/C28</f>
        <v>4173.2075444375705</v>
      </c>
      <c r="H32" s="168"/>
      <c r="I32" s="18"/>
      <c r="J32" s="16">
        <f>(G32-F32)*1000000/C11</f>
        <v>12.037550776039081</v>
      </c>
      <c r="M32" t="s">
        <v>29</v>
      </c>
      <c r="N32" s="49">
        <f>G39</f>
        <v>1111.2539836067199</v>
      </c>
      <c r="P32">
        <f>G32/F32</f>
        <v>1.3114608915787387</v>
      </c>
    </row>
    <row r="33" spans="5:16">
      <c r="E33" s="15" t="s">
        <v>23</v>
      </c>
      <c r="F33" s="45">
        <f>C4/C28</f>
        <v>2028.9797742576302</v>
      </c>
      <c r="G33" s="46">
        <f>C6/C28</f>
        <v>2660.9276237425697</v>
      </c>
      <c r="H33" s="168"/>
      <c r="I33" s="18"/>
      <c r="J33" s="16">
        <f>(G33-F33)*1000000/C3</f>
        <v>12.03826485593541</v>
      </c>
      <c r="M33" t="str">
        <f>E40</f>
        <v>ZECs Savings</v>
      </c>
      <c r="N33" s="49">
        <f>G40</f>
        <v>1055.3521749741678</v>
      </c>
      <c r="P33">
        <f>G33/F33</f>
        <v>1.3114608915784578</v>
      </c>
    </row>
    <row r="34" spans="5:16">
      <c r="E34" s="15" t="s">
        <v>26</v>
      </c>
      <c r="F34" s="45">
        <f>C16/C28</f>
        <v>634.83989748200599</v>
      </c>
      <c r="G34" s="46">
        <f>C18/C28</f>
        <v>601.86322198059702</v>
      </c>
      <c r="H34" s="168"/>
      <c r="I34" s="18"/>
      <c r="J34" s="27">
        <f>(G34-F34)*1000000/C15</f>
        <v>-0.31530152922038202</v>
      </c>
      <c r="N34" s="49"/>
      <c r="P34">
        <f>G34/F34</f>
        <v>0.94805513069955771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320.27534893717188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14546.4153514268</v>
      </c>
      <c r="H37" s="3" t="s">
        <v>34</v>
      </c>
      <c r="I37" s="3"/>
      <c r="J37" s="146">
        <f>G28/F28</f>
        <v>1.3246914215264867</v>
      </c>
      <c r="M37" t="s">
        <v>88</v>
      </c>
      <c r="N37" s="49">
        <f>SUM(N30:N35)</f>
        <v>2156.658527783798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1111.2539836067199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1055.3521749741678</v>
      </c>
      <c r="H40" s="3"/>
      <c r="I40" s="3"/>
      <c r="J40" s="13"/>
      <c r="N40" s="21">
        <f>N37/G37</f>
        <v>0.14826048037823009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30868.166211297797</v>
      </c>
      <c r="H42" s="18" t="s">
        <v>37</v>
      </c>
      <c r="I42" s="18"/>
      <c r="N42" s="21">
        <f>(G37-F37)/F37</f>
        <v>0.16061166627647289</v>
      </c>
    </row>
    <row r="43" spans="5:16">
      <c r="E43" s="9" t="s">
        <v>36</v>
      </c>
      <c r="F43" s="43">
        <f>F42*36/C29</f>
        <v>1431.5293325438927</v>
      </c>
      <c r="G43" s="44">
        <f>G42*36/C29</f>
        <v>1111.2539836067208</v>
      </c>
      <c r="H43" s="3" t="s">
        <v>34</v>
      </c>
      <c r="I43" s="3"/>
      <c r="N43" s="21">
        <f>(G42-F42)/F42</f>
        <v>-0.22372950498194002</v>
      </c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148.11365318646099</v>
      </c>
      <c r="H45" s="3" t="s">
        <v>91</v>
      </c>
      <c r="I45" s="2"/>
      <c r="J45" s="17"/>
      <c r="N45" s="108">
        <f>(G28-F28)/F28</f>
        <v>0.32469142152648656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sheetPr codeName="Sheet6"/>
  <dimension ref="A1:P50"/>
  <sheetViews>
    <sheetView showGridLines="0" workbookViewId="0">
      <selection activeCell="G28" sqref="G28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284623600.01722097</v>
      </c>
      <c r="G4" s="1">
        <f>F42/2</f>
        <v>19882.351840887401</v>
      </c>
    </row>
    <row r="5" spans="1:10">
      <c r="A5" t="s">
        <v>2</v>
      </c>
      <c r="C5">
        <v>52229649.709516399</v>
      </c>
    </row>
    <row r="6" spans="1:10">
      <c r="A6" t="s">
        <v>3</v>
      </c>
      <c r="C6">
        <v>2535649881.3977399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  <c r="E8">
        <f>E3</f>
        <v>317484470.79999924</v>
      </c>
    </row>
    <row r="9" spans="1:10">
      <c r="A9" t="s">
        <v>6</v>
      </c>
      <c r="C9">
        <v>7702168.4569703899</v>
      </c>
      <c r="E9">
        <f>E8-C15</f>
        <v>212896727.17900425</v>
      </c>
    </row>
    <row r="10" spans="1:10">
      <c r="A10" t="s">
        <v>7</v>
      </c>
      <c r="C10">
        <v>372013920.69919199</v>
      </c>
      <c r="E10">
        <f>1-(E9/E8)</f>
        <v>0.32942632865618326</v>
      </c>
    </row>
    <row r="11" spans="1:10">
      <c r="A11" t="s">
        <v>8</v>
      </c>
      <c r="C11">
        <v>82334154.495839998</v>
      </c>
      <c r="E11" s="20">
        <f>C24/E8</f>
        <v>0.89649613192111333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3976730941.7558999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71992151.346977502</v>
      </c>
    </row>
    <row r="18" spans="1:16">
      <c r="A18" t="s">
        <v>15</v>
      </c>
      <c r="C18">
        <v>474452010.54303199</v>
      </c>
      <c r="G18" s="1">
        <f>G19*1000000</f>
        <v>-1188720599.0999582</v>
      </c>
    </row>
    <row r="19" spans="1:16">
      <c r="A19" t="s">
        <v>16</v>
      </c>
      <c r="C19">
        <v>39764703.681774803</v>
      </c>
      <c r="G19" s="24">
        <f>G20-F20</f>
        <v>-1188.7205990999582</v>
      </c>
    </row>
    <row r="20" spans="1:16">
      <c r="A20" t="s">
        <v>17</v>
      </c>
      <c r="C20">
        <v>26277030.090278801</v>
      </c>
      <c r="F20" s="24">
        <f>F37-F30</f>
        <v>6389.8001321022557</v>
      </c>
      <c r="G20" s="24">
        <f>G37-G30-G39</f>
        <v>5201.0795330022975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13505899370.648199</v>
      </c>
      <c r="G22" s="67">
        <f>G28-F28</f>
        <v>10.793727393687426</v>
      </c>
    </row>
    <row r="23" spans="1:16">
      <c r="A23" t="s">
        <v>20</v>
      </c>
      <c r="C23">
        <v>945973083.25003803</v>
      </c>
    </row>
    <row r="24" spans="1:16">
      <c r="A24" t="s">
        <v>134</v>
      </c>
      <c r="C24">
        <v>284623600.01722097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70365476.007916659</v>
      </c>
      <c r="E26" s="4"/>
      <c r="F26" s="5" t="s">
        <v>21</v>
      </c>
      <c r="G26" s="6" t="s">
        <v>31</v>
      </c>
      <c r="H26" s="8"/>
      <c r="I26" s="8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8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50.270947671249203</v>
      </c>
      <c r="H28" s="12" t="s">
        <v>33</v>
      </c>
      <c r="I28" s="12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7358.8467543958641</v>
      </c>
      <c r="H30" s="12"/>
      <c r="I30" s="12"/>
      <c r="J30" s="10">
        <f>(G30-F30)*1000000/E3</f>
        <v>3.8277226440689991</v>
      </c>
      <c r="M30" t="s">
        <v>27</v>
      </c>
      <c r="N30" s="49">
        <f>F37-G37</f>
        <v>-972.49498217149994</v>
      </c>
    </row>
    <row r="31" spans="1:16">
      <c r="E31" s="15" t="s">
        <v>24</v>
      </c>
      <c r="F31" s="45">
        <f>C8/C28</f>
        <v>297.67860554315797</v>
      </c>
      <c r="G31" s="46">
        <f>C10/C28</f>
        <v>372.013920699192</v>
      </c>
      <c r="H31" s="168" t="s">
        <v>34</v>
      </c>
      <c r="I31" s="12"/>
      <c r="J31" s="95">
        <f>(G31-F31)*1000000/C7</f>
        <v>9.6512190782793468</v>
      </c>
      <c r="M31" t="s">
        <v>22</v>
      </c>
      <c r="N31" s="49">
        <f>G30-F30</f>
        <v>1215.24249802142</v>
      </c>
      <c r="P31">
        <f>G31/F31</f>
        <v>1.2497166869631038</v>
      </c>
    </row>
    <row r="32" spans="1:16">
      <c r="E32" s="15" t="s">
        <v>25</v>
      </c>
      <c r="F32" s="45">
        <f>C12/C28</f>
        <v>3182.1059790916502</v>
      </c>
      <c r="G32" s="46">
        <f>C14/C28</f>
        <v>3976.7309417558999</v>
      </c>
      <c r="H32" s="168"/>
      <c r="I32" s="12"/>
      <c r="J32" s="95">
        <f>(G32-F32)*1000000/C11</f>
        <v>9.6512190782793414</v>
      </c>
      <c r="M32" t="s">
        <v>29</v>
      </c>
      <c r="N32" s="49">
        <f>G39</f>
        <v>945.97308325003803</v>
      </c>
      <c r="P32">
        <f>G32/F32</f>
        <v>1.2497166869631036</v>
      </c>
    </row>
    <row r="33" spans="3:16">
      <c r="E33" s="15" t="s">
        <v>23</v>
      </c>
      <c r="F33" s="45">
        <f>C4/C28</f>
        <v>2028.9797742576302</v>
      </c>
      <c r="G33" s="46">
        <f>C6/C28</f>
        <v>2535.64988139774</v>
      </c>
      <c r="H33" s="168"/>
      <c r="I33" s="12"/>
      <c r="J33" s="95">
        <f>(G33-F33)*1000000/C3</f>
        <v>9.6517915984824825</v>
      </c>
      <c r="M33" t="s">
        <v>93</v>
      </c>
      <c r="N33" s="49">
        <f>G40</f>
        <v>888.69241881784092</v>
      </c>
      <c r="P33">
        <f>G33/F33</f>
        <v>1.2497166869617968</v>
      </c>
    </row>
    <row r="34" spans="3:16">
      <c r="E34" s="15" t="s">
        <v>26</v>
      </c>
      <c r="F34" s="45">
        <f>C16/C28</f>
        <v>634.83989748200599</v>
      </c>
      <c r="G34" s="46">
        <f>C18/C28</f>
        <v>474.45201054303197</v>
      </c>
      <c r="H34" s="168"/>
      <c r="I34" s="12"/>
      <c r="J34" s="94">
        <f>(G34-F34)*1000000/C15</f>
        <v>-1.5335246883247386</v>
      </c>
      <c r="N34" s="49"/>
      <c r="P34">
        <f>G34/F34</f>
        <v>0.74735695161074833</v>
      </c>
    </row>
    <row r="35" spans="3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485.5562492938559</v>
      </c>
    </row>
    <row r="36" spans="3:16" ht="10" customHeight="1">
      <c r="E36" s="4"/>
      <c r="F36" s="47"/>
      <c r="G36" s="47"/>
      <c r="H36" s="12"/>
      <c r="I36" s="12"/>
      <c r="J36" s="13"/>
      <c r="N36" s="49"/>
    </row>
    <row r="37" spans="3:16">
      <c r="E37" s="9" t="s">
        <v>28</v>
      </c>
      <c r="F37" s="43">
        <f>C21/C28</f>
        <v>12533.4043884767</v>
      </c>
      <c r="G37" s="44">
        <f>C22/C28</f>
        <v>13505.8993706482</v>
      </c>
      <c r="H37" s="3" t="s">
        <v>34</v>
      </c>
      <c r="I37" s="3"/>
      <c r="M37" t="s">
        <v>88</v>
      </c>
      <c r="N37" s="49">
        <f>SUM(N30:N35)</f>
        <v>2562.9692672116553</v>
      </c>
    </row>
    <row r="38" spans="3:16" ht="10" customHeight="1">
      <c r="E38" s="4"/>
      <c r="F38" s="47"/>
      <c r="G38" s="47"/>
      <c r="H38" s="12"/>
      <c r="I38" s="12"/>
    </row>
    <row r="39" spans="3:16">
      <c r="E39" s="4" t="s">
        <v>29</v>
      </c>
      <c r="F39" s="47"/>
      <c r="G39" s="48">
        <f>C23/C28</f>
        <v>945.97308325003803</v>
      </c>
      <c r="H39" s="3" t="s">
        <v>34</v>
      </c>
      <c r="I39" s="3"/>
    </row>
    <row r="40" spans="3:16">
      <c r="E40" s="9" t="s">
        <v>92</v>
      </c>
      <c r="F40" s="43"/>
      <c r="G40" s="44">
        <f>MIN(17.5394,G28-F28)*C11/C28</f>
        <v>888.69241881784092</v>
      </c>
      <c r="H40" s="3"/>
      <c r="I40" s="3"/>
      <c r="N40" s="21">
        <f>N37/G37</f>
        <v>0.18976664914160757</v>
      </c>
    </row>
    <row r="41" spans="3:16" ht="10" customHeight="1">
      <c r="E41" s="4"/>
      <c r="F41" s="47"/>
      <c r="G41" s="47"/>
      <c r="H41" s="12"/>
      <c r="I41" s="12"/>
    </row>
    <row r="42" spans="3:16">
      <c r="E42" s="4" t="s">
        <v>30</v>
      </c>
      <c r="F42" s="47">
        <f>C19/C29</f>
        <v>39764.703681774801</v>
      </c>
      <c r="G42" s="48">
        <f>C20/C29</f>
        <v>26277.0300902788</v>
      </c>
      <c r="H42" s="12" t="s">
        <v>37</v>
      </c>
      <c r="I42" s="12"/>
      <c r="N42" s="21">
        <f>(G37-F37)/F37</f>
        <v>7.7592244854528009E-2</v>
      </c>
    </row>
    <row r="43" spans="3:16">
      <c r="C43">
        <f>(C20)*36/(1000000)</f>
        <v>945.97308325003678</v>
      </c>
      <c r="E43" s="9" t="s">
        <v>36</v>
      </c>
      <c r="F43" s="43">
        <f>F42*36/C29</f>
        <v>1431.5293325438927</v>
      </c>
      <c r="G43" s="44">
        <f>G42*36/C29</f>
        <v>945.97308325003678</v>
      </c>
      <c r="H43" s="3" t="s">
        <v>34</v>
      </c>
      <c r="I43" s="3"/>
    </row>
    <row r="44" spans="3:16" ht="10" customHeight="1">
      <c r="H44" s="2"/>
      <c r="I44" s="2"/>
    </row>
    <row r="45" spans="3:16">
      <c r="E45" s="9" t="s">
        <v>90</v>
      </c>
      <c r="F45" s="43">
        <f>E3/(2*C28)</f>
        <v>158.74223539999963</v>
      </c>
      <c r="G45" s="44">
        <f>E4/(2*C28)</f>
        <v>142.31180000861048</v>
      </c>
      <c r="H45" s="3" t="s">
        <v>91</v>
      </c>
      <c r="I45" s="2"/>
      <c r="J45" s="17"/>
      <c r="N45" s="108"/>
    </row>
    <row r="46" spans="3:16">
      <c r="H46" s="2"/>
      <c r="I46" s="2"/>
      <c r="N46" s="13"/>
    </row>
    <row r="47" spans="3:16">
      <c r="H47" s="2"/>
      <c r="I47" s="2"/>
      <c r="N47" s="13"/>
    </row>
    <row r="48" spans="3:16">
      <c r="N48" s="13"/>
    </row>
    <row r="49" spans="14:14">
      <c r="N49" s="26"/>
    </row>
    <row r="50" spans="14:14">
      <c r="N50" s="109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sheetPr codeName="Sheet7"/>
  <dimension ref="A1:P47"/>
  <sheetViews>
    <sheetView showGridLines="0" workbookViewId="0">
      <selection activeCell="E17" sqref="E1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254693204.344203</v>
      </c>
      <c r="G4" s="1">
        <f>F42/2</f>
        <v>19882.351840887401</v>
      </c>
    </row>
    <row r="5" spans="1:10">
      <c r="A5" t="s">
        <v>2</v>
      </c>
      <c r="C5">
        <v>49107477.418081097</v>
      </c>
    </row>
    <row r="6" spans="1:10">
      <c r="A6" t="s">
        <v>3</v>
      </c>
      <c r="C6">
        <v>2024860687.7304699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7625674.3181854105</v>
      </c>
    </row>
    <row r="10" spans="1:10">
      <c r="A10" t="s">
        <v>7</v>
      </c>
      <c r="C10">
        <v>297074280.18686801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81516452.276531994</v>
      </c>
    </row>
    <row r="14" spans="1:10">
      <c r="A14" t="s">
        <v>11</v>
      </c>
      <c r="C14">
        <v>3175645900.0206099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45900671.535320297</v>
      </c>
    </row>
    <row r="18" spans="1:16">
      <c r="A18" t="s">
        <v>15</v>
      </c>
      <c r="C18">
        <v>240087567.88642401</v>
      </c>
      <c r="G18" s="1">
        <f>G19*1000000</f>
        <v>-2106848741.9798293</v>
      </c>
    </row>
    <row r="19" spans="1:16">
      <c r="A19" t="s">
        <v>16</v>
      </c>
      <c r="C19">
        <v>39764703.681774803</v>
      </c>
      <c r="G19" s="24">
        <f>G20-F20</f>
        <v>-2106.8487419798294</v>
      </c>
    </row>
    <row r="20" spans="1:16">
      <c r="A20" t="s">
        <v>17</v>
      </c>
      <c r="C20">
        <v>16295720.2522639</v>
      </c>
      <c r="F20" s="24">
        <f>F37-F30</f>
        <v>6389.8001321022557</v>
      </c>
      <c r="G20" s="24">
        <f>G37-G30-G39</f>
        <v>4282.9513901224263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10607265755.028299</v>
      </c>
      <c r="E22">
        <v>14636149394.487101</v>
      </c>
      <c r="G22" s="67">
        <f>G28-F28</f>
        <v>3.2722423619052279</v>
      </c>
    </row>
    <row r="23" spans="1:16">
      <c r="A23" t="s">
        <v>20</v>
      </c>
      <c r="C23">
        <v>586645929.08150196</v>
      </c>
    </row>
    <row r="24" spans="1:16">
      <c r="A24" t="s">
        <v>134</v>
      </c>
      <c r="C24">
        <v>254693204.344203</v>
      </c>
    </row>
    <row r="25" spans="1:16">
      <c r="A25" t="s">
        <v>133</v>
      </c>
      <c r="C25">
        <v>70365476.0079166</v>
      </c>
    </row>
    <row r="26" spans="1:16">
      <c r="C26">
        <f>C24-C5-C9-C13-C17</f>
        <v>70542928.79608418</v>
      </c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42.749462639467005</v>
      </c>
      <c r="H28" s="18" t="s">
        <v>33</v>
      </c>
      <c r="I28" s="18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5737.668435824372</v>
      </c>
      <c r="H30" s="18"/>
      <c r="I30" s="18"/>
      <c r="J30" s="10">
        <f>(G30-F30)*1000000/E3</f>
        <v>-1.2786005549411366</v>
      </c>
      <c r="M30" t="s">
        <v>27</v>
      </c>
      <c r="N30" s="49">
        <f>F37-G37</f>
        <v>1926.1386334483996</v>
      </c>
    </row>
    <row r="31" spans="1:16">
      <c r="E31" s="15" t="s">
        <v>24</v>
      </c>
      <c r="F31" s="45">
        <f>C8/C28</f>
        <v>297.67860554315797</v>
      </c>
      <c r="G31" s="46">
        <f>C10/C28</f>
        <v>297.07428018686801</v>
      </c>
      <c r="H31" s="168" t="s">
        <v>34</v>
      </c>
      <c r="I31" s="18"/>
      <c r="J31" s="95">
        <f>(G31-F31)*1000000/C7</f>
        <v>-7.8461716290177147E-2</v>
      </c>
      <c r="M31" t="s">
        <v>22</v>
      </c>
      <c r="N31" s="49">
        <f>G30-F30</f>
        <v>-405.93582055007209</v>
      </c>
      <c r="P31">
        <f>G31/F31</f>
        <v>0.99796987306095686</v>
      </c>
    </row>
    <row r="32" spans="1:16">
      <c r="E32" s="15" t="s">
        <v>25</v>
      </c>
      <c r="F32" s="45">
        <f>C12/C28</f>
        <v>3182.1059790916502</v>
      </c>
      <c r="G32" s="46">
        <f>C14/C28</f>
        <v>3175.64590002061</v>
      </c>
      <c r="H32" s="168"/>
      <c r="I32" s="18"/>
      <c r="J32" s="95">
        <f>(G32-F32)*1000000/C11</f>
        <v>-7.8461716290127548E-2</v>
      </c>
      <c r="M32" t="s">
        <v>29</v>
      </c>
      <c r="N32" s="49">
        <f>G39</f>
        <v>586.645929081502</v>
      </c>
      <c r="P32">
        <f>G32/F32</f>
        <v>0.99796987306095819</v>
      </c>
    </row>
    <row r="33" spans="5:16">
      <c r="E33" s="15" t="s">
        <v>23</v>
      </c>
      <c r="F33" s="45">
        <f>C4/C28</f>
        <v>2028.9797742576302</v>
      </c>
      <c r="G33" s="46">
        <f>C6/C28</f>
        <v>2024.8606877304699</v>
      </c>
      <c r="H33" s="168"/>
      <c r="I33" s="18"/>
      <c r="J33" s="95">
        <f>(G33-F33)*1000000/C3</f>
        <v>-7.8466371266056545E-2</v>
      </c>
      <c r="M33" t="s">
        <v>93</v>
      </c>
      <c r="N33" s="49">
        <f>G40</f>
        <v>269.4173081729374</v>
      </c>
      <c r="P33">
        <f>G33/F33</f>
        <v>0.99796987304682849</v>
      </c>
    </row>
    <row r="34" spans="5:16">
      <c r="E34" s="15" t="s">
        <v>26</v>
      </c>
      <c r="F34" s="45">
        <f>C16/C28</f>
        <v>634.83989748200599</v>
      </c>
      <c r="G34" s="46">
        <f>C18/C28</f>
        <v>240.08756788642401</v>
      </c>
      <c r="H34" s="168"/>
      <c r="I34" s="18"/>
      <c r="J34" s="94">
        <f>(G34-F34)*1000000/C15</f>
        <v>-3.7743651017664668</v>
      </c>
      <c r="N34" s="49"/>
      <c r="P34">
        <f>G34/F34</f>
        <v>0.3781860101085236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844.88340346239227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10607.2657550283</v>
      </c>
      <c r="H37" s="3" t="s">
        <v>34</v>
      </c>
      <c r="I37" s="3"/>
      <c r="J37" s="13"/>
      <c r="M37" t="s">
        <v>88</v>
      </c>
      <c r="N37" s="49">
        <f>SUM(N30:N35)</f>
        <v>3221.149453615159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586.645929081502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269.4173081729374</v>
      </c>
      <c r="H40" s="3"/>
      <c r="I40" s="3"/>
      <c r="J40" s="13"/>
      <c r="N40" s="21">
        <f>N37/G37</f>
        <v>0.30367387109992938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16295.7202522639</v>
      </c>
      <c r="H42" s="18" t="s">
        <v>37</v>
      </c>
      <c r="I42" s="18"/>
      <c r="N42" s="21">
        <f>(G37-F37)/F37</f>
        <v>-0.15368040268606548</v>
      </c>
    </row>
    <row r="43" spans="5:16">
      <c r="E43" s="9" t="s">
        <v>36</v>
      </c>
      <c r="F43" s="43">
        <f>F42*36/C29</f>
        <v>1431.5293325438927</v>
      </c>
      <c r="G43" s="44">
        <f>G42*36/C29</f>
        <v>586.64592908150041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127.3466021721015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sheetPr codeName="Sheet8"/>
  <dimension ref="A1:P47"/>
  <sheetViews>
    <sheetView showGridLines="0" topLeftCell="A7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1"/>
    </row>
    <row r="4" spans="1:15">
      <c r="A4" t="s">
        <v>1</v>
      </c>
      <c r="C4">
        <v>2028979774.2576301</v>
      </c>
      <c r="E4">
        <f>C24</f>
        <v>309710682.57224798</v>
      </c>
      <c r="G4" s="1">
        <f>F42/2</f>
        <v>19882.351840887401</v>
      </c>
      <c r="O4" s="111"/>
    </row>
    <row r="5" spans="1:15">
      <c r="A5" t="s">
        <v>2</v>
      </c>
      <c r="C5">
        <v>52479566.753457703</v>
      </c>
      <c r="O5" s="111"/>
    </row>
    <row r="6" spans="1:15">
      <c r="A6" t="s">
        <v>3</v>
      </c>
      <c r="C6">
        <v>2743796416.18119</v>
      </c>
      <c r="G6" s="1">
        <v>31110393.202</v>
      </c>
      <c r="H6" s="1">
        <f>G6/1000</f>
        <v>31110.393201999999</v>
      </c>
      <c r="J6">
        <f>G4-H6</f>
        <v>-11228.041361112599</v>
      </c>
      <c r="O6" s="111"/>
    </row>
    <row r="7" spans="1:15">
      <c r="A7" t="s">
        <v>4</v>
      </c>
      <c r="C7">
        <v>7702168.4569703899</v>
      </c>
      <c r="J7" s="21">
        <f>J6/H6</f>
        <v>-0.36090965768927602</v>
      </c>
      <c r="O7" s="111"/>
    </row>
    <row r="8" spans="1:15">
      <c r="A8" t="s">
        <v>5</v>
      </c>
      <c r="C8">
        <v>297678605.54315799</v>
      </c>
      <c r="O8" s="111"/>
    </row>
    <row r="9" spans="1:15">
      <c r="A9" t="s">
        <v>6</v>
      </c>
      <c r="C9">
        <v>7702168.4569703899</v>
      </c>
      <c r="O9" s="111"/>
    </row>
    <row r="10" spans="1:15">
      <c r="A10" t="s">
        <v>7</v>
      </c>
      <c r="C10">
        <v>402551815.166327</v>
      </c>
      <c r="O10" s="111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1"/>
    </row>
    <row r="12" spans="1:15">
      <c r="A12" t="s">
        <v>9</v>
      </c>
      <c r="C12">
        <v>3182105979.09165</v>
      </c>
      <c r="H12" s="1">
        <v>42.141114695835299</v>
      </c>
      <c r="O12" s="111"/>
    </row>
    <row r="13" spans="1:15">
      <c r="A13" t="s">
        <v>10</v>
      </c>
      <c r="C13">
        <v>82334154.495839998</v>
      </c>
      <c r="O13" s="111"/>
    </row>
    <row r="14" spans="1:15">
      <c r="A14" t="s">
        <v>11</v>
      </c>
      <c r="C14">
        <v>4303172999.6103096</v>
      </c>
      <c r="O14" s="111"/>
    </row>
    <row r="15" spans="1:15">
      <c r="A15" t="s">
        <v>12</v>
      </c>
      <c r="C15">
        <v>104587743.620995</v>
      </c>
      <c r="O15" s="111"/>
    </row>
    <row r="16" spans="1:15">
      <c r="A16" t="s">
        <v>13</v>
      </c>
      <c r="C16">
        <v>634839897.48200595</v>
      </c>
      <c r="O16" s="111"/>
    </row>
    <row r="17" spans="1:16">
      <c r="A17" t="s">
        <v>14</v>
      </c>
      <c r="C17">
        <v>93414458.712114796</v>
      </c>
      <c r="O17" s="111"/>
    </row>
    <row r="18" spans="1:16">
      <c r="A18" t="s">
        <v>15</v>
      </c>
      <c r="C18">
        <v>734825025.18821704</v>
      </c>
      <c r="G18" s="1">
        <f>G19*1000000</f>
        <v>716345447.49972069</v>
      </c>
      <c r="O18" s="111"/>
    </row>
    <row r="19" spans="1:16">
      <c r="A19" t="s">
        <v>16</v>
      </c>
      <c r="C19">
        <v>39764703.681774803</v>
      </c>
      <c r="G19" s="24">
        <f>G20-F20</f>
        <v>716.34544749972065</v>
      </c>
      <c r="O19" s="111"/>
    </row>
    <row r="20" spans="1:16">
      <c r="A20" t="s">
        <v>17</v>
      </c>
      <c r="C20">
        <v>35035371.2041969</v>
      </c>
      <c r="F20" s="24">
        <f>F37-F30</f>
        <v>6389.8001321022557</v>
      </c>
      <c r="G20" s="24">
        <f>G37-G30-G39</f>
        <v>7106.1455796019764</v>
      </c>
      <c r="O20" s="111"/>
    </row>
    <row r="21" spans="1:16">
      <c r="A21" t="s">
        <v>18</v>
      </c>
      <c r="C21">
        <v>12533404388.4767</v>
      </c>
      <c r="O21" s="111"/>
    </row>
    <row r="22" spans="1:16">
      <c r="A22" t="s">
        <v>19</v>
      </c>
      <c r="C22">
        <v>16551765199.0991</v>
      </c>
      <c r="G22" s="67">
        <f>G28-F28</f>
        <v>13.965447768730023</v>
      </c>
      <c r="O22" s="111"/>
    </row>
    <row r="23" spans="1:16">
      <c r="A23" t="s">
        <v>20</v>
      </c>
      <c r="C23">
        <v>1261273363.3510799</v>
      </c>
      <c r="O23" s="111"/>
    </row>
    <row r="24" spans="1:16">
      <c r="A24" t="s">
        <v>134</v>
      </c>
      <c r="C24">
        <v>309710682.57224798</v>
      </c>
    </row>
    <row r="25" spans="1:16">
      <c r="A25" t="s">
        <v>133</v>
      </c>
      <c r="C25">
        <v>70365476.0079166</v>
      </c>
    </row>
    <row r="26" spans="1:16">
      <c r="C26">
        <f>C24-C5-C9-C13-C17</f>
        <v>73780334.153865114</v>
      </c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67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53.4426680462918</v>
      </c>
      <c r="H28" s="63" t="s">
        <v>33</v>
      </c>
      <c r="I28" s="63"/>
      <c r="J28" s="167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67"/>
    </row>
    <row r="30" spans="1:16">
      <c r="E30" s="9" t="s">
        <v>22</v>
      </c>
      <c r="F30" s="43">
        <f>SUM(F31:F34)</f>
        <v>6143.604256374444</v>
      </c>
      <c r="G30" s="44">
        <f>SUM(G31:G34)</f>
        <v>8184.3462561460447</v>
      </c>
      <c r="H30" s="63"/>
      <c r="I30" s="63"/>
      <c r="J30" s="113">
        <f>(G30-F30)*1000000/E3</f>
        <v>6.4278482491736577</v>
      </c>
      <c r="M30" t="s">
        <v>27</v>
      </c>
      <c r="N30" s="49">
        <f>F37-G37</f>
        <v>-4018.3608106224001</v>
      </c>
    </row>
    <row r="31" spans="1:16">
      <c r="E31" s="15" t="s">
        <v>24</v>
      </c>
      <c r="F31" s="45">
        <f>C8/C28</f>
        <v>297.67860554315797</v>
      </c>
      <c r="G31" s="46">
        <f>C10/C28</f>
        <v>402.551815166327</v>
      </c>
      <c r="H31" s="168" t="s">
        <v>34</v>
      </c>
      <c r="I31" s="63"/>
      <c r="J31" s="114">
        <f>(G31-F31)*1000000/C7</f>
        <v>13.616062828158448</v>
      </c>
      <c r="M31" t="s">
        <v>22</v>
      </c>
      <c r="N31" s="49">
        <f>G30-F30</f>
        <v>2040.7419997716006</v>
      </c>
      <c r="P31">
        <f>G31/F31</f>
        <v>1.3523034832544065</v>
      </c>
    </row>
    <row r="32" spans="1:16">
      <c r="E32" s="15" t="s">
        <v>25</v>
      </c>
      <c r="F32" s="45">
        <f>C12/C28</f>
        <v>3182.1059790916502</v>
      </c>
      <c r="G32" s="46">
        <f>C14/C28</f>
        <v>4303.1729996103095</v>
      </c>
      <c r="H32" s="168"/>
      <c r="I32" s="63"/>
      <c r="J32" s="114">
        <f>(G32-F32)*1000000/C11</f>
        <v>13.61606282815842</v>
      </c>
      <c r="M32" t="s">
        <v>29</v>
      </c>
      <c r="N32" s="49">
        <f>G39</f>
        <v>1261.27336335108</v>
      </c>
      <c r="P32">
        <f>G32/F32</f>
        <v>1.3523034832544056</v>
      </c>
    </row>
    <row r="33" spans="5:16">
      <c r="E33" s="15" t="s">
        <v>23</v>
      </c>
      <c r="F33" s="45">
        <f>C4/C28</f>
        <v>2028.9797742576302</v>
      </c>
      <c r="G33" s="46">
        <f>C6/C28</f>
        <v>2743.7964161811901</v>
      </c>
      <c r="H33" s="168"/>
      <c r="I33" s="63"/>
      <c r="J33" s="114">
        <f>(G33-F33)*1000000/C3</f>
        <v>13.616870547023252</v>
      </c>
      <c r="M33" t="s">
        <v>93</v>
      </c>
      <c r="N33" s="49">
        <f>G40</f>
        <v>1149.8333341942016</v>
      </c>
      <c r="P33">
        <f>G33/F33</f>
        <v>1.3523034832543361</v>
      </c>
    </row>
    <row r="34" spans="5:16">
      <c r="E34" s="15" t="s">
        <v>26</v>
      </c>
      <c r="F34" s="45">
        <f>C16/C28</f>
        <v>634.83989748200599</v>
      </c>
      <c r="G34" s="46">
        <f>C18/C28</f>
        <v>734.82502518821707</v>
      </c>
      <c r="H34" s="168"/>
      <c r="I34" s="63"/>
      <c r="J34" s="112">
        <f>(G34-F34)*1000000/C15</f>
        <v>0.9559927793120494</v>
      </c>
      <c r="N34" s="49"/>
      <c r="P34">
        <f>G34/F34</f>
        <v>1.1574966036362657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100.18308003794095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16551.7651990991</v>
      </c>
      <c r="H37" s="3" t="s">
        <v>34</v>
      </c>
      <c r="I37" s="3"/>
      <c r="J37" s="13"/>
      <c r="M37" t="s">
        <v>88</v>
      </c>
      <c r="N37" s="49">
        <f>SUM(N30:N35)</f>
        <v>533.67096673242304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1261.27336335108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1149.8333341942016</v>
      </c>
      <c r="H40" s="3"/>
      <c r="I40" s="3"/>
      <c r="J40" s="13"/>
      <c r="N40" s="21">
        <f>N37/G37</f>
        <v>3.2242540920135232E-2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36981.840347387551</v>
      </c>
      <c r="H42" s="63" t="s">
        <v>37</v>
      </c>
      <c r="I42" s="63"/>
      <c r="N42" s="21">
        <f>(G37-F37)/F37</f>
        <v>0.32061207682063697</v>
      </c>
    </row>
    <row r="43" spans="5:16">
      <c r="E43" s="9" t="s">
        <v>36</v>
      </c>
      <c r="F43" s="43">
        <f>F42*36/C29</f>
        <v>1431.5293325438927</v>
      </c>
      <c r="G43" s="44">
        <f>G42*36/C29</f>
        <v>1331.3462525059517</v>
      </c>
      <c r="H43" s="3" t="s">
        <v>34</v>
      </c>
      <c r="I43" s="3"/>
    </row>
    <row r="44" spans="5:16" ht="10" customHeight="1">
      <c r="H44" s="2"/>
      <c r="I44" s="2"/>
      <c r="L44">
        <f>K45-L45</f>
        <v>-2009180405.3112001</v>
      </c>
    </row>
    <row r="45" spans="5:16">
      <c r="E45" s="9" t="s">
        <v>90</v>
      </c>
      <c r="F45" s="43">
        <f>E3/(2*C28)</f>
        <v>158.74223539999963</v>
      </c>
      <c r="G45" s="44">
        <f>E4/(2*C28)</f>
        <v>154.855341286124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8275882599.5495501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Summary (2)</vt:lpstr>
      <vt:lpstr>GasProd</vt:lpstr>
      <vt:lpstr>Imports</vt:lpstr>
      <vt:lpstr>0 -0.1</vt:lpstr>
      <vt:lpstr>0 -0.3</vt:lpstr>
      <vt:lpstr>0 -0.5</vt:lpstr>
      <vt:lpstr>0 -1</vt:lpstr>
      <vt:lpstr>-0.1 -0.1</vt:lpstr>
      <vt:lpstr>-0.1 -0.3</vt:lpstr>
      <vt:lpstr>-0.1 -0.5</vt:lpstr>
      <vt:lpstr>-0.1 -1</vt:lpstr>
      <vt:lpstr>-0.3 -0.1</vt:lpstr>
      <vt:lpstr>-0.3 -0.3</vt:lpstr>
      <vt:lpstr>-0.3 -0.5</vt:lpstr>
      <vt:lpstr>-0.3 -1</vt:lpstr>
      <vt:lpstr>-0.5 -0.1</vt:lpstr>
      <vt:lpstr>-0.5 -0.3</vt:lpstr>
      <vt:lpstr>-0.5 -0.5</vt:lpstr>
      <vt:lpstr>-0.5 -1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2019-07-10T11:05:40Z</dcterms:modified>
</cp:coreProperties>
</file>